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D:\PROJECT\SIMASK_2024-2025\DC_TO DC_FLYBACK\DC_to_DC_TI_REF\"/>
    </mc:Choice>
  </mc:AlternateContent>
  <workbookProtection workbookAlgorithmName="SHA-512" workbookHashValue="b+MirVK01DCTvsCU9y7fP25bI7uUqi+KdI3ZGE8YxGgNy4EqaaT226YeSnnSUJb6UfvQh2b0yT+mXy8rMeG2jg==" workbookSaltValue="DY8B3Op4I7nQpnoYqGopwg==" workbookSpinCount="100000" lockStructure="1"/>
  <bookViews>
    <workbookView xWindow="0" yWindow="0" windowWidth="25600" windowHeight="9830" tabRatio="468"/>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62913"/>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33" i="25" l="1"/>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CF216" i="24"/>
  <c r="FI192" i="24"/>
  <c r="FI128" i="24"/>
  <c r="FJ286" i="24"/>
  <c r="FJ164"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75" i="24" l="1"/>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28" i="24" l="1"/>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S236" i="24"/>
  <c r="T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H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K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BK233" i="24" l="1"/>
  <c r="M236" i="24"/>
  <c r="N236" i="24" s="1"/>
  <c r="K236" i="24"/>
  <c r="M233" i="24"/>
  <c r="N233" i="24" s="1"/>
  <c r="P233" i="24" s="1"/>
  <c r="K294" i="24"/>
  <c r="K233" i="24"/>
  <c r="BK294" i="24"/>
  <c r="M294" i="24"/>
  <c r="N294" i="24" s="1"/>
  <c r="AP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6" i="24"/>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V236" i="24"/>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N218" i="24"/>
  <c r="AP218" i="24" s="1"/>
  <c r="N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Q233" i="24" l="1"/>
  <c r="AP230" i="24"/>
  <c r="AP233" i="24"/>
  <c r="AP264" i="24"/>
  <c r="U233" i="24"/>
  <c r="V233" i="24" s="1"/>
  <c r="W257" i="24"/>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AP223" i="24" s="1"/>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Q300" i="24" l="1"/>
  <c r="W233" i="24"/>
  <c r="Y233" i="24" s="1"/>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N222" i="24" l="1"/>
  <c r="AX264" i="24"/>
  <c r="BI264" i="24"/>
  <c r="BL264" i="24" s="1"/>
  <c r="CE119" i="24"/>
  <c r="BI119" i="24"/>
  <c r="CE233" i="24"/>
  <c r="BI233" i="24"/>
  <c r="AX142" i="24"/>
  <c r="BI142" i="24"/>
  <c r="BL142" i="24" s="1"/>
  <c r="BU236" i="24"/>
  <c r="BI236" i="24"/>
  <c r="BL236" i="24" s="1"/>
  <c r="CE132" i="24"/>
  <c r="BI132" i="24"/>
  <c r="BL132" i="24" s="1"/>
  <c r="CE162" i="24"/>
  <c r="BI162" i="24"/>
  <c r="BL162" i="24" s="1"/>
  <c r="BU292" i="24"/>
  <c r="BI292" i="24"/>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CE27" i="24" s="1"/>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BG261" i="25" s="1"/>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G238" i="25" l="1"/>
  <c r="CE238" i="25"/>
  <c r="BI239" i="24"/>
  <c r="CE239" i="24"/>
  <c r="BI124" i="24"/>
  <c r="CE124" i="24"/>
  <c r="BI175" i="24"/>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BG189" i="25"/>
  <c r="BJ189" i="25" s="1"/>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BG289" i="25" s="1"/>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AS249" i="24"/>
  <c r="AU249" i="24" s="1"/>
  <c r="BB249" i="24" s="1"/>
  <c r="BJ249" i="24"/>
  <c r="AQ249" i="24"/>
  <c r="BH280" i="25"/>
  <c r="BF280" i="25"/>
  <c r="BU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BL250" i="24"/>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L17" i="24"/>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AS128" i="24"/>
  <c r="AU128" i="24" s="1"/>
  <c r="BB128" i="24" s="1"/>
  <c r="AQ128" i="24"/>
  <c r="BJ128" i="24"/>
  <c r="BG26" i="25" l="1"/>
  <c r="CE26" i="25"/>
  <c r="BG124" i="25"/>
  <c r="CE124" i="25"/>
  <c r="AP280" i="25"/>
  <c r="BG57" i="25"/>
  <c r="CE57" i="25"/>
  <c r="BG112" i="25"/>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J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442" i="29" l="1"/>
  <c r="AO110" i="29"/>
  <c r="AO231" i="29"/>
  <c r="AO323" i="29"/>
  <c r="AO541" i="29"/>
  <c r="AO544" i="29"/>
  <c r="AO352" i="29"/>
  <c r="AO508" i="29"/>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V521" i="29" l="1"/>
  <c r="CB224" i="24"/>
  <c r="CF224" i="24"/>
  <c r="AP212" i="25"/>
  <c r="BG212" i="25"/>
  <c r="V63" i="29"/>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27" i="24" l="1"/>
  <c r="CF27" i="24"/>
  <c r="CB230" i="24"/>
  <c r="CF230" i="24"/>
  <c r="CB124" i="24"/>
  <c r="CF124"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CB124" i="25" l="1"/>
  <c r="CF124" i="25"/>
  <c r="CB26" i="25"/>
  <c r="CF26"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authors>
    <author>Timothy Hegarty</author>
    <author>Xi, Youhao</author>
    <author>Hegarty, Timothy</author>
  </authors>
  <commentList>
    <comment ref="A3" authorId="0" shapeId="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text>
        <r>
          <rPr>
            <b/>
            <u/>
            <sz val="9"/>
            <color indexed="81"/>
            <rFont val="Tahoma"/>
            <family val="2"/>
          </rPr>
          <t>MOSFET Coss</t>
        </r>
        <r>
          <rPr>
            <sz val="9"/>
            <color indexed="81"/>
            <rFont val="Tahoma"/>
            <family val="2"/>
          </rPr>
          <t xml:space="preserve">
Enter the Coss parameter of selected MOSFET.</t>
        </r>
      </text>
    </comment>
    <comment ref="M26" authorId="0" shapeId="0">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authors>
    <author>Timothy Hegarty</author>
  </authors>
  <commentList>
    <comment ref="A1" authorId="0" shapeId="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<sst xmlns="http://schemas.openxmlformats.org/spreadsheetml/2006/main" count="2461" uniqueCount="960">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</sst>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cellStyle name="Hyperlink" xfId="3" builtinId="8"/>
    <cellStyle name="Normal" xfId="0" builtinId="0"/>
    <cellStyle name="Normal 2" xfId="4"/>
    <cellStyle name="Normal 3" xfId="5"/>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77.610570652759208</c:v>
                </c:pt>
                <c:pt idx="1">
                  <c:v>76.810824392739505</c:v>
                </c:pt>
                <c:pt idx="2">
                  <c:v>76.011095508861885</c:v>
                </c:pt>
                <c:pt idx="3">
                  <c:v>75.211363735790485</c:v>
                </c:pt>
                <c:pt idx="4">
                  <c:v>74.412135028716875</c:v>
                </c:pt>
                <c:pt idx="5">
                  <c:v>73.612065727713542</c:v>
                </c:pt>
                <c:pt idx="6">
                  <c:v>72.812280627894197</c:v>
                </c:pt>
                <c:pt idx="7">
                  <c:v>72.012243348725548</c:v>
                </c:pt>
                <c:pt idx="8">
                  <c:v>71.212529589413023</c:v>
                </c:pt>
                <c:pt idx="9">
                  <c:v>70.41252792481464</c:v>
                </c:pt>
                <c:pt idx="10">
                  <c:v>69.612693681331891</c:v>
                </c:pt>
                <c:pt idx="11">
                  <c:v>68.812909369436596</c:v>
                </c:pt>
                <c:pt idx="12">
                  <c:v>68.01274915470735</c:v>
                </c:pt>
                <c:pt idx="13">
                  <c:v>67.212979799950332</c:v>
                </c:pt>
                <c:pt idx="14">
                  <c:v>66.412961593079373</c:v>
                </c:pt>
                <c:pt idx="15">
                  <c:v>65.613001460956241</c:v>
                </c:pt>
                <c:pt idx="16">
                  <c:v>64.813034525118127</c:v>
                </c:pt>
                <c:pt idx="17">
                  <c:v>64.013174429033086</c:v>
                </c:pt>
                <c:pt idx="18">
                  <c:v>63.213188950633977</c:v>
                </c:pt>
                <c:pt idx="19">
                  <c:v>62.413293169506204</c:v>
                </c:pt>
                <c:pt idx="20">
                  <c:v>61.613327748953665</c:v>
                </c:pt>
                <c:pt idx="21">
                  <c:v>60.813456117737495</c:v>
                </c:pt>
                <c:pt idx="22">
                  <c:v>60.013507942600626</c:v>
                </c:pt>
                <c:pt idx="23">
                  <c:v>59.213682127457623</c:v>
                </c:pt>
                <c:pt idx="24">
                  <c:v>58.413776702523336</c:v>
                </c:pt>
                <c:pt idx="25">
                  <c:v>57.613917860831229</c:v>
                </c:pt>
                <c:pt idx="26">
                  <c:v>56.813922596964431</c:v>
                </c:pt>
                <c:pt idx="27">
                  <c:v>56.01405011589722</c:v>
                </c:pt>
                <c:pt idx="28">
                  <c:v>55.2142752366398</c:v>
                </c:pt>
                <c:pt idx="29">
                  <c:v>54.415102357060341</c:v>
                </c:pt>
                <c:pt idx="30">
                  <c:v>53.615189845330463</c:v>
                </c:pt>
                <c:pt idx="31">
                  <c:v>52.815667676802207</c:v>
                </c:pt>
                <c:pt idx="32">
                  <c:v>52.016008541227414</c:v>
                </c:pt>
                <c:pt idx="33">
                  <c:v>51.216800641273039</c:v>
                </c:pt>
                <c:pt idx="34">
                  <c:v>50.417450050187959</c:v>
                </c:pt>
                <c:pt idx="35">
                  <c:v>49.618433765208209</c:v>
                </c:pt>
                <c:pt idx="36">
                  <c:v>48.819661974814437</c:v>
                </c:pt>
                <c:pt idx="37">
                  <c:v>48.020743689053667</c:v>
                </c:pt>
                <c:pt idx="38">
                  <c:v>47.222486302924139</c:v>
                </c:pt>
                <c:pt idx="39">
                  <c:v>46.424302115401701</c:v>
                </c:pt>
                <c:pt idx="40">
                  <c:v>45.626559020156265</c:v>
                </c:pt>
                <c:pt idx="41">
                  <c:v>44.829266504563776</c:v>
                </c:pt>
                <c:pt idx="42">
                  <c:v>44.032626971155089</c:v>
                </c:pt>
                <c:pt idx="43">
                  <c:v>43.236516216826544</c:v>
                </c:pt>
                <c:pt idx="44">
                  <c:v>42.441276500301711</c:v>
                </c:pt>
                <c:pt idx="45">
                  <c:v>41.646902578075768</c:v>
                </c:pt>
                <c:pt idx="46">
                  <c:v>40.853739375326242</c:v>
                </c:pt>
                <c:pt idx="47">
                  <c:v>40.061835389083427</c:v>
                </c:pt>
                <c:pt idx="48">
                  <c:v>39.271645499457939</c:v>
                </c:pt>
                <c:pt idx="49">
                  <c:v>38.48327562721088</c:v>
                </c:pt>
                <c:pt idx="50">
                  <c:v>37.697210828114848</c:v>
                </c:pt>
                <c:pt idx="51">
                  <c:v>36.913695555909229</c:v>
                </c:pt>
                <c:pt idx="52">
                  <c:v>36.133479582818509</c:v>
                </c:pt>
                <c:pt idx="53">
                  <c:v>35.357113612812512</c:v>
                </c:pt>
                <c:pt idx="54">
                  <c:v>34.585747379733135</c:v>
                </c:pt>
                <c:pt idx="55">
                  <c:v>33.818849677686572</c:v>
                </c:pt>
                <c:pt idx="56">
                  <c:v>33.05837165205218</c:v>
                </c:pt>
                <c:pt idx="57">
                  <c:v>32.304777091290227</c:v>
                </c:pt>
                <c:pt idx="58">
                  <c:v>31.559682717808496</c:v>
                </c:pt>
                <c:pt idx="59">
                  <c:v>30.823683656272692</c:v>
                </c:pt>
                <c:pt idx="60">
                  <c:v>30.098432349776129</c:v>
                </c:pt>
                <c:pt idx="61">
                  <c:v>29.385078845321885</c:v>
                </c:pt>
                <c:pt idx="62">
                  <c:v>28.684489444158135</c:v>
                </c:pt>
                <c:pt idx="63">
                  <c:v>27.998480359707031</c:v>
                </c:pt>
                <c:pt idx="64">
                  <c:v>27.327464568865437</c:v>
                </c:pt>
                <c:pt idx="65">
                  <c:v>26.672389248536923</c:v>
                </c:pt>
                <c:pt idx="66">
                  <c:v>26.033494461566843</c:v>
                </c:pt>
                <c:pt idx="67">
                  <c:v>25.410667350203482</c:v>
                </c:pt>
                <c:pt idx="68">
                  <c:v>24.802942062211915</c:v>
                </c:pt>
                <c:pt idx="69">
                  <c:v>24.209053922149653</c:v>
                </c:pt>
                <c:pt idx="70">
                  <c:v>23.626797341781</c:v>
                </c:pt>
                <c:pt idx="71">
                  <c:v>23.053587893903934</c:v>
                </c:pt>
                <c:pt idx="72">
                  <c:v>22.48608243376108</c:v>
                </c:pt>
                <c:pt idx="73">
                  <c:v>21.92083527942728</c:v>
                </c:pt>
                <c:pt idx="74">
                  <c:v>21.353940124297562</c:v>
                </c:pt>
                <c:pt idx="75">
                  <c:v>20.781753281819846</c:v>
                </c:pt>
                <c:pt idx="76">
                  <c:v>20.200639123210475</c:v>
                </c:pt>
                <c:pt idx="77">
                  <c:v>19.607683132173353</c:v>
                </c:pt>
                <c:pt idx="78">
                  <c:v>19.000293116017637</c:v>
                </c:pt>
                <c:pt idx="79">
                  <c:v>18.376883776117946</c:v>
                </c:pt>
                <c:pt idx="80">
                  <c:v>17.735008602325102</c:v>
                </c:pt>
                <c:pt idx="81">
                  <c:v>17.074714831307244</c:v>
                </c:pt>
                <c:pt idx="82">
                  <c:v>16.395189392425124</c:v>
                </c:pt>
                <c:pt idx="83">
                  <c:v>15.696907087691658</c:v>
                </c:pt>
                <c:pt idx="84">
                  <c:v>14.979551242353228</c:v>
                </c:pt>
                <c:pt idx="85">
                  <c:v>14.243853722579491</c:v>
                </c:pt>
                <c:pt idx="86">
                  <c:v>13.490042793061223</c:v>
                </c:pt>
                <c:pt idx="87">
                  <c:v>12.71793988836875</c:v>
                </c:pt>
                <c:pt idx="88">
                  <c:v>11.928345036078582</c:v>
                </c:pt>
                <c:pt idx="89">
                  <c:v>11.12045524221644</c:v>
                </c:pt>
                <c:pt idx="90">
                  <c:v>10.294117075921118</c:v>
                </c:pt>
                <c:pt idx="91">
                  <c:v>9.4484986440409582</c:v>
                </c:pt>
                <c:pt idx="92">
                  <c:v>8.5826341326272377</c:v>
                </c:pt>
                <c:pt idx="93">
                  <c:v>7.6948607148554604</c:v>
                </c:pt>
                <c:pt idx="94">
                  <c:v>7.4694140334265509</c:v>
                </c:pt>
                <c:pt idx="95">
                  <c:v>7.3554295880768885</c:v>
                </c:pt>
                <c:pt idx="96">
                  <c:v>7.2423744216320216</c:v>
                </c:pt>
                <c:pt idx="97">
                  <c:v>7.1276389110690292</c:v>
                </c:pt>
                <c:pt idx="98">
                  <c:v>7.01383351467633</c:v>
                </c:pt>
                <c:pt idx="99">
                  <c:v>6.898302415308688</c:v>
                </c:pt>
                <c:pt idx="100">
                  <c:v>6.7837026796745814</c:v>
                </c:pt>
                <c:pt idx="101">
                  <c:v>6.6674206361099762</c:v>
                </c:pt>
                <c:pt idx="102">
                  <c:v>6.5520702025466573</c:v>
                </c:pt>
                <c:pt idx="103">
                  <c:v>6.4349088465979429</c:v>
                </c:pt>
                <c:pt idx="104">
                  <c:v>6.3186811170513995</c:v>
                </c:pt>
                <c:pt idx="105">
                  <c:v>6.2006875131123387</c:v>
                </c:pt>
                <c:pt idx="106">
                  <c:v>6.0836285352581001</c:v>
                </c:pt>
                <c:pt idx="107">
                  <c:v>5.9648468109389832</c:v>
                </c:pt>
                <c:pt idx="108">
                  <c:v>5.8469997821912862</c:v>
                </c:pt>
                <c:pt idx="109">
                  <c:v>5.7273901996047041</c:v>
                </c:pt>
                <c:pt idx="110">
                  <c:v>5.6087157958384779</c:v>
                </c:pt>
                <c:pt idx="111">
                  <c:v>5.4881612194321292</c:v>
                </c:pt>
                <c:pt idx="112">
                  <c:v>5.3685439224508666</c:v>
                </c:pt>
                <c:pt idx="113">
                  <c:v>5.2470917033742479</c:v>
                </c:pt>
                <c:pt idx="114">
                  <c:v>5.1265779394090405</c:v>
                </c:pt>
                <c:pt idx="115">
                  <c:v>5.00419528176689</c:v>
                </c:pt>
                <c:pt idx="116">
                  <c:v>4.8827525974191239</c:v>
                </c:pt>
                <c:pt idx="117">
                  <c:v>4.7594088605612006</c:v>
                </c:pt>
                <c:pt idx="118">
                  <c:v>4.6370069405705552</c:v>
                </c:pt>
                <c:pt idx="119">
                  <c:v>4.5127486261041181</c:v>
                </c:pt>
                <c:pt idx="120">
                  <c:v>4.3894331522548766</c:v>
                </c:pt>
                <c:pt idx="121">
                  <c:v>4.2642303066167537</c:v>
                </c:pt>
                <c:pt idx="122">
                  <c:v>4.139971697391073</c:v>
                </c:pt>
                <c:pt idx="123">
                  <c:v>4.0137236250740873</c:v>
                </c:pt>
                <c:pt idx="124">
                  <c:v>3.8884226287389412</c:v>
                </c:pt>
                <c:pt idx="125">
                  <c:v>3.7611784796278247</c:v>
                </c:pt>
                <c:pt idx="126">
                  <c:v>3.6348834647043962</c:v>
                </c:pt>
                <c:pt idx="127">
                  <c:v>3.5066192903243887</c:v>
                </c:pt>
                <c:pt idx="128">
                  <c:v>3.3793066504763134</c:v>
                </c:pt>
                <c:pt idx="129">
                  <c:v>3.2500004199601369</c:v>
                </c:pt>
                <c:pt idx="130">
                  <c:v>3.1216484593399905</c:v>
                </c:pt>
                <c:pt idx="131">
                  <c:v>2.9912800136631028</c:v>
                </c:pt>
                <c:pt idx="132">
                  <c:v>2.9264560594265197</c:v>
                </c:pt>
                <c:pt idx="133">
                  <c:v>2.8618689022727386</c:v>
                </c:pt>
                <c:pt idx="134">
                  <c:v>2.7959891119072147</c:v>
                </c:pt>
                <c:pt idx="135">
                  <c:v>2.7303523002470236</c:v>
                </c:pt>
                <c:pt idx="136">
                  <c:v>2.6649559029941594</c:v>
                </c:pt>
                <c:pt idx="137">
                  <c:v>2.5997974024380444</c:v>
                </c:pt>
                <c:pt idx="138">
                  <c:v>2.5334030387338915</c:v>
                </c:pt>
                <c:pt idx="139">
                  <c:v>2.4672523146784573</c:v>
                </c:pt>
                <c:pt idx="140">
                  <c:v>2.4013426812724434</c:v>
                </c:pt>
                <c:pt idx="141">
                  <c:v>2.3356716358081835</c:v>
                </c:pt>
                <c:pt idx="142">
                  <c:v>2.2686878813658868</c:v>
                </c:pt>
                <c:pt idx="143">
                  <c:v>2.2019490005851439</c:v>
                </c:pt>
                <c:pt idx="144">
                  <c:v>2.1354524520962697</c:v>
                </c:pt>
                <c:pt idx="145">
                  <c:v>2.0691957406677752</c:v>
                </c:pt>
                <c:pt idx="146">
                  <c:v>2.0016499303254456</c:v>
                </c:pt>
                <c:pt idx="147">
                  <c:v>1.9343500552707136</c:v>
                </c:pt>
                <c:pt idx="148">
                  <c:v>1.8672935856509374</c:v>
                </c:pt>
                <c:pt idx="149">
                  <c:v>1.8004780374579001</c:v>
                </c:pt>
                <c:pt idx="150">
                  <c:v>1.7323644188597043</c:v>
                </c:pt>
                <c:pt idx="151">
                  <c:v>1.6644978730166813</c:v>
                </c:pt>
                <c:pt idx="152">
                  <c:v>1.5968758814370965</c:v>
                </c:pt>
                <c:pt idx="153">
                  <c:v>1.5294959711330482</c:v>
                </c:pt>
                <c:pt idx="154">
                  <c:v>1.4607780666719927</c:v>
                </c:pt>
                <c:pt idx="155">
                  <c:v>1.3923086737465544</c:v>
                </c:pt>
                <c:pt idx="156">
                  <c:v>1.3240852814952033</c:v>
                </c:pt>
                <c:pt idx="157">
                  <c:v>1.2561054242543621</c:v>
                </c:pt>
                <c:pt idx="158">
                  <c:v>1.1867804682246033</c:v>
                </c:pt>
                <c:pt idx="159">
                  <c:v>1.1177055216640277</c:v>
                </c:pt>
                <c:pt idx="160">
                  <c:v>1.0488780811439229</c:v>
                </c:pt>
                <c:pt idx="161">
                  <c:v>0.98029568807279843</c:v>
                </c:pt>
                <c:pt idx="162">
                  <c:v>0.91039231376089991</c:v>
                </c:pt>
                <c:pt idx="163">
                  <c:v>0.84074028398174216</c:v>
                </c:pt>
                <c:pt idx="164">
                  <c:v>0.77133710560599356</c:v>
                </c:pt>
                <c:pt idx="165">
                  <c:v>0.70218032984999779</c:v>
                </c:pt>
                <c:pt idx="166">
                  <c:v>0.63163548170439543</c:v>
                </c:pt>
                <c:pt idx="167">
                  <c:v>0.56134381108963283</c:v>
                </c:pt>
                <c:pt idx="168">
                  <c:v>0.49130282798252412</c:v>
                </c:pt>
                <c:pt idx="169">
                  <c:v>0.42151008631690057</c:v>
                </c:pt>
                <c:pt idx="170">
                  <c:v>0.35047343688571986</c:v>
                </c:pt>
                <c:pt idx="171">
                  <c:v>0.27969077371646572</c:v>
                </c:pt>
                <c:pt idx="172">
                  <c:v>0.20915962478047373</c:v>
                </c:pt>
                <c:pt idx="173">
                  <c:v>0.13887756119947431</c:v>
                </c:pt>
                <c:pt idx="174">
                  <c:v>6.7079766192924578E-2</c:v>
                </c:pt>
                <c:pt idx="175">
                  <c:v>-4.46126197835365E-3</c:v>
                </c:pt>
                <c:pt idx="176">
                  <c:v>-7.5748006467346876E-2</c:v>
                </c:pt>
                <c:pt idx="177">
                  <c:v>-0.14678290748185976</c:v>
                </c:pt>
                <c:pt idx="178">
                  <c:v>-0.21930586712088357</c:v>
                </c:pt>
                <c:pt idx="179">
                  <c:v>-0.29156949817760686</c:v>
                </c:pt>
                <c:pt idx="180">
                  <c:v>-0.36357629223741061</c:v>
                </c:pt>
                <c:pt idx="181">
                  <c:v>-0.43532869829302367</c:v>
                </c:pt>
                <c:pt idx="182">
                  <c:v>-0.50825657849040129</c:v>
                </c:pt>
                <c:pt idx="183">
                  <c:v>-0.58092480961828463</c:v>
                </c:pt>
                <c:pt idx="184">
                  <c:v>-0.65333586067465887</c:v>
                </c:pt>
                <c:pt idx="185">
                  <c:v>-0.7254921591990362</c:v>
                </c:pt>
                <c:pt idx="186">
                  <c:v>-0.79936638936040438</c:v>
                </c:pt>
                <c:pt idx="187">
                  <c:v>-0.87297675443027301</c:v>
                </c:pt>
                <c:pt idx="188">
                  <c:v>-0.94632575775406957</c:v>
                </c:pt>
                <c:pt idx="189">
                  <c:v>-1.0194158611690574</c:v>
                </c:pt>
                <c:pt idx="190">
                  <c:v>-1.0936369624130173</c:v>
                </c:pt>
                <c:pt idx="191">
                  <c:v>-1.1675942230853611</c:v>
                </c:pt>
                <c:pt idx="192">
                  <c:v>-1.2412901225975572</c:v>
                </c:pt>
                <c:pt idx="193">
                  <c:v>-1.3147271001739134</c:v>
                </c:pt>
                <c:pt idx="194">
                  <c:v>-1.3898227153880933</c:v>
                </c:pt>
                <c:pt idx="195">
                  <c:v>-1.4646507338892629</c:v>
                </c:pt>
                <c:pt idx="196">
                  <c:v>-1.5392136667841032</c:v>
                </c:pt>
                <c:pt idx="197">
                  <c:v>-1.6135139852021709</c:v>
                </c:pt>
                <c:pt idx="198">
                  <c:v>-1.6891725452547508</c:v>
                </c:pt>
                <c:pt idx="199">
                  <c:v>-1.764561958011849</c:v>
                </c:pt>
                <c:pt idx="200">
                  <c:v>-1.8396847380181813</c:v>
                </c:pt>
                <c:pt idx="201">
                  <c:v>-1.9145433607514539</c:v>
                </c:pt>
                <c:pt idx="202">
                  <c:v>-1.9907359222806433</c:v>
                </c:pt>
                <c:pt idx="203">
                  <c:v>-2.0666579848479292</c:v>
                </c:pt>
                <c:pt idx="204">
                  <c:v>-2.142312067023358</c:v>
                </c:pt>
                <c:pt idx="205">
                  <c:v>-2.2177006492957623</c:v>
                </c:pt>
                <c:pt idx="206">
                  <c:v>-2.29466163418244</c:v>
                </c:pt>
                <c:pt idx="207">
                  <c:v>-2.3713491160563094</c:v>
                </c:pt>
                <c:pt idx="208">
                  <c:v>-2.4477656443932032</c:v>
                </c:pt>
                <c:pt idx="209">
                  <c:v>-2.5239137311356945</c:v>
                </c:pt>
                <c:pt idx="210">
                  <c:v>-2.6018640116270983</c:v>
                </c:pt>
                <c:pt idx="211">
                  <c:v>-2.6795362485585175</c:v>
                </c:pt>
                <c:pt idx="212">
                  <c:v>-2.7569330482897341</c:v>
                </c:pt>
                <c:pt idx="213">
                  <c:v>-2.8340569798207431</c:v>
                </c:pt>
                <c:pt idx="214">
                  <c:v>-2.9124398102700475</c:v>
                </c:pt>
                <c:pt idx="215">
                  <c:v>-2.9905440695092853</c:v>
                </c:pt>
                <c:pt idx="216">
                  <c:v>-3.0683723697480243</c:v>
                </c:pt>
                <c:pt idx="217">
                  <c:v>-3.1459272871019301</c:v>
                </c:pt>
                <c:pt idx="218">
                  <c:v>-3.2249704018168717</c:v>
                </c:pt>
                <c:pt idx="219">
                  <c:v>-3.3037328645853603</c:v>
                </c:pt>
                <c:pt idx="220">
                  <c:v>-3.3822173210939677</c:v>
                </c:pt>
                <c:pt idx="221">
                  <c:v>-3.4604263817954073</c:v>
                </c:pt>
                <c:pt idx="222">
                  <c:v>-3.5400969658517978</c:v>
                </c:pt>
                <c:pt idx="223">
                  <c:v>-3.6194851471180529</c:v>
                </c:pt>
                <c:pt idx="224">
                  <c:v>-3.6985936067455496</c:v>
                </c:pt>
                <c:pt idx="225">
                  <c:v>-3.7774249916009364</c:v>
                </c:pt>
                <c:pt idx="226">
                  <c:v>-3.8579362372011019</c:v>
                </c:pt>
                <c:pt idx="227">
                  <c:v>-3.9381619492873439</c:v>
                </c:pt>
                <c:pt idx="228">
                  <c:v>-4.0181048718168055</c:v>
                </c:pt>
                <c:pt idx="229">
                  <c:v>-4.0977677150909351</c:v>
                </c:pt>
                <c:pt idx="230">
                  <c:v>-4.2601042105788709</c:v>
                </c:pt>
                <c:pt idx="231">
                  <c:v>-4.3408429478368333</c:v>
                </c:pt>
                <c:pt idx="232">
                  <c:v>-4.4212990576545836</c:v>
                </c:pt>
                <c:pt idx="233">
                  <c:v>-4.5033751991571878</c:v>
                </c:pt>
                <c:pt idx="234">
                  <c:v>-4.5851609226961481</c:v>
                </c:pt>
                <c:pt idx="235">
                  <c:v>-4.6666591062944942</c:v>
                </c:pt>
                <c:pt idx="236">
                  <c:v>-4.7478725959698993</c:v>
                </c:pt>
                <c:pt idx="237">
                  <c:v>-4.8304433991527036</c:v>
                </c:pt>
                <c:pt idx="238">
                  <c:v>-4.9127237262141374</c:v>
                </c:pt>
                <c:pt idx="239">
                  <c:v>-4.9947165030788634</c:v>
                </c:pt>
                <c:pt idx="240">
                  <c:v>-5.0764246250327281</c:v>
                </c:pt>
                <c:pt idx="241">
                  <c:v>-5.1599292115928828</c:v>
                </c:pt>
                <c:pt idx="242">
                  <c:v>-5.2431404744543393</c:v>
                </c:pt>
                <c:pt idx="243">
                  <c:v>-5.3260614424446846</c:v>
                </c:pt>
                <c:pt idx="244">
                  <c:v>-5.4086951145570303</c:v>
                </c:pt>
                <c:pt idx="245">
                  <c:v>-5.4928661794420641</c:v>
                </c:pt>
                <c:pt idx="246">
                  <c:v>-5.576743318940637</c:v>
                </c:pt>
                <c:pt idx="247">
                  <c:v>-5.6603296453605925</c:v>
                </c:pt>
                <c:pt idx="248">
                  <c:v>-5.7436282424836378</c:v>
                </c:pt>
                <c:pt idx="249">
                  <c:v>-5.8286633656679534</c:v>
                </c:pt>
                <c:pt idx="250">
                  <c:v>-5.9134030161570692</c:v>
                </c:pt>
                <c:pt idx="251">
                  <c:v>-5.9978504219714832</c:v>
                </c:pt>
                <c:pt idx="252">
                  <c:v>-6.0820087837936985</c:v>
                </c:pt>
                <c:pt idx="253">
                  <c:v>-6.1676532890007199</c:v>
                </c:pt>
                <c:pt idx="254">
                  <c:v>-6.2530030488659296</c:v>
                </c:pt>
                <c:pt idx="255">
                  <c:v>-6.3380613895345475</c:v>
                </c:pt>
                <c:pt idx="256">
                  <c:v>-6.4228316115011861</c:v>
                </c:pt>
                <c:pt idx="257">
                  <c:v>-6.5095019749401786</c:v>
                </c:pt>
                <c:pt idx="258">
                  <c:v>-6.5958760566138972</c:v>
                </c:pt>
                <c:pt idx="259">
                  <c:v>-6.681957342381394</c:v>
                </c:pt>
                <c:pt idx="260">
                  <c:v>-6.7677492938753092</c:v>
                </c:pt>
                <c:pt idx="261">
                  <c:v>-6.8551953731052873</c:v>
                </c:pt>
                <c:pt idx="262">
                  <c:v>-6.9423460675928226</c:v>
                </c:pt>
                <c:pt idx="263">
                  <c:v>-7.0292050082228297</c:v>
                </c:pt>
                <c:pt idx="264">
                  <c:v>-7.1157758036611041</c:v>
                </c:pt>
                <c:pt idx="265">
                  <c:v>-7.2039763086655642</c:v>
                </c:pt>
                <c:pt idx="266">
                  <c:v>-7.2918832785475924</c:v>
                </c:pt>
                <c:pt idx="267">
                  <c:v>-7.3795005025796883</c:v>
                </c:pt>
                <c:pt idx="268">
                  <c:v>-7.4668317501845483</c:v>
                </c:pt>
                <c:pt idx="269">
                  <c:v>-7.5559799457097725</c:v>
                </c:pt>
                <c:pt idx="270">
                  <c:v>-7.6448361263813949</c:v>
                </c:pt>
                <c:pt idx="271">
                  <c:v>-7.7334042836177863</c:v>
                </c:pt>
                <c:pt idx="272">
                  <c:v>-7.8216883916283129</c:v>
                </c:pt>
                <c:pt idx="273">
                  <c:v>-7.9117646262501964</c:v>
                </c:pt>
                <c:pt idx="274">
                  <c:v>-8.001551630680666</c:v>
                </c:pt>
                <c:pt idx="275">
                  <c:v>-8.0910536183338415</c:v>
                </c:pt>
                <c:pt idx="276">
                  <c:v>-8.1802747886443221</c:v>
                </c:pt>
                <c:pt idx="277">
                  <c:v>-8.2710609023037343</c:v>
                </c:pt>
                <c:pt idx="278">
                  <c:v>-8.3615632332430803</c:v>
                </c:pt>
                <c:pt idx="279">
                  <c:v>-8.4517862103278887</c:v>
                </c:pt>
                <c:pt idx="280">
                  <c:v>-8.5417342524601292</c:v>
                </c:pt>
                <c:pt idx="281">
                  <c:v>-8.6338372358553865</c:v>
                </c:pt>
                <c:pt idx="282">
                  <c:v>-8.7256596103379014</c:v>
                </c:pt>
                <c:pt idx="283">
                  <c:v>-8.8172061394505992</c:v>
                </c:pt>
                <c:pt idx="284">
                  <c:v>-8.9084815814124934</c:v>
                </c:pt>
                <c:pt idx="285">
                  <c:v>-9.0012882168492077</c:v>
                </c:pt>
                <c:pt idx="286">
                  <c:v>-9.0938229184982227</c:v>
                </c:pt>
                <c:pt idx="287">
                  <c:v>-9.186090724784675</c:v>
                </c:pt>
                <c:pt idx="288">
                  <c:v>-9.278096674660647</c:v>
                </c:pt>
                <c:pt idx="289">
                  <c:v>-9.3722152700407655</c:v>
                </c:pt>
                <c:pt idx="290">
                  <c:v>-9.4660690412125792</c:v>
                </c:pt>
                <c:pt idx="291">
                  <c:v>-9.5596634405190599</c:v>
                </c:pt>
                <c:pt idx="292">
                  <c:v>-9.6530039280109001</c:v>
                </c:pt>
                <c:pt idx="293">
                  <c:v>-9.7482443667001828</c:v>
                </c:pt>
                <c:pt idx="294">
                  <c:v>-9.8432306178160829</c:v>
                </c:pt>
                <c:pt idx="295">
                  <c:v>-9.9379685657775969</c:v>
                </c:pt>
                <c:pt idx="296">
                  <c:v>-10.032464111576182</c:v>
                </c:pt>
                <c:pt idx="297">
                  <c:v>-10.128849544822856</c:v>
                </c:pt>
                <c:pt idx="298">
                  <c:v>-10.224994044404266</c:v>
                </c:pt>
                <c:pt idx="299">
                  <c:v>-10.320903987813226</c:v>
                </c:pt>
                <c:pt idx="300">
                  <c:v>-10.416585780044532</c:v>
                </c:pt>
                <c:pt idx="301">
                  <c:v>-10.514151958307632</c:v>
                </c:pt>
                <c:pt idx="302">
                  <c:v>-10.611493423420722</c:v>
                </c:pt>
                <c:pt idx="303">
                  <c:v>-10.708617119370032</c:v>
                </c:pt>
                <c:pt idx="304">
                  <c:v>-10.80553003111638</c:v>
                </c:pt>
                <c:pt idx="305">
                  <c:v>-10.904706559937569</c:v>
                </c:pt>
                <c:pt idx="306">
                  <c:v>-11.003676425073268</c:v>
                </c:pt>
                <c:pt idx="307">
                  <c:v>-11.102447313959559</c:v>
                </c:pt>
                <c:pt idx="308">
                  <c:v>-11.20102697254225</c:v>
                </c:pt>
                <c:pt idx="309">
                  <c:v>-11.30149477627892</c:v>
                </c:pt>
                <c:pt idx="310">
                  <c:v>-11.40177972858651</c:v>
                </c:pt>
                <c:pt idx="311">
                  <c:v>-11.501890287328788</c:v>
                </c:pt>
                <c:pt idx="312">
                  <c:v>-11.601834989760505</c:v>
                </c:pt>
                <c:pt idx="313">
                  <c:v>-11.70405440633801</c:v>
                </c:pt>
                <c:pt idx="314">
                  <c:v>-11.806118187101216</c:v>
                </c:pt>
                <c:pt idx="315">
                  <c:v>-11.908035796616975</c:v>
                </c:pt>
                <c:pt idx="316">
                  <c:v>-12.009816806264006</c:v>
                </c:pt>
                <c:pt idx="317">
                  <c:v>-12.11388976844545</c:v>
                </c:pt>
                <c:pt idx="318">
                  <c:v>-12.217840218224453</c:v>
                </c:pt>
                <c:pt idx="319">
                  <c:v>-12.321678809862702</c:v>
                </c:pt>
                <c:pt idx="320">
                  <c:v>-12.425416339042364</c:v>
                </c:pt>
                <c:pt idx="321">
                  <c:v>-12.531473170742869</c:v>
                </c:pt>
                <c:pt idx="322">
                  <c:v>-12.637447536578957</c:v>
                </c:pt>
                <c:pt idx="323">
                  <c:v>-12.743351506441105</c:v>
                </c:pt>
                <c:pt idx="324">
                  <c:v>-12.849197335393194</c:v>
                </c:pt>
                <c:pt idx="325">
                  <c:v>-12.957401588119007</c:v>
                </c:pt>
                <c:pt idx="326">
                  <c:v>-13.065571583713584</c:v>
                </c:pt>
                <c:pt idx="327">
                  <c:v>-13.173721087799377</c:v>
                </c:pt>
                <c:pt idx="328">
                  <c:v>-13.281864106620617</c:v>
                </c:pt>
                <c:pt idx="329">
                  <c:v>-13.392603336196823</c:v>
                </c:pt>
                <c:pt idx="330">
                  <c:v>-13.503366305428994</c:v>
                </c:pt>
                <c:pt idx="331">
                  <c:v>-13.614168904694591</c:v>
                </c:pt>
                <c:pt idx="332">
                  <c:v>-13.725027337616392</c:v>
                </c:pt>
                <c:pt idx="333">
                  <c:v>-13.838366575318535</c:v>
                </c:pt>
                <c:pt idx="334">
                  <c:v>-13.951799350811591</c:v>
                </c:pt>
                <c:pt idx="335">
                  <c:v>-14.06534404874882</c:v>
                </c:pt>
                <c:pt idx="336">
                  <c:v>-14.17901945766847</c:v>
                </c:pt>
                <c:pt idx="337">
                  <c:v>-14.29563667166841</c:v>
                </c:pt>
                <c:pt idx="338">
                  <c:v>-14.412432382865063</c:v>
                </c:pt>
                <c:pt idx="339">
                  <c:v>-14.529428231694595</c:v>
                </c:pt>
                <c:pt idx="340">
                  <c:v>-14.646646385556961</c:v>
                </c:pt>
                <c:pt idx="341">
                  <c:v>-14.766922877801766</c:v>
                </c:pt>
                <c:pt idx="342">
                  <c:v>-14.887481269070307</c:v>
                </c:pt>
                <c:pt idx="343">
                  <c:v>-15.008347228459684</c:v>
                </c:pt>
                <c:pt idx="344">
                  <c:v>-15.129547112832736</c:v>
                </c:pt>
                <c:pt idx="345">
                  <c:v>-15.253763087198159</c:v>
                </c:pt>
                <c:pt idx="346">
                  <c:v>-15.378385675422434</c:v>
                </c:pt>
                <c:pt idx="347">
                  <c:v>-15.503445426982626</c:v>
                </c:pt>
                <c:pt idx="348">
                  <c:v>-15.62897378500991</c:v>
                </c:pt>
                <c:pt idx="349">
                  <c:v>-15.758083551040293</c:v>
                </c:pt>
                <c:pt idx="350">
                  <c:v>-15.887754909871141</c:v>
                </c:pt>
                <c:pt idx="351">
                  <c:v>-16.018024856164455</c:v>
                </c:pt>
                <c:pt idx="352">
                  <c:v>-16.148931563842389</c:v>
                </c:pt>
                <c:pt idx="353">
                  <c:v>-16.283655940738498</c:v>
                </c:pt>
                <c:pt idx="354">
                  <c:v>-16.419132772015988</c:v>
                </c:pt>
                <c:pt idx="355">
                  <c:v>-16.555407245034065</c:v>
                </c:pt>
                <c:pt idx="356">
                  <c:v>-16.692526110875498</c:v>
                </c:pt>
                <c:pt idx="357">
                  <c:v>-16.833557054000295</c:v>
                </c:pt>
                <c:pt idx="358">
                  <c:v>-16.975573627753558</c:v>
                </c:pt>
                <c:pt idx="359">
                  <c:v>-17.118631291061416</c:v>
                </c:pt>
                <c:pt idx="360">
                  <c:v>-17.262787578199678</c:v>
                </c:pt>
                <c:pt idx="361">
                  <c:v>-17.411631073651343</c:v>
                </c:pt>
                <c:pt idx="362">
                  <c:v>-17.561756274695703</c:v>
                </c:pt>
                <c:pt idx="363">
                  <c:v>-17.713232501268877</c:v>
                </c:pt>
                <c:pt idx="364">
                  <c:v>-17.866131884138529</c:v>
                </c:pt>
                <c:pt idx="365">
                  <c:v>-18.0239781890374</c:v>
                </c:pt>
                <c:pt idx="366">
                  <c:v>-18.183473689101454</c:v>
                </c:pt>
                <c:pt idx="367">
                  <c:v>-18.344705603167093</c:v>
                </c:pt>
                <c:pt idx="368">
                  <c:v>-18.507764980496365</c:v>
                </c:pt>
                <c:pt idx="369">
                  <c:v>-18.676806728936107</c:v>
                </c:pt>
                <c:pt idx="370">
                  <c:v>-18.847973199161469</c:v>
                </c:pt>
                <c:pt idx="371">
                  <c:v>-19.021376372052419</c:v>
                </c:pt>
                <c:pt idx="372">
                  <c:v>-19.197133586835953</c:v>
                </c:pt>
                <c:pt idx="373">
                  <c:v>-19.37941597974379</c:v>
                </c:pt>
                <c:pt idx="374">
                  <c:v>-19.564426580365538</c:v>
                </c:pt>
                <c:pt idx="375">
                  <c:v>-19.752310635143484</c:v>
                </c:pt>
                <c:pt idx="376">
                  <c:v>-19.943220997519187</c:v>
                </c:pt>
                <c:pt idx="377">
                  <c:v>-20.142143552534062</c:v>
                </c:pt>
                <c:pt idx="378">
                  <c:v>-20.344595227569432</c:v>
                </c:pt>
                <c:pt idx="379">
                  <c:v>-20.5507691489446</c:v>
                </c:pt>
                <c:pt idx="380">
                  <c:v>-20.760869645202913</c:v>
                </c:pt>
                <c:pt idx="381">
                  <c:v>-20.979770664711104</c:v>
                </c:pt>
                <c:pt idx="382">
                  <c:v>-21.203239811606331</c:v>
                </c:pt>
                <c:pt idx="383">
                  <c:v>-21.431537442718298</c:v>
                </c:pt>
                <c:pt idx="384">
                  <c:v>-21.664940814185908</c:v>
                </c:pt>
                <c:pt idx="385">
                  <c:v>-21.9097352251583</c:v>
                </c:pt>
                <c:pt idx="386">
                  <c:v>-22.160542504821844</c:v>
                </c:pt>
                <c:pt idx="387">
                  <c:v>-22.417727453274313</c:v>
                </c:pt>
                <c:pt idx="388">
                  <c:v>-22.681681928123453</c:v>
                </c:pt>
                <c:pt idx="389">
                  <c:v>-22.959145255196113</c:v>
                </c:pt>
                <c:pt idx="390">
                  <c:v>-23.244621923522782</c:v>
                </c:pt>
                <c:pt idx="391">
                  <c:v>-23.538640297004186</c:v>
                </c:pt>
                <c:pt idx="392">
                  <c:v>-23.841774436162648</c:v>
                </c:pt>
                <c:pt idx="393">
                  <c:v>-24.161793657773995</c:v>
                </c:pt>
                <c:pt idx="394">
                  <c:v>-24.492728596760752</c:v>
                </c:pt>
                <c:pt idx="395">
                  <c:v>-24.835383576708633</c:v>
                </c:pt>
                <c:pt idx="396">
                  <c:v>-25.190646146544481</c:v>
                </c:pt>
                <c:pt idx="397">
                  <c:v>-25.568632516966314</c:v>
                </c:pt>
                <c:pt idx="398">
                  <c:v>-25.962056362548633</c:v>
                </c:pt>
                <c:pt idx="399">
                  <c:v>-26.372239062839874</c:v>
                </c:pt>
                <c:pt idx="400">
                  <c:v>-26.800671068289709</c:v>
                </c:pt>
                <c:pt idx="401">
                  <c:v>-27.259409696337951</c:v>
                </c:pt>
                <c:pt idx="402">
                  <c:v>-27.741069798656575</c:v>
                </c:pt>
                <c:pt idx="403">
                  <c:v>-28.248040564835435</c:v>
                </c:pt>
                <c:pt idx="404">
                  <c:v>-28.783103499512407</c:v>
                </c:pt>
                <c:pt idx="405">
                  <c:v>-29.363057464281738</c:v>
                </c:pt>
                <c:pt idx="406">
                  <c:v>-29.980010736005802</c:v>
                </c:pt>
                <c:pt idx="407">
                  <c:v>-30.638988791311125</c:v>
                </c:pt>
                <c:pt idx="408">
                  <c:v>-31.346137625905509</c:v>
                </c:pt>
                <c:pt idx="409">
                  <c:v>-32.127950452025182</c:v>
                </c:pt>
                <c:pt idx="410">
                  <c:v>-32.978650608463106</c:v>
                </c:pt>
                <c:pt idx="411">
                  <c:v>-33.911751539841646</c:v>
                </c:pt>
                <c:pt idx="412">
                  <c:v>-34.945290078890217</c:v>
                </c:pt>
                <c:pt idx="413">
                  <c:v>-36.132727401323955</c:v>
                </c:pt>
                <c:pt idx="414">
                  <c:v>-37.489755634972461</c:v>
                </c:pt>
                <c:pt idx="415">
                  <c:v>-39.07491668072295</c:v>
                </c:pt>
                <c:pt idx="416">
                  <c:v>-40.984140700306888</c:v>
                </c:pt>
                <c:pt idx="417">
                  <c:v>-43.45691362617714</c:v>
                </c:pt>
                <c:pt idx="418">
                  <c:v>-46.855964714660026</c:v>
                </c:pt>
                <c:pt idx="419">
                  <c:v>-52.37770928983263</c:v>
                </c:pt>
                <c:pt idx="420">
                  <c:v>-70.20951418185247</c:v>
                </c:pt>
                <c:pt idx="421">
                  <c:v>-54.938883742029574</c:v>
                </c:pt>
                <c:pt idx="422">
                  <c:v>-48.301727385380666</c:v>
                </c:pt>
                <c:pt idx="423">
                  <c:v>-44.652762868465395</c:v>
                </c:pt>
                <c:pt idx="424">
                  <c:v>-42.144400281589142</c:v>
                </c:pt>
                <c:pt idx="425">
                  <c:v>-40.203101507857262</c:v>
                </c:pt>
                <c:pt idx="426">
                  <c:v>-38.65679512481681</c:v>
                </c:pt>
                <c:pt idx="427">
                  <c:v>-37.379321983628039</c:v>
                </c:pt>
                <c:pt idx="428">
                  <c:v>-36.297050632123991</c:v>
                </c:pt>
                <c:pt idx="429">
                  <c:v>-35.343174042904735</c:v>
                </c:pt>
                <c:pt idx="430">
                  <c:v>-34.511033718643759</c:v>
                </c:pt>
                <c:pt idx="431">
                  <c:v>-33.776968196048131</c:v>
                </c:pt>
                <c:pt idx="432">
                  <c:v>-33.123710574777853</c:v>
                </c:pt>
                <c:pt idx="433">
                  <c:v>-32.525768947283247</c:v>
                </c:pt>
                <c:pt idx="434">
                  <c:v>-31.988032683234451</c:v>
                </c:pt>
                <c:pt idx="435">
                  <c:v>-31.502093594386981</c:v>
                </c:pt>
                <c:pt idx="436">
                  <c:v>-31.061220609341493</c:v>
                </c:pt>
                <c:pt idx="437">
                  <c:v>-30.650799141788649</c:v>
                </c:pt>
                <c:pt idx="438">
                  <c:v>-30.277034753921228</c:v>
                </c:pt>
                <c:pt idx="439">
                  <c:v>-29.935889310701981</c:v>
                </c:pt>
                <c:pt idx="440">
                  <c:v>-29.623958662789043</c:v>
                </c:pt>
                <c:pt idx="441">
                  <c:v>-29.331975904610871</c:v>
                </c:pt>
                <c:pt idx="442">
                  <c:v>-29.064882891595254</c:v>
                </c:pt>
                <c:pt idx="443">
                  <c:v>-28.820373022529758</c:v>
                </c:pt>
                <c:pt idx="444">
                  <c:v>-28.596436553123354</c:v>
                </c:pt>
                <c:pt idx="445">
                  <c:v>-28.38684232465722</c:v>
                </c:pt>
                <c:pt idx="446">
                  <c:v>-28.195261622755382</c:v>
                </c:pt>
                <c:pt idx="447">
                  <c:v>-28.020220195162842</c:v>
                </c:pt>
                <c:pt idx="448">
                  <c:v>-27.860404988554365</c:v>
                </c:pt>
                <c:pt idx="449">
                  <c:v>-27.711307146960582</c:v>
                </c:pt>
                <c:pt idx="450">
                  <c:v>-27.575810361206837</c:v>
                </c:pt>
                <c:pt idx="451">
                  <c:v>-27.45289477196043</c:v>
                </c:pt>
                <c:pt idx="452">
                  <c:v>-27.341638877936237</c:v>
                </c:pt>
                <c:pt idx="453">
                  <c:v>-27.2390571388122</c:v>
                </c:pt>
                <c:pt idx="454">
                  <c:v>-27.146983308697195</c:v>
                </c:pt>
                <c:pt idx="455">
                  <c:v>-27.064679236366267</c:v>
                </c:pt>
                <c:pt idx="456">
                  <c:v>-26.991471731068792</c:v>
                </c:pt>
                <c:pt idx="457">
                  <c:v>-26.925307751472403</c:v>
                </c:pt>
                <c:pt idx="458">
                  <c:v>-26.867428617874509</c:v>
                </c:pt>
                <c:pt idx="459">
                  <c:v>-26.817281375525003</c:v>
                </c:pt>
                <c:pt idx="460">
                  <c:v>-26.774358958426028</c:v>
                </c:pt>
                <c:pt idx="461">
                  <c:v>-26.737434073018719</c:v>
                </c:pt>
                <c:pt idx="462">
                  <c:v>-26.707127346443315</c:v>
                </c:pt>
                <c:pt idx="463">
                  <c:v>-26.683017851670328</c:v>
                </c:pt>
                <c:pt idx="464">
                  <c:v>-26.664718518634032</c:v>
                </c:pt>
                <c:pt idx="465">
                  <c:v>-26.651634767601749</c:v>
                </c:pt>
                <c:pt idx="466">
                  <c:v>-26.643912393815846</c:v>
                </c:pt>
                <c:pt idx="467">
                  <c:v>-26.641228316164568</c:v>
                </c:pt>
                <c:pt idx="468">
                  <c:v>-26.643285323905125</c:v>
                </c:pt>
                <c:pt idx="469">
                  <c:v>-26.650009670671256</c:v>
                </c:pt>
                <c:pt idx="470">
                  <c:v>-26.661139628924772</c:v>
                </c:pt>
                <c:pt idx="471">
                  <c:v>-26.676428138133176</c:v>
                </c:pt>
                <c:pt idx="472">
                  <c:v>-26.695648426506125</c:v>
                </c:pt>
                <c:pt idx="473">
                  <c:v>-26.719184307413876</c:v>
                </c:pt>
                <c:pt idx="474">
                  <c:v>-26.746419552289119</c:v>
                </c:pt>
                <c:pt idx="475">
                  <c:v>-26.777167404829743</c:v>
                </c:pt>
                <c:pt idx="476">
                  <c:v>-26.811257534877203</c:v>
                </c:pt>
                <c:pt idx="477">
                  <c:v>-26.849441228059252</c:v>
                </c:pt>
                <c:pt idx="478">
                  <c:v>-26.890811969563437</c:v>
                </c:pt>
                <c:pt idx="479">
                  <c:v>-26.935233739190902</c:v>
                </c:pt>
                <c:pt idx="480">
                  <c:v>-26.982584250693662</c:v>
                </c:pt>
                <c:pt idx="481">
                  <c:v>-27.03392969009699</c:v>
                </c:pt>
                <c:pt idx="482">
                  <c:v>-27.088120726142918</c:v>
                </c:pt>
                <c:pt idx="483">
                  <c:v>-27.145066188926886</c:v>
                </c:pt>
                <c:pt idx="484">
                  <c:v>-27.204686930867908</c:v>
                </c:pt>
                <c:pt idx="485">
                  <c:v>-27.268375506216902</c:v>
                </c:pt>
                <c:pt idx="486">
                  <c:v>-27.33473245381392</c:v>
                </c:pt>
                <c:pt idx="487">
                  <c:v>-27.403708892281536</c:v>
                </c:pt>
                <c:pt idx="488">
                  <c:v>-27.475267211616547</c:v>
                </c:pt>
                <c:pt idx="489">
                  <c:v>-27.551177612939316</c:v>
                </c:pt>
                <c:pt idx="490">
                  <c:v>-27.629749657156395</c:v>
                </c:pt>
                <c:pt idx="491">
                  <c:v>-27.710978151188375</c:v>
                </c:pt>
                <c:pt idx="492">
                  <c:v>-27.794869500498809</c:v>
                </c:pt>
                <c:pt idx="493">
                  <c:v>-27.883488486181673</c:v>
                </c:pt>
                <c:pt idx="494">
                  <c:v>-27.974946539292059</c:v>
                </c:pt>
                <c:pt idx="495">
                  <c:v>-28.069288565497246</c:v>
                </c:pt>
                <c:pt idx="496">
                  <c:v>-28.166572702942275</c:v>
                </c:pt>
                <c:pt idx="497">
                  <c:v>-28.269253571487031</c:v>
                </c:pt>
                <c:pt idx="498">
                  <c:v>-28.375183111160794</c:v>
                </c:pt>
                <c:pt idx="499">
                  <c:v>-28.484469490531794</c:v>
                </c:pt>
                <c:pt idx="500">
                  <c:v>-28.597237680777219</c:v>
                </c:pt>
                <c:pt idx="501">
                  <c:v>-28.716409497174602</c:v>
                </c:pt>
                <c:pt idx="502">
                  <c:v>-28.839551462279246</c:v>
                </c:pt>
                <c:pt idx="503">
                  <c:v>-28.966858785499682</c:v>
                </c:pt>
                <c:pt idx="504">
                  <c:v>-29.098550135349672</c:v>
                </c:pt>
                <c:pt idx="505">
                  <c:v>-29.23805474830948</c:v>
                </c:pt>
                <c:pt idx="506">
                  <c:v>-29.38269289011064</c:v>
                </c:pt>
                <c:pt idx="507">
                  <c:v>-29.532787574927617</c:v>
                </c:pt>
                <c:pt idx="508">
                  <c:v>-29.688697147857969</c:v>
                </c:pt>
                <c:pt idx="509">
                  <c:v>-29.854631212064781</c:v>
                </c:pt>
                <c:pt idx="510">
                  <c:v>-30.027538043997097</c:v>
                </c:pt>
                <c:pt idx="511">
                  <c:v>-30.207940090811178</c:v>
                </c:pt>
                <c:pt idx="512">
                  <c:v>-30.396416678820792</c:v>
                </c:pt>
                <c:pt idx="513">
                  <c:v>-30.598397458962324</c:v>
                </c:pt>
                <c:pt idx="514">
                  <c:v>-30.810279972540041</c:v>
                </c:pt>
                <c:pt idx="515">
                  <c:v>-31.032917294234529</c:v>
                </c:pt>
                <c:pt idx="516">
                  <c:v>-31.26726061006725</c:v>
                </c:pt>
                <c:pt idx="517">
                  <c:v>-31.52025622258239</c:v>
                </c:pt>
                <c:pt idx="518">
                  <c:v>-31.787893981276252</c:v>
                </c:pt>
                <c:pt idx="519">
                  <c:v>-32.071607935471498</c:v>
                </c:pt>
                <c:pt idx="520">
                  <c:v>-32.373015744967574</c:v>
                </c:pt>
                <c:pt idx="521">
                  <c:v>-32.701643098741052</c:v>
                </c:pt>
                <c:pt idx="522">
                  <c:v>-33.052946232208022</c:v>
                </c:pt>
                <c:pt idx="523">
                  <c:v>-33.429483780388701</c:v>
                </c:pt>
                <c:pt idx="524">
                  <c:v>-33.834204661789244</c:v>
                </c:pt>
                <c:pt idx="525">
                  <c:v>-34.281073693807485</c:v>
                </c:pt>
                <c:pt idx="526">
                  <c:v>-34.76533571577508</c:v>
                </c:pt>
                <c:pt idx="527">
                  <c:v>-35.292091440443485</c:v>
                </c:pt>
                <c:pt idx="528">
                  <c:v>-35.867465195696951</c:v>
                </c:pt>
                <c:pt idx="529">
                  <c:v>-36.514328979196051</c:v>
                </c:pt>
                <c:pt idx="530">
                  <c:v>-37.229838918567111</c:v>
                </c:pt>
                <c:pt idx="531">
                  <c:v>-38.026611104804445</c:v>
                </c:pt>
                <c:pt idx="532">
                  <c:v>-38.921090264441006</c:v>
                </c:pt>
                <c:pt idx="533">
                  <c:v>-39.961174741380219</c:v>
                </c:pt>
                <c:pt idx="534">
                  <c:v>-41.160120454795091</c:v>
                </c:pt>
                <c:pt idx="535">
                  <c:v>-42.567079427955377</c:v>
                </c:pt>
                <c:pt idx="536">
                  <c:v>-44.259552150759973</c:v>
                </c:pt>
                <c:pt idx="537">
                  <c:v>-46.425522814141232</c:v>
                </c:pt>
                <c:pt idx="538">
                  <c:v>-49.314483835617722</c:v>
                </c:pt>
                <c:pt idx="539">
                  <c:v>-53.643700822167006</c:v>
                </c:pt>
                <c:pt idx="540">
                  <c:v>-62.512568758133213</c:v>
                </c:pt>
                <c:pt idx="541">
                  <c:v>-64.541877953122054</c:v>
                </c:pt>
                <c:pt idx="542">
                  <c:v>-54.38868613797419</c:v>
                </c:pt>
                <c:pt idx="543">
                  <c:v>-49.922598294462432</c:v>
                </c:pt>
                <c:pt idx="544">
                  <c:v>-47.061917848144091</c:v>
                </c:pt>
                <c:pt idx="545">
                  <c:v>-44.937908395145158</c:v>
                </c:pt>
                <c:pt idx="546">
                  <c:v>-43.295633208472125</c:v>
                </c:pt>
                <c:pt idx="547">
                  <c:v>-41.973411280039834</c:v>
                </c:pt>
                <c:pt idx="548">
                  <c:v>-40.880502502352165</c:v>
                </c:pt>
                <c:pt idx="549">
                  <c:v>-39.941114687675217</c:v>
                </c:pt>
                <c:pt idx="550">
                  <c:v>-39.142997555592814</c:v>
                </c:pt>
                <c:pt idx="551">
                  <c:v>-38.458285512099543</c:v>
                </c:pt>
                <c:pt idx="552">
                  <c:v>-37.866678045834504</c:v>
                </c:pt>
                <c:pt idx="553">
                  <c:v>-37.341598422100283</c:v>
                </c:pt>
                <c:pt idx="554">
                  <c:v>-36.885308828719808</c:v>
                </c:pt>
                <c:pt idx="555">
                  <c:v>-36.487756817457878</c:v>
                </c:pt>
                <c:pt idx="556">
                  <c:v>-36.140837581406757</c:v>
                </c:pt>
                <c:pt idx="557">
                  <c:v>-35.561914382041302</c:v>
                </c:pt>
                <c:pt idx="558">
                  <c:v>-35.124748732173359</c:v>
                </c:pt>
                <c:pt idx="559">
                  <c:v>-34.791866334406087</c:v>
                </c:pt>
                <c:pt idx="560">
                  <c:v>-34.550565424529502</c:v>
                </c:pt>
                <c:pt idx="561">
                  <c:v>-34.379716641497915</c:v>
                </c:pt>
                <c:pt idx="562">
                  <c:v>-34.271727244770823</c:v>
                </c:pt>
                <c:pt idx="563">
                  <c:v>-34.21519677223182</c:v>
                </c:pt>
                <c:pt idx="564">
                  <c:v>-34.204617116011519</c:v>
                </c:pt>
                <c:pt idx="565">
                  <c:v>-34.235027702600306</c:v>
                </c:pt>
                <c:pt idx="566">
                  <c:v>-34.302604107191343</c:v>
                </c:pt>
                <c:pt idx="567">
                  <c:v>-34.407276549921001</c:v>
                </c:pt>
                <c:pt idx="568">
                  <c:v>-34.546196319941089</c:v>
                </c:pt>
                <c:pt idx="569">
                  <c:v>-34.723004703383751</c:v>
                </c:pt>
                <c:pt idx="570">
                  <c:v>-34.936642010117332</c:v>
                </c:pt>
                <c:pt idx="571">
                  <c:v>-35.197717617220022</c:v>
                </c:pt>
                <c:pt idx="572">
                  <c:v>-35.506305641964829</c:v>
                </c:pt>
                <c:pt idx="573">
                  <c:v>-35.877966146503006</c:v>
                </c:pt>
                <c:pt idx="574">
                  <c:v>-36.319319924402876</c:v>
                </c:pt>
                <c:pt idx="575">
                  <c:v>-36.862388671959764</c:v>
                </c:pt>
                <c:pt idx="576">
                  <c:v>-37.522115961830245</c:v>
                </c:pt>
                <c:pt idx="577">
                  <c:v>-42.861596192273517</c:v>
                </c:pt>
                <c:pt idx="578">
                  <c:v>-59.140137433078912</c:v>
                </c:pt>
                <c:pt idx="579">
                  <c:v>-38.892565793677619</c:v>
                </c:pt>
                <c:pt idx="580">
                  <c:v>-39.454949663892506</c:v>
                </c:pt>
                <c:pt idx="581">
                  <c:v>-60.368638577208358</c:v>
                </c:pt>
                <c:pt idx="582">
                  <c:v>-41.759144254321953</c:v>
                </c:pt>
                <c:pt idx="583">
                  <c:v>-44.897727700773729</c:v>
                </c:pt>
                <c:pt idx="584">
                  <c:v>-45.464373873565563</c:v>
                </c:pt>
                <c:pt idx="585">
                  <c:v>-46.472191474167168</c:v>
                </c:pt>
                <c:pt idx="586">
                  <c:v>-46.824924819760597</c:v>
                </c:pt>
                <c:pt idx="587">
                  <c:v>-55.696463882529379</c:v>
                </c:pt>
                <c:pt idx="588">
                  <c:v>-48.303824201324403</c:v>
                </c:pt>
                <c:pt idx="589">
                  <c:v>-50.249737510380115</c:v>
                </c:pt>
                <c:pt idx="590">
                  <c:v>-57.290527230378203</c:v>
                </c:pt>
                <c:pt idx="591">
                  <c:v>-80.273870877246338</c:v>
                </c:pt>
                <c:pt idx="592">
                  <c:v>-67.125355836434736</c:v>
                </c:pt>
                <c:pt idx="593">
                  <c:v>-79.313515462502977</c:v>
                </c:pt>
                <c:pt idx="594">
                  <c:v>-59.059460819075575</c:v>
                </c:pt>
                <c:pt idx="595">
                  <c:v>-56.417217592233428</c:v>
                </c:pt>
                <c:pt idx="596">
                  <c:v>-61.577462275280993</c:v>
                </c:pt>
                <c:pt idx="597">
                  <c:v>-59.015534301792059</c:v>
                </c:pt>
                <c:pt idx="598">
                  <c:v>-75.229330908917234</c:v>
                </c:pt>
                <c:pt idx="599">
                  <c:v>-66.70782023780832</c:v>
                </c:pt>
                <c:pt idx="600">
                  <c:v>-68.616757051431961</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91.418746440069725</c:v>
                </c:pt>
                <c:pt idx="1">
                  <c:v>91.300820965214996</c:v>
                </c:pt>
                <c:pt idx="2">
                  <c:v>91.193940340152139</c:v>
                </c:pt>
                <c:pt idx="3">
                  <c:v>91.097193169811362</c:v>
                </c:pt>
                <c:pt idx="4">
                  <c:v>91.009810081711876</c:v>
                </c:pt>
                <c:pt idx="5">
                  <c:v>90.930907152521357</c:v>
                </c:pt>
                <c:pt idx="6">
                  <c:v>90.859934276310469</c:v>
                </c:pt>
                <c:pt idx="7">
                  <c:v>90.796240233478699</c:v>
                </c:pt>
                <c:pt idx="8">
                  <c:v>90.739329161456823</c:v>
                </c:pt>
                <c:pt idx="9">
                  <c:v>90.688673612954787</c:v>
                </c:pt>
                <c:pt idx="10">
                  <c:v>90.643873787061722</c:v>
                </c:pt>
                <c:pt idx="11">
                  <c:v>90.604540391107619</c:v>
                </c:pt>
                <c:pt idx="12">
                  <c:v>90.570321658027751</c:v>
                </c:pt>
                <c:pt idx="13">
                  <c:v>90.5409598162029</c:v>
                </c:pt>
                <c:pt idx="14">
                  <c:v>90.516180693362131</c:v>
                </c:pt>
                <c:pt idx="15">
                  <c:v>90.495785038874473</c:v>
                </c:pt>
                <c:pt idx="16">
                  <c:v>90.47959756168693</c:v>
                </c:pt>
                <c:pt idx="17">
                  <c:v>90.46748231269838</c:v>
                </c:pt>
                <c:pt idx="18">
                  <c:v>90.459332975290579</c:v>
                </c:pt>
                <c:pt idx="19">
                  <c:v>90.45508273510238</c:v>
                </c:pt>
                <c:pt idx="20">
                  <c:v>90.454694384511896</c:v>
                </c:pt>
                <c:pt idx="21">
                  <c:v>90.458164361697371</c:v>
                </c:pt>
                <c:pt idx="22">
                  <c:v>90.465522515723578</c:v>
                </c:pt>
                <c:pt idx="23">
                  <c:v>90.476828835775279</c:v>
                </c:pt>
                <c:pt idx="24">
                  <c:v>90.492181450839496</c:v>
                </c:pt>
                <c:pt idx="25">
                  <c:v>90.511707985764531</c:v>
                </c:pt>
                <c:pt idx="26">
                  <c:v>90.53557873444656</c:v>
                </c:pt>
                <c:pt idx="27">
                  <c:v>90.563987805718256</c:v>
                </c:pt>
                <c:pt idx="28">
                  <c:v>90.597174159683377</c:v>
                </c:pt>
                <c:pt idx="29">
                  <c:v>90.635390321398745</c:v>
                </c:pt>
                <c:pt idx="30">
                  <c:v>90.679024222064456</c:v>
                </c:pt>
                <c:pt idx="31">
                  <c:v>90.728385117723903</c:v>
                </c:pt>
                <c:pt idx="32">
                  <c:v>90.783918230479429</c:v>
                </c:pt>
                <c:pt idx="33">
                  <c:v>90.846045204766341</c:v>
                </c:pt>
                <c:pt idx="34">
                  <c:v>90.915329224126694</c:v>
                </c:pt>
                <c:pt idx="35">
                  <c:v>90.992305484718628</c:v>
                </c:pt>
                <c:pt idx="36">
                  <c:v>91.077615795165698</c:v>
                </c:pt>
                <c:pt idx="37">
                  <c:v>91.172009460388082</c:v>
                </c:pt>
                <c:pt idx="38">
                  <c:v>91.276162803353756</c:v>
                </c:pt>
                <c:pt idx="39">
                  <c:v>91.39099639163922</c:v>
                </c:pt>
                <c:pt idx="40">
                  <c:v>91.517386187633903</c:v>
                </c:pt>
                <c:pt idx="41">
                  <c:v>91.65633734397494</c:v>
                </c:pt>
                <c:pt idx="42">
                  <c:v>91.808905946381032</c:v>
                </c:pt>
                <c:pt idx="43">
                  <c:v>91.976299204803126</c:v>
                </c:pt>
                <c:pt idx="44">
                  <c:v>92.159719499135434</c:v>
                </c:pt>
                <c:pt idx="45">
                  <c:v>92.360531176958347</c:v>
                </c:pt>
                <c:pt idx="46">
                  <c:v>92.580097082805949</c:v>
                </c:pt>
                <c:pt idx="47">
                  <c:v>92.819934993402498</c:v>
                </c:pt>
                <c:pt idx="48">
                  <c:v>93.081506212065094</c:v>
                </c:pt>
                <c:pt idx="49">
                  <c:v>93.366426299193819</c:v>
                </c:pt>
                <c:pt idx="50">
                  <c:v>93.676198553846802</c:v>
                </c:pt>
                <c:pt idx="51">
                  <c:v>94.012395616254764</c:v>
                </c:pt>
                <c:pt idx="52">
                  <c:v>94.376295729056451</c:v>
                </c:pt>
                <c:pt idx="53">
                  <c:v>94.769093493109438</c:v>
                </c:pt>
                <c:pt idx="54">
                  <c:v>95.19140075684669</c:v>
                </c:pt>
                <c:pt idx="55">
                  <c:v>95.644405090746318</c:v>
                </c:pt>
                <c:pt idx="56">
                  <c:v>96.127366241347801</c:v>
                </c:pt>
                <c:pt idx="57">
                  <c:v>96.639679199350937</c:v>
                </c:pt>
                <c:pt idx="58">
                  <c:v>97.179020840177543</c:v>
                </c:pt>
                <c:pt idx="59">
                  <c:v>97.742562376446244</c:v>
                </c:pt>
                <c:pt idx="60">
                  <c:v>98.325176746547939</c:v>
                </c:pt>
                <c:pt idx="61">
                  <c:v>98.9202672306849</c:v>
                </c:pt>
                <c:pt idx="62">
                  <c:v>99.519343176739071</c:v>
                </c:pt>
                <c:pt idx="63">
                  <c:v>100.11067168236075</c:v>
                </c:pt>
                <c:pt idx="64">
                  <c:v>100.6811044565279</c:v>
                </c:pt>
                <c:pt idx="65">
                  <c:v>101.21437205996284</c:v>
                </c:pt>
                <c:pt idx="66">
                  <c:v>101.69229914168181</c:v>
                </c:pt>
                <c:pt idx="67">
                  <c:v>102.09491284366995</c:v>
                </c:pt>
                <c:pt idx="68">
                  <c:v>102.40143942344429</c:v>
                </c:pt>
                <c:pt idx="69">
                  <c:v>102.59088933087224</c:v>
                </c:pt>
                <c:pt idx="70">
                  <c:v>102.64349813550497</c:v>
                </c:pt>
                <c:pt idx="71">
                  <c:v>102.54171698448053</c:v>
                </c:pt>
                <c:pt idx="72">
                  <c:v>102.27132017108877</c:v>
                </c:pt>
                <c:pt idx="73">
                  <c:v>101.82237271861773</c:v>
                </c:pt>
                <c:pt idx="74">
                  <c:v>101.18945357208803</c:v>
                </c:pt>
                <c:pt idx="75">
                  <c:v>100.37210807784069</c:v>
                </c:pt>
                <c:pt idx="76">
                  <c:v>99.373998968856384</c:v>
                </c:pt>
                <c:pt idx="77">
                  <c:v>98.203001688149115</c:v>
                </c:pt>
                <c:pt idx="78">
                  <c:v>96.869344788958557</c:v>
                </c:pt>
                <c:pt idx="79">
                  <c:v>95.385708621225675</c:v>
                </c:pt>
                <c:pt idx="80">
                  <c:v>93.761449319159809</c:v>
                </c:pt>
                <c:pt idx="81">
                  <c:v>92.009811949444313</c:v>
                </c:pt>
                <c:pt idx="82">
                  <c:v>90.139020631178269</c:v>
                </c:pt>
                <c:pt idx="83">
                  <c:v>88.157470180130346</c:v>
                </c:pt>
                <c:pt idx="84">
                  <c:v>86.067962451869079</c:v>
                </c:pt>
                <c:pt idx="85">
                  <c:v>83.87310939165674</c:v>
                </c:pt>
                <c:pt idx="86">
                  <c:v>81.571278474614004</c:v>
                </c:pt>
                <c:pt idx="87">
                  <c:v>79.157233655682191</c:v>
                </c:pt>
                <c:pt idx="88">
                  <c:v>76.627077645523215</c:v>
                </c:pt>
                <c:pt idx="89">
                  <c:v>73.970719885132382</c:v>
                </c:pt>
                <c:pt idx="90">
                  <c:v>71.179587676421917</c:v>
                </c:pt>
                <c:pt idx="91">
                  <c:v>68.242928646013752</c:v>
                </c:pt>
                <c:pt idx="92">
                  <c:v>65.150127862478001</c:v>
                </c:pt>
                <c:pt idx="93">
                  <c:v>61.889162645724809</c:v>
                </c:pt>
                <c:pt idx="94">
                  <c:v>61.046797931411589</c:v>
                </c:pt>
                <c:pt idx="95">
                  <c:v>60.618743179450803</c:v>
                </c:pt>
                <c:pt idx="96">
                  <c:v>60.192756211436816</c:v>
                </c:pt>
                <c:pt idx="97">
                  <c:v>59.758999174113697</c:v>
                </c:pt>
                <c:pt idx="98">
                  <c:v>59.32733656799013</c:v>
                </c:pt>
                <c:pt idx="99">
                  <c:v>58.887690500071756</c:v>
                </c:pt>
                <c:pt idx="100">
                  <c:v>58.450168445948634</c:v>
                </c:pt>
                <c:pt idx="101">
                  <c:v>58.004789638058753</c:v>
                </c:pt>
                <c:pt idx="102">
                  <c:v>57.561564129425619</c:v>
                </c:pt>
                <c:pt idx="103">
                  <c:v>57.109950726710181</c:v>
                </c:pt>
                <c:pt idx="104">
                  <c:v>56.660526020596635</c:v>
                </c:pt>
                <c:pt idx="105">
                  <c:v>56.202850734996147</c:v>
                </c:pt>
                <c:pt idx="106">
                  <c:v>55.747399197894751</c:v>
                </c:pt>
                <c:pt idx="107">
                  <c:v>55.283833351684493</c:v>
                </c:pt>
                <c:pt idx="108">
                  <c:v>54.822526016101918</c:v>
                </c:pt>
                <c:pt idx="109">
                  <c:v>54.352920770767625</c:v>
                </c:pt>
                <c:pt idx="110">
                  <c:v>53.885611647143236</c:v>
                </c:pt>
                <c:pt idx="111">
                  <c:v>53.409513677756294</c:v>
                </c:pt>
                <c:pt idx="112">
                  <c:v>52.935755296095991</c:v>
                </c:pt>
                <c:pt idx="113">
                  <c:v>52.453360191251662</c:v>
                </c:pt>
                <c:pt idx="114">
                  <c:v>51.973347671970743</c:v>
                </c:pt>
                <c:pt idx="115">
                  <c:v>51.484539980176891</c:v>
                </c:pt>
                <c:pt idx="116">
                  <c:v>50.998160454765355</c:v>
                </c:pt>
                <c:pt idx="117">
                  <c:v>50.50283555288982</c:v>
                </c:pt>
                <c:pt idx="118">
                  <c:v>50.009986872257144</c:v>
                </c:pt>
                <c:pt idx="119">
                  <c:v>49.508354204354532</c:v>
                </c:pt>
                <c:pt idx="120">
                  <c:v>49.009245123920039</c:v>
                </c:pt>
                <c:pt idx="121">
                  <c:v>48.501211920796095</c:v>
                </c:pt>
                <c:pt idx="122">
                  <c:v>47.995751947259436</c:v>
                </c:pt>
                <c:pt idx="123">
                  <c:v>47.480938310334039</c:v>
                </c:pt>
                <c:pt idx="124">
                  <c:v>46.968752689904221</c:v>
                </c:pt>
                <c:pt idx="125">
                  <c:v>46.447389383366612</c:v>
                </c:pt>
                <c:pt idx="126">
                  <c:v>45.928707763198418</c:v>
                </c:pt>
                <c:pt idx="127">
                  <c:v>45.40073166978587</c:v>
                </c:pt>
                <c:pt idx="128">
                  <c:v>44.875492701572398</c:v>
                </c:pt>
                <c:pt idx="129">
                  <c:v>44.340849897651935</c:v>
                </c:pt>
                <c:pt idx="130">
                  <c:v>43.809001224323964</c:v>
                </c:pt>
                <c:pt idx="131">
                  <c:v>43.267646560638354</c:v>
                </c:pt>
                <c:pt idx="132">
                  <c:v>42.998041157710134</c:v>
                </c:pt>
                <c:pt idx="133">
                  <c:v>42.72914437933656</c:v>
                </c:pt>
                <c:pt idx="134">
                  <c:v>42.454584908519024</c:v>
                </c:pt>
                <c:pt idx="135">
                  <c:v>42.180758806676437</c:v>
                </c:pt>
                <c:pt idx="136">
                  <c:v>41.9076614246828</c:v>
                </c:pt>
                <c:pt idx="137">
                  <c:v>41.635288164392165</c:v>
                </c:pt>
                <c:pt idx="138">
                  <c:v>41.357475219736784</c:v>
                </c:pt>
                <c:pt idx="139">
                  <c:v>41.080410079348837</c:v>
                </c:pt>
                <c:pt idx="140">
                  <c:v>40.804087980058966</c:v>
                </c:pt>
                <c:pt idx="141">
                  <c:v>40.528504207848528</c:v>
                </c:pt>
                <c:pt idx="142">
                  <c:v>40.247145327145319</c:v>
                </c:pt>
                <c:pt idx="143">
                  <c:v>39.966550358920415</c:v>
                </c:pt>
                <c:pt idx="144">
                  <c:v>39.686714396142577</c:v>
                </c:pt>
                <c:pt idx="145">
                  <c:v>39.407632579414241</c:v>
                </c:pt>
                <c:pt idx="146">
                  <c:v>39.122861610054969</c:v>
                </c:pt>
                <c:pt idx="147">
                  <c:v>38.838869984073796</c:v>
                </c:pt>
                <c:pt idx="148">
                  <c:v>38.555652642072573</c:v>
                </c:pt>
                <c:pt idx="149">
                  <c:v>38.273204570806115</c:v>
                </c:pt>
                <c:pt idx="150">
                  <c:v>37.985016883080817</c:v>
                </c:pt>
                <c:pt idx="151">
                  <c:v>37.697623975764998</c:v>
                </c:pt>
                <c:pt idx="152">
                  <c:v>37.411020620964564</c:v>
                </c:pt>
                <c:pt idx="153">
                  <c:v>37.125201635608448</c:v>
                </c:pt>
                <c:pt idx="154">
                  <c:v>36.833461250861149</c:v>
                </c:pt>
                <c:pt idx="155">
                  <c:v>36.542531749607832</c:v>
                </c:pt>
                <c:pt idx="156">
                  <c:v>36.252407711593747</c:v>
                </c:pt>
                <c:pt idx="157">
                  <c:v>35.963083760311491</c:v>
                </c:pt>
                <c:pt idx="158">
                  <c:v>35.667795435338974</c:v>
                </c:pt>
                <c:pt idx="159">
                  <c:v>35.373333915495351</c:v>
                </c:pt>
                <c:pt idx="160">
                  <c:v>35.079693571392795</c:v>
                </c:pt>
                <c:pt idx="161">
                  <c:v>34.786868816495428</c:v>
                </c:pt>
                <c:pt idx="162">
                  <c:v>34.488170187918882</c:v>
                </c:pt>
                <c:pt idx="163">
                  <c:v>34.190313273034718</c:v>
                </c:pt>
                <c:pt idx="164">
                  <c:v>33.893292224038532</c:v>
                </c:pt>
                <c:pt idx="165">
                  <c:v>33.597101235210886</c:v>
                </c:pt>
                <c:pt idx="166">
                  <c:v>33.294736684031506</c:v>
                </c:pt>
                <c:pt idx="167">
                  <c:v>32.993229865171998</c:v>
                </c:pt>
                <c:pt idx="168">
                  <c:v>32.692574679895813</c:v>
                </c:pt>
                <c:pt idx="169">
                  <c:v>32.39276507115693</c:v>
                </c:pt>
                <c:pt idx="170">
                  <c:v>32.087388513552611</c:v>
                </c:pt>
                <c:pt idx="171">
                  <c:v>31.782881566168783</c:v>
                </c:pt>
                <c:pt idx="172">
                  <c:v>31.479237901849785</c:v>
                </c:pt>
                <c:pt idx="173">
                  <c:v>31.176451234622391</c:v>
                </c:pt>
                <c:pt idx="174">
                  <c:v>30.866914428816273</c:v>
                </c:pt>
                <c:pt idx="175">
                  <c:v>30.558265123059186</c:v>
                </c:pt>
                <c:pt idx="176">
                  <c:v>30.250496672629907</c:v>
                </c:pt>
                <c:pt idx="177">
                  <c:v>29.943602474356283</c:v>
                </c:pt>
                <c:pt idx="178">
                  <c:v>29.630061598832725</c:v>
                </c:pt>
                <c:pt idx="179">
                  <c:v>29.317424595779414</c:v>
                </c:pt>
                <c:pt idx="180">
                  <c:v>29.005684492881841</c:v>
                </c:pt>
                <c:pt idx="181">
                  <c:v>28.694834359927142</c:v>
                </c:pt>
                <c:pt idx="182">
                  <c:v>28.378676927261068</c:v>
                </c:pt>
                <c:pt idx="183">
                  <c:v>28.063430984997325</c:v>
                </c:pt>
                <c:pt idx="184">
                  <c:v>27.74908930891084</c:v>
                </c:pt>
                <c:pt idx="185">
                  <c:v>27.435644716970643</c:v>
                </c:pt>
                <c:pt idx="186">
                  <c:v>27.11452261952499</c:v>
                </c:pt>
                <c:pt idx="187">
                  <c:v>26.794332295932037</c:v>
                </c:pt>
                <c:pt idx="188">
                  <c:v>26.475066090607953</c:v>
                </c:pt>
                <c:pt idx="189">
                  <c:v>26.156716391807095</c:v>
                </c:pt>
                <c:pt idx="190">
                  <c:v>25.833226390378115</c:v>
                </c:pt>
                <c:pt idx="191">
                  <c:v>25.510672385370356</c:v>
                </c:pt>
                <c:pt idx="192">
                  <c:v>25.189046456898467</c:v>
                </c:pt>
                <c:pt idx="193">
                  <c:v>24.868340729441826</c:v>
                </c:pt>
                <c:pt idx="194">
                  <c:v>24.540175478244691</c:v>
                </c:pt>
                <c:pt idx="195">
                  <c:v>24.21296264622265</c:v>
                </c:pt>
                <c:pt idx="196">
                  <c:v>23.886693863553177</c:v>
                </c:pt>
                <c:pt idx="197">
                  <c:v>23.561360806863831</c:v>
                </c:pt>
                <c:pt idx="198">
                  <c:v>23.229861740912042</c:v>
                </c:pt>
                <c:pt idx="199">
                  <c:v>22.899322401941248</c:v>
                </c:pt>
                <c:pt idx="200">
                  <c:v>22.569734054106306</c:v>
                </c:pt>
                <c:pt idx="201">
                  <c:v>22.241088009638133</c:v>
                </c:pt>
                <c:pt idx="202">
                  <c:v>21.906363374526734</c:v>
                </c:pt>
                <c:pt idx="203">
                  <c:v>21.572603688358356</c:v>
                </c:pt>
                <c:pt idx="204">
                  <c:v>21.239799844436646</c:v>
                </c:pt>
                <c:pt idx="205">
                  <c:v>20.907942785963769</c:v>
                </c:pt>
                <c:pt idx="206">
                  <c:v>20.568935763834816</c:v>
                </c:pt>
                <c:pt idx="207">
                  <c:v>20.230903354855741</c:v>
                </c:pt>
                <c:pt idx="208">
                  <c:v>19.893835980153767</c:v>
                </c:pt>
                <c:pt idx="209">
                  <c:v>19.557724113465866</c:v>
                </c:pt>
                <c:pt idx="210">
                  <c:v>19.213420173401886</c:v>
                </c:pt>
                <c:pt idx="211">
                  <c:v>18.870104418216158</c:v>
                </c:pt>
                <c:pt idx="212">
                  <c:v>18.527766689717254</c:v>
                </c:pt>
                <c:pt idx="213">
                  <c:v>18.186396885949904</c:v>
                </c:pt>
                <c:pt idx="214">
                  <c:v>17.839209009657708</c:v>
                </c:pt>
                <c:pt idx="215">
                  <c:v>17.493006980451156</c:v>
                </c:pt>
                <c:pt idx="216">
                  <c:v>17.147780257398267</c:v>
                </c:pt>
                <c:pt idx="217">
                  <c:v>16.803518358088382</c:v>
                </c:pt>
                <c:pt idx="218">
                  <c:v>16.452394047018174</c:v>
                </c:pt>
                <c:pt idx="219">
                  <c:v>16.102257062990788</c:v>
                </c:pt>
                <c:pt idx="220">
                  <c:v>15.753096376477401</c:v>
                </c:pt>
                <c:pt idx="221">
                  <c:v>15.404901019603528</c:v>
                </c:pt>
                <c:pt idx="222">
                  <c:v>15.049929837849646</c:v>
                </c:pt>
                <c:pt idx="223">
                  <c:v>14.69594452013385</c:v>
                </c:pt>
                <c:pt idx="224">
                  <c:v>14.34293354466331</c:v>
                </c:pt>
                <c:pt idx="225">
                  <c:v>13.990885454490865</c:v>
                </c:pt>
                <c:pt idx="226">
                  <c:v>13.631050840234565</c:v>
                </c:pt>
                <c:pt idx="227">
                  <c:v>13.272203539685052</c:v>
                </c:pt>
                <c:pt idx="228">
                  <c:v>12.914331425815703</c:v>
                </c:pt>
                <c:pt idx="229">
                  <c:v>12.557422440461522</c:v>
                </c:pt>
                <c:pt idx="230">
                  <c:v>11.829204361237828</c:v>
                </c:pt>
                <c:pt idx="231">
                  <c:v>11.466560299491874</c:v>
                </c:pt>
                <c:pt idx="232">
                  <c:v>11.104875977161868</c:v>
                </c:pt>
                <c:pt idx="233">
                  <c:v>10.735586712556824</c:v>
                </c:pt>
                <c:pt idx="234">
                  <c:v>10.367276660775644</c:v>
                </c:pt>
                <c:pt idx="235">
                  <c:v>9.9999324644659566</c:v>
                </c:pt>
                <c:pt idx="236">
                  <c:v>9.6335408430211942</c:v>
                </c:pt>
                <c:pt idx="237">
                  <c:v>9.2606832500931375</c:v>
                </c:pt>
                <c:pt idx="238">
                  <c:v>8.8887895893823554</c:v>
                </c:pt>
                <c:pt idx="239">
                  <c:v>8.5178459970354652</c:v>
                </c:pt>
                <c:pt idx="240">
                  <c:v>8.1478386887423824</c:v>
                </c:pt>
                <c:pt idx="241">
                  <c:v>7.7693291084183045</c:v>
                </c:pt>
                <c:pt idx="242">
                  <c:v>7.3917751880438516</c:v>
                </c:pt>
                <c:pt idx="243">
                  <c:v>7.0151623133442627</c:v>
                </c:pt>
                <c:pt idx="244">
                  <c:v>6.6394759539212487</c:v>
                </c:pt>
                <c:pt idx="245">
                  <c:v>6.2564066348874121</c:v>
                </c:pt>
                <c:pt idx="246">
                  <c:v>5.8742749146136646</c:v>
                </c:pt>
                <c:pt idx="247">
                  <c:v>5.4930655399610657</c:v>
                </c:pt>
                <c:pt idx="248">
                  <c:v>5.1127633447004541</c:v>
                </c:pt>
                <c:pt idx="249">
                  <c:v>4.724110361553187</c:v>
                </c:pt>
                <c:pt idx="250">
                  <c:v>4.3363774062521827</c:v>
                </c:pt>
                <c:pt idx="251">
                  <c:v>3.9495484514226007</c:v>
                </c:pt>
                <c:pt idx="252">
                  <c:v>3.5636075600855861</c:v>
                </c:pt>
                <c:pt idx="253">
                  <c:v>3.1703985929425187</c:v>
                </c:pt>
                <c:pt idx="254">
                  <c:v>2.7780823702813393</c:v>
                </c:pt>
                <c:pt idx="255">
                  <c:v>2.3866422046784237</c:v>
                </c:pt>
                <c:pt idx="256">
                  <c:v>1.9960615010253946</c:v>
                </c:pt>
                <c:pt idx="257">
                  <c:v>1.5962379767261439</c:v>
                </c:pt>
                <c:pt idx="258">
                  <c:v>1.1972839298527447</c:v>
                </c:pt>
                <c:pt idx="259">
                  <c:v>0.79918173460654884</c:v>
                </c:pt>
                <c:pt idx="260">
                  <c:v>0.40191386058512535</c:v>
                </c:pt>
                <c:pt idx="261">
                  <c:v>-3.5380210689481828E-3</c:v>
                </c:pt>
                <c:pt idx="262">
                  <c:v>-0.40815401828558606</c:v>
                </c:pt>
                <c:pt idx="263">
                  <c:v>-0.81195258595505493</c:v>
                </c:pt>
                <c:pt idx="264">
                  <c:v>-1.2149520823728324</c:v>
                </c:pt>
                <c:pt idx="265">
                  <c:v>-1.6261002351645004</c:v>
                </c:pt>
                <c:pt idx="266">
                  <c:v>-2.0364519003699968</c:v>
                </c:pt>
                <c:pt idx="267">
                  <c:v>-2.4460263875466808</c:v>
                </c:pt>
                <c:pt idx="268">
                  <c:v>-2.8548429095364725</c:v>
                </c:pt>
                <c:pt idx="269">
                  <c:v>-3.2727685535241733</c:v>
                </c:pt>
                <c:pt idx="270">
                  <c:v>-3.6899396633052959</c:v>
                </c:pt>
                <c:pt idx="271">
                  <c:v>-4.1063765770631449</c:v>
                </c:pt>
                <c:pt idx="272">
                  <c:v>-4.5220995364927319</c:v>
                </c:pt>
                <c:pt idx="273">
                  <c:v>-4.9469089015597945</c:v>
                </c:pt>
                <c:pt idx="274">
                  <c:v>-5.3710128549265619</c:v>
                </c:pt>
                <c:pt idx="275">
                  <c:v>-5.7944328069683593</c:v>
                </c:pt>
                <c:pt idx="276">
                  <c:v>-6.2171900733209498</c:v>
                </c:pt>
                <c:pt idx="277">
                  <c:v>-6.6480527930475262</c:v>
                </c:pt>
                <c:pt idx="278">
                  <c:v>-7.0782696461952241</c:v>
                </c:pt>
                <c:pt idx="279">
                  <c:v>-7.5078630151687094</c:v>
                </c:pt>
                <c:pt idx="280">
                  <c:v>-7.9368551919339723</c:v>
                </c:pt>
                <c:pt idx="281">
                  <c:v>-8.3768654069645834</c:v>
                </c:pt>
                <c:pt idx="282">
                  <c:v>-8.8162888079497748</c:v>
                </c:pt>
                <c:pt idx="283">
                  <c:v>-9.2551492708021499</c:v>
                </c:pt>
                <c:pt idx="284">
                  <c:v>-9.6934705848916849</c:v>
                </c:pt>
                <c:pt idx="285">
                  <c:v>-10.139931314915458</c:v>
                </c:pt>
                <c:pt idx="286">
                  <c:v>-10.58588106561146</c:v>
                </c:pt>
                <c:pt idx="287">
                  <c:v>-11.031344811112263</c:v>
                </c:pt>
                <c:pt idx="288">
                  <c:v>-11.476347447469635</c:v>
                </c:pt>
                <c:pt idx="289">
                  <c:v>-11.932405636452046</c:v>
                </c:pt>
                <c:pt idx="290">
                  <c:v>-12.388031400557139</c:v>
                </c:pt>
                <c:pt idx="291">
                  <c:v>-12.843251387446713</c:v>
                </c:pt>
                <c:pt idx="292">
                  <c:v>-13.298092175720171</c:v>
                </c:pt>
                <c:pt idx="293">
                  <c:v>-13.763079197327613</c:v>
                </c:pt>
                <c:pt idx="294">
                  <c:v>-14.227725374661475</c:v>
                </c:pt>
                <c:pt idx="295">
                  <c:v>-14.692058976073611</c:v>
                </c:pt>
                <c:pt idx="296">
                  <c:v>-15.15610821354457</c:v>
                </c:pt>
                <c:pt idx="297">
                  <c:v>-15.630374325688507</c:v>
                </c:pt>
                <c:pt idx="298">
                  <c:v>-16.104402591162341</c:v>
                </c:pt>
                <c:pt idx="299">
                  <c:v>-16.57822302582548</c:v>
                </c:pt>
                <c:pt idx="300">
                  <c:v>-17.051865605122629</c:v>
                </c:pt>
                <c:pt idx="301">
                  <c:v>-17.535817544806633</c:v>
                </c:pt>
                <c:pt idx="302">
                  <c:v>-18.019646899080669</c:v>
                </c:pt>
                <c:pt idx="303">
                  <c:v>-18.503385577517207</c:v>
                </c:pt>
                <c:pt idx="304">
                  <c:v>-18.987065468752604</c:v>
                </c:pt>
                <c:pt idx="305">
                  <c:v>-19.483071005615471</c:v>
                </c:pt>
                <c:pt idx="306">
                  <c:v>-19.979082604651722</c:v>
                </c:pt>
                <c:pt idx="307">
                  <c:v>-20.475134630116884</c:v>
                </c:pt>
                <c:pt idx="308">
                  <c:v>-20.971261448620254</c:v>
                </c:pt>
                <c:pt idx="309">
                  <c:v>-21.477955939333526</c:v>
                </c:pt>
                <c:pt idx="310">
                  <c:v>-21.984800858568292</c:v>
                </c:pt>
                <c:pt idx="311">
                  <c:v>-22.491832840145719</c:v>
                </c:pt>
                <c:pt idx="312">
                  <c:v>-22.99908854781728</c:v>
                </c:pt>
                <c:pt idx="313">
                  <c:v>-23.518986687332102</c:v>
                </c:pt>
                <c:pt idx="314">
                  <c:v>-24.039197611225205</c:v>
                </c:pt>
                <c:pt idx="315">
                  <c:v>-24.559760873607189</c:v>
                </c:pt>
                <c:pt idx="316">
                  <c:v>-25.080716090950745</c:v>
                </c:pt>
                <c:pt idx="317">
                  <c:v>-25.614522509788998</c:v>
                </c:pt>
                <c:pt idx="318">
                  <c:v>-26.148824040969231</c:v>
                </c:pt>
                <c:pt idx="319">
                  <c:v>-26.68366344845964</c:v>
                </c:pt>
                <c:pt idx="320">
                  <c:v>-27.219083595818091</c:v>
                </c:pt>
                <c:pt idx="321">
                  <c:v>-27.767601356514092</c:v>
                </c:pt>
                <c:pt idx="322">
                  <c:v>-28.316818338201244</c:v>
                </c:pt>
                <c:pt idx="323">
                  <c:v>-28.866780837189424</c:v>
                </c:pt>
                <c:pt idx="324">
                  <c:v>-29.417535290972353</c:v>
                </c:pt>
                <c:pt idx="325">
                  <c:v>-29.981674601611871</c:v>
                </c:pt>
                <c:pt idx="326">
                  <c:v>-30.54674100674589</c:v>
                </c:pt>
                <c:pt idx="327">
                  <c:v>-31.112784689196076</c:v>
                </c:pt>
                <c:pt idx="328">
                  <c:v>-31.679856017969456</c:v>
                </c:pt>
                <c:pt idx="329">
                  <c:v>-32.261615926160744</c:v>
                </c:pt>
                <c:pt idx="330">
                  <c:v>-32.844560765901093</c:v>
                </c:pt>
                <c:pt idx="331">
                  <c:v>-33.428745262587029</c:v>
                </c:pt>
                <c:pt idx="332">
                  <c:v>-34.014224376054898</c:v>
                </c:pt>
                <c:pt idx="333">
                  <c:v>-34.613804539396341</c:v>
                </c:pt>
                <c:pt idx="334">
                  <c:v>-35.214852886061095</c:v>
                </c:pt>
                <c:pt idx="335">
                  <c:v>-35.817428830298041</c:v>
                </c:pt>
                <c:pt idx="336">
                  <c:v>-36.421592066546424</c:v>
                </c:pt>
                <c:pt idx="337">
                  <c:v>-37.042272062799015</c:v>
                </c:pt>
                <c:pt idx="338">
                  <c:v>-37.664745882596804</c:v>
                </c:pt>
                <c:pt idx="339">
                  <c:v>-38.289078660446734</c:v>
                </c:pt>
                <c:pt idx="340">
                  <c:v>-38.91533585511678</c:v>
                </c:pt>
                <c:pt idx="341">
                  <c:v>-39.558638014634511</c:v>
                </c:pt>
                <c:pt idx="342">
                  <c:v>-40.204097715469373</c:v>
                </c:pt>
                <c:pt idx="343">
                  <c:v>-40.851786290226698</c:v>
                </c:pt>
                <c:pt idx="344">
                  <c:v>-41.501775427625063</c:v>
                </c:pt>
                <c:pt idx="345">
                  <c:v>-42.168390102556202</c:v>
                </c:pt>
                <c:pt idx="346">
                  <c:v>-42.837559221904428</c:v>
                </c:pt>
                <c:pt idx="347">
                  <c:v>-43.509360390016866</c:v>
                </c:pt>
                <c:pt idx="348">
                  <c:v>-44.183871573507361</c:v>
                </c:pt>
                <c:pt idx="349">
                  <c:v>-44.877726086076706</c:v>
                </c:pt>
                <c:pt idx="350">
                  <c:v>-45.574591163721038</c:v>
                </c:pt>
                <c:pt idx="351">
                  <c:v>-46.274551715718189</c:v>
                </c:pt>
                <c:pt idx="352">
                  <c:v>-46.977692984126008</c:v>
                </c:pt>
                <c:pt idx="353">
                  <c:v>-47.700960262302402</c:v>
                </c:pt>
                <c:pt idx="354">
                  <c:v>-48.427743312163557</c:v>
                </c:pt>
                <c:pt idx="355">
                  <c:v>-49.158134524686602</c:v>
                </c:pt>
                <c:pt idx="356">
                  <c:v>-49.892226529180419</c:v>
                </c:pt>
                <c:pt idx="357">
                  <c:v>-50.646242727976386</c:v>
                </c:pt>
                <c:pt idx="358">
                  <c:v>-51.40431895872851</c:v>
                </c:pt>
                <c:pt idx="359">
                  <c:v>-52.166554518827638</c:v>
                </c:pt>
                <c:pt idx="360">
                  <c:v>-52.933048749258234</c:v>
                </c:pt>
                <c:pt idx="361">
                  <c:v>-53.722596569832803</c:v>
                </c:pt>
                <c:pt idx="362">
                  <c:v>-54.516822283125521</c:v>
                </c:pt>
                <c:pt idx="363">
                  <c:v>-55.315832276504551</c:v>
                </c:pt>
                <c:pt idx="364">
                  <c:v>-56.119732637967502</c:v>
                </c:pt>
                <c:pt idx="365">
                  <c:v>-56.946662076533471</c:v>
                </c:pt>
                <c:pt idx="366">
                  <c:v>-57.778924396859537</c:v>
                </c:pt>
                <c:pt idx="367">
                  <c:v>-58.616631211107205</c:v>
                </c:pt>
                <c:pt idx="368">
                  <c:v>-59.459893274705138</c:v>
                </c:pt>
                <c:pt idx="369">
                  <c:v>-60.329654017318035</c:v>
                </c:pt>
                <c:pt idx="370">
                  <c:v>-61.205476919176078</c:v>
                </c:pt>
                <c:pt idx="371">
                  <c:v>-62.087477163461159</c:v>
                </c:pt>
                <c:pt idx="372">
                  <c:v>-62.975768202169576</c:v>
                </c:pt>
                <c:pt idx="373">
                  <c:v>-63.890708309326328</c:v>
                </c:pt>
                <c:pt idx="374">
                  <c:v>-64.812459448924216</c:v>
                </c:pt>
                <c:pt idx="375">
                  <c:v>-65.741135718719107</c:v>
                </c:pt>
                <c:pt idx="376">
                  <c:v>-66.676848198238162</c:v>
                </c:pt>
                <c:pt idx="377">
                  <c:v>-67.64303082502218</c:v>
                </c:pt>
                <c:pt idx="378">
                  <c:v>-68.616825698759044</c:v>
                </c:pt>
                <c:pt idx="379">
                  <c:v>-69.598340227131047</c:v>
                </c:pt>
                <c:pt idx="380">
                  <c:v>-70.587676921210061</c:v>
                </c:pt>
                <c:pt idx="381">
                  <c:v>-71.606480619593071</c:v>
                </c:pt>
                <c:pt idx="382">
                  <c:v>-72.63364544840087</c:v>
                </c:pt>
                <c:pt idx="383">
                  <c:v>-73.669261868106958</c:v>
                </c:pt>
                <c:pt idx="384">
                  <c:v>-74.713412926437428</c:v>
                </c:pt>
                <c:pt idx="385">
                  <c:v>-75.792374330442357</c:v>
                </c:pt>
                <c:pt idx="386">
                  <c:v>-76.880448865969868</c:v>
                </c:pt>
                <c:pt idx="387">
                  <c:v>-77.977697821153015</c:v>
                </c:pt>
                <c:pt idx="388">
                  <c:v>-79.084171644699438</c:v>
                </c:pt>
                <c:pt idx="389">
                  <c:v>-80.225651965831844</c:v>
                </c:pt>
                <c:pt idx="390">
                  <c:v>-81.376854912018132</c:v>
                </c:pt>
                <c:pt idx="391">
                  <c:v>-82.537794597368702</c:v>
                </c:pt>
                <c:pt idx="392">
                  <c:v>-83.708470089676609</c:v>
                </c:pt>
                <c:pt idx="393">
                  <c:v>-84.915486014937755</c:v>
                </c:pt>
                <c:pt idx="394">
                  <c:v>-86.132626430385415</c:v>
                </c:pt>
                <c:pt idx="395">
                  <c:v>-87.3598363700861</c:v>
                </c:pt>
                <c:pt idx="396">
                  <c:v>-88.597040999100841</c:v>
                </c:pt>
                <c:pt idx="397">
                  <c:v>-89.87454347755687</c:v>
                </c:pt>
                <c:pt idx="398">
                  <c:v>-91.162305644436742</c:v>
                </c:pt>
                <c:pt idx="399">
                  <c:v>-92.460177272005922</c:v>
                </c:pt>
                <c:pt idx="400">
                  <c:v>-93.767983119643247</c:v>
                </c:pt>
                <c:pt idx="401">
                  <c:v>-95.115374249096362</c:v>
                </c:pt>
                <c:pt idx="402">
                  <c:v>-96.472700038297205</c:v>
                </c:pt>
                <c:pt idx="403">
                  <c:v>-97.839688530236174</c:v>
                </c:pt>
                <c:pt idx="404">
                  <c:v>-99.216038531054721</c:v>
                </c:pt>
                <c:pt idx="405">
                  <c:v>-100.63363524306891</c:v>
                </c:pt>
                <c:pt idx="406">
                  <c:v>-102.06030049511043</c:v>
                </c:pt>
                <c:pt idx="407">
                  <c:v>-103.4956166421303</c:v>
                </c:pt>
                <c:pt idx="408">
                  <c:v>-104.9391346928515</c:v>
                </c:pt>
                <c:pt idx="409">
                  <c:v>-106.42490623975198</c:v>
                </c:pt>
                <c:pt idx="410">
                  <c:v>-107.91822404759642</c:v>
                </c:pt>
                <c:pt idx="411">
                  <c:v>-109.41851007839233</c:v>
                </c:pt>
                <c:pt idx="412">
                  <c:v>-110.92515665558881</c:v>
                </c:pt>
                <c:pt idx="413">
                  <c:v>-112.47265125498438</c:v>
                </c:pt>
                <c:pt idx="414">
                  <c:v>-114.02543099729257</c:v>
                </c:pt>
                <c:pt idx="415">
                  <c:v>-115.58276210739359</c:v>
                </c:pt>
                <c:pt idx="416">
                  <c:v>-117.14388836435774</c:v>
                </c:pt>
                <c:pt idx="417">
                  <c:v>-118.74511425020705</c:v>
                </c:pt>
                <c:pt idx="418">
                  <c:v>-120.34865538990601</c:v>
                </c:pt>
                <c:pt idx="419">
                  <c:v>-121.95364927418211</c:v>
                </c:pt>
                <c:pt idx="420">
                  <c:v>-123.55922413986644</c:v>
                </c:pt>
                <c:pt idx="421">
                  <c:v>54.799977683662803</c:v>
                </c:pt>
                <c:pt idx="422">
                  <c:v>53.160425202216942</c:v>
                </c:pt>
                <c:pt idx="423">
                  <c:v>51.523051384110232</c:v>
                </c:pt>
                <c:pt idx="424">
                  <c:v>49.88878006312197</c:v>
                </c:pt>
                <c:pt idx="425">
                  <c:v>48.218465048142036</c:v>
                </c:pt>
                <c:pt idx="426">
                  <c:v>46.553321867745581</c:v>
                </c:pt>
                <c:pt idx="427">
                  <c:v>44.894284985994545</c:v>
                </c:pt>
                <c:pt idx="428">
                  <c:v>43.242259504510855</c:v>
                </c:pt>
                <c:pt idx="429">
                  <c:v>41.560311353918308</c:v>
                </c:pt>
                <c:pt idx="430">
                  <c:v>39.887506447129908</c:v>
                </c:pt>
                <c:pt idx="431">
                  <c:v>38.224692919033913</c:v>
                </c:pt>
                <c:pt idx="432">
                  <c:v>36.572671045220176</c:v>
                </c:pt>
                <c:pt idx="433">
                  <c:v>34.89536047177279</c:v>
                </c:pt>
                <c:pt idx="434">
                  <c:v>33.230861690984995</c:v>
                </c:pt>
                <c:pt idx="435">
                  <c:v>31.579859909280088</c:v>
                </c:pt>
                <c:pt idx="436">
                  <c:v>29.942979780599728</c:v>
                </c:pt>
                <c:pt idx="437">
                  <c:v>28.282238472110123</c:v>
                </c:pt>
                <c:pt idx="438">
                  <c:v>26.637430016609187</c:v>
                </c:pt>
                <c:pt idx="439">
                  <c:v>25.009026039413641</c:v>
                </c:pt>
                <c:pt idx="440">
                  <c:v>23.397432472423617</c:v>
                </c:pt>
                <c:pt idx="441">
                  <c:v>21.766018284938667</c:v>
                </c:pt>
                <c:pt idx="442">
                  <c:v>20.15286402886818</c:v>
                </c:pt>
                <c:pt idx="443">
                  <c:v>18.558202784259208</c:v>
                </c:pt>
                <c:pt idx="444">
                  <c:v>16.982204831668213</c:v>
                </c:pt>
                <c:pt idx="445">
                  <c:v>15.389715606122763</c:v>
                </c:pt>
                <c:pt idx="446">
                  <c:v>13.816922942477333</c:v>
                </c:pt>
                <c:pt idx="447">
                  <c:v>12.263826658124543</c:v>
                </c:pt>
                <c:pt idx="448">
                  <c:v>10.73037288113099</c:v>
                </c:pt>
                <c:pt idx="449">
                  <c:v>9.180373381644273</c:v>
                </c:pt>
                <c:pt idx="450">
                  <c:v>7.6507008139004142</c:v>
                </c:pt>
                <c:pt idx="451">
                  <c:v>6.1411487380502479</c:v>
                </c:pt>
                <c:pt idx="452">
                  <c:v>4.6514693111254815</c:v>
                </c:pt>
                <c:pt idx="453">
                  <c:v>3.1483858654506491</c:v>
                </c:pt>
                <c:pt idx="454">
                  <c:v>1.6654442933801477</c:v>
                </c:pt>
                <c:pt idx="455">
                  <c:v>0.20227180473963813</c:v>
                </c:pt>
                <c:pt idx="456">
                  <c:v>-1.2415324777219041</c:v>
                </c:pt>
                <c:pt idx="457">
                  <c:v>-2.6999815130550076</c:v>
                </c:pt>
                <c:pt idx="458">
                  <c:v>-4.1390567491998524</c:v>
                </c:pt>
                <c:pt idx="459">
                  <c:v>-5.5592563804793826</c:v>
                </c:pt>
                <c:pt idx="460">
                  <c:v>-6.9610946501657054</c:v>
                </c:pt>
                <c:pt idx="461">
                  <c:v>-8.3769748692569124</c:v>
                </c:pt>
                <c:pt idx="462">
                  <c:v>-9.7747606553922139</c:v>
                </c:pt>
                <c:pt idx="463">
                  <c:v>-11.155036644298121</c:v>
                </c:pt>
                <c:pt idx="464">
                  <c:v>-12.518393676487875</c:v>
                </c:pt>
                <c:pt idx="465">
                  <c:v>-13.896806791670087</c:v>
                </c:pt>
                <c:pt idx="466">
                  <c:v>-15.25876179158098</c:v>
                </c:pt>
                <c:pt idx="467">
                  <c:v>-16.604899340811812</c:v>
                </c:pt>
                <c:pt idx="468">
                  <c:v>-17.935859121067864</c:v>
                </c:pt>
                <c:pt idx="469">
                  <c:v>-19.282260221647476</c:v>
                </c:pt>
                <c:pt idx="470">
                  <c:v>-20.614125771482009</c:v>
                </c:pt>
                <c:pt idx="471">
                  <c:v>-21.932129468853532</c:v>
                </c:pt>
                <c:pt idx="472">
                  <c:v>-23.236939438180286</c:v>
                </c:pt>
                <c:pt idx="473">
                  <c:v>-24.559930185363783</c:v>
                </c:pt>
                <c:pt idx="474">
                  <c:v>-25.87048665125738</c:v>
                </c:pt>
                <c:pt idx="475">
                  <c:v>-27.169304386686889</c:v>
                </c:pt>
                <c:pt idx="476">
                  <c:v>-28.457071051980932</c:v>
                </c:pt>
                <c:pt idx="477">
                  <c:v>-29.764141471996879</c:v>
                </c:pt>
                <c:pt idx="478">
                  <c:v>-31.061070835409083</c:v>
                </c:pt>
                <c:pt idx="479">
                  <c:v>-32.348570409349179</c:v>
                </c:pt>
                <c:pt idx="480">
                  <c:v>-33.627343207445819</c:v>
                </c:pt>
                <c:pt idx="481">
                  <c:v>-34.926958909857291</c:v>
                </c:pt>
                <c:pt idx="482">
                  <c:v>-36.218908299870066</c:v>
                </c:pt>
                <c:pt idx="483">
                  <c:v>-37.503919433405713</c:v>
                </c:pt>
                <c:pt idx="484">
                  <c:v>-38.782713380650847</c:v>
                </c:pt>
                <c:pt idx="485">
                  <c:v>-40.085206735588315</c:v>
                </c:pt>
                <c:pt idx="486">
                  <c:v>-41.382700984416886</c:v>
                </c:pt>
                <c:pt idx="487">
                  <c:v>-42.675950008845092</c:v>
                </c:pt>
                <c:pt idx="488">
                  <c:v>-43.965703317866371</c:v>
                </c:pt>
                <c:pt idx="489">
                  <c:v>-45.283343352866751</c:v>
                </c:pt>
                <c:pt idx="490">
                  <c:v>-46.598899064656024</c:v>
                </c:pt>
                <c:pt idx="491">
                  <c:v>-47.913166694010243</c:v>
                </c:pt>
                <c:pt idx="492">
                  <c:v>-49.226941868072572</c:v>
                </c:pt>
                <c:pt idx="493">
                  <c:v>-50.57161099378942</c:v>
                </c:pt>
                <c:pt idx="494">
                  <c:v>-51.917452746964216</c:v>
                </c:pt>
                <c:pt idx="495">
                  <c:v>-53.265324717003665</c:v>
                </c:pt>
                <c:pt idx="496">
                  <c:v>-54.61608858793781</c:v>
                </c:pt>
                <c:pt idx="497">
                  <c:v>-56.002348066312351</c:v>
                </c:pt>
                <c:pt idx="498">
                  <c:v>-57.393480453305955</c:v>
                </c:pt>
                <c:pt idx="499">
                  <c:v>-58.790430083026735</c:v>
                </c:pt>
                <c:pt idx="500">
                  <c:v>-60.19415062739651</c:v>
                </c:pt>
                <c:pt idx="501">
                  <c:v>-61.63886503154194</c:v>
                </c:pt>
                <c:pt idx="502">
                  <c:v>-63.092728098222125</c:v>
                </c:pt>
                <c:pt idx="503">
                  <c:v>-64.55679916650567</c:v>
                </c:pt>
                <c:pt idx="504">
                  <c:v>-66.032151745931174</c:v>
                </c:pt>
                <c:pt idx="505">
                  <c:v>-67.55417549554835</c:v>
                </c:pt>
                <c:pt idx="506">
                  <c:v>-69.090324724881867</c:v>
                </c:pt>
                <c:pt idx="507">
                  <c:v>-70.641797347449426</c:v>
                </c:pt>
                <c:pt idx="508">
                  <c:v>-72.209807634815121</c:v>
                </c:pt>
                <c:pt idx="509">
                  <c:v>-73.832347925313201</c:v>
                </c:pt>
                <c:pt idx="510">
                  <c:v>-75.474816825704522</c:v>
                </c:pt>
                <c:pt idx="511">
                  <c:v>-77.138560888027939</c:v>
                </c:pt>
                <c:pt idx="512">
                  <c:v>-78.824937904620867</c:v>
                </c:pt>
                <c:pt idx="513">
                  <c:v>-80.576170093151518</c:v>
                </c:pt>
                <c:pt idx="514">
                  <c:v>-82.354020689439778</c:v>
                </c:pt>
                <c:pt idx="515">
                  <c:v>-84.159955372193679</c:v>
                </c:pt>
                <c:pt idx="516">
                  <c:v>-85.995429451510461</c:v>
                </c:pt>
                <c:pt idx="517">
                  <c:v>-87.905486872303243</c:v>
                </c:pt>
                <c:pt idx="518">
                  <c:v>-89.849475528458129</c:v>
                </c:pt>
                <c:pt idx="519">
                  <c:v>-91.828852512357344</c:v>
                </c:pt>
                <c:pt idx="520">
                  <c:v>-93.845010766446251</c:v>
                </c:pt>
                <c:pt idx="521">
                  <c:v>-95.947387354206114</c:v>
                </c:pt>
                <c:pt idx="522">
                  <c:v>-98.090932739630659</c:v>
                </c:pt>
                <c:pt idx="523">
                  <c:v>-100.27679574306785</c:v>
                </c:pt>
                <c:pt idx="524">
                  <c:v>-102.50595481038602</c:v>
                </c:pt>
                <c:pt idx="525">
                  <c:v>-104.83252223803669</c:v>
                </c:pt>
                <c:pt idx="526">
                  <c:v>-107.20580797105794</c:v>
                </c:pt>
                <c:pt idx="527">
                  <c:v>-109.62608933548432</c:v>
                </c:pt>
                <c:pt idx="528">
                  <c:v>-112.09330525555049</c:v>
                </c:pt>
                <c:pt idx="529">
                  <c:v>-114.66599030583365</c:v>
                </c:pt>
                <c:pt idx="530">
                  <c:v>-117.28643416514348</c:v>
                </c:pt>
                <c:pt idx="531">
                  <c:v>-119.95322194380213</c:v>
                </c:pt>
                <c:pt idx="532">
                  <c:v>-122.66441417021468</c:v>
                </c:pt>
                <c:pt idx="533">
                  <c:v>-125.48345739469505</c:v>
                </c:pt>
                <c:pt idx="534">
                  <c:v>-128.34316096828076</c:v>
                </c:pt>
                <c:pt idx="535">
                  <c:v>-131.23964473506862</c:v>
                </c:pt>
                <c:pt idx="536">
                  <c:v>-134.16844264015339</c:v>
                </c:pt>
                <c:pt idx="537">
                  <c:v>-137.19193350176926</c:v>
                </c:pt>
                <c:pt idx="538">
                  <c:v>-140.23809712286328</c:v>
                </c:pt>
                <c:pt idx="539">
                  <c:v>-143.30061076898909</c:v>
                </c:pt>
                <c:pt idx="540">
                  <c:v>-146.37281935860864</c:v>
                </c:pt>
                <c:pt idx="541">
                  <c:v>30.479244857094983</c:v>
                </c:pt>
                <c:pt idx="542">
                  <c:v>27.335790140469925</c:v>
                </c:pt>
                <c:pt idx="543">
                  <c:v>24.2041958533745</c:v>
                </c:pt>
                <c:pt idx="544">
                  <c:v>21.091623905722486</c:v>
                </c:pt>
                <c:pt idx="545">
                  <c:v>17.933735981103979</c:v>
                </c:pt>
                <c:pt idx="546">
                  <c:v>14.80965443073606</c:v>
                </c:pt>
                <c:pt idx="547">
                  <c:v>11.725512175039171</c:v>
                </c:pt>
                <c:pt idx="548">
                  <c:v>8.6867206077905337</c:v>
                </c:pt>
                <c:pt idx="549">
                  <c:v>5.6294325893982773</c:v>
                </c:pt>
                <c:pt idx="550">
                  <c:v>2.6285591163613731</c:v>
                </c:pt>
                <c:pt idx="551">
                  <c:v>-0.31268445763822683</c:v>
                </c:pt>
                <c:pt idx="552">
                  <c:v>-3.1919348672563785</c:v>
                </c:pt>
                <c:pt idx="553">
                  <c:v>-6.0731426020464028</c:v>
                </c:pt>
                <c:pt idx="554">
                  <c:v>-8.8869061842867438</c:v>
                </c:pt>
                <c:pt idx="555">
                  <c:v>-11.63308895158147</c:v>
                </c:pt>
                <c:pt idx="556">
                  <c:v>-14.312197131003416</c:v>
                </c:pt>
                <c:pt idx="557">
                  <c:v>-19.591914669152771</c:v>
                </c:pt>
                <c:pt idx="558">
                  <c:v>-24.610165750136275</c:v>
                </c:pt>
                <c:pt idx="559">
                  <c:v>-29.493811306129317</c:v>
                </c:pt>
                <c:pt idx="560">
                  <c:v>-34.149651375301204</c:v>
                </c:pt>
                <c:pt idx="561">
                  <c:v>-38.707571304924272</c:v>
                </c:pt>
                <c:pt idx="562">
                  <c:v>-43.08317090995979</c:v>
                </c:pt>
                <c:pt idx="563">
                  <c:v>-47.393831321085116</c:v>
                </c:pt>
                <c:pt idx="564">
                  <c:v>-51.572934736701995</c:v>
                </c:pt>
                <c:pt idx="565">
                  <c:v>-55.750178495944539</c:v>
                </c:pt>
                <c:pt idx="566">
                  <c:v>-59.847693650760135</c:v>
                </c:pt>
                <c:pt idx="567">
                  <c:v>-63.992666496797426</c:v>
                </c:pt>
                <c:pt idx="568">
                  <c:v>-68.113000147578788</c:v>
                </c:pt>
                <c:pt idx="569">
                  <c:v>-72.32070385609623</c:v>
                </c:pt>
                <c:pt idx="570">
                  <c:v>-76.564432879388903</c:v>
                </c:pt>
                <c:pt idx="571">
                  <c:v>-80.9956556346242</c:v>
                </c:pt>
                <c:pt idx="572">
                  <c:v>-85.534220242663423</c:v>
                </c:pt>
                <c:pt idx="573">
                  <c:v>-90.308360351438807</c:v>
                </c:pt>
                <c:pt idx="574">
                  <c:v>-95.273746397704201</c:v>
                </c:pt>
                <c:pt idx="575">
                  <c:v>-100.61283636391966</c:v>
                </c:pt>
                <c:pt idx="576">
                  <c:v>-106.24481731997349</c:v>
                </c:pt>
                <c:pt idx="577">
                  <c:v>-134.21323770530756</c:v>
                </c:pt>
                <c:pt idx="578">
                  <c:v>11.753979896113236</c:v>
                </c:pt>
                <c:pt idx="579">
                  <c:v>-51.118422610967656</c:v>
                </c:pt>
                <c:pt idx="580">
                  <c:v>-97.440047362701819</c:v>
                </c:pt>
                <c:pt idx="581">
                  <c:v>-168.18748617749975</c:v>
                </c:pt>
                <c:pt idx="582">
                  <c:v>-68.542736763948312</c:v>
                </c:pt>
                <c:pt idx="583">
                  <c:v>-131.07250015344175</c:v>
                </c:pt>
                <c:pt idx="584">
                  <c:v>-56.027827689328006</c:v>
                </c:pt>
                <c:pt idx="585">
                  <c:v>-130.70960275329992</c:v>
                </c:pt>
                <c:pt idx="586">
                  <c:v>-70.858562178261792</c:v>
                </c:pt>
                <c:pt idx="587">
                  <c:v>-168.27671451579897</c:v>
                </c:pt>
                <c:pt idx="588">
                  <c:v>-112.04361843428273</c:v>
                </c:pt>
                <c:pt idx="589">
                  <c:v>-77.610246021735691</c:v>
                </c:pt>
                <c:pt idx="590">
                  <c:v>-42.103176728639369</c:v>
                </c:pt>
                <c:pt idx="591">
                  <c:v>-193.81197744187841</c:v>
                </c:pt>
                <c:pt idx="592">
                  <c:v>-185.62851464170268</c:v>
                </c:pt>
                <c:pt idx="593">
                  <c:v>-20.5157881015584</c:v>
                </c:pt>
                <c:pt idx="594">
                  <c:v>-57.61010909848693</c:v>
                </c:pt>
                <c:pt idx="595">
                  <c:v>-100.34573380759139</c:v>
                </c:pt>
                <c:pt idx="596">
                  <c:v>-159.18449284639928</c:v>
                </c:pt>
                <c:pt idx="597">
                  <c:v>-89.301136516987924</c:v>
                </c:pt>
                <c:pt idx="598">
                  <c:v>-26.56302211827861</c:v>
                </c:pt>
                <c:pt idx="599">
                  <c:v>-166.30163554130326</c:v>
                </c:pt>
                <c:pt idx="600">
                  <c:v>-168.75650602564286</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10532</c:v>
                </c:pt>
              </c:numCache>
            </c:numRef>
          </c:xVal>
          <c:yVal>
            <c:numRef>
              <c:f>'Stability Calculations'!$AL$9</c:f>
              <c:numCache>
                <c:formatCode>0.0</c:formatCode>
                <c:ptCount val="1"/>
                <c:pt idx="0">
                  <c:v>30.866914428816273</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10532</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layout/>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layout/>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106.25914717344631</c:v>
                </c:pt>
                <c:pt idx="42">
                  <c:v>102.0917831431796</c:v>
                </c:pt>
                <c:pt idx="43">
                  <c:v>99.775971510877127</c:v>
                </c:pt>
                <c:pt idx="44">
                  <c:v>97.564099797175928</c:v>
                </c:pt>
                <c:pt idx="45">
                  <c:v>95.448662100497046</c:v>
                </c:pt>
                <c:pt idx="46">
                  <c:v>93.423486098620884</c:v>
                </c:pt>
                <c:pt idx="47">
                  <c:v>91.482915217094217</c:v>
                </c:pt>
                <c:pt idx="48">
                  <c:v>89.621755862840004</c:v>
                </c:pt>
                <c:pt idx="49">
                  <c:v>87.835231006131082</c:v>
                </c:pt>
                <c:pt idx="50">
                  <c:v>86.118939237370896</c:v>
                </c:pt>
                <c:pt idx="51">
                  <c:v>84.468818559853403</c:v>
                </c:pt>
                <c:pt idx="52">
                  <c:v>82.881114291468194</c:v>
                </c:pt>
                <c:pt idx="53">
                  <c:v>81.352350541432074</c:v>
                </c:pt>
                <c:pt idx="54">
                  <c:v>79.879304805973447</c:v>
                </c:pt>
                <c:pt idx="55">
                  <c:v>78.458985292199102</c:v>
                </c:pt>
                <c:pt idx="56">
                  <c:v>77.088610634342245</c:v>
                </c:pt>
                <c:pt idx="57">
                  <c:v>75.765591713012839</c:v>
                </c:pt>
                <c:pt idx="58">
                  <c:v>74.487515327392856</c:v>
                </c:pt>
                <c:pt idx="59">
                  <c:v>73.252129503734309</c:v>
                </c:pt>
                <c:pt idx="60">
                  <c:v>72.057330251988617</c:v>
                </c:pt>
                <c:pt idx="61">
                  <c:v>70.901149606727614</c:v>
                </c:pt>
                <c:pt idx="62">
                  <c:v>69.781744809363957</c:v>
                </c:pt>
                <c:pt idx="63">
                  <c:v>68.69738850658895</c:v>
                </c:pt>
                <c:pt idx="64">
                  <c:v>67.646459855370935</c:v>
                </c:pt>
                <c:pt idx="65">
                  <c:v>66.627436438175764</c:v>
                </c:pt>
                <c:pt idx="66">
                  <c:v>65.638886903595377</c:v>
                </c:pt>
                <c:pt idx="67">
                  <c:v>64.67946425756837</c:v>
                </c:pt>
                <c:pt idx="68">
                  <c:v>63.747899739066554</c:v>
                </c:pt>
                <c:pt idx="69">
                  <c:v>62.842997221692691</c:v>
                </c:pt>
                <c:pt idx="70">
                  <c:v>61.963628089245148</c:v>
                </c:pt>
                <c:pt idx="71">
                  <c:v>61.108726539085779</c:v>
                </c:pt>
                <c:pt idx="72">
                  <c:v>60.277285272216623</c:v>
                </c:pt>
                <c:pt idx="73">
                  <c:v>59.468351533420744</c:v>
                </c:pt>
                <c:pt idx="74">
                  <c:v>58.681023468738196</c:v>
                </c:pt>
                <c:pt idx="75">
                  <c:v>57.914446770999191</c:v>
                </c:pt>
                <c:pt idx="76">
                  <c:v>57.167811587183323</c:v>
                </c:pt>
                <c:pt idx="77">
                  <c:v>56.440349664068798</c:v>
                </c:pt>
                <c:pt idx="78">
                  <c:v>55.731331711022904</c:v>
                </c:pt>
                <c:pt idx="79">
                  <c:v>55.040064960902697</c:v>
                </c:pt>
                <c:pt idx="80">
                  <c:v>54.365890911918534</c:v>
                </c:pt>
                <c:pt idx="81">
                  <c:v>53.708183234987466</c:v>
                </c:pt>
                <c:pt idx="82">
                  <c:v>53.066345832598273</c:v>
                </c:pt>
                <c:pt idx="83">
                  <c:v>52.439811036542267</c:v>
                </c:pt>
                <c:pt idx="84">
                  <c:v>51.828037933056784</c:v>
                </c:pt>
                <c:pt idx="85">
                  <c:v>51.230510804994942</c:v>
                </c:pt>
                <c:pt idx="86">
                  <c:v>50.646737681591496</c:v>
                </c:pt>
                <c:pt idx="87">
                  <c:v>50.076248987253706</c:v>
                </c:pt>
                <c:pt idx="88">
                  <c:v>49.518596281577331</c:v>
                </c:pt>
                <c:pt idx="89">
                  <c:v>48.973351083482363</c:v>
                </c:pt>
                <c:pt idx="90">
                  <c:v>48.440103772988103</c:v>
                </c:pt>
                <c:pt idx="91">
                  <c:v>47.918462564712819</c:v>
                </c:pt>
                <c:pt idx="92">
                  <c:v>47.408052547690708</c:v>
                </c:pt>
                <c:pt idx="93">
                  <c:v>46.908514786562051</c:v>
                </c:pt>
                <c:pt idx="94">
                  <c:v>46.419505479607139</c:v>
                </c:pt>
                <c:pt idx="95">
                  <c:v>45.940695169474054</c:v>
                </c:pt>
                <c:pt idx="96">
                  <c:v>45.471768002792807</c:v>
                </c:pt>
                <c:pt idx="97">
                  <c:v>45.012421035178505</c:v>
                </c:pt>
                <c:pt idx="98">
                  <c:v>44.562363578411052</c:v>
                </c:pt>
                <c:pt idx="99">
                  <c:v>44.121316586834382</c:v>
                </c:pt>
                <c:pt idx="100">
                  <c:v>43.689012080254045</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2.0000003169691232E-2</c:v>
                </c:pt>
                <c:pt idx="1">
                  <c:v>2.0031747221700136E-2</c:v>
                </c:pt>
                <c:pt idx="2">
                  <c:v>2.0044926891218538E-2</c:v>
                </c:pt>
                <c:pt idx="3">
                  <c:v>2.0055051772738239E-2</c:v>
                </c:pt>
                <c:pt idx="4">
                  <c:v>2.0063595392251117E-2</c:v>
                </c:pt>
                <c:pt idx="5">
                  <c:v>2.1668753967525271E-2</c:v>
                </c:pt>
                <c:pt idx="6">
                  <c:v>2.6002504761030325E-2</c:v>
                </c:pt>
                <c:pt idx="7">
                  <c:v>3.0336255554535386E-2</c:v>
                </c:pt>
                <c:pt idx="8">
                  <c:v>3.467000634804044E-2</c:v>
                </c:pt>
                <c:pt idx="9">
                  <c:v>3.9003757141545491E-2</c:v>
                </c:pt>
                <c:pt idx="10">
                  <c:v>4.3337507935050541E-2</c:v>
                </c:pt>
                <c:pt idx="11">
                  <c:v>4.7671258728555613E-2</c:v>
                </c:pt>
                <c:pt idx="12">
                  <c:v>5.200500952206065E-2</c:v>
                </c:pt>
                <c:pt idx="13">
                  <c:v>5.6338760315565721E-2</c:v>
                </c:pt>
                <c:pt idx="14">
                  <c:v>6.0672511109070772E-2</c:v>
                </c:pt>
                <c:pt idx="15">
                  <c:v>6.5006261902575815E-2</c:v>
                </c:pt>
                <c:pt idx="16">
                  <c:v>6.934001269608088E-2</c:v>
                </c:pt>
                <c:pt idx="17">
                  <c:v>7.3673763489585944E-2</c:v>
                </c:pt>
                <c:pt idx="18">
                  <c:v>7.8007514283090981E-2</c:v>
                </c:pt>
                <c:pt idx="19">
                  <c:v>8.2341265076596046E-2</c:v>
                </c:pt>
                <c:pt idx="20">
                  <c:v>8.6675015870101083E-2</c:v>
                </c:pt>
                <c:pt idx="21">
                  <c:v>9.1008766663606161E-2</c:v>
                </c:pt>
                <c:pt idx="22">
                  <c:v>9.5342517457111225E-2</c:v>
                </c:pt>
                <c:pt idx="23">
                  <c:v>9.9676268250616248E-2</c:v>
                </c:pt>
                <c:pt idx="24">
                  <c:v>0.1040100190441213</c:v>
                </c:pt>
                <c:pt idx="25">
                  <c:v>0.10834376983762638</c:v>
                </c:pt>
                <c:pt idx="26">
                  <c:v>0.11267752063113144</c:v>
                </c:pt>
                <c:pt idx="27">
                  <c:v>0.11701127142463648</c:v>
                </c:pt>
                <c:pt idx="28">
                  <c:v>0.12134502221814154</c:v>
                </c:pt>
                <c:pt idx="29">
                  <c:v>0.12567877301164657</c:v>
                </c:pt>
                <c:pt idx="30">
                  <c:v>0.13001252380515163</c:v>
                </c:pt>
                <c:pt idx="31">
                  <c:v>0.1343462745986567</c:v>
                </c:pt>
                <c:pt idx="32">
                  <c:v>0.13868002539216176</c:v>
                </c:pt>
                <c:pt idx="33">
                  <c:v>0.14301377618566682</c:v>
                </c:pt>
                <c:pt idx="34">
                  <c:v>0.14734752697917189</c:v>
                </c:pt>
                <c:pt idx="35">
                  <c:v>0.15168127777267693</c:v>
                </c:pt>
                <c:pt idx="36">
                  <c:v>0.15601502856618196</c:v>
                </c:pt>
                <c:pt idx="37">
                  <c:v>0.16034877935968703</c:v>
                </c:pt>
                <c:pt idx="38">
                  <c:v>0.16468253015319209</c:v>
                </c:pt>
                <c:pt idx="39">
                  <c:v>0.16901628094669716</c:v>
                </c:pt>
                <c:pt idx="40">
                  <c:v>0.17335003174020217</c:v>
                </c:pt>
                <c:pt idx="41">
                  <c:v>0.17771613849530998</c:v>
                </c:pt>
                <c:pt idx="42">
                  <c:v>0.17453685337363262</c:v>
                </c:pt>
                <c:pt idx="43">
                  <c:v>0.17466225421484749</c:v>
                </c:pt>
                <c:pt idx="44">
                  <c:v>0.17478685559840085</c:v>
                </c:pt>
                <c:pt idx="45">
                  <c:v>0.17490806183457439</c:v>
                </c:pt>
                <c:pt idx="46">
                  <c:v>0.17502609039847325</c:v>
                </c:pt>
                <c:pt idx="47">
                  <c:v>0.17514114059340782</c:v>
                </c:pt>
                <c:pt idx="48">
                  <c:v>0.17525339541005808</c:v>
                </c:pt>
                <c:pt idx="49">
                  <c:v>0.17536302316196106</c:v>
                </c:pt>
                <c:pt idx="50">
                  <c:v>0.17547017892809852</c:v>
                </c:pt>
                <c:pt idx="51">
                  <c:v>0.17557500582861868</c:v>
                </c:pt>
                <c:pt idx="52">
                  <c:v>0.17567763615578377</c:v>
                </c:pt>
                <c:pt idx="53">
                  <c:v>0.17577819237895481</c:v>
                </c:pt>
                <c:pt idx="54">
                  <c:v>0.17587678803968487</c:v>
                </c:pt>
                <c:pt idx="55">
                  <c:v>0.17597352855068665</c:v>
                </c:pt>
                <c:pt idx="56">
                  <c:v>0.17606851191050793</c:v>
                </c:pt>
                <c:pt idx="57">
                  <c:v>0.17616182934411007</c:v>
                </c:pt>
                <c:pt idx="58">
                  <c:v>0.17625356587815966</c:v>
                </c:pt>
                <c:pt idx="59">
                  <c:v>0.17634380085866733</c:v>
                </c:pt>
                <c:pt idx="60">
                  <c:v>0.176432608417603</c:v>
                </c:pt>
                <c:pt idx="61">
                  <c:v>0.17652005789426067</c:v>
                </c:pt>
                <c:pt idx="62">
                  <c:v>0.17660621421641098</c:v>
                </c:pt>
                <c:pt idx="63">
                  <c:v>0.17669113824564783</c:v>
                </c:pt>
                <c:pt idx="64">
                  <c:v>0.1767748870907945</c:v>
                </c:pt>
                <c:pt idx="65">
                  <c:v>0.17685751439276098</c:v>
                </c:pt>
                <c:pt idx="66">
                  <c:v>0.17693907058384412</c:v>
                </c:pt>
                <c:pt idx="67">
                  <c:v>0.17701960312410317</c:v>
                </c:pt>
                <c:pt idx="68">
                  <c:v>0.17709915671714377</c:v>
                </c:pt>
                <c:pt idx="69">
                  <c:v>0.17717777350737093</c:v>
                </c:pt>
                <c:pt idx="70">
                  <c:v>0.1772554932605431</c:v>
                </c:pt>
                <c:pt idx="71">
                  <c:v>0.17733235352925258</c:v>
                </c:pt>
                <c:pt idx="72">
                  <c:v>0.17740838980478113</c:v>
                </c:pt>
                <c:pt idx="73">
                  <c:v>0.17748363565662079</c:v>
                </c:pt>
                <c:pt idx="74">
                  <c:v>0.17755812286081435</c:v>
                </c:pt>
                <c:pt idx="75">
                  <c:v>0.17763188151814657</c:v>
                </c:pt>
                <c:pt idx="76">
                  <c:v>0.17770494016310939</c:v>
                </c:pt>
                <c:pt idx="77">
                  <c:v>0.17777732586447204</c:v>
                </c:pt>
                <c:pt idx="78">
                  <c:v>0.17784906431820038</c:v>
                </c:pt>
                <c:pt idx="79">
                  <c:v>0.17792017993339554</c:v>
                </c:pt>
                <c:pt idx="80">
                  <c:v>0.17799069591185693</c:v>
                </c:pt>
                <c:pt idx="81">
                  <c:v>0.1780606343218144</c:v>
                </c:pt>
                <c:pt idx="82">
                  <c:v>0.17813001616632204</c:v>
                </c:pt>
                <c:pt idx="83">
                  <c:v>0.17819886144675889</c:v>
                </c:pt>
                <c:pt idx="84">
                  <c:v>0.17826718922184068</c:v>
                </c:pt>
                <c:pt idx="85">
                  <c:v>0.17833501766250859</c:v>
                </c:pt>
                <c:pt idx="86">
                  <c:v>0.17840236410302623</c:v>
                </c:pt>
                <c:pt idx="87">
                  <c:v>0.17846924508858816</c:v>
                </c:pt>
                <c:pt idx="88">
                  <c:v>0.17853567641971402</c:v>
                </c:pt>
                <c:pt idx="89">
                  <c:v>0.17860167319367895</c:v>
                </c:pt>
                <c:pt idx="90">
                  <c:v>0.17866724984320784</c:v>
                </c:pt>
                <c:pt idx="91">
                  <c:v>0.17873242017264374</c:v>
                </c:pt>
                <c:pt idx="92">
                  <c:v>0.17879719739177788</c:v>
                </c:pt>
                <c:pt idx="93">
                  <c:v>0.17886159414751909</c:v>
                </c:pt>
                <c:pt idx="94">
                  <c:v>0.17892562255355909</c:v>
                </c:pt>
                <c:pt idx="95">
                  <c:v>0.17898929421818144</c:v>
                </c:pt>
                <c:pt idx="96">
                  <c:v>0.17905262027034891</c:v>
                </c:pt>
                <c:pt idx="97">
                  <c:v>0.17911561138419022</c:v>
                </c:pt>
                <c:pt idx="98">
                  <c:v>0.17917827780200168</c:v>
                </c:pt>
                <c:pt idx="99">
                  <c:v>0.17924062935586701</c:v>
                </c:pt>
                <c:pt idx="100">
                  <c:v>0.17930267548799039</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7.578951920134791E-2</c:v>
                </c:pt>
                <c:pt idx="1">
                  <c:v>7.6247394935936602E-2</c:v>
                </c:pt>
                <c:pt idx="2">
                  <c:v>7.6438696930300101E-2</c:v>
                </c:pt>
                <c:pt idx="3">
                  <c:v>7.6586140264596245E-2</c:v>
                </c:pt>
                <c:pt idx="4">
                  <c:v>7.6710883360142507E-2</c:v>
                </c:pt>
                <c:pt idx="5">
                  <c:v>8.2908424475813633E-2</c:v>
                </c:pt>
                <c:pt idx="6">
                  <c:v>9.9490109370976368E-2</c:v>
                </c:pt>
                <c:pt idx="7">
                  <c:v>0.11607179426613913</c:v>
                </c:pt>
                <c:pt idx="8">
                  <c:v>0.13265347916130185</c:v>
                </c:pt>
                <c:pt idx="9">
                  <c:v>0.14923516405646456</c:v>
                </c:pt>
                <c:pt idx="10">
                  <c:v>0.16581684895162727</c:v>
                </c:pt>
                <c:pt idx="11">
                  <c:v>0.18239853384679008</c:v>
                </c:pt>
                <c:pt idx="12">
                  <c:v>0.19898021874195274</c:v>
                </c:pt>
                <c:pt idx="13">
                  <c:v>0.21556190363711553</c:v>
                </c:pt>
                <c:pt idx="14">
                  <c:v>0.23214358853227826</c:v>
                </c:pt>
                <c:pt idx="15">
                  <c:v>0.24872527342744094</c:v>
                </c:pt>
                <c:pt idx="16">
                  <c:v>0.2653069583226037</c:v>
                </c:pt>
                <c:pt idx="17">
                  <c:v>0.28188864321776647</c:v>
                </c:pt>
                <c:pt idx="18">
                  <c:v>0.29847032811292912</c:v>
                </c:pt>
                <c:pt idx="19">
                  <c:v>0.31505201300809188</c:v>
                </c:pt>
                <c:pt idx="20">
                  <c:v>0.33163369790325453</c:v>
                </c:pt>
                <c:pt idx="21">
                  <c:v>0.34821538279841735</c:v>
                </c:pt>
                <c:pt idx="22">
                  <c:v>0.36479706769358017</c:v>
                </c:pt>
                <c:pt idx="23">
                  <c:v>0.38137875258874276</c:v>
                </c:pt>
                <c:pt idx="24">
                  <c:v>0.39796043748390547</c:v>
                </c:pt>
                <c:pt idx="25">
                  <c:v>0.41454212237906829</c:v>
                </c:pt>
                <c:pt idx="26">
                  <c:v>0.43112380727423105</c:v>
                </c:pt>
                <c:pt idx="27">
                  <c:v>0.4477054921693937</c:v>
                </c:pt>
                <c:pt idx="28">
                  <c:v>0.44734544797251452</c:v>
                </c:pt>
                <c:pt idx="29">
                  <c:v>0.44770157153277773</c:v>
                </c:pt>
                <c:pt idx="30">
                  <c:v>0.44810416906712885</c:v>
                </c:pt>
                <c:pt idx="31">
                  <c:v>0.44849430791514933</c:v>
                </c:pt>
                <c:pt idx="32">
                  <c:v>0.44887314601126638</c:v>
                </c:pt>
                <c:pt idx="33">
                  <c:v>0.44924170258171969</c:v>
                </c:pt>
                <c:pt idx="34">
                  <c:v>0.44960087831058504</c:v>
                </c:pt>
                <c:pt idx="35">
                  <c:v>0.44995147208701236</c:v>
                </c:pt>
                <c:pt idx="36">
                  <c:v>0.45029419499129125</c:v>
                </c:pt>
                <c:pt idx="37">
                  <c:v>0.45062968203665366</c:v>
                </c:pt>
                <c:pt idx="38">
                  <c:v>0.45095850207601818</c:v>
                </c:pt>
                <c:pt idx="39">
                  <c:v>0.45128116619976905</c:v>
                </c:pt>
                <c:pt idx="40">
                  <c:v>0.45159813488607942</c:v>
                </c:pt>
                <c:pt idx="41">
                  <c:v>0.45190982411474567</c:v>
                </c:pt>
                <c:pt idx="42">
                  <c:v>0.45221661061568236</c:v>
                </c:pt>
                <c:pt idx="43">
                  <c:v>0.45251883639167867</c:v>
                </c:pt>
                <c:pt idx="44">
                  <c:v>0.45281681262985551</c:v>
                </c:pt>
                <c:pt idx="45">
                  <c:v>0.45311082309609346</c:v>
                </c:pt>
                <c:pt idx="46">
                  <c:v>0.45340112709044594</c:v>
                </c:pt>
                <c:pt idx="47">
                  <c:v>0.45368796202838341</c:v>
                </c:pt>
                <c:pt idx="48">
                  <c:v>0.453971545701992</c:v>
                </c:pt>
                <c:pt idx="49">
                  <c:v>0.45425207826648684</c:v>
                </c:pt>
                <c:pt idx="50">
                  <c:v>0.45452974399019436</c:v>
                </c:pt>
                <c:pt idx="51">
                  <c:v>0.454804712800225</c:v>
                </c:pt>
                <c:pt idx="52">
                  <c:v>0.45507714165113028</c:v>
                </c:pt>
                <c:pt idx="53">
                  <c:v>0.45534717573975497</c:v>
                </c:pt>
                <c:pt idx="54">
                  <c:v>0.45561494958607623</c:v>
                </c:pt>
                <c:pt idx="55">
                  <c:v>0.45588058799696812</c:v>
                </c:pt>
                <c:pt idx="56">
                  <c:v>0.45614420692742119</c:v>
                </c:pt>
                <c:pt idx="57">
                  <c:v>0.45640591425172644</c:v>
                </c:pt>
                <c:pt idx="58">
                  <c:v>0.4566658104554171</c:v>
                </c:pt>
                <c:pt idx="59">
                  <c:v>0.45692398925730576</c:v>
                </c:pt>
                <c:pt idx="60">
                  <c:v>0.45718053816972365</c:v>
                </c:pt>
                <c:pt idx="61">
                  <c:v>0.45743553900400324</c:v>
                </c:pt>
                <c:pt idx="62">
                  <c:v>0.45768906832735184</c:v>
                </c:pt>
                <c:pt idx="63">
                  <c:v>0.45794119787648135</c:v>
                </c:pt>
                <c:pt idx="64">
                  <c:v>0.45819199493269686</c:v>
                </c:pt>
                <c:pt idx="65">
                  <c:v>0.45844152266256827</c:v>
                </c:pt>
                <c:pt idx="66">
                  <c:v>0.45868984042781463</c:v>
                </c:pt>
                <c:pt idx="67">
                  <c:v>0.45893700406759846</c:v>
                </c:pt>
                <c:pt idx="68">
                  <c:v>0.45918306615605592</c:v>
                </c:pt>
                <c:pt idx="69">
                  <c:v>0.45942807623755744</c:v>
                </c:pt>
                <c:pt idx="70">
                  <c:v>0.45967208104191631</c:v>
                </c:pt>
                <c:pt idx="71">
                  <c:v>0.45991512468151025</c:v>
                </c:pt>
                <c:pt idx="72">
                  <c:v>0.46015724883206521</c:v>
                </c:pt>
                <c:pt idx="73">
                  <c:v>0.4603984928986592</c:v>
                </c:pt>
                <c:pt idx="74">
                  <c:v>0.46063889416833731</c:v>
                </c:pt>
                <c:pt idx="75">
                  <c:v>0.46087848795058112</c:v>
                </c:pt>
                <c:pt idx="76">
                  <c:v>0.46111730770674453</c:v>
                </c:pt>
                <c:pt idx="77">
                  <c:v>0.46135538516945646</c:v>
                </c:pt>
                <c:pt idx="78">
                  <c:v>0.46159275045288173</c:v>
                </c:pt>
                <c:pt idx="79">
                  <c:v>0.46182943215465216</c:v>
                </c:pt>
                <c:pt idx="80">
                  <c:v>0.46206545745018807</c:v>
                </c:pt>
                <c:pt idx="81">
                  <c:v>0.46230085218006672</c:v>
                </c:pt>
                <c:pt idx="82">
                  <c:v>0.46253564093102939</c:v>
                </c:pt>
                <c:pt idx="83">
                  <c:v>0.46276984711115898</c:v>
                </c:pt>
                <c:pt idx="84">
                  <c:v>0.46300349301971316</c:v>
                </c:pt>
                <c:pt idx="85">
                  <c:v>0.46323659991205102</c:v>
                </c:pt>
                <c:pt idx="86">
                  <c:v>0.46346918806004916</c:v>
                </c:pt>
                <c:pt idx="87">
                  <c:v>0.46370127680837203</c:v>
                </c:pt>
                <c:pt idx="88">
                  <c:v>0.46393288462692051</c:v>
                </c:pt>
                <c:pt idx="89">
                  <c:v>0.46416402915976129</c:v>
                </c:pt>
                <c:pt idx="90">
                  <c:v>0.46439472727080799</c:v>
                </c:pt>
                <c:pt idx="91">
                  <c:v>0.46462499508650379</c:v>
                </c:pt>
                <c:pt idx="92">
                  <c:v>0.4648548480357314</c:v>
                </c:pt>
                <c:pt idx="93">
                  <c:v>0.46508430088715957</c:v>
                </c:pt>
                <c:pt idx="94">
                  <c:v>0.46531336778421539</c:v>
                </c:pt>
                <c:pt idx="95">
                  <c:v>0.46554206227785705</c:v>
                </c:pt>
                <c:pt idx="96">
                  <c:v>0.46577039735730696</c:v>
                </c:pt>
                <c:pt idx="97">
                  <c:v>0.46599838547889028</c:v>
                </c:pt>
                <c:pt idx="98">
                  <c:v>0.46622603859311601</c:v>
                </c:pt>
                <c:pt idx="99">
                  <c:v>0.46645336817012373</c:v>
                </c:pt>
                <c:pt idx="100">
                  <c:v>0.46668038522360705</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1.6941178744869057E-2</c:v>
                </c:pt>
                <c:pt idx="1">
                  <c:v>1.6963949848029788E-2</c:v>
                </c:pt>
                <c:pt idx="2">
                  <c:v>1.6973400832722373E-2</c:v>
                </c:pt>
                <c:pt idx="3">
                  <c:v>1.6980659971826344E-2</c:v>
                </c:pt>
                <c:pt idx="4">
                  <c:v>1.6986784534652494E-2</c:v>
                </c:pt>
                <c:pt idx="5">
                  <c:v>1.8345061467577882E-2</c:v>
                </c:pt>
                <c:pt idx="6">
                  <c:v>2.2014073761093461E-2</c:v>
                </c:pt>
                <c:pt idx="7">
                  <c:v>2.5683086054609044E-2</c:v>
                </c:pt>
                <c:pt idx="8">
                  <c:v>2.9352098348124619E-2</c:v>
                </c:pt>
                <c:pt idx="9">
                  <c:v>3.3021110641640192E-2</c:v>
                </c:pt>
                <c:pt idx="10">
                  <c:v>3.6690122935155764E-2</c:v>
                </c:pt>
                <c:pt idx="11">
                  <c:v>4.0359135228671357E-2</c:v>
                </c:pt>
                <c:pt idx="12">
                  <c:v>4.4028147522186922E-2</c:v>
                </c:pt>
                <c:pt idx="13">
                  <c:v>4.7697159815702508E-2</c:v>
                </c:pt>
                <c:pt idx="14">
                  <c:v>5.1366172109218088E-2</c:v>
                </c:pt>
                <c:pt idx="15">
                  <c:v>5.5035184402733653E-2</c:v>
                </c:pt>
                <c:pt idx="16">
                  <c:v>5.8704196696249239E-2</c:v>
                </c:pt>
                <c:pt idx="17">
                  <c:v>6.2373208989764818E-2</c:v>
                </c:pt>
                <c:pt idx="18">
                  <c:v>6.6042221283280383E-2</c:v>
                </c:pt>
                <c:pt idx="19">
                  <c:v>6.971123357679597E-2</c:v>
                </c:pt>
                <c:pt idx="20">
                  <c:v>7.3380245870311528E-2</c:v>
                </c:pt>
                <c:pt idx="21">
                  <c:v>7.7049258163827128E-2</c:v>
                </c:pt>
                <c:pt idx="22">
                  <c:v>8.0718270457342714E-2</c:v>
                </c:pt>
                <c:pt idx="23">
                  <c:v>8.4387282750858258E-2</c:v>
                </c:pt>
                <c:pt idx="24">
                  <c:v>8.8056295044373845E-2</c:v>
                </c:pt>
                <c:pt idx="25">
                  <c:v>9.1725307337889431E-2</c:v>
                </c:pt>
                <c:pt idx="26">
                  <c:v>9.5394319631405017E-2</c:v>
                </c:pt>
                <c:pt idx="27">
                  <c:v>9.9063331924920575E-2</c:v>
                </c:pt>
                <c:pt idx="28">
                  <c:v>0.10273234421843618</c:v>
                </c:pt>
                <c:pt idx="29">
                  <c:v>0.10640135651195172</c:v>
                </c:pt>
                <c:pt idx="30">
                  <c:v>0.11007036880546731</c:v>
                </c:pt>
                <c:pt idx="31">
                  <c:v>0.11373938109898289</c:v>
                </c:pt>
                <c:pt idx="32">
                  <c:v>0.11740839339249848</c:v>
                </c:pt>
                <c:pt idx="33">
                  <c:v>0.12107740568601405</c:v>
                </c:pt>
                <c:pt idx="34">
                  <c:v>0.12474641797952964</c:v>
                </c:pt>
                <c:pt idx="35">
                  <c:v>0.12841543027304519</c:v>
                </c:pt>
                <c:pt idx="36">
                  <c:v>0.13208444256656077</c:v>
                </c:pt>
                <c:pt idx="37">
                  <c:v>0.13575345486007634</c:v>
                </c:pt>
                <c:pt idx="38">
                  <c:v>0.13942246715359194</c:v>
                </c:pt>
                <c:pt idx="39">
                  <c:v>0.14309147944710751</c:v>
                </c:pt>
                <c:pt idx="40">
                  <c:v>0.14676049174062306</c:v>
                </c:pt>
                <c:pt idx="41">
                  <c:v>0.1504295040341386</c:v>
                </c:pt>
                <c:pt idx="42">
                  <c:v>0.1541183128744219</c:v>
                </c:pt>
                <c:pt idx="43">
                  <c:v>0.15180844603850494</c:v>
                </c:pt>
                <c:pt idx="44">
                  <c:v>0.15191572623728197</c:v>
                </c:pt>
                <c:pt idx="45">
                  <c:v>0.15202308275924711</c:v>
                </c:pt>
                <c:pt idx="46">
                  <c:v>0.15212752661342219</c:v>
                </c:pt>
                <c:pt idx="47">
                  <c:v>0.15222924026157195</c:v>
                </c:pt>
                <c:pt idx="48">
                  <c:v>0.15232839124620112</c:v>
                </c:pt>
                <c:pt idx="49">
                  <c:v>0.15242513368487912</c:v>
                </c:pt>
                <c:pt idx="50">
                  <c:v>0.15251960958848382</c:v>
                </c:pt>
                <c:pt idx="51">
                  <c:v>0.15261195002710617</c:v>
                </c:pt>
                <c:pt idx="52">
                  <c:v>0.15270227616376475</c:v>
                </c:pt>
                <c:pt idx="53">
                  <c:v>0.15279070017309243</c:v>
                </c:pt>
                <c:pt idx="54">
                  <c:v>0.15287732605965651</c:v>
                </c:pt>
                <c:pt idx="55">
                  <c:v>0.15296225038847527</c:v>
                </c:pt>
                <c:pt idx="56">
                  <c:v>0.15304556293853044</c:v>
                </c:pt>
                <c:pt idx="57">
                  <c:v>0.15312734728858057</c:v>
                </c:pt>
                <c:pt idx="58">
                  <c:v>0.15320768134331922</c:v>
                </c:pt>
                <c:pt idx="59">
                  <c:v>0.1532866378068472</c:v>
                </c:pt>
                <c:pt idx="60">
                  <c:v>0.15336428460951185</c:v>
                </c:pt>
                <c:pt idx="61">
                  <c:v>0.15344068529338653</c:v>
                </c:pt>
                <c:pt idx="62">
                  <c:v>0.15351589936099003</c:v>
                </c:pt>
                <c:pt idx="63">
                  <c:v>0.15358998259127313</c:v>
                </c:pt>
                <c:pt idx="64">
                  <c:v>0.15366298732640099</c:v>
                </c:pt>
                <c:pt idx="65">
                  <c:v>0.15373496273243281</c:v>
                </c:pt>
                <c:pt idx="66">
                  <c:v>0.15380595503662858</c:v>
                </c:pt>
                <c:pt idx="67">
                  <c:v>0.15387600774379265</c:v>
                </c:pt>
                <c:pt idx="68">
                  <c:v>0.15394516183378279</c:v>
                </c:pt>
                <c:pt idx="69">
                  <c:v>0.15401345594207072</c:v>
                </c:pt>
                <c:pt idx="70">
                  <c:v>0.15408092652502633</c:v>
                </c:pt>
                <c:pt idx="71">
                  <c:v>0.154147608011413</c:v>
                </c:pt>
                <c:pt idx="72">
                  <c:v>0.15421353294141774</c:v>
                </c:pt>
                <c:pt idx="73">
                  <c:v>0.15427873209439613</c:v>
                </c:pt>
                <c:pt idx="74">
                  <c:v>0.15434323460638683</c:v>
                </c:pt>
                <c:pt idx="75">
                  <c:v>0.1544070680783389</c:v>
                </c:pt>
                <c:pt idx="76">
                  <c:v>0.1544702586758967</c:v>
                </c:pt>
                <c:pt idx="77">
                  <c:v>0.15453283122150166</c:v>
                </c:pt>
                <c:pt idx="78">
                  <c:v>0.15459480927949132</c:v>
                </c:pt>
                <c:pt idx="79">
                  <c:v>0.1546562152348098</c:v>
                </c:pt>
                <c:pt idx="80">
                  <c:v>0.15471707036588228</c:v>
                </c:pt>
                <c:pt idx="81">
                  <c:v>0.15477739491215159</c:v>
                </c:pt>
                <c:pt idx="82">
                  <c:v>0.15483720813672799</c:v>
                </c:pt>
                <c:pt idx="83">
                  <c:v>0.15489652838455986</c:v>
                </c:pt>
                <c:pt idx="84">
                  <c:v>0.15495537313649438</c:v>
                </c:pt>
                <c:pt idx="85">
                  <c:v>0.1550137590595628</c:v>
                </c:pt>
                <c:pt idx="86">
                  <c:v>0.15507170205379453</c:v>
                </c:pt>
                <c:pt idx="87">
                  <c:v>0.15512921729583667</c:v>
                </c:pt>
                <c:pt idx="88">
                  <c:v>0.15518631927963025</c:v>
                </c:pt>
                <c:pt idx="89">
                  <c:v>0.15524302185437208</c:v>
                </c:pt>
                <c:pt idx="90">
                  <c:v>0.15529933825997147</c:v>
                </c:pt>
                <c:pt idx="91">
                  <c:v>0.15535528116019276</c:v>
                </c:pt>
                <c:pt idx="92">
                  <c:v>0.15541086267365728</c:v>
                </c:pt>
                <c:pt idx="93">
                  <c:v>0.15546609440286546</c:v>
                </c:pt>
                <c:pt idx="94">
                  <c:v>0.15552098746138404</c:v>
                </c:pt>
                <c:pt idx="95">
                  <c:v>0.15557555249933219</c:v>
                </c:pt>
                <c:pt idx="96">
                  <c:v>0.15562979972729105</c:v>
                </c:pt>
                <c:pt idx="97">
                  <c:v>0.1556837389387469</c:v>
                </c:pt>
                <c:pt idx="98">
                  <c:v>0.15573737953117403</c:v>
                </c:pt>
                <c:pt idx="99">
                  <c:v>0.15579073052585107</c:v>
                </c:pt>
                <c:pt idx="100">
                  <c:v>0.15584380058649938</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10.221035998444799</c:v>
                </c:pt>
                <c:pt idx="43">
                  <c:v>10.464951468632131</c:v>
                </c:pt>
                <c:pt idx="44">
                  <c:v>10.708930656694797</c:v>
                </c:pt>
                <c:pt idx="45">
                  <c:v>10.952937596851436</c:v>
                </c:pt>
                <c:pt idx="46">
                  <c:v>11.196972296147743</c:v>
                </c:pt>
                <c:pt idx="47">
                  <c:v>11.4410347616318</c:v>
                </c:pt>
                <c:pt idx="48">
                  <c:v>11.685125000354098</c:v>
                </c:pt>
                <c:pt idx="49">
                  <c:v>11.929243019367517</c:v>
                </c:pt>
                <c:pt idx="50">
                  <c:v>12.17338882572732</c:v>
                </c:pt>
                <c:pt idx="51">
                  <c:v>12.417562426491191</c:v>
                </c:pt>
                <c:pt idx="52">
                  <c:v>12.661763828719188</c:v>
                </c:pt>
                <c:pt idx="53">
                  <c:v>12.905993039473776</c:v>
                </c:pt>
                <c:pt idx="54">
                  <c:v>13.150250065819813</c:v>
                </c:pt>
                <c:pt idx="55">
                  <c:v>13.39453491482455</c:v>
                </c:pt>
                <c:pt idx="56">
                  <c:v>13.638847593557657</c:v>
                </c:pt>
                <c:pt idx="57">
                  <c:v>13.883188109091174</c:v>
                </c:pt>
                <c:pt idx="58">
                  <c:v>14.127556468499563</c:v>
                </c:pt>
                <c:pt idx="59">
                  <c:v>14.371952678859676</c:v>
                </c:pt>
                <c:pt idx="60">
                  <c:v>14.61637674725077</c:v>
                </c:pt>
                <c:pt idx="61">
                  <c:v>14.8608286807545</c:v>
                </c:pt>
                <c:pt idx="62">
                  <c:v>15.105308486454927</c:v>
                </c:pt>
                <c:pt idx="63">
                  <c:v>15.349816171438512</c:v>
                </c:pt>
                <c:pt idx="64">
                  <c:v>15.594351742794128</c:v>
                </c:pt>
                <c:pt idx="65">
                  <c:v>15.838915207613045</c:v>
                </c:pt>
                <c:pt idx="66">
                  <c:v>16.083506572988949</c:v>
                </c:pt>
                <c:pt idx="67">
                  <c:v>16.328125846017919</c:v>
                </c:pt>
                <c:pt idx="68">
                  <c:v>16.572773033798448</c:v>
                </c:pt>
                <c:pt idx="69">
                  <c:v>16.817448143431449</c:v>
                </c:pt>
                <c:pt idx="70">
                  <c:v>17.06215118202023</c:v>
                </c:pt>
                <c:pt idx="71">
                  <c:v>17.306882156670518</c:v>
                </c:pt>
                <c:pt idx="72">
                  <c:v>17.551641074490448</c:v>
                </c:pt>
                <c:pt idx="73">
                  <c:v>17.796427942590569</c:v>
                </c:pt>
                <c:pt idx="74">
                  <c:v>18.041242768083841</c:v>
                </c:pt>
                <c:pt idx="75">
                  <c:v>18.286085558085645</c:v>
                </c:pt>
                <c:pt idx="76">
                  <c:v>18.530956319713766</c:v>
                </c:pt>
                <c:pt idx="77">
                  <c:v>18.775855060088425</c:v>
                </c:pt>
                <c:pt idx="78">
                  <c:v>19.020781786332243</c:v>
                </c:pt>
                <c:pt idx="79">
                  <c:v>19.265736505570263</c:v>
                </c:pt>
                <c:pt idx="80">
                  <c:v>19.51071922492995</c:v>
                </c:pt>
                <c:pt idx="81">
                  <c:v>19.755729951541195</c:v>
                </c:pt>
                <c:pt idx="82">
                  <c:v>20.00076869253629</c:v>
                </c:pt>
                <c:pt idx="83">
                  <c:v>20.245835455049981</c:v>
                </c:pt>
                <c:pt idx="84">
                  <c:v>20.490930246219417</c:v>
                </c:pt>
                <c:pt idx="85">
                  <c:v>20.73605307318417</c:v>
                </c:pt>
                <c:pt idx="86">
                  <c:v>20.981203943086243</c:v>
                </c:pt>
                <c:pt idx="87">
                  <c:v>21.226382863070064</c:v>
                </c:pt>
                <c:pt idx="88">
                  <c:v>21.471589840282498</c:v>
                </c:pt>
                <c:pt idx="89">
                  <c:v>21.716824881872817</c:v>
                </c:pt>
                <c:pt idx="90">
                  <c:v>21.962087994992746</c:v>
                </c:pt>
                <c:pt idx="91">
                  <c:v>22.207379186796423</c:v>
                </c:pt>
                <c:pt idx="92">
                  <c:v>22.452698464440431</c:v>
                </c:pt>
                <c:pt idx="93">
                  <c:v>22.698045835083775</c:v>
                </c:pt>
                <c:pt idx="94">
                  <c:v>22.943421305887885</c:v>
                </c:pt>
                <c:pt idx="95">
                  <c:v>23.188824884016668</c:v>
                </c:pt>
                <c:pt idx="96">
                  <c:v>23.434256576636407</c:v>
                </c:pt>
                <c:pt idx="97">
                  <c:v>23.679716390915875</c:v>
                </c:pt>
                <c:pt idx="98">
                  <c:v>23.925204334026244</c:v>
                </c:pt>
                <c:pt idx="99">
                  <c:v>24.17072041314114</c:v>
                </c:pt>
                <c:pt idx="100">
                  <c:v>24.416264635436637</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1.3831749349822609</c:v>
                </c:pt>
                <c:pt idx="29">
                  <c:v>1.656371417749062</c:v>
                </c:pt>
                <c:pt idx="30">
                  <c:v>1.9306092287139758</c:v>
                </c:pt>
                <c:pt idx="31">
                  <c:v>2.2050549839941715</c:v>
                </c:pt>
                <c:pt idx="32">
                  <c:v>2.4797089854434775</c:v>
                </c:pt>
                <c:pt idx="33">
                  <c:v>2.7545715355005402</c:v>
                </c:pt>
                <c:pt idx="34">
                  <c:v>3.0296429371902001</c:v>
                </c:pt>
                <c:pt idx="35">
                  <c:v>3.3049234941248784</c:v>
                </c:pt>
                <c:pt idx="36">
                  <c:v>3.5804135105059665</c:v>
                </c:pt>
                <c:pt idx="37">
                  <c:v>3.8561132911252294</c:v>
                </c:pt>
                <c:pt idx="38">
                  <c:v>4.1320231413662105</c:v>
                </c:pt>
                <c:pt idx="39">
                  <c:v>4.4081433672056622</c:v>
                </c:pt>
                <c:pt idx="40">
                  <c:v>4.6844742752149626</c:v>
                </c:pt>
                <c:pt idx="41">
                  <c:v>4.9610161725615454</c:v>
                </c:pt>
                <c:pt idx="42">
                  <c:v>5.2377693670103467</c:v>
                </c:pt>
                <c:pt idx="43">
                  <c:v>5.5147341669252299</c:v>
                </c:pt>
                <c:pt idx="44">
                  <c:v>5.7919108812704616</c:v>
                </c:pt>
                <c:pt idx="45">
                  <c:v>6.0692998196121444</c:v>
                </c:pt>
                <c:pt idx="46">
                  <c:v>6.3469012921196839</c:v>
                </c:pt>
                <c:pt idx="47">
                  <c:v>6.6247156095672457</c:v>
                </c:pt>
                <c:pt idx="48">
                  <c:v>6.902743083335249</c:v>
                </c:pt>
                <c:pt idx="49">
                  <c:v>7.1809840254118154</c:v>
                </c:pt>
                <c:pt idx="50">
                  <c:v>7.4594387483942457</c:v>
                </c:pt>
                <c:pt idx="51">
                  <c:v>7.7381075654905311</c:v>
                </c:pt>
                <c:pt idx="52">
                  <c:v>8.0169907905208326</c:v>
                </c:pt>
                <c:pt idx="53">
                  <c:v>8.2960887379189483</c:v>
                </c:pt>
                <c:pt idx="54">
                  <c:v>8.5754017227338473</c:v>
                </c:pt>
                <c:pt idx="55">
                  <c:v>8.8549300606311512</c:v>
                </c:pt>
                <c:pt idx="56">
                  <c:v>9.1346740678946485</c:v>
                </c:pt>
                <c:pt idx="57">
                  <c:v>9.4146340614278081</c:v>
                </c:pt>
                <c:pt idx="58">
                  <c:v>9.6948103587553049</c:v>
                </c:pt>
                <c:pt idx="59">
                  <c:v>9.975203278024507</c:v>
                </c:pt>
                <c:pt idx="60">
                  <c:v>10.25581313800704</c:v>
                </c:pt>
                <c:pt idx="61">
                  <c:v>10.536640258100306</c:v>
                </c:pt>
                <c:pt idx="62">
                  <c:v>10.817684958329009</c:v>
                </c:pt>
                <c:pt idx="63">
                  <c:v>11.098947559346708</c:v>
                </c:pt>
                <c:pt idx="64">
                  <c:v>11.380428382437355</c:v>
                </c:pt>
                <c:pt idx="65">
                  <c:v>11.662127749516833</c:v>
                </c:pt>
                <c:pt idx="66">
                  <c:v>11.944045983134542</c:v>
                </c:pt>
                <c:pt idx="67">
                  <c:v>12.22618340647492</c:v>
                </c:pt>
                <c:pt idx="68">
                  <c:v>12.508540343359025</c:v>
                </c:pt>
                <c:pt idx="69">
                  <c:v>12.791117118246097</c:v>
                </c:pt>
                <c:pt idx="70">
                  <c:v>13.073914056235171</c:v>
                </c:pt>
                <c:pt idx="71">
                  <c:v>13.356931483066559</c:v>
                </c:pt>
                <c:pt idx="72">
                  <c:v>13.640169725123533</c:v>
                </c:pt>
                <c:pt idx="73">
                  <c:v>13.923629109433865</c:v>
                </c:pt>
                <c:pt idx="74">
                  <c:v>14.207309963671396</c:v>
                </c:pt>
                <c:pt idx="75">
                  <c:v>14.491212616157677</c:v>
                </c:pt>
                <c:pt idx="76">
                  <c:v>14.775337395863554</c:v>
                </c:pt>
                <c:pt idx="77">
                  <c:v>15.059684632410773</c:v>
                </c:pt>
                <c:pt idx="78">
                  <c:v>15.344254656073565</c:v>
                </c:pt>
                <c:pt idx="79">
                  <c:v>15.629047797780313</c:v>
                </c:pt>
                <c:pt idx="80">
                  <c:v>15.914064389115131</c:v>
                </c:pt>
                <c:pt idx="81">
                  <c:v>16.1993047623195</c:v>
                </c:pt>
                <c:pt idx="82">
                  <c:v>16.48476925029388</c:v>
                </c:pt>
                <c:pt idx="83">
                  <c:v>16.770458186599409</c:v>
                </c:pt>
                <c:pt idx="84">
                  <c:v>17.056371905459468</c:v>
                </c:pt>
                <c:pt idx="85">
                  <c:v>17.342510741761341</c:v>
                </c:pt>
                <c:pt idx="86">
                  <c:v>17.628875031057905</c:v>
                </c:pt>
                <c:pt idx="87">
                  <c:v>17.91546510956924</c:v>
                </c:pt>
                <c:pt idx="88">
                  <c:v>18.202281314184312</c:v>
                </c:pt>
                <c:pt idx="89">
                  <c:v>18.489323982462622</c:v>
                </c:pt>
                <c:pt idx="90">
                  <c:v>18.776593452635886</c:v>
                </c:pt>
                <c:pt idx="91">
                  <c:v>19.064090063609704</c:v>
                </c:pt>
                <c:pt idx="92">
                  <c:v>19.351814154965254</c:v>
                </c:pt>
                <c:pt idx="93">
                  <c:v>19.639766066960949</c:v>
                </c:pt>
                <c:pt idx="94">
                  <c:v>19.927946140534125</c:v>
                </c:pt>
                <c:pt idx="95">
                  <c:v>20.216354717302799</c:v>
                </c:pt>
                <c:pt idx="96">
                  <c:v>20.504992139567264</c:v>
                </c:pt>
                <c:pt idx="97">
                  <c:v>20.793858750311884</c:v>
                </c:pt>
                <c:pt idx="98">
                  <c:v>21.08295489320675</c:v>
                </c:pt>
                <c:pt idx="99">
                  <c:v>21.372280912609419</c:v>
                </c:pt>
                <c:pt idx="100">
                  <c:v>21.661837153566633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Single'!$AK$5:$AK$105</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1.0607195126705407</c:v>
                </c:pt>
                <c:pt idx="42">
                  <c:v>1.36373036921837</c:v>
                </c:pt>
                <c:pt idx="43">
                  <c:v>1.5444084952830603</c:v>
                </c:pt>
                <c:pt idx="44">
                  <c:v>1.7251338197739234</c:v>
                </c:pt>
                <c:pt idx="45">
                  <c:v>1.9058797013714341</c:v>
                </c:pt>
                <c:pt idx="46">
                  <c:v>2.0866461452946248</c:v>
                </c:pt>
                <c:pt idx="47">
                  <c:v>2.2674331567642958</c:v>
                </c:pt>
                <c:pt idx="48">
                  <c:v>2.448240741003036</c:v>
                </c:pt>
                <c:pt idx="49">
                  <c:v>2.6290689032351979</c:v>
                </c:pt>
                <c:pt idx="50">
                  <c:v>2.8099176486869037</c:v>
                </c:pt>
                <c:pt idx="51">
                  <c:v>2.9907869825860676</c:v>
                </c:pt>
                <c:pt idx="52">
                  <c:v>3.1716769101623616</c:v>
                </c:pt>
                <c:pt idx="53">
                  <c:v>3.3525874366472408</c:v>
                </c:pt>
                <c:pt idx="54">
                  <c:v>3.5335185672739353</c:v>
                </c:pt>
                <c:pt idx="55">
                  <c:v>3.7144703072774448</c:v>
                </c:pt>
                <c:pt idx="56">
                  <c:v>3.8954426618945606</c:v>
                </c:pt>
                <c:pt idx="57">
                  <c:v>4.0764356363638328</c:v>
                </c:pt>
                <c:pt idx="58">
                  <c:v>4.257449235925602</c:v>
                </c:pt>
                <c:pt idx="59">
                  <c:v>4.4384834658219825</c:v>
                </c:pt>
                <c:pt idx="60">
                  <c:v>4.6195383312968668</c:v>
                </c:pt>
                <c:pt idx="61">
                  <c:v>4.8006138375959253</c:v>
                </c:pt>
                <c:pt idx="62">
                  <c:v>4.9817099899666131</c:v>
                </c:pt>
                <c:pt idx="63">
                  <c:v>5.1628267936581569</c:v>
                </c:pt>
                <c:pt idx="64">
                  <c:v>5.3439642539215768</c:v>
                </c:pt>
                <c:pt idx="65">
                  <c:v>5.525122376009663</c:v>
                </c:pt>
                <c:pt idx="66">
                  <c:v>5.706301165176999</c:v>
                </c:pt>
                <c:pt idx="67">
                  <c:v>5.8875006266799401</c:v>
                </c:pt>
                <c:pt idx="68">
                  <c:v>6.0687207657766287</c:v>
                </c:pt>
                <c:pt idx="69">
                  <c:v>6.2499615877269994</c:v>
                </c:pt>
                <c:pt idx="70">
                  <c:v>6.4312230977927634</c:v>
                </c:pt>
                <c:pt idx="71">
                  <c:v>6.6125053012374204</c:v>
                </c:pt>
                <c:pt idx="72">
                  <c:v>6.7938082033262583</c:v>
                </c:pt>
                <c:pt idx="73">
                  <c:v>6.9751318093263475</c:v>
                </c:pt>
                <c:pt idx="74">
                  <c:v>7.1564761245065487</c:v>
                </c:pt>
                <c:pt idx="75">
                  <c:v>7.3378411541375153</c:v>
                </c:pt>
                <c:pt idx="76">
                  <c:v>7.5192269034916785</c:v>
                </c:pt>
                <c:pt idx="77">
                  <c:v>7.7006333778432783</c:v>
                </c:pt>
                <c:pt idx="78">
                  <c:v>7.8820605824683287</c:v>
                </c:pt>
                <c:pt idx="79">
                  <c:v>8.0635085226446392</c:v>
                </c:pt>
                <c:pt idx="80">
                  <c:v>8.2449772036518141</c:v>
                </c:pt>
                <c:pt idx="81">
                  <c:v>8.4264666307712552</c:v>
                </c:pt>
                <c:pt idx="82">
                  <c:v>8.6079768092861393</c:v>
                </c:pt>
                <c:pt idx="83">
                  <c:v>8.7895077444814671</c:v>
                </c:pt>
                <c:pt idx="84">
                  <c:v>8.9710594416440124</c:v>
                </c:pt>
                <c:pt idx="85">
                  <c:v>9.1526319060623482</c:v>
                </c:pt>
                <c:pt idx="86">
                  <c:v>9.3342251430268455</c:v>
                </c:pt>
                <c:pt idx="87">
                  <c:v>9.5158391578296762</c:v>
                </c:pt>
                <c:pt idx="88">
                  <c:v>9.6974739557648117</c:v>
                </c:pt>
                <c:pt idx="89">
                  <c:v>9.8791295421280125</c:v>
                </c:pt>
                <c:pt idx="90">
                  <c:v>10.060805922216849</c:v>
                </c:pt>
                <c:pt idx="91">
                  <c:v>10.242503101330684</c:v>
                </c:pt>
                <c:pt idx="92">
                  <c:v>10.424221084770688</c:v>
                </c:pt>
                <c:pt idx="93">
                  <c:v>10.605959877839831</c:v>
                </c:pt>
                <c:pt idx="94">
                  <c:v>10.787719485842876</c:v>
                </c:pt>
                <c:pt idx="95">
                  <c:v>10.96949991408642</c:v>
                </c:pt>
                <c:pt idx="96">
                  <c:v>11.15130116787882</c:v>
                </c:pt>
                <c:pt idx="97">
                  <c:v>11.333123252530276</c:v>
                </c:pt>
                <c:pt idx="98">
                  <c:v>11.514966173352772</c:v>
                </c:pt>
                <c:pt idx="99">
                  <c:v>11.696829935660103</c:v>
                </c:pt>
                <c:pt idx="100">
                  <c:v>11.878714544767877</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1.0607113908939052</c:v>
                </c:pt>
                <c:pt idx="42">
                  <c:v>1.0621982751409278</c:v>
                </c:pt>
                <c:pt idx="43">
                  <c:v>1.3320885581304882</c:v>
                </c:pt>
                <c:pt idx="44">
                  <c:v>1.5077518516210184</c:v>
                </c:pt>
                <c:pt idx="45">
                  <c:v>1.6834604796253638</c:v>
                </c:pt>
                <c:pt idx="46">
                  <c:v>1.8591853418617275</c:v>
                </c:pt>
                <c:pt idx="47">
                  <c:v>2.0349264417251103</c:v>
                </c:pt>
                <c:pt idx="48">
                  <c:v>2.210683782611476</c:v>
                </c:pt>
                <c:pt idx="49">
                  <c:v>2.3864573679177261</c:v>
                </c:pt>
                <c:pt idx="50">
                  <c:v>2.5622472010417212</c:v>
                </c:pt>
                <c:pt idx="51">
                  <c:v>2.7380532853822732</c:v>
                </c:pt>
                <c:pt idx="52">
                  <c:v>2.9138756243391448</c:v>
                </c:pt>
                <c:pt idx="53">
                  <c:v>3.0897142213130468</c:v>
                </c:pt>
                <c:pt idx="54">
                  <c:v>3.2655690797056458</c:v>
                </c:pt>
                <c:pt idx="55">
                  <c:v>3.4414402029195514</c:v>
                </c:pt>
                <c:pt idx="56">
                  <c:v>3.6173275943583434</c:v>
                </c:pt>
                <c:pt idx="57">
                  <c:v>3.7932312574265294</c:v>
                </c:pt>
                <c:pt idx="58">
                  <c:v>3.9691511955295864</c:v>
                </c:pt>
                <c:pt idx="59">
                  <c:v>4.1450874120739369</c:v>
                </c:pt>
                <c:pt idx="60">
                  <c:v>4.321039910466955</c:v>
                </c:pt>
                <c:pt idx="61">
                  <c:v>4.4970086941169685</c:v>
                </c:pt>
                <c:pt idx="62">
                  <c:v>4.6729937664332635</c:v>
                </c:pt>
                <c:pt idx="63">
                  <c:v>4.8489951308260641</c:v>
                </c:pt>
                <c:pt idx="64">
                  <c:v>5.0250127907065609</c:v>
                </c:pt>
                <c:pt idx="65">
                  <c:v>5.2010467494868964</c:v>
                </c:pt>
                <c:pt idx="66">
                  <c:v>5.377097010580159</c:v>
                </c:pt>
                <c:pt idx="67">
                  <c:v>5.5531635774003973</c:v>
                </c:pt>
                <c:pt idx="68">
                  <c:v>5.7292464533626193</c:v>
                </c:pt>
                <c:pt idx="69">
                  <c:v>5.9053456418827697</c:v>
                </c:pt>
                <c:pt idx="70">
                  <c:v>6.0814611463777721</c:v>
                </c:pt>
                <c:pt idx="71">
                  <c:v>6.2575929702654793</c:v>
                </c:pt>
                <c:pt idx="72">
                  <c:v>6.433741116964721</c:v>
                </c:pt>
                <c:pt idx="73">
                  <c:v>6.6099055898952717</c:v>
                </c:pt>
                <c:pt idx="74">
                  <c:v>6.7860863924778645</c:v>
                </c:pt>
                <c:pt idx="75">
                  <c:v>6.962283528134189</c:v>
                </c:pt>
                <c:pt idx="76">
                  <c:v>7.1384970002868835</c:v>
                </c:pt>
                <c:pt idx="77">
                  <c:v>7.3147268123595577</c:v>
                </c:pt>
                <c:pt idx="78">
                  <c:v>7.4909729677767638</c:v>
                </c:pt>
                <c:pt idx="79">
                  <c:v>7.6672354699640284</c:v>
                </c:pt>
                <c:pt idx="80">
                  <c:v>7.8435143223478168</c:v>
                </c:pt>
                <c:pt idx="81">
                  <c:v>8.0198095283555624</c:v>
                </c:pt>
                <c:pt idx="82">
                  <c:v>8.1961210914156588</c:v>
                </c:pt>
                <c:pt idx="83">
                  <c:v>8.3724490149574464</c:v>
                </c:pt>
                <c:pt idx="84">
                  <c:v>8.5487933024112515</c:v>
                </c:pt>
                <c:pt idx="85">
                  <c:v>8.7251539572083221</c:v>
                </c:pt>
                <c:pt idx="86">
                  <c:v>8.9015309827808977</c:v>
                </c:pt>
                <c:pt idx="87">
                  <c:v>9.0779243825621627</c:v>
                </c:pt>
                <c:pt idx="88">
                  <c:v>9.2543341599862643</c:v>
                </c:pt>
                <c:pt idx="89">
                  <c:v>9.4307603184883053</c:v>
                </c:pt>
                <c:pt idx="90">
                  <c:v>9.6072028615043568</c:v>
                </c:pt>
                <c:pt idx="91">
                  <c:v>9.7836617924714542</c:v>
                </c:pt>
                <c:pt idx="92">
                  <c:v>9.9601371148275888</c:v>
                </c:pt>
                <c:pt idx="93">
                  <c:v>10.1366288320117</c:v>
                </c:pt>
                <c:pt idx="94">
                  <c:v>10.313136947463724</c:v>
                </c:pt>
                <c:pt idx="95">
                  <c:v>10.48966146462452</c:v>
                </c:pt>
                <c:pt idx="96">
                  <c:v>10.666202386935945</c:v>
                </c:pt>
                <c:pt idx="97">
                  <c:v>10.842759717840792</c:v>
                </c:pt>
                <c:pt idx="98">
                  <c:v>11.019333460782841</c:v>
                </c:pt>
                <c:pt idx="99">
                  <c:v>11.195923619206813</c:v>
                </c:pt>
                <c:pt idx="100">
                  <c:v>11.372530196558408</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9.2223478170230953E-7</c:v>
                </c:pt>
                <c:pt idx="1">
                  <c:v>46.682771598688575</c:v>
                </c:pt>
                <c:pt idx="2">
                  <c:v>62.50254503981413</c:v>
                </c:pt>
                <c:pt idx="3">
                  <c:v>70.461994678890107</c:v>
                </c:pt>
                <c:pt idx="4">
                  <c:v>75.253671123169369</c:v>
                </c:pt>
                <c:pt idx="5">
                  <c:v>78.293371314677387</c:v>
                </c:pt>
                <c:pt idx="6">
                  <c:v>80.218171865610643</c:v>
                </c:pt>
                <c:pt idx="7">
                  <c:v>81.651582822287864</c:v>
                </c:pt>
                <c:pt idx="8">
                  <c:v>82.760332238661789</c:v>
                </c:pt>
                <c:pt idx="9">
                  <c:v>83.643384318286579</c:v>
                </c:pt>
                <c:pt idx="10">
                  <c:v>84.363190869927706</c:v>
                </c:pt>
                <c:pt idx="11">
                  <c:v>84.96110816522318</c:v>
                </c:pt>
                <c:pt idx="12">
                  <c:v>85.465610617147149</c:v>
                </c:pt>
                <c:pt idx="13">
                  <c:v>85.896944055386953</c:v>
                </c:pt>
                <c:pt idx="14">
                  <c:v>86.269897840434155</c:v>
                </c:pt>
                <c:pt idx="15">
                  <c:v>86.595527047874427</c:v>
                </c:pt>
                <c:pt idx="16">
                  <c:v>86.882261110163398</c:v>
                </c:pt>
                <c:pt idx="17">
                  <c:v>87.1366396325772</c:v>
                </c:pt>
                <c:pt idx="18">
                  <c:v>87.363813894153424</c:v>
                </c:pt>
                <c:pt idx="19">
                  <c:v>87.567896698120066</c:v>
                </c:pt>
                <c:pt idx="20">
                  <c:v>87.752211505901812</c:v>
                </c:pt>
                <c:pt idx="21">
                  <c:v>87.919473133080103</c:v>
                </c:pt>
                <c:pt idx="22">
                  <c:v>88.071920980618032</c:v>
                </c:pt>
                <c:pt idx="23">
                  <c:v>88.211418737143276</c:v>
                </c:pt>
                <c:pt idx="24">
                  <c:v>88.33953000021269</c:v>
                </c:pt>
                <c:pt idx="25">
                  <c:v>88.457576339622406</c:v>
                </c:pt>
                <c:pt idx="26">
                  <c:v>88.566682381669736</c:v>
                </c:pt>
                <c:pt idx="27">
                  <c:v>88.667811177576482</c:v>
                </c:pt>
                <c:pt idx="28">
                  <c:v>88.761792214146922</c:v>
                </c:pt>
                <c:pt idx="29">
                  <c:v>88.849343792578907</c:v>
                </c:pt>
                <c:pt idx="30">
                  <c:v>88.931091053662243</c:v>
                </c:pt>
                <c:pt idx="31">
                  <c:v>89.00758060645127</c:v>
                </c:pt>
                <c:pt idx="32">
                  <c:v>89.079292484359456</c:v>
                </c:pt>
                <c:pt idx="33">
                  <c:v>89.146649981486206</c:v>
                </c:pt>
                <c:pt idx="34">
                  <c:v>89.210027795055581</c:v>
                </c:pt>
                <c:pt idx="35">
                  <c:v>89.269758804788509</c:v>
                </c:pt>
                <c:pt idx="36">
                  <c:v>89.326139748194151</c:v>
                </c:pt>
                <c:pt idx="37">
                  <c:v>89.379435996014024</c:v>
                </c:pt>
                <c:pt idx="38">
                  <c:v>89.429885589988785</c:v>
                </c:pt>
                <c:pt idx="39">
                  <c:v>89.477702672553363</c:v>
                </c:pt>
                <c:pt idx="40">
                  <c:v>89.523080412680443</c:v>
                </c:pt>
                <c:pt idx="41">
                  <c:v>89.565733110278387</c:v>
                </c:pt>
                <c:pt idx="42">
                  <c:v>89.636861202191255</c:v>
                </c:pt>
                <c:pt idx="43">
                  <c:v>89.63816034271872</c:v>
                </c:pt>
                <c:pt idx="44">
                  <c:v>89.635258604219132</c:v>
                </c:pt>
                <c:pt idx="45">
                  <c:v>89.628413592216802</c:v>
                </c:pt>
                <c:pt idx="46">
                  <c:v>89.617807408235592</c:v>
                </c:pt>
                <c:pt idx="47">
                  <c:v>89.603602349265458</c:v>
                </c:pt>
                <c:pt idx="48">
                  <c:v>89.585942884274189</c:v>
                </c:pt>
                <c:pt idx="49">
                  <c:v>89.564957371982231</c:v>
                </c:pt>
                <c:pt idx="50">
                  <c:v>89.540759556376699</c:v>
                </c:pt>
                <c:pt idx="51">
                  <c:v>89.513449870554851</c:v>
                </c:pt>
                <c:pt idx="52">
                  <c:v>89.483116574632504</c:v>
                </c:pt>
                <c:pt idx="53">
                  <c:v>89.44983674942948</c:v>
                </c:pt>
                <c:pt idx="54">
                  <c:v>89.413677164299202</c:v>
                </c:pt>
                <c:pt idx="55">
                  <c:v>89.374695034674161</c:v>
                </c:pt>
                <c:pt idx="56">
                  <c:v>89.332938682555536</c:v>
                </c:pt>
                <c:pt idx="57">
                  <c:v>89.288448111201092</c:v>
                </c:pt>
                <c:pt idx="58">
                  <c:v>89.24125550359625</c:v>
                </c:pt>
                <c:pt idx="59">
                  <c:v>89.191385652874999</c:v>
                </c:pt>
                <c:pt idx="60">
                  <c:v>89.138856331647602</c:v>
                </c:pt>
                <c:pt idx="61">
                  <c:v>89.083678606153867</c:v>
                </c:pt>
                <c:pt idx="62">
                  <c:v>89.025857100266805</c:v>
                </c:pt>
                <c:pt idx="63">
                  <c:v>88.96539021359456</c:v>
                </c:pt>
                <c:pt idx="64">
                  <c:v>88.902270297252713</c:v>
                </c:pt>
                <c:pt idx="65">
                  <c:v>88.836483790282358</c:v>
                </c:pt>
                <c:pt idx="66">
                  <c:v>88.768011319162014</c:v>
                </c:pt>
                <c:pt idx="67">
                  <c:v>88.696827762389063</c:v>
                </c:pt>
                <c:pt idx="68">
                  <c:v>88.622902281678805</c:v>
                </c:pt>
                <c:pt idx="69">
                  <c:v>88.546198320938501</c:v>
                </c:pt>
                <c:pt idx="70">
                  <c:v>88.466673573810809</c:v>
                </c:pt>
                <c:pt idx="71">
                  <c:v>88.384279920240644</c:v>
                </c:pt>
                <c:pt idx="72">
                  <c:v>88.298963332192997</c:v>
                </c:pt>
                <c:pt idx="73">
                  <c:v>88.210663748333801</c:v>
                </c:pt>
                <c:pt idx="74">
                  <c:v>88.11931491717317</c:v>
                </c:pt>
                <c:pt idx="75">
                  <c:v>88.024844207858848</c:v>
                </c:pt>
                <c:pt idx="76">
                  <c:v>87.927172387486792</c:v>
                </c:pt>
                <c:pt idx="77">
                  <c:v>87.826213363467915</c:v>
                </c:pt>
                <c:pt idx="78">
                  <c:v>87.721873889141989</c:v>
                </c:pt>
                <c:pt idx="79">
                  <c:v>87.614053230462474</c:v>
                </c:pt>
                <c:pt idx="80">
                  <c:v>87.502642791179341</c:v>
                </c:pt>
                <c:pt idx="81">
                  <c:v>87.38752569351675</c:v>
                </c:pt>
                <c:pt idx="82">
                  <c:v>87.268576310870799</c:v>
                </c:pt>
                <c:pt idx="83">
                  <c:v>87.145659748530406</c:v>
                </c:pt>
                <c:pt idx="84">
                  <c:v>87.018631267845038</c:v>
                </c:pt>
                <c:pt idx="85">
                  <c:v>86.887335648613075</c:v>
                </c:pt>
                <c:pt idx="86">
                  <c:v>86.751606483734307</c:v>
                </c:pt>
                <c:pt idx="87">
                  <c:v>86.611265399344319</c:v>
                </c:pt>
                <c:pt idx="88">
                  <c:v>86.466121192711171</c:v>
                </c:pt>
                <c:pt idx="89">
                  <c:v>86.31596887910726</c:v>
                </c:pt>
                <c:pt idx="90">
                  <c:v>86.160588637648019</c:v>
                </c:pt>
                <c:pt idx="91">
                  <c:v>85.999744644688931</c:v>
                </c:pt>
                <c:pt idx="92">
                  <c:v>85.833183781760852</c:v>
                </c:pt>
                <c:pt idx="93">
                  <c:v>85.66063420316398</c:v>
                </c:pt>
                <c:pt idx="94">
                  <c:v>85.481803746187239</c:v>
                </c:pt>
                <c:pt idx="95">
                  <c:v>85.296378164421412</c:v>
                </c:pt>
                <c:pt idx="96">
                  <c:v>85.10401916172377</c:v>
                </c:pt>
                <c:pt idx="97">
                  <c:v>84.904362200993148</c:v>
                </c:pt>
                <c:pt idx="98">
                  <c:v>84.697014057935547</c:v>
                </c:pt>
                <c:pt idx="99">
                  <c:v>84.481550085323704</c:v>
                </c:pt>
                <c:pt idx="100">
                  <c:v>84.257511147744523</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223.45777921457599</c:v>
                </c:pt>
                <c:pt idx="1">
                  <c:v>223.65480164537664</c:v>
                </c:pt>
                <c:pt idx="2">
                  <c:v>223.73644919595486</c:v>
                </c:pt>
                <c:pt idx="3">
                  <c:v>223.79911152139482</c:v>
                </c:pt>
                <c:pt idx="4">
                  <c:v>223.85194638260833</c:v>
                </c:pt>
                <c:pt idx="5">
                  <c:v>241.79455176947897</c:v>
                </c:pt>
                <c:pt idx="6">
                  <c:v>290.35346642343643</c:v>
                </c:pt>
                <c:pt idx="7">
                  <c:v>338.97937108199687</c:v>
                </c:pt>
                <c:pt idx="8">
                  <c:v>387.67240446608469</c:v>
                </c:pt>
                <c:pt idx="9">
                  <c:v>436.43270567990135</c:v>
                </c:pt>
                <c:pt idx="10">
                  <c:v>485.26041421224949</c:v>
                </c:pt>
                <c:pt idx="11">
                  <c:v>534.15566993786365</c:v>
                </c:pt>
                <c:pt idx="12">
                  <c:v>583.11861311874497</c:v>
                </c:pt>
                <c:pt idx="13">
                  <c:v>632.14938440550372</c:v>
                </c:pt>
                <c:pt idx="14">
                  <c:v>681.24812483870517</c:v>
                </c:pt>
                <c:pt idx="15">
                  <c:v>730.41497585022137</c:v>
                </c:pt>
                <c:pt idx="16">
                  <c:v>779.65007926459145</c:v>
                </c:pt>
                <c:pt idx="17">
                  <c:v>828.95357730038256</c:v>
                </c:pt>
                <c:pt idx="18">
                  <c:v>878.32561257156078</c:v>
                </c:pt>
                <c:pt idx="19">
                  <c:v>927.76632808886643</c:v>
                </c:pt>
                <c:pt idx="20">
                  <c:v>977.27586726119307</c:v>
                </c:pt>
                <c:pt idx="21">
                  <c:v>1026.8543738969772</c:v>
                </c:pt>
                <c:pt idx="22">
                  <c:v>1076.5019922055872</c:v>
                </c:pt>
                <c:pt idx="23">
                  <c:v>1126.2188667987236</c:v>
                </c:pt>
                <c:pt idx="24">
                  <c:v>1176.0051426918228</c:v>
                </c:pt>
                <c:pt idx="25">
                  <c:v>1225.8609653054671</c:v>
                </c:pt>
                <c:pt idx="26">
                  <c:v>1275.7864804668002</c:v>
                </c:pt>
                <c:pt idx="27">
                  <c:v>1325.7818344109492</c:v>
                </c:pt>
                <c:pt idx="28">
                  <c:v>1375.8471737824518</c:v>
                </c:pt>
                <c:pt idx="29">
                  <c:v>1425.9826456366916</c:v>
                </c:pt>
                <c:pt idx="30">
                  <c:v>1476.1883974413363</c:v>
                </c:pt>
                <c:pt idx="31">
                  <c:v>1526.464577077785</c:v>
                </c:pt>
                <c:pt idx="32">
                  <c:v>1576.811332842618</c:v>
                </c:pt>
                <c:pt idx="33">
                  <c:v>1627.2288134490573</c:v>
                </c:pt>
                <c:pt idx="34">
                  <c:v>1677.7171680284296</c:v>
                </c:pt>
                <c:pt idx="35">
                  <c:v>1728.2765461316362</c:v>
                </c:pt>
                <c:pt idx="36">
                  <c:v>1778.9070977306312</c:v>
                </c:pt>
                <c:pt idx="37">
                  <c:v>1829.6089732199027</c:v>
                </c:pt>
                <c:pt idx="38">
                  <c:v>1880.382323417964</c:v>
                </c:pt>
                <c:pt idx="39">
                  <c:v>1931.2272995688456</c:v>
                </c:pt>
                <c:pt idx="40">
                  <c:v>1982.1440533435996</c:v>
                </c:pt>
                <c:pt idx="41">
                  <c:v>2033.4695491442685</c:v>
                </c:pt>
                <c:pt idx="42">
                  <c:v>2003.5324395346611</c:v>
                </c:pt>
                <c:pt idx="43">
                  <c:v>2013.6419724900518</c:v>
                </c:pt>
                <c:pt idx="44">
                  <c:v>2024.1182681550333</c:v>
                </c:pt>
                <c:pt idx="45">
                  <c:v>2034.9313489800145</c:v>
                </c:pt>
                <c:pt idx="46">
                  <c:v>2046.0815548933904</c:v>
                </c:pt>
                <c:pt idx="47">
                  <c:v>2057.5695258026972</c:v>
                </c:pt>
                <c:pt idx="48">
                  <c:v>2069.3961814401882</c:v>
                </c:pt>
                <c:pt idx="49">
                  <c:v>2081.5627039254296</c:v>
                </c:pt>
                <c:pt idx="50">
                  <c:v>2094.0705226826835</c:v>
                </c:pt>
                <c:pt idx="51">
                  <c:v>2106.9213014071665</c:v>
                </c:pt>
                <c:pt idx="52">
                  <c:v>2120.1169268210087</c:v>
                </c:pt>
                <c:pt idx="53">
                  <c:v>2133.6594989988098</c:v>
                </c:pt>
                <c:pt idx="54">
                  <c:v>2147.5513230751935</c:v>
                </c:pt>
                <c:pt idx="55">
                  <c:v>2161.7949021742356</c:v>
                </c:pt>
                <c:pt idx="56">
                  <c:v>2176.3929314236602</c:v>
                </c:pt>
                <c:pt idx="57">
                  <c:v>2191.3482929362549</c:v>
                </c:pt>
                <c:pt idx="58">
                  <c:v>2206.6640516574935</c:v>
                </c:pt>
                <c:pt idx="59">
                  <c:v>2222.3434519924585</c:v>
                </c:pt>
                <c:pt idx="60">
                  <c:v>2238.3899151372229</c:v>
                </c:pt>
                <c:pt idx="61">
                  <c:v>2254.807037050145</c:v>
                </c:pt>
                <c:pt idx="62">
                  <c:v>2271.5985870074419</c:v>
                </c:pt>
                <c:pt idx="63">
                  <c:v>2288.7685066950571</c:v>
                </c:pt>
                <c:pt idx="64">
                  <c:v>2306.3209097954787</c:v>
                </c:pt>
                <c:pt idx="65">
                  <c:v>2324.260082033933</c:v>
                </c:pt>
                <c:pt idx="66">
                  <c:v>2342.5904816534103</c:v>
                </c:pt>
                <c:pt idx="67">
                  <c:v>2361.3167402923805</c:v>
                </c:pt>
                <c:pt idx="68">
                  <c:v>2380.4436642429446</c:v>
                </c:pt>
                <c:pt idx="69">
                  <c:v>2399.9762360705536</c:v>
                </c:pt>
                <c:pt idx="70">
                  <c:v>2419.919616579497</c:v>
                </c:pt>
                <c:pt idx="71">
                  <c:v>2440.2791471110281</c:v>
                </c:pt>
                <c:pt idx="72">
                  <c:v>2461.0603521634362</c:v>
                </c:pt>
                <c:pt idx="73">
                  <c:v>2482.2689423255306</c:v>
                </c:pt>
                <c:pt idx="74">
                  <c:v>2503.910817516994</c:v>
                </c:pt>
                <c:pt idx="75">
                  <c:v>2525.9920705308391</c:v>
                </c:pt>
                <c:pt idx="76">
                  <c:v>2548.518990874848</c:v>
                </c:pt>
                <c:pt idx="77">
                  <c:v>2571.4980689104295</c:v>
                </c:pt>
                <c:pt idx="78">
                  <c:v>2594.9360002886892</c:v>
                </c:pt>
                <c:pt idx="79">
                  <c:v>2618.8396906848657</c:v>
                </c:pt>
                <c:pt idx="80">
                  <c:v>2643.2162608335607</c:v>
                </c:pt>
                <c:pt idx="81">
                  <c:v>2668.0730518683263</c:v>
                </c:pt>
                <c:pt idx="82">
                  <c:v>2693.4176309703712</c:v>
                </c:pt>
                <c:pt idx="83">
                  <c:v>2719.2577973322414</c:v>
                </c:pt>
                <c:pt idx="84">
                  <c:v>2745.6015884433882</c:v>
                </c:pt>
                <c:pt idx="85">
                  <c:v>2772.4572867056763</c:v>
                </c:pt>
                <c:pt idx="86">
                  <c:v>2799.8334263878378</c:v>
                </c:pt>
                <c:pt idx="87">
                  <c:v>2827.7388009290289</c:v>
                </c:pt>
                <c:pt idx="88">
                  <c:v>2856.18247060266</c:v>
                </c:pt>
                <c:pt idx="89">
                  <c:v>2885.1737705527526</c:v>
                </c:pt>
                <c:pt idx="90">
                  <c:v>2914.7223192161723</c:v>
                </c:pt>
                <c:pt idx="91">
                  <c:v>2944.8380271452288</c:v>
                </c:pt>
                <c:pt idx="92">
                  <c:v>2975.531106246231</c:v>
                </c:pt>
                <c:pt idx="93">
                  <c:v>3006.8120794508691</c:v>
                </c:pt>
                <c:pt idx="94">
                  <c:v>3038.6917908384189</c:v>
                </c:pt>
                <c:pt idx="95">
                  <c:v>3071.181416228163</c:v>
                </c:pt>
                <c:pt idx="96">
                  <c:v>3104.2924742626742</c:v>
                </c:pt>
                <c:pt idx="97">
                  <c:v>3138.0368380041041</c:v>
                </c:pt>
                <c:pt idx="98">
                  <c:v>3172.4267470670029</c:v>
                </c:pt>
                <c:pt idx="99">
                  <c:v>3207.4748203128779</c:v>
                </c:pt>
                <c:pt idx="100">
                  <c:v>3243.1940691332125</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1349.0260872010872</c:v>
                </c:pt>
                <c:pt idx="1">
                  <c:v>1373.4826086956523</c:v>
                </c:pt>
                <c:pt idx="2">
                  <c:v>1397.9391304347823</c:v>
                </c:pt>
                <c:pt idx="3">
                  <c:v>1422.3956521739133</c:v>
                </c:pt>
                <c:pt idx="4">
                  <c:v>1446.8521739130433</c:v>
                </c:pt>
                <c:pt idx="5">
                  <c:v>1471.4043655797877</c:v>
                </c:pt>
                <c:pt idx="6">
                  <c:v>1496.1200213044413</c:v>
                </c:pt>
                <c:pt idx="7">
                  <c:v>1520.8356770290939</c:v>
                </c:pt>
                <c:pt idx="8">
                  <c:v>1545.5513327537471</c:v>
                </c:pt>
                <c:pt idx="9">
                  <c:v>1570.2669884784</c:v>
                </c:pt>
                <c:pt idx="10">
                  <c:v>1594.9826442030537</c:v>
                </c:pt>
                <c:pt idx="11">
                  <c:v>1619.6982999277068</c:v>
                </c:pt>
                <c:pt idx="12">
                  <c:v>1644.4139556523598</c:v>
                </c:pt>
                <c:pt idx="13">
                  <c:v>1669.1296113770134</c:v>
                </c:pt>
                <c:pt idx="14">
                  <c:v>1693.8452671016662</c:v>
                </c:pt>
                <c:pt idx="15">
                  <c:v>1718.5609228263193</c:v>
                </c:pt>
                <c:pt idx="16">
                  <c:v>1743.2765785509732</c:v>
                </c:pt>
                <c:pt idx="17">
                  <c:v>1767.9922342756258</c:v>
                </c:pt>
                <c:pt idx="18">
                  <c:v>1792.7078900002793</c:v>
                </c:pt>
                <c:pt idx="19">
                  <c:v>1817.4235457249326</c:v>
                </c:pt>
                <c:pt idx="20">
                  <c:v>1842.1392014495855</c:v>
                </c:pt>
                <c:pt idx="21">
                  <c:v>1866.854857174239</c:v>
                </c:pt>
                <c:pt idx="22">
                  <c:v>1891.570512898892</c:v>
                </c:pt>
                <c:pt idx="23">
                  <c:v>1916.2861686235451</c:v>
                </c:pt>
                <c:pt idx="24">
                  <c:v>1941.0018243481984</c:v>
                </c:pt>
                <c:pt idx="25">
                  <c:v>1965.7174800728515</c:v>
                </c:pt>
                <c:pt idx="26">
                  <c:v>1990.4331357975047</c:v>
                </c:pt>
                <c:pt idx="27">
                  <c:v>2015.1487915221585</c:v>
                </c:pt>
                <c:pt idx="28">
                  <c:v>2039.8644472468109</c:v>
                </c:pt>
                <c:pt idx="29">
                  <c:v>2064.5801029714639</c:v>
                </c:pt>
                <c:pt idx="30">
                  <c:v>2089.295758696117</c:v>
                </c:pt>
                <c:pt idx="31">
                  <c:v>2114.0114144207705</c:v>
                </c:pt>
                <c:pt idx="32">
                  <c:v>2138.727070145424</c:v>
                </c:pt>
                <c:pt idx="33">
                  <c:v>2163.4427258700766</c:v>
                </c:pt>
                <c:pt idx="34">
                  <c:v>2188.1583815947301</c:v>
                </c:pt>
                <c:pt idx="35">
                  <c:v>2212.8740373193837</c:v>
                </c:pt>
                <c:pt idx="36">
                  <c:v>2237.5896930440358</c:v>
                </c:pt>
                <c:pt idx="37">
                  <c:v>2262.3053487686898</c:v>
                </c:pt>
                <c:pt idx="38">
                  <c:v>2287.0210044933438</c:v>
                </c:pt>
                <c:pt idx="39">
                  <c:v>2311.7366602179964</c:v>
                </c:pt>
                <c:pt idx="40">
                  <c:v>2336.4523159426508</c:v>
                </c:pt>
                <c:pt idx="41">
                  <c:v>2361.1693929782136</c:v>
                </c:pt>
                <c:pt idx="42">
                  <c:v>2455.4093220810919</c:v>
                </c:pt>
                <c:pt idx="43">
                  <c:v>2559.7209438316031</c:v>
                </c:pt>
                <c:pt idx="44">
                  <c:v>2666.8820618210489</c:v>
                </c:pt>
                <c:pt idx="45">
                  <c:v>2776.9545262758265</c:v>
                </c:pt>
                <c:pt idx="46">
                  <c:v>2890.015102164873</c:v>
                </c:pt>
                <c:pt idx="47">
                  <c:v>3006.1439553109431</c:v>
                </c:pt>
                <c:pt idx="48">
                  <c:v>3125.424822251669</c:v>
                </c:pt>
                <c:pt idx="49">
                  <c:v>3247.945190980472</c:v>
                </c:pt>
                <c:pt idx="50">
                  <c:v>3373.7964933665676</c:v>
                </c:pt>
                <c:pt idx="51">
                  <c:v>3503.0743101220487</c:v>
                </c:pt>
                <c:pt idx="52">
                  <c:v>3635.8785892593482</c:v>
                </c:pt>
                <c:pt idx="53">
                  <c:v>3772.3138790653384</c:v>
                </c:pt>
                <c:pt idx="54">
                  <c:v>3912.4895767092698</c:v>
                </c:pt>
                <c:pt idx="55">
                  <c:v>4056.520193701991</c:v>
                </c:pt>
                <c:pt idx="56">
                  <c:v>4204.5256395343085</c:v>
                </c:pt>
                <c:pt idx="57">
                  <c:v>4356.6315249439422</c:v>
                </c:pt>
                <c:pt idx="58">
                  <c:v>4512.9694863951891</c:v>
                </c:pt>
                <c:pt idx="59">
                  <c:v>4673.6775335036373</c:v>
                </c:pt>
                <c:pt idx="60">
                  <c:v>4838.9004213029111</c:v>
                </c:pt>
                <c:pt idx="61">
                  <c:v>5008.7900494323576</c:v>
                </c:pt>
                <c:pt idx="62">
                  <c:v>5183.5058905266242</c:v>
                </c:pt>
                <c:pt idx="63">
                  <c:v>5363.2154503123038</c:v>
                </c:pt>
                <c:pt idx="64">
                  <c:v>5548.0947621662408</c:v>
                </c:pt>
                <c:pt idx="65">
                  <c:v>5738.3289191675913</c:v>
                </c:pt>
                <c:pt idx="66">
                  <c:v>5934.1126469853416</c:v>
                </c:pt>
                <c:pt idx="67">
                  <c:v>6135.6509212882038</c:v>
                </c:pt>
                <c:pt idx="68">
                  <c:v>6343.1596337500823</c:v>
                </c:pt>
                <c:pt idx="69">
                  <c:v>6556.8663111562164</c:v>
                </c:pt>
                <c:pt idx="70">
                  <c:v>6777.0108925997001</c:v>
                </c:pt>
                <c:pt idx="71">
                  <c:v>7003.8465703015718</c:v>
                </c:pt>
                <c:pt idx="72">
                  <c:v>7237.640700199192</c:v>
                </c:pt>
                <c:pt idx="73">
                  <c:v>7478.6757891356738</c:v>
                </c:pt>
                <c:pt idx="74">
                  <c:v>7727.2505662595586</c:v>
                </c:pt>
                <c:pt idx="75">
                  <c:v>7983.681147120602</c:v>
                </c:pt>
                <c:pt idx="76">
                  <c:v>8248.3022999398472</c:v>
                </c:pt>
                <c:pt idx="77">
                  <c:v>8521.4688246565747</c:v>
                </c:pt>
                <c:pt idx="78">
                  <c:v>8803.5570566316528</c:v>
                </c:pt>
                <c:pt idx="79">
                  <c:v>9094.9665083394757</c:v>
                </c:pt>
                <c:pt idx="80">
                  <c:v>9396.1216640358107</c:v>
                </c:pt>
                <c:pt idx="81">
                  <c:v>9707.4739442794253</c:v>
                </c:pt>
                <c:pt idx="82">
                  <c:v>10029.503859347826</c:v>
                </c:pt>
                <c:pt idx="83">
                  <c:v>10362.723373067343</c:v>
                </c:pt>
                <c:pt idx="84">
                  <c:v>10707.678501426253</c:v>
                </c:pt>
                <c:pt idx="85">
                  <c:v>11064.952173620246</c:v>
                </c:pt>
                <c:pt idx="86">
                  <c:v>11435.167386964657</c:v>
                </c:pt>
                <c:pt idx="87">
                  <c:v>11818.990691486753</c:v>
                </c:pt>
                <c:pt idx="88">
                  <c:v>12217.136045088047</c:v>
                </c:pt>
                <c:pt idx="89">
                  <c:v>12630.369086068009</c:v>
                </c:pt>
                <c:pt idx="90">
                  <c:v>13059.511876677239</c:v>
                </c:pt>
                <c:pt idx="91">
                  <c:v>13505.448179403202</c:v>
                </c:pt>
                <c:pt idx="92">
                  <c:v>13969.12933710632</c:v>
                </c:pt>
                <c:pt idx="93">
                  <c:v>14451.580839185173</c:v>
                </c:pt>
                <c:pt idx="94">
                  <c:v>14953.909668985822</c:v>
                </c:pt>
                <c:pt idx="95">
                  <c:v>15477.312543078619</c:v>
                </c:pt>
                <c:pt idx="96">
                  <c:v>16023.085171297818</c:v>
                </c:pt>
                <c:pt idx="97">
                  <c:v>16592.632688179059</c:v>
                </c:pt>
                <c:pt idx="98">
                  <c:v>17187.481432380991</c:v>
                </c:pt>
                <c:pt idx="99">
                  <c:v>17809.292281771712</c:v>
                </c:pt>
                <c:pt idx="100">
                  <c:v>18459.875789251419</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106.25914717344631</c:v>
                </c:pt>
                <c:pt idx="42">
                  <c:v>102.0917831431796</c:v>
                </c:pt>
                <c:pt idx="43">
                  <c:v>99.775971510877127</c:v>
                </c:pt>
                <c:pt idx="44">
                  <c:v>97.564099797175928</c:v>
                </c:pt>
                <c:pt idx="45">
                  <c:v>95.448662100497046</c:v>
                </c:pt>
                <c:pt idx="46">
                  <c:v>93.423486098620884</c:v>
                </c:pt>
                <c:pt idx="47">
                  <c:v>91.482915217094217</c:v>
                </c:pt>
                <c:pt idx="48">
                  <c:v>89.621755862840004</c:v>
                </c:pt>
                <c:pt idx="49">
                  <c:v>87.835231006131082</c:v>
                </c:pt>
                <c:pt idx="50">
                  <c:v>86.118939237370896</c:v>
                </c:pt>
                <c:pt idx="51">
                  <c:v>84.468818559853403</c:v>
                </c:pt>
                <c:pt idx="52">
                  <c:v>82.881114291468194</c:v>
                </c:pt>
                <c:pt idx="53">
                  <c:v>81.352350541432074</c:v>
                </c:pt>
                <c:pt idx="54">
                  <c:v>79.879304805973447</c:v>
                </c:pt>
                <c:pt idx="55">
                  <c:v>78.458985292199102</c:v>
                </c:pt>
                <c:pt idx="56">
                  <c:v>77.088610634342245</c:v>
                </c:pt>
                <c:pt idx="57">
                  <c:v>75.765591713012839</c:v>
                </c:pt>
                <c:pt idx="58">
                  <c:v>74.487515327392856</c:v>
                </c:pt>
                <c:pt idx="59">
                  <c:v>73.252129503734309</c:v>
                </c:pt>
                <c:pt idx="60">
                  <c:v>72.057330251988617</c:v>
                </c:pt>
                <c:pt idx="61">
                  <c:v>70.901149606727614</c:v>
                </c:pt>
                <c:pt idx="62">
                  <c:v>69.781744809363957</c:v>
                </c:pt>
                <c:pt idx="63">
                  <c:v>68.69738850658895</c:v>
                </c:pt>
                <c:pt idx="64">
                  <c:v>67.646459855370935</c:v>
                </c:pt>
                <c:pt idx="65">
                  <c:v>66.627436438175764</c:v>
                </c:pt>
                <c:pt idx="66">
                  <c:v>65.638886903595377</c:v>
                </c:pt>
                <c:pt idx="67">
                  <c:v>64.67946425756837</c:v>
                </c:pt>
                <c:pt idx="68">
                  <c:v>63.747899739066554</c:v>
                </c:pt>
                <c:pt idx="69">
                  <c:v>62.842997221692691</c:v>
                </c:pt>
                <c:pt idx="70">
                  <c:v>61.963628089245148</c:v>
                </c:pt>
                <c:pt idx="71">
                  <c:v>61.108726539085779</c:v>
                </c:pt>
                <c:pt idx="72">
                  <c:v>60.277285272216623</c:v>
                </c:pt>
                <c:pt idx="73">
                  <c:v>59.468351533420744</c:v>
                </c:pt>
                <c:pt idx="74">
                  <c:v>58.681023468738196</c:v>
                </c:pt>
                <c:pt idx="75">
                  <c:v>57.914446770999191</c:v>
                </c:pt>
                <c:pt idx="76">
                  <c:v>57.167811587183323</c:v>
                </c:pt>
                <c:pt idx="77">
                  <c:v>56.440349664068798</c:v>
                </c:pt>
                <c:pt idx="78">
                  <c:v>55.731331711022904</c:v>
                </c:pt>
                <c:pt idx="79">
                  <c:v>55.040064960902697</c:v>
                </c:pt>
                <c:pt idx="80">
                  <c:v>54.365890911918534</c:v>
                </c:pt>
                <c:pt idx="81">
                  <c:v>53.708183234987466</c:v>
                </c:pt>
                <c:pt idx="82">
                  <c:v>53.066345832598273</c:v>
                </c:pt>
                <c:pt idx="83">
                  <c:v>52.439811036542267</c:v>
                </c:pt>
                <c:pt idx="84">
                  <c:v>51.828037933056784</c:v>
                </c:pt>
                <c:pt idx="85">
                  <c:v>51.230510804994942</c:v>
                </c:pt>
                <c:pt idx="86">
                  <c:v>50.646737681591496</c:v>
                </c:pt>
                <c:pt idx="87">
                  <c:v>50.076248987253706</c:v>
                </c:pt>
                <c:pt idx="88">
                  <c:v>49.518596281577331</c:v>
                </c:pt>
                <c:pt idx="89">
                  <c:v>48.973351083482363</c:v>
                </c:pt>
                <c:pt idx="90">
                  <c:v>48.440103772988103</c:v>
                </c:pt>
                <c:pt idx="91">
                  <c:v>47.918462564712819</c:v>
                </c:pt>
                <c:pt idx="92">
                  <c:v>47.408052547690708</c:v>
                </c:pt>
                <c:pt idx="93">
                  <c:v>46.908514786562051</c:v>
                </c:pt>
                <c:pt idx="94">
                  <c:v>46.419505479607139</c:v>
                </c:pt>
                <c:pt idx="95">
                  <c:v>45.940695169474054</c:v>
                </c:pt>
                <c:pt idx="96">
                  <c:v>45.471768002792807</c:v>
                </c:pt>
                <c:pt idx="97">
                  <c:v>45.012421035178505</c:v>
                </c:pt>
                <c:pt idx="98">
                  <c:v>44.562363578411052</c:v>
                </c:pt>
                <c:pt idx="99">
                  <c:v>44.121316586834382</c:v>
                </c:pt>
                <c:pt idx="100">
                  <c:v>43.689012080254045</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10.221035998444799</c:v>
                </c:pt>
                <c:pt idx="43">
                  <c:v>10.464951468632131</c:v>
                </c:pt>
                <c:pt idx="44">
                  <c:v>10.708930656694797</c:v>
                </c:pt>
                <c:pt idx="45">
                  <c:v>10.952937596851436</c:v>
                </c:pt>
                <c:pt idx="46">
                  <c:v>11.196972296147743</c:v>
                </c:pt>
                <c:pt idx="47">
                  <c:v>11.4410347616318</c:v>
                </c:pt>
                <c:pt idx="48">
                  <c:v>11.685125000354098</c:v>
                </c:pt>
                <c:pt idx="49">
                  <c:v>11.929243019367517</c:v>
                </c:pt>
                <c:pt idx="50">
                  <c:v>12.17338882572732</c:v>
                </c:pt>
                <c:pt idx="51">
                  <c:v>12.417562426491191</c:v>
                </c:pt>
                <c:pt idx="52">
                  <c:v>12.661763828719188</c:v>
                </c:pt>
                <c:pt idx="53">
                  <c:v>12.905993039473776</c:v>
                </c:pt>
                <c:pt idx="54">
                  <c:v>13.150250065819813</c:v>
                </c:pt>
                <c:pt idx="55">
                  <c:v>13.39453491482455</c:v>
                </c:pt>
                <c:pt idx="56">
                  <c:v>13.638847593557657</c:v>
                </c:pt>
                <c:pt idx="57">
                  <c:v>13.883188109091174</c:v>
                </c:pt>
                <c:pt idx="58">
                  <c:v>14.127556468499563</c:v>
                </c:pt>
                <c:pt idx="59">
                  <c:v>14.371952678859676</c:v>
                </c:pt>
                <c:pt idx="60">
                  <c:v>14.61637674725077</c:v>
                </c:pt>
                <c:pt idx="61">
                  <c:v>14.8608286807545</c:v>
                </c:pt>
                <c:pt idx="62">
                  <c:v>15.105308486454927</c:v>
                </c:pt>
                <c:pt idx="63">
                  <c:v>15.349816171438512</c:v>
                </c:pt>
                <c:pt idx="64">
                  <c:v>15.594351742794128</c:v>
                </c:pt>
                <c:pt idx="65">
                  <c:v>15.838915207613045</c:v>
                </c:pt>
                <c:pt idx="66">
                  <c:v>16.083506572988949</c:v>
                </c:pt>
                <c:pt idx="67">
                  <c:v>16.328125846017919</c:v>
                </c:pt>
                <c:pt idx="68">
                  <c:v>16.572773033798448</c:v>
                </c:pt>
                <c:pt idx="69">
                  <c:v>16.817448143431449</c:v>
                </c:pt>
                <c:pt idx="70">
                  <c:v>17.06215118202023</c:v>
                </c:pt>
                <c:pt idx="71">
                  <c:v>17.306882156670518</c:v>
                </c:pt>
                <c:pt idx="72">
                  <c:v>17.551641074490448</c:v>
                </c:pt>
                <c:pt idx="73">
                  <c:v>17.796427942590569</c:v>
                </c:pt>
                <c:pt idx="74">
                  <c:v>18.041242768083841</c:v>
                </c:pt>
                <c:pt idx="75">
                  <c:v>18.286085558085645</c:v>
                </c:pt>
                <c:pt idx="76">
                  <c:v>18.530956319713766</c:v>
                </c:pt>
                <c:pt idx="77">
                  <c:v>18.775855060088425</c:v>
                </c:pt>
                <c:pt idx="78">
                  <c:v>19.020781786332243</c:v>
                </c:pt>
                <c:pt idx="79">
                  <c:v>19.265736505570263</c:v>
                </c:pt>
                <c:pt idx="80">
                  <c:v>19.51071922492995</c:v>
                </c:pt>
                <c:pt idx="81">
                  <c:v>19.755729951541195</c:v>
                </c:pt>
                <c:pt idx="82">
                  <c:v>20.00076869253629</c:v>
                </c:pt>
                <c:pt idx="83">
                  <c:v>20.245835455049981</c:v>
                </c:pt>
                <c:pt idx="84">
                  <c:v>20.490930246219417</c:v>
                </c:pt>
                <c:pt idx="85">
                  <c:v>20.73605307318417</c:v>
                </c:pt>
                <c:pt idx="86">
                  <c:v>20.981203943086243</c:v>
                </c:pt>
                <c:pt idx="87">
                  <c:v>21.226382863070064</c:v>
                </c:pt>
                <c:pt idx="88">
                  <c:v>21.471589840282498</c:v>
                </c:pt>
                <c:pt idx="89">
                  <c:v>21.716824881872817</c:v>
                </c:pt>
                <c:pt idx="90">
                  <c:v>21.962087994992746</c:v>
                </c:pt>
                <c:pt idx="91">
                  <c:v>22.207379186796423</c:v>
                </c:pt>
                <c:pt idx="92">
                  <c:v>22.452698464440431</c:v>
                </c:pt>
                <c:pt idx="93">
                  <c:v>22.698045835083775</c:v>
                </c:pt>
                <c:pt idx="94">
                  <c:v>22.943421305887885</c:v>
                </c:pt>
                <c:pt idx="95">
                  <c:v>23.188824884016668</c:v>
                </c:pt>
                <c:pt idx="96">
                  <c:v>23.434256576636407</c:v>
                </c:pt>
                <c:pt idx="97">
                  <c:v>23.679716390915875</c:v>
                </c:pt>
                <c:pt idx="98">
                  <c:v>23.925204334026244</c:v>
                </c:pt>
                <c:pt idx="99">
                  <c:v>24.17072041314114</c:v>
                </c:pt>
                <c:pt idx="100">
                  <c:v>24.416264635436637</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106.25914717344631</c:v>
                </c:pt>
                <c:pt idx="42">
                  <c:v>102.0917831431796</c:v>
                </c:pt>
                <c:pt idx="43">
                  <c:v>99.775971510877127</c:v>
                </c:pt>
                <c:pt idx="44">
                  <c:v>97.564099797175928</c:v>
                </c:pt>
                <c:pt idx="45">
                  <c:v>95.448662100497046</c:v>
                </c:pt>
                <c:pt idx="46">
                  <c:v>93.423486098620884</c:v>
                </c:pt>
                <c:pt idx="47">
                  <c:v>91.482915217094217</c:v>
                </c:pt>
                <c:pt idx="48">
                  <c:v>89.621755862840004</c:v>
                </c:pt>
                <c:pt idx="49">
                  <c:v>87.835231006131082</c:v>
                </c:pt>
                <c:pt idx="50">
                  <c:v>86.118939237370896</c:v>
                </c:pt>
                <c:pt idx="51">
                  <c:v>84.468818559853403</c:v>
                </c:pt>
                <c:pt idx="52">
                  <c:v>82.881114291468194</c:v>
                </c:pt>
                <c:pt idx="53">
                  <c:v>81.352350541432074</c:v>
                </c:pt>
                <c:pt idx="54">
                  <c:v>79.879304805973447</c:v>
                </c:pt>
                <c:pt idx="55">
                  <c:v>78.458985292199102</c:v>
                </c:pt>
                <c:pt idx="56">
                  <c:v>77.088610634342245</c:v>
                </c:pt>
                <c:pt idx="57">
                  <c:v>75.765591713012839</c:v>
                </c:pt>
                <c:pt idx="58">
                  <c:v>74.487515327392856</c:v>
                </c:pt>
                <c:pt idx="59">
                  <c:v>73.252129503734309</c:v>
                </c:pt>
                <c:pt idx="60">
                  <c:v>72.057330251988617</c:v>
                </c:pt>
                <c:pt idx="61">
                  <c:v>70.901149606727614</c:v>
                </c:pt>
                <c:pt idx="62">
                  <c:v>69.781744809363957</c:v>
                </c:pt>
                <c:pt idx="63">
                  <c:v>68.69738850658895</c:v>
                </c:pt>
                <c:pt idx="64">
                  <c:v>67.646459855370935</c:v>
                </c:pt>
                <c:pt idx="65">
                  <c:v>66.627436438175764</c:v>
                </c:pt>
                <c:pt idx="66">
                  <c:v>65.638886903595377</c:v>
                </c:pt>
                <c:pt idx="67">
                  <c:v>64.67946425756837</c:v>
                </c:pt>
                <c:pt idx="68">
                  <c:v>63.747899739066554</c:v>
                </c:pt>
                <c:pt idx="69">
                  <c:v>62.842997221692691</c:v>
                </c:pt>
                <c:pt idx="70">
                  <c:v>61.963628089245148</c:v>
                </c:pt>
                <c:pt idx="71">
                  <c:v>61.108726539085779</c:v>
                </c:pt>
                <c:pt idx="72">
                  <c:v>60.277285272216623</c:v>
                </c:pt>
                <c:pt idx="73">
                  <c:v>59.468351533420744</c:v>
                </c:pt>
                <c:pt idx="74">
                  <c:v>58.681023468738196</c:v>
                </c:pt>
                <c:pt idx="75">
                  <c:v>57.914446770999191</c:v>
                </c:pt>
                <c:pt idx="76">
                  <c:v>57.167811587183323</c:v>
                </c:pt>
                <c:pt idx="77">
                  <c:v>56.440349664068798</c:v>
                </c:pt>
                <c:pt idx="78">
                  <c:v>55.731331711022904</c:v>
                </c:pt>
                <c:pt idx="79">
                  <c:v>55.040064960902697</c:v>
                </c:pt>
                <c:pt idx="80">
                  <c:v>54.365890911918534</c:v>
                </c:pt>
                <c:pt idx="81">
                  <c:v>53.708183234987466</c:v>
                </c:pt>
                <c:pt idx="82">
                  <c:v>53.066345832598273</c:v>
                </c:pt>
                <c:pt idx="83">
                  <c:v>52.439811036542267</c:v>
                </c:pt>
                <c:pt idx="84">
                  <c:v>51.828037933056784</c:v>
                </c:pt>
                <c:pt idx="85">
                  <c:v>51.230510804994942</c:v>
                </c:pt>
                <c:pt idx="86">
                  <c:v>50.646737681591496</c:v>
                </c:pt>
                <c:pt idx="87">
                  <c:v>50.076248987253706</c:v>
                </c:pt>
                <c:pt idx="88">
                  <c:v>49.518596281577331</c:v>
                </c:pt>
                <c:pt idx="89">
                  <c:v>48.973351083482363</c:v>
                </c:pt>
                <c:pt idx="90">
                  <c:v>48.440103772988103</c:v>
                </c:pt>
                <c:pt idx="91">
                  <c:v>47.918462564712819</c:v>
                </c:pt>
                <c:pt idx="92">
                  <c:v>47.408052547690708</c:v>
                </c:pt>
                <c:pt idx="93">
                  <c:v>46.908514786562051</c:v>
                </c:pt>
                <c:pt idx="94">
                  <c:v>46.419505479607139</c:v>
                </c:pt>
                <c:pt idx="95">
                  <c:v>45.940695169474054</c:v>
                </c:pt>
                <c:pt idx="96">
                  <c:v>45.471768002792807</c:v>
                </c:pt>
                <c:pt idx="97">
                  <c:v>45.012421035178505</c:v>
                </c:pt>
                <c:pt idx="98">
                  <c:v>44.562363578411052</c:v>
                </c:pt>
                <c:pt idx="99">
                  <c:v>44.121316586834382</c:v>
                </c:pt>
                <c:pt idx="100">
                  <c:v>43.689012080254045</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2.0000003169691232E-2</c:v>
                </c:pt>
                <c:pt idx="1">
                  <c:v>2.0031747221700136E-2</c:v>
                </c:pt>
                <c:pt idx="2">
                  <c:v>2.0044926891218538E-2</c:v>
                </c:pt>
                <c:pt idx="3">
                  <c:v>2.0055051772738239E-2</c:v>
                </c:pt>
                <c:pt idx="4">
                  <c:v>2.0063595392251117E-2</c:v>
                </c:pt>
                <c:pt idx="5">
                  <c:v>2.1668753967525271E-2</c:v>
                </c:pt>
                <c:pt idx="6">
                  <c:v>2.6002504761030325E-2</c:v>
                </c:pt>
                <c:pt idx="7">
                  <c:v>3.0336255554535386E-2</c:v>
                </c:pt>
                <c:pt idx="8">
                  <c:v>3.467000634804044E-2</c:v>
                </c:pt>
                <c:pt idx="9">
                  <c:v>3.9003757141545491E-2</c:v>
                </c:pt>
                <c:pt idx="10">
                  <c:v>4.3337507935050541E-2</c:v>
                </c:pt>
                <c:pt idx="11">
                  <c:v>4.7671258728555613E-2</c:v>
                </c:pt>
                <c:pt idx="12">
                  <c:v>5.200500952206065E-2</c:v>
                </c:pt>
                <c:pt idx="13">
                  <c:v>5.6338760315565721E-2</c:v>
                </c:pt>
                <c:pt idx="14">
                  <c:v>6.0672511109070772E-2</c:v>
                </c:pt>
                <c:pt idx="15">
                  <c:v>6.5006261902575815E-2</c:v>
                </c:pt>
                <c:pt idx="16">
                  <c:v>6.934001269608088E-2</c:v>
                </c:pt>
                <c:pt idx="17">
                  <c:v>7.3673763489585944E-2</c:v>
                </c:pt>
                <c:pt idx="18">
                  <c:v>7.8007514283090981E-2</c:v>
                </c:pt>
                <c:pt idx="19">
                  <c:v>8.2341265076596046E-2</c:v>
                </c:pt>
                <c:pt idx="20">
                  <c:v>8.6675015870101083E-2</c:v>
                </c:pt>
                <c:pt idx="21">
                  <c:v>9.1008766663606161E-2</c:v>
                </c:pt>
                <c:pt idx="22">
                  <c:v>9.5342517457111225E-2</c:v>
                </c:pt>
                <c:pt idx="23">
                  <c:v>9.9676268250616248E-2</c:v>
                </c:pt>
                <c:pt idx="24">
                  <c:v>0.1040100190441213</c:v>
                </c:pt>
                <c:pt idx="25">
                  <c:v>0.10834376983762638</c:v>
                </c:pt>
                <c:pt idx="26">
                  <c:v>0.11267752063113144</c:v>
                </c:pt>
                <c:pt idx="27">
                  <c:v>0.11701127142463648</c:v>
                </c:pt>
                <c:pt idx="28">
                  <c:v>0.12134502221814154</c:v>
                </c:pt>
                <c:pt idx="29">
                  <c:v>0.12567877301164657</c:v>
                </c:pt>
                <c:pt idx="30">
                  <c:v>0.13001252380515163</c:v>
                </c:pt>
                <c:pt idx="31">
                  <c:v>0.1343462745986567</c:v>
                </c:pt>
                <c:pt idx="32">
                  <c:v>0.13868002539216176</c:v>
                </c:pt>
                <c:pt idx="33">
                  <c:v>0.14301377618566682</c:v>
                </c:pt>
                <c:pt idx="34">
                  <c:v>0.14734752697917189</c:v>
                </c:pt>
                <c:pt idx="35">
                  <c:v>0.15168127777267693</c:v>
                </c:pt>
                <c:pt idx="36">
                  <c:v>0.15601502856618196</c:v>
                </c:pt>
                <c:pt idx="37">
                  <c:v>0.16034877935968703</c:v>
                </c:pt>
                <c:pt idx="38">
                  <c:v>0.16468253015319209</c:v>
                </c:pt>
                <c:pt idx="39">
                  <c:v>0.16901628094669716</c:v>
                </c:pt>
                <c:pt idx="40">
                  <c:v>0.17335003174020217</c:v>
                </c:pt>
                <c:pt idx="41">
                  <c:v>0.17771613849530998</c:v>
                </c:pt>
                <c:pt idx="42">
                  <c:v>0.17453685337363262</c:v>
                </c:pt>
                <c:pt idx="43">
                  <c:v>0.17466225421484749</c:v>
                </c:pt>
                <c:pt idx="44">
                  <c:v>0.17478685559840085</c:v>
                </c:pt>
                <c:pt idx="45">
                  <c:v>0.17490806183457439</c:v>
                </c:pt>
                <c:pt idx="46">
                  <c:v>0.17502609039847325</c:v>
                </c:pt>
                <c:pt idx="47">
                  <c:v>0.17514114059340782</c:v>
                </c:pt>
                <c:pt idx="48">
                  <c:v>0.17525339541005808</c:v>
                </c:pt>
                <c:pt idx="49">
                  <c:v>0.17536302316196106</c:v>
                </c:pt>
                <c:pt idx="50">
                  <c:v>0.17547017892809852</c:v>
                </c:pt>
                <c:pt idx="51">
                  <c:v>0.17557500582861868</c:v>
                </c:pt>
                <c:pt idx="52">
                  <c:v>0.17567763615578377</c:v>
                </c:pt>
                <c:pt idx="53">
                  <c:v>0.17577819237895481</c:v>
                </c:pt>
                <c:pt idx="54">
                  <c:v>0.17587678803968487</c:v>
                </c:pt>
                <c:pt idx="55">
                  <c:v>0.17597352855068665</c:v>
                </c:pt>
                <c:pt idx="56">
                  <c:v>0.17606851191050793</c:v>
                </c:pt>
                <c:pt idx="57">
                  <c:v>0.17616182934411007</c:v>
                </c:pt>
                <c:pt idx="58">
                  <c:v>0.17625356587815966</c:v>
                </c:pt>
                <c:pt idx="59">
                  <c:v>0.17634380085866733</c:v>
                </c:pt>
                <c:pt idx="60">
                  <c:v>0.176432608417603</c:v>
                </c:pt>
                <c:pt idx="61">
                  <c:v>0.17652005789426067</c:v>
                </c:pt>
                <c:pt idx="62">
                  <c:v>0.17660621421641098</c:v>
                </c:pt>
                <c:pt idx="63">
                  <c:v>0.17669113824564783</c:v>
                </c:pt>
                <c:pt idx="64">
                  <c:v>0.1767748870907945</c:v>
                </c:pt>
                <c:pt idx="65">
                  <c:v>0.17685751439276098</c:v>
                </c:pt>
                <c:pt idx="66">
                  <c:v>0.17693907058384412</c:v>
                </c:pt>
                <c:pt idx="67">
                  <c:v>0.17701960312410317</c:v>
                </c:pt>
                <c:pt idx="68">
                  <c:v>0.17709915671714377</c:v>
                </c:pt>
                <c:pt idx="69">
                  <c:v>0.17717777350737093</c:v>
                </c:pt>
                <c:pt idx="70">
                  <c:v>0.1772554932605431</c:v>
                </c:pt>
                <c:pt idx="71">
                  <c:v>0.17733235352925258</c:v>
                </c:pt>
                <c:pt idx="72">
                  <c:v>0.17740838980478113</c:v>
                </c:pt>
                <c:pt idx="73">
                  <c:v>0.17748363565662079</c:v>
                </c:pt>
                <c:pt idx="74">
                  <c:v>0.17755812286081435</c:v>
                </c:pt>
                <c:pt idx="75">
                  <c:v>0.17763188151814657</c:v>
                </c:pt>
                <c:pt idx="76">
                  <c:v>0.17770494016310939</c:v>
                </c:pt>
                <c:pt idx="77">
                  <c:v>0.17777732586447204</c:v>
                </c:pt>
                <c:pt idx="78">
                  <c:v>0.17784906431820038</c:v>
                </c:pt>
                <c:pt idx="79">
                  <c:v>0.17792017993339554</c:v>
                </c:pt>
                <c:pt idx="80">
                  <c:v>0.17799069591185693</c:v>
                </c:pt>
                <c:pt idx="81">
                  <c:v>0.1780606343218144</c:v>
                </c:pt>
                <c:pt idx="82">
                  <c:v>0.17813001616632204</c:v>
                </c:pt>
                <c:pt idx="83">
                  <c:v>0.17819886144675889</c:v>
                </c:pt>
                <c:pt idx="84">
                  <c:v>0.17826718922184068</c:v>
                </c:pt>
                <c:pt idx="85">
                  <c:v>0.17833501766250859</c:v>
                </c:pt>
                <c:pt idx="86">
                  <c:v>0.17840236410302623</c:v>
                </c:pt>
                <c:pt idx="87">
                  <c:v>0.17846924508858816</c:v>
                </c:pt>
                <c:pt idx="88">
                  <c:v>0.17853567641971402</c:v>
                </c:pt>
                <c:pt idx="89">
                  <c:v>0.17860167319367895</c:v>
                </c:pt>
                <c:pt idx="90">
                  <c:v>0.17866724984320784</c:v>
                </c:pt>
                <c:pt idx="91">
                  <c:v>0.17873242017264374</c:v>
                </c:pt>
                <c:pt idx="92">
                  <c:v>0.17879719739177788</c:v>
                </c:pt>
                <c:pt idx="93">
                  <c:v>0.17886159414751909</c:v>
                </c:pt>
                <c:pt idx="94">
                  <c:v>0.17892562255355909</c:v>
                </c:pt>
                <c:pt idx="95">
                  <c:v>0.17898929421818144</c:v>
                </c:pt>
                <c:pt idx="96">
                  <c:v>0.17905262027034891</c:v>
                </c:pt>
                <c:pt idx="97">
                  <c:v>0.17911561138419022</c:v>
                </c:pt>
                <c:pt idx="98">
                  <c:v>0.17917827780200168</c:v>
                </c:pt>
                <c:pt idx="99">
                  <c:v>0.17924062935586701</c:v>
                </c:pt>
                <c:pt idx="100">
                  <c:v>0.17930267548799039</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7.578951920134791E-2</c:v>
                </c:pt>
                <c:pt idx="1">
                  <c:v>7.6247394935936602E-2</c:v>
                </c:pt>
                <c:pt idx="2">
                  <c:v>7.6438696930300101E-2</c:v>
                </c:pt>
                <c:pt idx="3">
                  <c:v>7.6586140264596245E-2</c:v>
                </c:pt>
                <c:pt idx="4">
                  <c:v>7.6710883360142507E-2</c:v>
                </c:pt>
                <c:pt idx="5">
                  <c:v>8.2908424475813633E-2</c:v>
                </c:pt>
                <c:pt idx="6">
                  <c:v>9.9490109370976368E-2</c:v>
                </c:pt>
                <c:pt idx="7">
                  <c:v>0.11607179426613913</c:v>
                </c:pt>
                <c:pt idx="8">
                  <c:v>0.13265347916130185</c:v>
                </c:pt>
                <c:pt idx="9">
                  <c:v>0.14923516405646456</c:v>
                </c:pt>
                <c:pt idx="10">
                  <c:v>0.16581684895162727</c:v>
                </c:pt>
                <c:pt idx="11">
                  <c:v>0.18239853384679008</c:v>
                </c:pt>
                <c:pt idx="12">
                  <c:v>0.19898021874195274</c:v>
                </c:pt>
                <c:pt idx="13">
                  <c:v>0.21556190363711553</c:v>
                </c:pt>
                <c:pt idx="14">
                  <c:v>0.23214358853227826</c:v>
                </c:pt>
                <c:pt idx="15">
                  <c:v>0.24872527342744094</c:v>
                </c:pt>
                <c:pt idx="16">
                  <c:v>0.2653069583226037</c:v>
                </c:pt>
                <c:pt idx="17">
                  <c:v>0.28188864321776647</c:v>
                </c:pt>
                <c:pt idx="18">
                  <c:v>0.29847032811292912</c:v>
                </c:pt>
                <c:pt idx="19">
                  <c:v>0.31505201300809188</c:v>
                </c:pt>
                <c:pt idx="20">
                  <c:v>0.33163369790325453</c:v>
                </c:pt>
                <c:pt idx="21">
                  <c:v>0.34821538279841735</c:v>
                </c:pt>
                <c:pt idx="22">
                  <c:v>0.36479706769358017</c:v>
                </c:pt>
                <c:pt idx="23">
                  <c:v>0.38137875258874276</c:v>
                </c:pt>
                <c:pt idx="24">
                  <c:v>0.39796043748390547</c:v>
                </c:pt>
                <c:pt idx="25">
                  <c:v>0.41454212237906829</c:v>
                </c:pt>
                <c:pt idx="26">
                  <c:v>0.43112380727423105</c:v>
                </c:pt>
                <c:pt idx="27">
                  <c:v>0.4477054921693937</c:v>
                </c:pt>
                <c:pt idx="28">
                  <c:v>0.44734544797251452</c:v>
                </c:pt>
                <c:pt idx="29">
                  <c:v>0.44770157153277773</c:v>
                </c:pt>
                <c:pt idx="30">
                  <c:v>0.44810416906712885</c:v>
                </c:pt>
                <c:pt idx="31">
                  <c:v>0.44849430791514933</c:v>
                </c:pt>
                <c:pt idx="32">
                  <c:v>0.44887314601126638</c:v>
                </c:pt>
                <c:pt idx="33">
                  <c:v>0.44924170258171969</c:v>
                </c:pt>
                <c:pt idx="34">
                  <c:v>0.44960087831058504</c:v>
                </c:pt>
                <c:pt idx="35">
                  <c:v>0.44995147208701236</c:v>
                </c:pt>
                <c:pt idx="36">
                  <c:v>0.45029419499129125</c:v>
                </c:pt>
                <c:pt idx="37">
                  <c:v>0.45062968203665366</c:v>
                </c:pt>
                <c:pt idx="38">
                  <c:v>0.45095850207601818</c:v>
                </c:pt>
                <c:pt idx="39">
                  <c:v>0.45128116619976905</c:v>
                </c:pt>
                <c:pt idx="40">
                  <c:v>0.45159813488607942</c:v>
                </c:pt>
                <c:pt idx="41">
                  <c:v>0.45190982411474567</c:v>
                </c:pt>
                <c:pt idx="42">
                  <c:v>0.45221661061568236</c:v>
                </c:pt>
                <c:pt idx="43">
                  <c:v>0.45251883639167867</c:v>
                </c:pt>
                <c:pt idx="44">
                  <c:v>0.45281681262985551</c:v>
                </c:pt>
                <c:pt idx="45">
                  <c:v>0.45311082309609346</c:v>
                </c:pt>
                <c:pt idx="46">
                  <c:v>0.45340112709044594</c:v>
                </c:pt>
                <c:pt idx="47">
                  <c:v>0.45368796202838341</c:v>
                </c:pt>
                <c:pt idx="48">
                  <c:v>0.453971545701992</c:v>
                </c:pt>
                <c:pt idx="49">
                  <c:v>0.45425207826648684</c:v>
                </c:pt>
                <c:pt idx="50">
                  <c:v>0.45452974399019436</c:v>
                </c:pt>
                <c:pt idx="51">
                  <c:v>0.454804712800225</c:v>
                </c:pt>
                <c:pt idx="52">
                  <c:v>0.45507714165113028</c:v>
                </c:pt>
                <c:pt idx="53">
                  <c:v>0.45534717573975497</c:v>
                </c:pt>
                <c:pt idx="54">
                  <c:v>0.45561494958607623</c:v>
                </c:pt>
                <c:pt idx="55">
                  <c:v>0.45588058799696812</c:v>
                </c:pt>
                <c:pt idx="56">
                  <c:v>0.45614420692742119</c:v>
                </c:pt>
                <c:pt idx="57">
                  <c:v>0.45640591425172644</c:v>
                </c:pt>
                <c:pt idx="58">
                  <c:v>0.4566658104554171</c:v>
                </c:pt>
                <c:pt idx="59">
                  <c:v>0.45692398925730576</c:v>
                </c:pt>
                <c:pt idx="60">
                  <c:v>0.45718053816972365</c:v>
                </c:pt>
                <c:pt idx="61">
                  <c:v>0.45743553900400324</c:v>
                </c:pt>
                <c:pt idx="62">
                  <c:v>0.45768906832735184</c:v>
                </c:pt>
                <c:pt idx="63">
                  <c:v>0.45794119787648135</c:v>
                </c:pt>
                <c:pt idx="64">
                  <c:v>0.45819199493269686</c:v>
                </c:pt>
                <c:pt idx="65">
                  <c:v>0.45844152266256827</c:v>
                </c:pt>
                <c:pt idx="66">
                  <c:v>0.45868984042781463</c:v>
                </c:pt>
                <c:pt idx="67">
                  <c:v>0.45893700406759846</c:v>
                </c:pt>
                <c:pt idx="68">
                  <c:v>0.45918306615605592</c:v>
                </c:pt>
                <c:pt idx="69">
                  <c:v>0.45942807623755744</c:v>
                </c:pt>
                <c:pt idx="70">
                  <c:v>0.45967208104191631</c:v>
                </c:pt>
                <c:pt idx="71">
                  <c:v>0.45991512468151025</c:v>
                </c:pt>
                <c:pt idx="72">
                  <c:v>0.46015724883206521</c:v>
                </c:pt>
                <c:pt idx="73">
                  <c:v>0.4603984928986592</c:v>
                </c:pt>
                <c:pt idx="74">
                  <c:v>0.46063889416833731</c:v>
                </c:pt>
                <c:pt idx="75">
                  <c:v>0.46087848795058112</c:v>
                </c:pt>
                <c:pt idx="76">
                  <c:v>0.46111730770674453</c:v>
                </c:pt>
                <c:pt idx="77">
                  <c:v>0.46135538516945646</c:v>
                </c:pt>
                <c:pt idx="78">
                  <c:v>0.46159275045288173</c:v>
                </c:pt>
                <c:pt idx="79">
                  <c:v>0.46182943215465216</c:v>
                </c:pt>
                <c:pt idx="80">
                  <c:v>0.46206545745018807</c:v>
                </c:pt>
                <c:pt idx="81">
                  <c:v>0.46230085218006672</c:v>
                </c:pt>
                <c:pt idx="82">
                  <c:v>0.46253564093102939</c:v>
                </c:pt>
                <c:pt idx="83">
                  <c:v>0.46276984711115898</c:v>
                </c:pt>
                <c:pt idx="84">
                  <c:v>0.46300349301971316</c:v>
                </c:pt>
                <c:pt idx="85">
                  <c:v>0.46323659991205102</c:v>
                </c:pt>
                <c:pt idx="86">
                  <c:v>0.46346918806004916</c:v>
                </c:pt>
                <c:pt idx="87">
                  <c:v>0.46370127680837203</c:v>
                </c:pt>
                <c:pt idx="88">
                  <c:v>0.46393288462692051</c:v>
                </c:pt>
                <c:pt idx="89">
                  <c:v>0.46416402915976129</c:v>
                </c:pt>
                <c:pt idx="90">
                  <c:v>0.46439472727080799</c:v>
                </c:pt>
                <c:pt idx="91">
                  <c:v>0.46462499508650379</c:v>
                </c:pt>
                <c:pt idx="92">
                  <c:v>0.4648548480357314</c:v>
                </c:pt>
                <c:pt idx="93">
                  <c:v>0.46508430088715957</c:v>
                </c:pt>
                <c:pt idx="94">
                  <c:v>0.46531336778421539</c:v>
                </c:pt>
                <c:pt idx="95">
                  <c:v>0.46554206227785705</c:v>
                </c:pt>
                <c:pt idx="96">
                  <c:v>0.46577039735730696</c:v>
                </c:pt>
                <c:pt idx="97">
                  <c:v>0.46599838547889028</c:v>
                </c:pt>
                <c:pt idx="98">
                  <c:v>0.46622603859311601</c:v>
                </c:pt>
                <c:pt idx="99">
                  <c:v>0.46645336817012373</c:v>
                </c:pt>
                <c:pt idx="100">
                  <c:v>0.46668038522360705</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1.6941178744869057E-2</c:v>
                </c:pt>
                <c:pt idx="1">
                  <c:v>1.6963949848029788E-2</c:v>
                </c:pt>
                <c:pt idx="2">
                  <c:v>1.6973400832722373E-2</c:v>
                </c:pt>
                <c:pt idx="3">
                  <c:v>1.6980659971826344E-2</c:v>
                </c:pt>
                <c:pt idx="4">
                  <c:v>1.6986784534652494E-2</c:v>
                </c:pt>
                <c:pt idx="5">
                  <c:v>1.8345061467577882E-2</c:v>
                </c:pt>
                <c:pt idx="6">
                  <c:v>2.2014073761093461E-2</c:v>
                </c:pt>
                <c:pt idx="7">
                  <c:v>2.5683086054609044E-2</c:v>
                </c:pt>
                <c:pt idx="8">
                  <c:v>2.9352098348124619E-2</c:v>
                </c:pt>
                <c:pt idx="9">
                  <c:v>3.3021110641640192E-2</c:v>
                </c:pt>
                <c:pt idx="10">
                  <c:v>3.6690122935155764E-2</c:v>
                </c:pt>
                <c:pt idx="11">
                  <c:v>4.0359135228671357E-2</c:v>
                </c:pt>
                <c:pt idx="12">
                  <c:v>4.4028147522186922E-2</c:v>
                </c:pt>
                <c:pt idx="13">
                  <c:v>4.7697159815702508E-2</c:v>
                </c:pt>
                <c:pt idx="14">
                  <c:v>5.1366172109218088E-2</c:v>
                </c:pt>
                <c:pt idx="15">
                  <c:v>5.5035184402733653E-2</c:v>
                </c:pt>
                <c:pt idx="16">
                  <c:v>5.8704196696249239E-2</c:v>
                </c:pt>
                <c:pt idx="17">
                  <c:v>6.2373208989764818E-2</c:v>
                </c:pt>
                <c:pt idx="18">
                  <c:v>6.6042221283280383E-2</c:v>
                </c:pt>
                <c:pt idx="19">
                  <c:v>6.971123357679597E-2</c:v>
                </c:pt>
                <c:pt idx="20">
                  <c:v>7.3380245870311528E-2</c:v>
                </c:pt>
                <c:pt idx="21">
                  <c:v>7.7049258163827128E-2</c:v>
                </c:pt>
                <c:pt idx="22">
                  <c:v>8.0718270457342714E-2</c:v>
                </c:pt>
                <c:pt idx="23">
                  <c:v>8.4387282750858258E-2</c:v>
                </c:pt>
                <c:pt idx="24">
                  <c:v>8.8056295044373845E-2</c:v>
                </c:pt>
                <c:pt idx="25">
                  <c:v>9.1725307337889431E-2</c:v>
                </c:pt>
                <c:pt idx="26">
                  <c:v>9.5394319631405017E-2</c:v>
                </c:pt>
                <c:pt idx="27">
                  <c:v>9.9063331924920575E-2</c:v>
                </c:pt>
                <c:pt idx="28">
                  <c:v>0.10273234421843618</c:v>
                </c:pt>
                <c:pt idx="29">
                  <c:v>0.10640135651195172</c:v>
                </c:pt>
                <c:pt idx="30">
                  <c:v>0.11007036880546731</c:v>
                </c:pt>
                <c:pt idx="31">
                  <c:v>0.11373938109898289</c:v>
                </c:pt>
                <c:pt idx="32">
                  <c:v>0.11740839339249848</c:v>
                </c:pt>
                <c:pt idx="33">
                  <c:v>0.12107740568601405</c:v>
                </c:pt>
                <c:pt idx="34">
                  <c:v>0.12474641797952964</c:v>
                </c:pt>
                <c:pt idx="35">
                  <c:v>0.12841543027304519</c:v>
                </c:pt>
                <c:pt idx="36">
                  <c:v>0.13208444256656077</c:v>
                </c:pt>
                <c:pt idx="37">
                  <c:v>0.13575345486007634</c:v>
                </c:pt>
                <c:pt idx="38">
                  <c:v>0.13942246715359194</c:v>
                </c:pt>
                <c:pt idx="39">
                  <c:v>0.14309147944710751</c:v>
                </c:pt>
                <c:pt idx="40">
                  <c:v>0.14676049174062306</c:v>
                </c:pt>
                <c:pt idx="41">
                  <c:v>0.1504295040341386</c:v>
                </c:pt>
                <c:pt idx="42">
                  <c:v>0.1541183128744219</c:v>
                </c:pt>
                <c:pt idx="43">
                  <c:v>0.15180844603850494</c:v>
                </c:pt>
                <c:pt idx="44">
                  <c:v>0.15191572623728197</c:v>
                </c:pt>
                <c:pt idx="45">
                  <c:v>0.15202308275924711</c:v>
                </c:pt>
                <c:pt idx="46">
                  <c:v>0.15212752661342219</c:v>
                </c:pt>
                <c:pt idx="47">
                  <c:v>0.15222924026157195</c:v>
                </c:pt>
                <c:pt idx="48">
                  <c:v>0.15232839124620112</c:v>
                </c:pt>
                <c:pt idx="49">
                  <c:v>0.15242513368487912</c:v>
                </c:pt>
                <c:pt idx="50">
                  <c:v>0.15251960958848382</c:v>
                </c:pt>
                <c:pt idx="51">
                  <c:v>0.15261195002710617</c:v>
                </c:pt>
                <c:pt idx="52">
                  <c:v>0.15270227616376475</c:v>
                </c:pt>
                <c:pt idx="53">
                  <c:v>0.15279070017309243</c:v>
                </c:pt>
                <c:pt idx="54">
                  <c:v>0.15287732605965651</c:v>
                </c:pt>
                <c:pt idx="55">
                  <c:v>0.15296225038847527</c:v>
                </c:pt>
                <c:pt idx="56">
                  <c:v>0.15304556293853044</c:v>
                </c:pt>
                <c:pt idx="57">
                  <c:v>0.15312734728858057</c:v>
                </c:pt>
                <c:pt idx="58">
                  <c:v>0.15320768134331922</c:v>
                </c:pt>
                <c:pt idx="59">
                  <c:v>0.1532866378068472</c:v>
                </c:pt>
                <c:pt idx="60">
                  <c:v>0.15336428460951185</c:v>
                </c:pt>
                <c:pt idx="61">
                  <c:v>0.15344068529338653</c:v>
                </c:pt>
                <c:pt idx="62">
                  <c:v>0.15351589936099003</c:v>
                </c:pt>
                <c:pt idx="63">
                  <c:v>0.15358998259127313</c:v>
                </c:pt>
                <c:pt idx="64">
                  <c:v>0.15366298732640099</c:v>
                </c:pt>
                <c:pt idx="65">
                  <c:v>0.15373496273243281</c:v>
                </c:pt>
                <c:pt idx="66">
                  <c:v>0.15380595503662858</c:v>
                </c:pt>
                <c:pt idx="67">
                  <c:v>0.15387600774379265</c:v>
                </c:pt>
                <c:pt idx="68">
                  <c:v>0.15394516183378279</c:v>
                </c:pt>
                <c:pt idx="69">
                  <c:v>0.15401345594207072</c:v>
                </c:pt>
                <c:pt idx="70">
                  <c:v>0.15408092652502633</c:v>
                </c:pt>
                <c:pt idx="71">
                  <c:v>0.154147608011413</c:v>
                </c:pt>
                <c:pt idx="72">
                  <c:v>0.15421353294141774</c:v>
                </c:pt>
                <c:pt idx="73">
                  <c:v>0.15427873209439613</c:v>
                </c:pt>
                <c:pt idx="74">
                  <c:v>0.15434323460638683</c:v>
                </c:pt>
                <c:pt idx="75">
                  <c:v>0.1544070680783389</c:v>
                </c:pt>
                <c:pt idx="76">
                  <c:v>0.1544702586758967</c:v>
                </c:pt>
                <c:pt idx="77">
                  <c:v>0.15453283122150166</c:v>
                </c:pt>
                <c:pt idx="78">
                  <c:v>0.15459480927949132</c:v>
                </c:pt>
                <c:pt idx="79">
                  <c:v>0.1546562152348098</c:v>
                </c:pt>
                <c:pt idx="80">
                  <c:v>0.15471707036588228</c:v>
                </c:pt>
                <c:pt idx="81">
                  <c:v>0.15477739491215159</c:v>
                </c:pt>
                <c:pt idx="82">
                  <c:v>0.15483720813672799</c:v>
                </c:pt>
                <c:pt idx="83">
                  <c:v>0.15489652838455986</c:v>
                </c:pt>
                <c:pt idx="84">
                  <c:v>0.15495537313649438</c:v>
                </c:pt>
                <c:pt idx="85">
                  <c:v>0.1550137590595628</c:v>
                </c:pt>
                <c:pt idx="86">
                  <c:v>0.15507170205379453</c:v>
                </c:pt>
                <c:pt idx="87">
                  <c:v>0.15512921729583667</c:v>
                </c:pt>
                <c:pt idx="88">
                  <c:v>0.15518631927963025</c:v>
                </c:pt>
                <c:pt idx="89">
                  <c:v>0.15524302185437208</c:v>
                </c:pt>
                <c:pt idx="90">
                  <c:v>0.15529933825997147</c:v>
                </c:pt>
                <c:pt idx="91">
                  <c:v>0.15535528116019276</c:v>
                </c:pt>
                <c:pt idx="92">
                  <c:v>0.15541086267365728</c:v>
                </c:pt>
                <c:pt idx="93">
                  <c:v>0.15546609440286546</c:v>
                </c:pt>
                <c:pt idx="94">
                  <c:v>0.15552098746138404</c:v>
                </c:pt>
                <c:pt idx="95">
                  <c:v>0.15557555249933219</c:v>
                </c:pt>
                <c:pt idx="96">
                  <c:v>0.15562979972729105</c:v>
                </c:pt>
                <c:pt idx="97">
                  <c:v>0.1556837389387469</c:v>
                </c:pt>
                <c:pt idx="98">
                  <c:v>0.15573737953117403</c:v>
                </c:pt>
                <c:pt idx="99">
                  <c:v>0.15579073052585107</c:v>
                </c:pt>
                <c:pt idx="100">
                  <c:v>0.15584380058649938</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10.221035998444799</c:v>
                </c:pt>
                <c:pt idx="43">
                  <c:v>10.464951468632131</c:v>
                </c:pt>
                <c:pt idx="44">
                  <c:v>10.708930656694797</c:v>
                </c:pt>
                <c:pt idx="45">
                  <c:v>10.952937596851436</c:v>
                </c:pt>
                <c:pt idx="46">
                  <c:v>11.196972296147743</c:v>
                </c:pt>
                <c:pt idx="47">
                  <c:v>11.4410347616318</c:v>
                </c:pt>
                <c:pt idx="48">
                  <c:v>11.685125000354098</c:v>
                </c:pt>
                <c:pt idx="49">
                  <c:v>11.929243019367517</c:v>
                </c:pt>
                <c:pt idx="50">
                  <c:v>12.17338882572732</c:v>
                </c:pt>
                <c:pt idx="51">
                  <c:v>12.417562426491191</c:v>
                </c:pt>
                <c:pt idx="52">
                  <c:v>12.661763828719188</c:v>
                </c:pt>
                <c:pt idx="53">
                  <c:v>12.905993039473776</c:v>
                </c:pt>
                <c:pt idx="54">
                  <c:v>13.150250065819813</c:v>
                </c:pt>
                <c:pt idx="55">
                  <c:v>13.39453491482455</c:v>
                </c:pt>
                <c:pt idx="56">
                  <c:v>13.638847593557657</c:v>
                </c:pt>
                <c:pt idx="57">
                  <c:v>13.883188109091174</c:v>
                </c:pt>
                <c:pt idx="58">
                  <c:v>14.127556468499563</c:v>
                </c:pt>
                <c:pt idx="59">
                  <c:v>14.371952678859676</c:v>
                </c:pt>
                <c:pt idx="60">
                  <c:v>14.61637674725077</c:v>
                </c:pt>
                <c:pt idx="61">
                  <c:v>14.8608286807545</c:v>
                </c:pt>
                <c:pt idx="62">
                  <c:v>15.105308486454927</c:v>
                </c:pt>
                <c:pt idx="63">
                  <c:v>15.349816171438512</c:v>
                </c:pt>
                <c:pt idx="64">
                  <c:v>15.594351742794128</c:v>
                </c:pt>
                <c:pt idx="65">
                  <c:v>15.838915207613045</c:v>
                </c:pt>
                <c:pt idx="66">
                  <c:v>16.083506572988949</c:v>
                </c:pt>
                <c:pt idx="67">
                  <c:v>16.328125846017919</c:v>
                </c:pt>
                <c:pt idx="68">
                  <c:v>16.572773033798448</c:v>
                </c:pt>
                <c:pt idx="69">
                  <c:v>16.817448143431449</c:v>
                </c:pt>
                <c:pt idx="70">
                  <c:v>17.06215118202023</c:v>
                </c:pt>
                <c:pt idx="71">
                  <c:v>17.306882156670518</c:v>
                </c:pt>
                <c:pt idx="72">
                  <c:v>17.551641074490448</c:v>
                </c:pt>
                <c:pt idx="73">
                  <c:v>17.796427942590569</c:v>
                </c:pt>
                <c:pt idx="74">
                  <c:v>18.041242768083841</c:v>
                </c:pt>
                <c:pt idx="75">
                  <c:v>18.286085558085645</c:v>
                </c:pt>
                <c:pt idx="76">
                  <c:v>18.530956319713766</c:v>
                </c:pt>
                <c:pt idx="77">
                  <c:v>18.775855060088425</c:v>
                </c:pt>
                <c:pt idx="78">
                  <c:v>19.020781786332243</c:v>
                </c:pt>
                <c:pt idx="79">
                  <c:v>19.265736505570263</c:v>
                </c:pt>
                <c:pt idx="80">
                  <c:v>19.51071922492995</c:v>
                </c:pt>
                <c:pt idx="81">
                  <c:v>19.755729951541195</c:v>
                </c:pt>
                <c:pt idx="82">
                  <c:v>20.00076869253629</c:v>
                </c:pt>
                <c:pt idx="83">
                  <c:v>20.245835455049981</c:v>
                </c:pt>
                <c:pt idx="84">
                  <c:v>20.490930246219417</c:v>
                </c:pt>
                <c:pt idx="85">
                  <c:v>20.73605307318417</c:v>
                </c:pt>
                <c:pt idx="86">
                  <c:v>20.981203943086243</c:v>
                </c:pt>
                <c:pt idx="87">
                  <c:v>21.226382863070064</c:v>
                </c:pt>
                <c:pt idx="88">
                  <c:v>21.471589840282498</c:v>
                </c:pt>
                <c:pt idx="89">
                  <c:v>21.716824881872817</c:v>
                </c:pt>
                <c:pt idx="90">
                  <c:v>21.962087994992746</c:v>
                </c:pt>
                <c:pt idx="91">
                  <c:v>22.207379186796423</c:v>
                </c:pt>
                <c:pt idx="92">
                  <c:v>22.452698464440431</c:v>
                </c:pt>
                <c:pt idx="93">
                  <c:v>22.698045835083775</c:v>
                </c:pt>
                <c:pt idx="94">
                  <c:v>22.943421305887885</c:v>
                </c:pt>
                <c:pt idx="95">
                  <c:v>23.188824884016668</c:v>
                </c:pt>
                <c:pt idx="96">
                  <c:v>23.434256576636407</c:v>
                </c:pt>
                <c:pt idx="97">
                  <c:v>23.679716390915875</c:v>
                </c:pt>
                <c:pt idx="98">
                  <c:v>23.925204334026244</c:v>
                </c:pt>
                <c:pt idx="99">
                  <c:v>24.17072041314114</c:v>
                </c:pt>
                <c:pt idx="100">
                  <c:v>24.416264635436637</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1.3831749349822609</c:v>
                </c:pt>
                <c:pt idx="29">
                  <c:v>1.656371417749062</c:v>
                </c:pt>
                <c:pt idx="30">
                  <c:v>1.9306092287139758</c:v>
                </c:pt>
                <c:pt idx="31">
                  <c:v>2.2050549839941715</c:v>
                </c:pt>
                <c:pt idx="32">
                  <c:v>2.4797089854434775</c:v>
                </c:pt>
                <c:pt idx="33">
                  <c:v>2.7545715355005402</c:v>
                </c:pt>
                <c:pt idx="34">
                  <c:v>3.0296429371902001</c:v>
                </c:pt>
                <c:pt idx="35">
                  <c:v>3.3049234941248784</c:v>
                </c:pt>
                <c:pt idx="36">
                  <c:v>3.5804135105059665</c:v>
                </c:pt>
                <c:pt idx="37">
                  <c:v>3.8561132911252294</c:v>
                </c:pt>
                <c:pt idx="38">
                  <c:v>4.1320231413662105</c:v>
                </c:pt>
                <c:pt idx="39">
                  <c:v>4.4081433672056622</c:v>
                </c:pt>
                <c:pt idx="40">
                  <c:v>4.6844742752149626</c:v>
                </c:pt>
                <c:pt idx="41">
                  <c:v>4.9610161725615454</c:v>
                </c:pt>
                <c:pt idx="42">
                  <c:v>5.2377693670103467</c:v>
                </c:pt>
                <c:pt idx="43">
                  <c:v>5.5147341669252299</c:v>
                </c:pt>
                <c:pt idx="44">
                  <c:v>5.7919108812704616</c:v>
                </c:pt>
                <c:pt idx="45">
                  <c:v>6.0692998196121444</c:v>
                </c:pt>
                <c:pt idx="46">
                  <c:v>6.3469012921196839</c:v>
                </c:pt>
                <c:pt idx="47">
                  <c:v>6.6247156095672457</c:v>
                </c:pt>
                <c:pt idx="48">
                  <c:v>6.902743083335249</c:v>
                </c:pt>
                <c:pt idx="49">
                  <c:v>7.1809840254118154</c:v>
                </c:pt>
                <c:pt idx="50">
                  <c:v>7.4594387483942457</c:v>
                </c:pt>
                <c:pt idx="51">
                  <c:v>7.7381075654905311</c:v>
                </c:pt>
                <c:pt idx="52">
                  <c:v>8.0169907905208326</c:v>
                </c:pt>
                <c:pt idx="53">
                  <c:v>8.2960887379189483</c:v>
                </c:pt>
                <c:pt idx="54">
                  <c:v>8.5754017227338473</c:v>
                </c:pt>
                <c:pt idx="55">
                  <c:v>8.8549300606311512</c:v>
                </c:pt>
                <c:pt idx="56">
                  <c:v>9.1346740678946485</c:v>
                </c:pt>
                <c:pt idx="57">
                  <c:v>9.4146340614278081</c:v>
                </c:pt>
                <c:pt idx="58">
                  <c:v>9.6948103587553049</c:v>
                </c:pt>
                <c:pt idx="59">
                  <c:v>9.975203278024507</c:v>
                </c:pt>
                <c:pt idx="60">
                  <c:v>10.25581313800704</c:v>
                </c:pt>
                <c:pt idx="61">
                  <c:v>10.536640258100306</c:v>
                </c:pt>
                <c:pt idx="62">
                  <c:v>10.817684958329009</c:v>
                </c:pt>
                <c:pt idx="63">
                  <c:v>11.098947559346708</c:v>
                </c:pt>
                <c:pt idx="64">
                  <c:v>11.380428382437355</c:v>
                </c:pt>
                <c:pt idx="65">
                  <c:v>11.662127749516833</c:v>
                </c:pt>
                <c:pt idx="66">
                  <c:v>11.944045983134542</c:v>
                </c:pt>
                <c:pt idx="67">
                  <c:v>12.22618340647492</c:v>
                </c:pt>
                <c:pt idx="68">
                  <c:v>12.508540343359025</c:v>
                </c:pt>
                <c:pt idx="69">
                  <c:v>12.791117118246097</c:v>
                </c:pt>
                <c:pt idx="70">
                  <c:v>13.073914056235171</c:v>
                </c:pt>
                <c:pt idx="71">
                  <c:v>13.356931483066559</c:v>
                </c:pt>
                <c:pt idx="72">
                  <c:v>13.640169725123533</c:v>
                </c:pt>
                <c:pt idx="73">
                  <c:v>13.923629109433865</c:v>
                </c:pt>
                <c:pt idx="74">
                  <c:v>14.207309963671396</c:v>
                </c:pt>
                <c:pt idx="75">
                  <c:v>14.491212616157677</c:v>
                </c:pt>
                <c:pt idx="76">
                  <c:v>14.775337395863554</c:v>
                </c:pt>
                <c:pt idx="77">
                  <c:v>15.059684632410773</c:v>
                </c:pt>
                <c:pt idx="78">
                  <c:v>15.344254656073565</c:v>
                </c:pt>
                <c:pt idx="79">
                  <c:v>15.629047797780313</c:v>
                </c:pt>
                <c:pt idx="80">
                  <c:v>15.914064389115131</c:v>
                </c:pt>
                <c:pt idx="81">
                  <c:v>16.1993047623195</c:v>
                </c:pt>
                <c:pt idx="82">
                  <c:v>16.48476925029388</c:v>
                </c:pt>
                <c:pt idx="83">
                  <c:v>16.770458186599409</c:v>
                </c:pt>
                <c:pt idx="84">
                  <c:v>17.056371905459468</c:v>
                </c:pt>
                <c:pt idx="85">
                  <c:v>17.342510741761341</c:v>
                </c:pt>
                <c:pt idx="86">
                  <c:v>17.628875031057905</c:v>
                </c:pt>
                <c:pt idx="87">
                  <c:v>17.91546510956924</c:v>
                </c:pt>
                <c:pt idx="88">
                  <c:v>18.202281314184312</c:v>
                </c:pt>
                <c:pt idx="89">
                  <c:v>18.489323982462622</c:v>
                </c:pt>
                <c:pt idx="90">
                  <c:v>18.776593452635886</c:v>
                </c:pt>
                <c:pt idx="91">
                  <c:v>19.064090063609704</c:v>
                </c:pt>
                <c:pt idx="92">
                  <c:v>19.351814154965254</c:v>
                </c:pt>
                <c:pt idx="93">
                  <c:v>19.639766066960949</c:v>
                </c:pt>
                <c:pt idx="94">
                  <c:v>19.927946140534125</c:v>
                </c:pt>
                <c:pt idx="95">
                  <c:v>20.216354717302799</c:v>
                </c:pt>
                <c:pt idx="96">
                  <c:v>20.504992139567264</c:v>
                </c:pt>
                <c:pt idx="97">
                  <c:v>20.793858750311884</c:v>
                </c:pt>
                <c:pt idx="98">
                  <c:v>21.08295489320675</c:v>
                </c:pt>
                <c:pt idx="99">
                  <c:v>21.372280912609419</c:v>
                </c:pt>
                <c:pt idx="100">
                  <c:v>21.661837153566633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Single'!$AK$5:$AK$105</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1.0607195126705407</c:v>
                </c:pt>
                <c:pt idx="42">
                  <c:v>1.36373036921837</c:v>
                </c:pt>
                <c:pt idx="43">
                  <c:v>1.5444084952830603</c:v>
                </c:pt>
                <c:pt idx="44">
                  <c:v>1.7251338197739234</c:v>
                </c:pt>
                <c:pt idx="45">
                  <c:v>1.9058797013714341</c:v>
                </c:pt>
                <c:pt idx="46">
                  <c:v>2.0866461452946248</c:v>
                </c:pt>
                <c:pt idx="47">
                  <c:v>2.2674331567642958</c:v>
                </c:pt>
                <c:pt idx="48">
                  <c:v>2.448240741003036</c:v>
                </c:pt>
                <c:pt idx="49">
                  <c:v>2.6290689032351979</c:v>
                </c:pt>
                <c:pt idx="50">
                  <c:v>2.8099176486869037</c:v>
                </c:pt>
                <c:pt idx="51">
                  <c:v>2.9907869825860676</c:v>
                </c:pt>
                <c:pt idx="52">
                  <c:v>3.1716769101623616</c:v>
                </c:pt>
                <c:pt idx="53">
                  <c:v>3.3525874366472408</c:v>
                </c:pt>
                <c:pt idx="54">
                  <c:v>3.5335185672739353</c:v>
                </c:pt>
                <c:pt idx="55">
                  <c:v>3.7144703072774448</c:v>
                </c:pt>
                <c:pt idx="56">
                  <c:v>3.8954426618945606</c:v>
                </c:pt>
                <c:pt idx="57">
                  <c:v>4.0764356363638328</c:v>
                </c:pt>
                <c:pt idx="58">
                  <c:v>4.257449235925602</c:v>
                </c:pt>
                <c:pt idx="59">
                  <c:v>4.4384834658219825</c:v>
                </c:pt>
                <c:pt idx="60">
                  <c:v>4.6195383312968668</c:v>
                </c:pt>
                <c:pt idx="61">
                  <c:v>4.8006138375959253</c:v>
                </c:pt>
                <c:pt idx="62">
                  <c:v>4.9817099899666131</c:v>
                </c:pt>
                <c:pt idx="63">
                  <c:v>5.1628267936581569</c:v>
                </c:pt>
                <c:pt idx="64">
                  <c:v>5.3439642539215768</c:v>
                </c:pt>
                <c:pt idx="65">
                  <c:v>5.525122376009663</c:v>
                </c:pt>
                <c:pt idx="66">
                  <c:v>5.706301165176999</c:v>
                </c:pt>
                <c:pt idx="67">
                  <c:v>5.8875006266799401</c:v>
                </c:pt>
                <c:pt idx="68">
                  <c:v>6.0687207657766287</c:v>
                </c:pt>
                <c:pt idx="69">
                  <c:v>6.2499615877269994</c:v>
                </c:pt>
                <c:pt idx="70">
                  <c:v>6.4312230977927634</c:v>
                </c:pt>
                <c:pt idx="71">
                  <c:v>6.6125053012374204</c:v>
                </c:pt>
                <c:pt idx="72">
                  <c:v>6.7938082033262583</c:v>
                </c:pt>
                <c:pt idx="73">
                  <c:v>6.9751318093263475</c:v>
                </c:pt>
                <c:pt idx="74">
                  <c:v>7.1564761245065487</c:v>
                </c:pt>
                <c:pt idx="75">
                  <c:v>7.3378411541375153</c:v>
                </c:pt>
                <c:pt idx="76">
                  <c:v>7.5192269034916785</c:v>
                </c:pt>
                <c:pt idx="77">
                  <c:v>7.7006333778432783</c:v>
                </c:pt>
                <c:pt idx="78">
                  <c:v>7.8820605824683287</c:v>
                </c:pt>
                <c:pt idx="79">
                  <c:v>8.0635085226446392</c:v>
                </c:pt>
                <c:pt idx="80">
                  <c:v>8.2449772036518141</c:v>
                </c:pt>
                <c:pt idx="81">
                  <c:v>8.4264666307712552</c:v>
                </c:pt>
                <c:pt idx="82">
                  <c:v>8.6079768092861393</c:v>
                </c:pt>
                <c:pt idx="83">
                  <c:v>8.7895077444814671</c:v>
                </c:pt>
                <c:pt idx="84">
                  <c:v>8.9710594416440124</c:v>
                </c:pt>
                <c:pt idx="85">
                  <c:v>9.1526319060623482</c:v>
                </c:pt>
                <c:pt idx="86">
                  <c:v>9.3342251430268455</c:v>
                </c:pt>
                <c:pt idx="87">
                  <c:v>9.5158391578296762</c:v>
                </c:pt>
                <c:pt idx="88">
                  <c:v>9.6974739557648117</c:v>
                </c:pt>
                <c:pt idx="89">
                  <c:v>9.8791295421280125</c:v>
                </c:pt>
                <c:pt idx="90">
                  <c:v>10.060805922216849</c:v>
                </c:pt>
                <c:pt idx="91">
                  <c:v>10.242503101330684</c:v>
                </c:pt>
                <c:pt idx="92">
                  <c:v>10.424221084770688</c:v>
                </c:pt>
                <c:pt idx="93">
                  <c:v>10.605959877839831</c:v>
                </c:pt>
                <c:pt idx="94">
                  <c:v>10.787719485842876</c:v>
                </c:pt>
                <c:pt idx="95">
                  <c:v>10.96949991408642</c:v>
                </c:pt>
                <c:pt idx="96">
                  <c:v>11.15130116787882</c:v>
                </c:pt>
                <c:pt idx="97">
                  <c:v>11.333123252530276</c:v>
                </c:pt>
                <c:pt idx="98">
                  <c:v>11.514966173352772</c:v>
                </c:pt>
                <c:pt idx="99">
                  <c:v>11.696829935660103</c:v>
                </c:pt>
                <c:pt idx="100">
                  <c:v>11.878714544767877</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1.0607113908939052</c:v>
                </c:pt>
                <c:pt idx="42">
                  <c:v>1.0621982751409278</c:v>
                </c:pt>
                <c:pt idx="43">
                  <c:v>1.3320885581304882</c:v>
                </c:pt>
                <c:pt idx="44">
                  <c:v>1.5077518516210184</c:v>
                </c:pt>
                <c:pt idx="45">
                  <c:v>1.6834604796253638</c:v>
                </c:pt>
                <c:pt idx="46">
                  <c:v>1.8591853418617275</c:v>
                </c:pt>
                <c:pt idx="47">
                  <c:v>2.0349264417251103</c:v>
                </c:pt>
                <c:pt idx="48">
                  <c:v>2.210683782611476</c:v>
                </c:pt>
                <c:pt idx="49">
                  <c:v>2.3864573679177261</c:v>
                </c:pt>
                <c:pt idx="50">
                  <c:v>2.5622472010417212</c:v>
                </c:pt>
                <c:pt idx="51">
                  <c:v>2.7380532853822732</c:v>
                </c:pt>
                <c:pt idx="52">
                  <c:v>2.9138756243391448</c:v>
                </c:pt>
                <c:pt idx="53">
                  <c:v>3.0897142213130468</c:v>
                </c:pt>
                <c:pt idx="54">
                  <c:v>3.2655690797056458</c:v>
                </c:pt>
                <c:pt idx="55">
                  <c:v>3.4414402029195514</c:v>
                </c:pt>
                <c:pt idx="56">
                  <c:v>3.6173275943583434</c:v>
                </c:pt>
                <c:pt idx="57">
                  <c:v>3.7932312574265294</c:v>
                </c:pt>
                <c:pt idx="58">
                  <c:v>3.9691511955295864</c:v>
                </c:pt>
                <c:pt idx="59">
                  <c:v>4.1450874120739369</c:v>
                </c:pt>
                <c:pt idx="60">
                  <c:v>4.321039910466955</c:v>
                </c:pt>
                <c:pt idx="61">
                  <c:v>4.4970086941169685</c:v>
                </c:pt>
                <c:pt idx="62">
                  <c:v>4.6729937664332635</c:v>
                </c:pt>
                <c:pt idx="63">
                  <c:v>4.8489951308260641</c:v>
                </c:pt>
                <c:pt idx="64">
                  <c:v>5.0250127907065609</c:v>
                </c:pt>
                <c:pt idx="65">
                  <c:v>5.2010467494868964</c:v>
                </c:pt>
                <c:pt idx="66">
                  <c:v>5.377097010580159</c:v>
                </c:pt>
                <c:pt idx="67">
                  <c:v>5.5531635774003973</c:v>
                </c:pt>
                <c:pt idx="68">
                  <c:v>5.7292464533626193</c:v>
                </c:pt>
                <c:pt idx="69">
                  <c:v>5.9053456418827697</c:v>
                </c:pt>
                <c:pt idx="70">
                  <c:v>6.0814611463777721</c:v>
                </c:pt>
                <c:pt idx="71">
                  <c:v>6.2575929702654793</c:v>
                </c:pt>
                <c:pt idx="72">
                  <c:v>6.433741116964721</c:v>
                </c:pt>
                <c:pt idx="73">
                  <c:v>6.6099055898952717</c:v>
                </c:pt>
                <c:pt idx="74">
                  <c:v>6.7860863924778645</c:v>
                </c:pt>
                <c:pt idx="75">
                  <c:v>6.962283528134189</c:v>
                </c:pt>
                <c:pt idx="76">
                  <c:v>7.1384970002868835</c:v>
                </c:pt>
                <c:pt idx="77">
                  <c:v>7.3147268123595577</c:v>
                </c:pt>
                <c:pt idx="78">
                  <c:v>7.4909729677767638</c:v>
                </c:pt>
                <c:pt idx="79">
                  <c:v>7.6672354699640284</c:v>
                </c:pt>
                <c:pt idx="80">
                  <c:v>7.8435143223478168</c:v>
                </c:pt>
                <c:pt idx="81">
                  <c:v>8.0198095283555624</c:v>
                </c:pt>
                <c:pt idx="82">
                  <c:v>8.1961210914156588</c:v>
                </c:pt>
                <c:pt idx="83">
                  <c:v>8.3724490149574464</c:v>
                </c:pt>
                <c:pt idx="84">
                  <c:v>8.5487933024112515</c:v>
                </c:pt>
                <c:pt idx="85">
                  <c:v>8.7251539572083221</c:v>
                </c:pt>
                <c:pt idx="86">
                  <c:v>8.9015309827808977</c:v>
                </c:pt>
                <c:pt idx="87">
                  <c:v>9.0779243825621627</c:v>
                </c:pt>
                <c:pt idx="88">
                  <c:v>9.2543341599862643</c:v>
                </c:pt>
                <c:pt idx="89">
                  <c:v>9.4307603184883053</c:v>
                </c:pt>
                <c:pt idx="90">
                  <c:v>9.6072028615043568</c:v>
                </c:pt>
                <c:pt idx="91">
                  <c:v>9.7836617924714542</c:v>
                </c:pt>
                <c:pt idx="92">
                  <c:v>9.9601371148275888</c:v>
                </c:pt>
                <c:pt idx="93">
                  <c:v>10.1366288320117</c:v>
                </c:pt>
                <c:pt idx="94">
                  <c:v>10.313136947463724</c:v>
                </c:pt>
                <c:pt idx="95">
                  <c:v>10.48966146462452</c:v>
                </c:pt>
                <c:pt idx="96">
                  <c:v>10.666202386935945</c:v>
                </c:pt>
                <c:pt idx="97">
                  <c:v>10.842759717840792</c:v>
                </c:pt>
                <c:pt idx="98">
                  <c:v>11.019333460782841</c:v>
                </c:pt>
                <c:pt idx="99">
                  <c:v>11.195923619206813</c:v>
                </c:pt>
                <c:pt idx="100">
                  <c:v>11.372530196558408</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9.2223478170230953E-7</c:v>
                </c:pt>
                <c:pt idx="1">
                  <c:v>46.682771598688575</c:v>
                </c:pt>
                <c:pt idx="2">
                  <c:v>62.50254503981413</c:v>
                </c:pt>
                <c:pt idx="3">
                  <c:v>70.461994678890107</c:v>
                </c:pt>
                <c:pt idx="4">
                  <c:v>75.253671123169369</c:v>
                </c:pt>
                <c:pt idx="5">
                  <c:v>78.293371314677387</c:v>
                </c:pt>
                <c:pt idx="6">
                  <c:v>80.218171865610643</c:v>
                </c:pt>
                <c:pt idx="7">
                  <c:v>81.651582822287864</c:v>
                </c:pt>
                <c:pt idx="8">
                  <c:v>82.760332238661789</c:v>
                </c:pt>
                <c:pt idx="9">
                  <c:v>83.643384318286579</c:v>
                </c:pt>
                <c:pt idx="10">
                  <c:v>84.363190869927706</c:v>
                </c:pt>
                <c:pt idx="11">
                  <c:v>84.96110816522318</c:v>
                </c:pt>
                <c:pt idx="12">
                  <c:v>85.465610617147149</c:v>
                </c:pt>
                <c:pt idx="13">
                  <c:v>85.896944055386953</c:v>
                </c:pt>
                <c:pt idx="14">
                  <c:v>86.269897840434155</c:v>
                </c:pt>
                <c:pt idx="15">
                  <c:v>86.595527047874427</c:v>
                </c:pt>
                <c:pt idx="16">
                  <c:v>86.882261110163398</c:v>
                </c:pt>
                <c:pt idx="17">
                  <c:v>87.1366396325772</c:v>
                </c:pt>
                <c:pt idx="18">
                  <c:v>87.363813894153424</c:v>
                </c:pt>
                <c:pt idx="19">
                  <c:v>87.567896698120066</c:v>
                </c:pt>
                <c:pt idx="20">
                  <c:v>87.752211505901812</c:v>
                </c:pt>
                <c:pt idx="21">
                  <c:v>87.919473133080103</c:v>
                </c:pt>
                <c:pt idx="22">
                  <c:v>88.071920980618032</c:v>
                </c:pt>
                <c:pt idx="23">
                  <c:v>88.211418737143276</c:v>
                </c:pt>
                <c:pt idx="24">
                  <c:v>88.33953000021269</c:v>
                </c:pt>
                <c:pt idx="25">
                  <c:v>88.457576339622406</c:v>
                </c:pt>
                <c:pt idx="26">
                  <c:v>88.566682381669736</c:v>
                </c:pt>
                <c:pt idx="27">
                  <c:v>88.667811177576482</c:v>
                </c:pt>
                <c:pt idx="28">
                  <c:v>88.761792214146922</c:v>
                </c:pt>
                <c:pt idx="29">
                  <c:v>88.849343792578907</c:v>
                </c:pt>
                <c:pt idx="30">
                  <c:v>88.931091053662243</c:v>
                </c:pt>
                <c:pt idx="31">
                  <c:v>89.00758060645127</c:v>
                </c:pt>
                <c:pt idx="32">
                  <c:v>89.079292484359456</c:v>
                </c:pt>
                <c:pt idx="33">
                  <c:v>89.146649981486206</c:v>
                </c:pt>
                <c:pt idx="34">
                  <c:v>89.210027795055581</c:v>
                </c:pt>
                <c:pt idx="35">
                  <c:v>89.269758804788509</c:v>
                </c:pt>
                <c:pt idx="36">
                  <c:v>89.326139748194151</c:v>
                </c:pt>
                <c:pt idx="37">
                  <c:v>89.379435996014024</c:v>
                </c:pt>
                <c:pt idx="38">
                  <c:v>89.429885589988785</c:v>
                </c:pt>
                <c:pt idx="39">
                  <c:v>89.477702672553363</c:v>
                </c:pt>
                <c:pt idx="40">
                  <c:v>89.523080412680443</c:v>
                </c:pt>
                <c:pt idx="41">
                  <c:v>89.565733110278387</c:v>
                </c:pt>
                <c:pt idx="42">
                  <c:v>89.636861202191255</c:v>
                </c:pt>
                <c:pt idx="43">
                  <c:v>89.63816034271872</c:v>
                </c:pt>
                <c:pt idx="44">
                  <c:v>89.635258604219132</c:v>
                </c:pt>
                <c:pt idx="45">
                  <c:v>89.628413592216802</c:v>
                </c:pt>
                <c:pt idx="46">
                  <c:v>89.617807408235592</c:v>
                </c:pt>
                <c:pt idx="47">
                  <c:v>89.603602349265458</c:v>
                </c:pt>
                <c:pt idx="48">
                  <c:v>89.585942884274189</c:v>
                </c:pt>
                <c:pt idx="49">
                  <c:v>89.564957371982231</c:v>
                </c:pt>
                <c:pt idx="50">
                  <c:v>89.540759556376699</c:v>
                </c:pt>
                <c:pt idx="51">
                  <c:v>89.513449870554851</c:v>
                </c:pt>
                <c:pt idx="52">
                  <c:v>89.483116574632504</c:v>
                </c:pt>
                <c:pt idx="53">
                  <c:v>89.44983674942948</c:v>
                </c:pt>
                <c:pt idx="54">
                  <c:v>89.413677164299202</c:v>
                </c:pt>
                <c:pt idx="55">
                  <c:v>89.374695034674161</c:v>
                </c:pt>
                <c:pt idx="56">
                  <c:v>89.332938682555536</c:v>
                </c:pt>
                <c:pt idx="57">
                  <c:v>89.288448111201092</c:v>
                </c:pt>
                <c:pt idx="58">
                  <c:v>89.24125550359625</c:v>
                </c:pt>
                <c:pt idx="59">
                  <c:v>89.191385652874999</c:v>
                </c:pt>
                <c:pt idx="60">
                  <c:v>89.138856331647602</c:v>
                </c:pt>
                <c:pt idx="61">
                  <c:v>89.083678606153867</c:v>
                </c:pt>
                <c:pt idx="62">
                  <c:v>89.025857100266805</c:v>
                </c:pt>
                <c:pt idx="63">
                  <c:v>88.96539021359456</c:v>
                </c:pt>
                <c:pt idx="64">
                  <c:v>88.902270297252713</c:v>
                </c:pt>
                <c:pt idx="65">
                  <c:v>88.836483790282358</c:v>
                </c:pt>
                <c:pt idx="66">
                  <c:v>88.768011319162014</c:v>
                </c:pt>
                <c:pt idx="67">
                  <c:v>88.696827762389063</c:v>
                </c:pt>
                <c:pt idx="68">
                  <c:v>88.622902281678805</c:v>
                </c:pt>
                <c:pt idx="69">
                  <c:v>88.546198320938501</c:v>
                </c:pt>
                <c:pt idx="70">
                  <c:v>88.466673573810809</c:v>
                </c:pt>
                <c:pt idx="71">
                  <c:v>88.384279920240644</c:v>
                </c:pt>
                <c:pt idx="72">
                  <c:v>88.298963332192997</c:v>
                </c:pt>
                <c:pt idx="73">
                  <c:v>88.210663748333801</c:v>
                </c:pt>
                <c:pt idx="74">
                  <c:v>88.11931491717317</c:v>
                </c:pt>
                <c:pt idx="75">
                  <c:v>88.024844207858848</c:v>
                </c:pt>
                <c:pt idx="76">
                  <c:v>87.927172387486792</c:v>
                </c:pt>
                <c:pt idx="77">
                  <c:v>87.826213363467915</c:v>
                </c:pt>
                <c:pt idx="78">
                  <c:v>87.721873889141989</c:v>
                </c:pt>
                <c:pt idx="79">
                  <c:v>87.614053230462474</c:v>
                </c:pt>
                <c:pt idx="80">
                  <c:v>87.502642791179341</c:v>
                </c:pt>
                <c:pt idx="81">
                  <c:v>87.38752569351675</c:v>
                </c:pt>
                <c:pt idx="82">
                  <c:v>87.268576310870799</c:v>
                </c:pt>
                <c:pt idx="83">
                  <c:v>87.145659748530406</c:v>
                </c:pt>
                <c:pt idx="84">
                  <c:v>87.018631267845038</c:v>
                </c:pt>
                <c:pt idx="85">
                  <c:v>86.887335648613075</c:v>
                </c:pt>
                <c:pt idx="86">
                  <c:v>86.751606483734307</c:v>
                </c:pt>
                <c:pt idx="87">
                  <c:v>86.611265399344319</c:v>
                </c:pt>
                <c:pt idx="88">
                  <c:v>86.466121192711171</c:v>
                </c:pt>
                <c:pt idx="89">
                  <c:v>86.31596887910726</c:v>
                </c:pt>
                <c:pt idx="90">
                  <c:v>86.160588637648019</c:v>
                </c:pt>
                <c:pt idx="91">
                  <c:v>85.999744644688931</c:v>
                </c:pt>
                <c:pt idx="92">
                  <c:v>85.833183781760852</c:v>
                </c:pt>
                <c:pt idx="93">
                  <c:v>85.66063420316398</c:v>
                </c:pt>
                <c:pt idx="94">
                  <c:v>85.481803746187239</c:v>
                </c:pt>
                <c:pt idx="95">
                  <c:v>85.296378164421412</c:v>
                </c:pt>
                <c:pt idx="96">
                  <c:v>85.10401916172377</c:v>
                </c:pt>
                <c:pt idx="97">
                  <c:v>84.904362200993148</c:v>
                </c:pt>
                <c:pt idx="98">
                  <c:v>84.697014057935547</c:v>
                </c:pt>
                <c:pt idx="99">
                  <c:v>84.481550085323704</c:v>
                </c:pt>
                <c:pt idx="100">
                  <c:v>84.257511147744523</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0.22345777921457599</c:v>
                </c:pt>
                <c:pt idx="1">
                  <c:v>0.22365480164537663</c:v>
                </c:pt>
                <c:pt idx="2">
                  <c:v>0.22373644919595487</c:v>
                </c:pt>
                <c:pt idx="3">
                  <c:v>0.22379911152139481</c:v>
                </c:pt>
                <c:pt idx="4">
                  <c:v>0.22385194638260833</c:v>
                </c:pt>
                <c:pt idx="5">
                  <c:v>0.24179455176947898</c:v>
                </c:pt>
                <c:pt idx="6">
                  <c:v>0.2903534664234364</c:v>
                </c:pt>
                <c:pt idx="7">
                  <c:v>0.33897937108199688</c:v>
                </c:pt>
                <c:pt idx="8">
                  <c:v>0.3876724044660847</c:v>
                </c:pt>
                <c:pt idx="9">
                  <c:v>0.43643270567990133</c:v>
                </c:pt>
                <c:pt idx="10">
                  <c:v>0.48526041421224947</c:v>
                </c:pt>
                <c:pt idx="11">
                  <c:v>0.53415566993786368</c:v>
                </c:pt>
                <c:pt idx="12">
                  <c:v>0.58311861311874502</c:v>
                </c:pt>
                <c:pt idx="13">
                  <c:v>0.63214938440550372</c:v>
                </c:pt>
                <c:pt idx="14">
                  <c:v>0.68124812483870512</c:v>
                </c:pt>
                <c:pt idx="15">
                  <c:v>0.73041497585022142</c:v>
                </c:pt>
                <c:pt idx="16">
                  <c:v>0.7796500792645914</c:v>
                </c:pt>
                <c:pt idx="17">
                  <c:v>0.82895357730038255</c:v>
                </c:pt>
                <c:pt idx="18">
                  <c:v>0.87832561257156083</c:v>
                </c:pt>
                <c:pt idx="19">
                  <c:v>0.92776632808886639</c:v>
                </c:pt>
                <c:pt idx="20">
                  <c:v>0.97727586726119309</c:v>
                </c:pt>
                <c:pt idx="21">
                  <c:v>1.0268543738969773</c:v>
                </c:pt>
                <c:pt idx="22">
                  <c:v>1.0765019922055872</c:v>
                </c:pt>
                <c:pt idx="23">
                  <c:v>1.1262188667987236</c:v>
                </c:pt>
                <c:pt idx="24">
                  <c:v>1.1760051426918228</c:v>
                </c:pt>
                <c:pt idx="25">
                  <c:v>1.2258609653054671</c:v>
                </c:pt>
                <c:pt idx="26">
                  <c:v>1.2757864804668002</c:v>
                </c:pt>
                <c:pt idx="27">
                  <c:v>1.3257818344109491</c:v>
                </c:pt>
                <c:pt idx="28">
                  <c:v>1.3758471737824518</c:v>
                </c:pt>
                <c:pt idx="29">
                  <c:v>1.4259826456366915</c:v>
                </c:pt>
                <c:pt idx="30">
                  <c:v>1.4761883974413363</c:v>
                </c:pt>
                <c:pt idx="31">
                  <c:v>1.5264645770777849</c:v>
                </c:pt>
                <c:pt idx="32">
                  <c:v>1.5768113328426179</c:v>
                </c:pt>
                <c:pt idx="33">
                  <c:v>1.6272288134490573</c:v>
                </c:pt>
                <c:pt idx="34">
                  <c:v>1.6777171680284295</c:v>
                </c:pt>
                <c:pt idx="35">
                  <c:v>1.7282765461316363</c:v>
                </c:pt>
                <c:pt idx="36">
                  <c:v>1.7789070977306312</c:v>
                </c:pt>
                <c:pt idx="37">
                  <c:v>1.8296089732199028</c:v>
                </c:pt>
                <c:pt idx="38">
                  <c:v>1.880382323417964</c:v>
                </c:pt>
                <c:pt idx="39">
                  <c:v>1.9312272995688455</c:v>
                </c:pt>
                <c:pt idx="40">
                  <c:v>1.9821440533435997</c:v>
                </c:pt>
                <c:pt idx="41">
                  <c:v>2.0334695491442685</c:v>
                </c:pt>
                <c:pt idx="42">
                  <c:v>2.003532439534661</c:v>
                </c:pt>
                <c:pt idx="43">
                  <c:v>2.0136419724900518</c:v>
                </c:pt>
                <c:pt idx="44">
                  <c:v>2.0241182681550334</c:v>
                </c:pt>
                <c:pt idx="45">
                  <c:v>2.0349313489800145</c:v>
                </c:pt>
                <c:pt idx="46">
                  <c:v>2.0460815548933904</c:v>
                </c:pt>
                <c:pt idx="47">
                  <c:v>2.0575695258026974</c:v>
                </c:pt>
                <c:pt idx="48">
                  <c:v>2.0693961814401884</c:v>
                </c:pt>
                <c:pt idx="49">
                  <c:v>2.0815627039254294</c:v>
                </c:pt>
                <c:pt idx="50">
                  <c:v>2.0940705226826837</c:v>
                </c:pt>
                <c:pt idx="51">
                  <c:v>2.1069213014071666</c:v>
                </c:pt>
                <c:pt idx="52">
                  <c:v>2.1201169268210087</c:v>
                </c:pt>
                <c:pt idx="53">
                  <c:v>2.13365949899881</c:v>
                </c:pt>
                <c:pt idx="54">
                  <c:v>2.1475513230751937</c:v>
                </c:pt>
                <c:pt idx="55">
                  <c:v>2.1617949021742358</c:v>
                </c:pt>
                <c:pt idx="56">
                  <c:v>2.1763929314236603</c:v>
                </c:pt>
                <c:pt idx="57">
                  <c:v>2.1913482929362549</c:v>
                </c:pt>
                <c:pt idx="58">
                  <c:v>2.2066640516574934</c:v>
                </c:pt>
                <c:pt idx="59">
                  <c:v>2.2223434519924585</c:v>
                </c:pt>
                <c:pt idx="60">
                  <c:v>2.2383899151372231</c:v>
                </c:pt>
                <c:pt idx="61">
                  <c:v>2.2548070370501452</c:v>
                </c:pt>
                <c:pt idx="62">
                  <c:v>2.2715985870074418</c:v>
                </c:pt>
                <c:pt idx="63">
                  <c:v>2.2887685066950572</c:v>
                </c:pt>
                <c:pt idx="64">
                  <c:v>2.3063209097954784</c:v>
                </c:pt>
                <c:pt idx="65">
                  <c:v>2.3242600820339332</c:v>
                </c:pt>
                <c:pt idx="66">
                  <c:v>2.3425904816534104</c:v>
                </c:pt>
                <c:pt idx="67">
                  <c:v>2.3613167402923803</c:v>
                </c:pt>
                <c:pt idx="68">
                  <c:v>2.3804436642429447</c:v>
                </c:pt>
                <c:pt idx="69">
                  <c:v>2.3999762360705534</c:v>
                </c:pt>
                <c:pt idx="70">
                  <c:v>2.4199196165794969</c:v>
                </c:pt>
                <c:pt idx="71">
                  <c:v>2.4402791471110281</c:v>
                </c:pt>
                <c:pt idx="72">
                  <c:v>2.461060352163436</c:v>
                </c:pt>
                <c:pt idx="73">
                  <c:v>2.4822689423255304</c:v>
                </c:pt>
                <c:pt idx="74">
                  <c:v>2.503910817516994</c:v>
                </c:pt>
                <c:pt idx="75">
                  <c:v>2.525992070530839</c:v>
                </c:pt>
                <c:pt idx="76">
                  <c:v>2.548518990874848</c:v>
                </c:pt>
                <c:pt idx="77">
                  <c:v>2.5714980689104294</c:v>
                </c:pt>
                <c:pt idx="78">
                  <c:v>2.5949360002886892</c:v>
                </c:pt>
                <c:pt idx="79">
                  <c:v>2.6188396906848657</c:v>
                </c:pt>
                <c:pt idx="80">
                  <c:v>2.6432162608335608</c:v>
                </c:pt>
                <c:pt idx="81">
                  <c:v>2.6680730518683262</c:v>
                </c:pt>
                <c:pt idx="82">
                  <c:v>2.6934176309703712</c:v>
                </c:pt>
                <c:pt idx="83">
                  <c:v>2.7192577973322414</c:v>
                </c:pt>
                <c:pt idx="84">
                  <c:v>2.7456015884433884</c:v>
                </c:pt>
                <c:pt idx="85">
                  <c:v>2.7724572867056763</c:v>
                </c:pt>
                <c:pt idx="86">
                  <c:v>2.7998334263878379</c:v>
                </c:pt>
                <c:pt idx="87">
                  <c:v>2.827738800929029</c:v>
                </c:pt>
                <c:pt idx="88">
                  <c:v>2.85618247060266</c:v>
                </c:pt>
                <c:pt idx="89">
                  <c:v>2.8851737705527527</c:v>
                </c:pt>
                <c:pt idx="90">
                  <c:v>2.9147223192161724</c:v>
                </c:pt>
                <c:pt idx="91">
                  <c:v>2.944838027145229</c:v>
                </c:pt>
                <c:pt idx="92">
                  <c:v>2.9755311062462311</c:v>
                </c:pt>
                <c:pt idx="93">
                  <c:v>3.006812079450869</c:v>
                </c:pt>
                <c:pt idx="94">
                  <c:v>3.0386917908384188</c:v>
                </c:pt>
                <c:pt idx="95">
                  <c:v>3.0711814162281632</c:v>
                </c:pt>
                <c:pt idx="96">
                  <c:v>3.1042924742626741</c:v>
                </c:pt>
                <c:pt idx="97">
                  <c:v>3.1380368380041039</c:v>
                </c:pt>
                <c:pt idx="98">
                  <c:v>3.1724267470670031</c:v>
                </c:pt>
                <c:pt idx="99">
                  <c:v>3.207474820312878</c:v>
                </c:pt>
                <c:pt idx="100">
                  <c:v>3.2431940691332124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1349.0260872010872</c:v>
                </c:pt>
                <c:pt idx="1">
                  <c:v>1373.4826086956523</c:v>
                </c:pt>
                <c:pt idx="2">
                  <c:v>1397.9391304347823</c:v>
                </c:pt>
                <c:pt idx="3">
                  <c:v>1422.3956521739133</c:v>
                </c:pt>
                <c:pt idx="4">
                  <c:v>1446.8521739130433</c:v>
                </c:pt>
                <c:pt idx="5">
                  <c:v>1471.4043655797877</c:v>
                </c:pt>
                <c:pt idx="6">
                  <c:v>1496.1200213044413</c:v>
                </c:pt>
                <c:pt idx="7">
                  <c:v>1520.8356770290939</c:v>
                </c:pt>
                <c:pt idx="8">
                  <c:v>1545.5513327537471</c:v>
                </c:pt>
                <c:pt idx="9">
                  <c:v>1570.2669884784</c:v>
                </c:pt>
                <c:pt idx="10">
                  <c:v>1594.9826442030537</c:v>
                </c:pt>
                <c:pt idx="11">
                  <c:v>1619.6982999277068</c:v>
                </c:pt>
                <c:pt idx="12">
                  <c:v>1644.4139556523598</c:v>
                </c:pt>
                <c:pt idx="13">
                  <c:v>1669.1296113770134</c:v>
                </c:pt>
                <c:pt idx="14">
                  <c:v>1693.8452671016662</c:v>
                </c:pt>
                <c:pt idx="15">
                  <c:v>1718.5609228263193</c:v>
                </c:pt>
                <c:pt idx="16">
                  <c:v>1743.2765785509732</c:v>
                </c:pt>
                <c:pt idx="17">
                  <c:v>1767.9922342756258</c:v>
                </c:pt>
                <c:pt idx="18">
                  <c:v>1792.7078900002793</c:v>
                </c:pt>
                <c:pt idx="19">
                  <c:v>1817.4235457249326</c:v>
                </c:pt>
                <c:pt idx="20">
                  <c:v>1842.1392014495855</c:v>
                </c:pt>
                <c:pt idx="21">
                  <c:v>1866.854857174239</c:v>
                </c:pt>
                <c:pt idx="22">
                  <c:v>1891.570512898892</c:v>
                </c:pt>
                <c:pt idx="23">
                  <c:v>1916.2861686235451</c:v>
                </c:pt>
                <c:pt idx="24">
                  <c:v>1941.0018243481984</c:v>
                </c:pt>
                <c:pt idx="25">
                  <c:v>1965.7174800728515</c:v>
                </c:pt>
                <c:pt idx="26">
                  <c:v>1990.4331357975047</c:v>
                </c:pt>
                <c:pt idx="27">
                  <c:v>2015.1487915221585</c:v>
                </c:pt>
                <c:pt idx="28">
                  <c:v>2039.8644472468109</c:v>
                </c:pt>
                <c:pt idx="29">
                  <c:v>2064.5801029714639</c:v>
                </c:pt>
                <c:pt idx="30">
                  <c:v>2089.295758696117</c:v>
                </c:pt>
                <c:pt idx="31">
                  <c:v>2114.0114144207705</c:v>
                </c:pt>
                <c:pt idx="32">
                  <c:v>2138.727070145424</c:v>
                </c:pt>
                <c:pt idx="33">
                  <c:v>2163.4427258700766</c:v>
                </c:pt>
                <c:pt idx="34">
                  <c:v>2188.1583815947301</c:v>
                </c:pt>
                <c:pt idx="35">
                  <c:v>2212.8740373193837</c:v>
                </c:pt>
                <c:pt idx="36">
                  <c:v>2237.5896930440358</c:v>
                </c:pt>
                <c:pt idx="37">
                  <c:v>2262.3053487686898</c:v>
                </c:pt>
                <c:pt idx="38">
                  <c:v>2287.0210044933438</c:v>
                </c:pt>
                <c:pt idx="39">
                  <c:v>2311.7366602179964</c:v>
                </c:pt>
                <c:pt idx="40">
                  <c:v>2336.4523159426508</c:v>
                </c:pt>
                <c:pt idx="41">
                  <c:v>2361.1693929782136</c:v>
                </c:pt>
                <c:pt idx="42">
                  <c:v>2455.4093220810919</c:v>
                </c:pt>
                <c:pt idx="43">
                  <c:v>2559.7209438316031</c:v>
                </c:pt>
                <c:pt idx="44">
                  <c:v>2666.8820618210489</c:v>
                </c:pt>
                <c:pt idx="45">
                  <c:v>2776.9545262758265</c:v>
                </c:pt>
                <c:pt idx="46">
                  <c:v>2890.015102164873</c:v>
                </c:pt>
                <c:pt idx="47">
                  <c:v>3006.1439553109431</c:v>
                </c:pt>
                <c:pt idx="48">
                  <c:v>3125.424822251669</c:v>
                </c:pt>
                <c:pt idx="49">
                  <c:v>3247.945190980472</c:v>
                </c:pt>
                <c:pt idx="50">
                  <c:v>3373.7964933665676</c:v>
                </c:pt>
                <c:pt idx="51">
                  <c:v>3503.0743101220487</c:v>
                </c:pt>
                <c:pt idx="52">
                  <c:v>3635.8785892593482</c:v>
                </c:pt>
                <c:pt idx="53">
                  <c:v>3772.3138790653384</c:v>
                </c:pt>
                <c:pt idx="54">
                  <c:v>3912.4895767092698</c:v>
                </c:pt>
                <c:pt idx="55">
                  <c:v>4056.520193701991</c:v>
                </c:pt>
                <c:pt idx="56">
                  <c:v>4204.5256395343085</c:v>
                </c:pt>
                <c:pt idx="57">
                  <c:v>4356.6315249439422</c:v>
                </c:pt>
                <c:pt idx="58">
                  <c:v>4512.9694863951891</c:v>
                </c:pt>
                <c:pt idx="59">
                  <c:v>4673.6775335036373</c:v>
                </c:pt>
                <c:pt idx="60">
                  <c:v>4838.9004213029111</c:v>
                </c:pt>
                <c:pt idx="61">
                  <c:v>5008.7900494323576</c:v>
                </c:pt>
                <c:pt idx="62">
                  <c:v>5183.5058905266242</c:v>
                </c:pt>
                <c:pt idx="63">
                  <c:v>5363.2154503123038</c:v>
                </c:pt>
                <c:pt idx="64">
                  <c:v>5548.0947621662408</c:v>
                </c:pt>
                <c:pt idx="65">
                  <c:v>5738.3289191675913</c:v>
                </c:pt>
                <c:pt idx="66">
                  <c:v>5934.1126469853416</c:v>
                </c:pt>
                <c:pt idx="67">
                  <c:v>6135.6509212882038</c:v>
                </c:pt>
                <c:pt idx="68">
                  <c:v>6343.1596337500823</c:v>
                </c:pt>
                <c:pt idx="69">
                  <c:v>6556.8663111562164</c:v>
                </c:pt>
                <c:pt idx="70">
                  <c:v>6777.0108925997001</c:v>
                </c:pt>
                <c:pt idx="71">
                  <c:v>7003.8465703015718</c:v>
                </c:pt>
                <c:pt idx="72">
                  <c:v>7237.640700199192</c:v>
                </c:pt>
                <c:pt idx="73">
                  <c:v>7478.6757891356738</c:v>
                </c:pt>
                <c:pt idx="74">
                  <c:v>7727.2505662595586</c:v>
                </c:pt>
                <c:pt idx="75">
                  <c:v>7983.681147120602</c:v>
                </c:pt>
                <c:pt idx="76">
                  <c:v>8248.3022999398472</c:v>
                </c:pt>
                <c:pt idx="77">
                  <c:v>8521.4688246565747</c:v>
                </c:pt>
                <c:pt idx="78">
                  <c:v>8803.5570566316528</c:v>
                </c:pt>
                <c:pt idx="79">
                  <c:v>9094.9665083394757</c:v>
                </c:pt>
                <c:pt idx="80">
                  <c:v>9396.1216640358107</c:v>
                </c:pt>
                <c:pt idx="81">
                  <c:v>9707.4739442794253</c:v>
                </c:pt>
                <c:pt idx="82">
                  <c:v>10029.503859347826</c:v>
                </c:pt>
                <c:pt idx="83">
                  <c:v>10362.723373067343</c:v>
                </c:pt>
                <c:pt idx="84">
                  <c:v>10707.678501426253</c:v>
                </c:pt>
                <c:pt idx="85">
                  <c:v>11064.952173620246</c:v>
                </c:pt>
                <c:pt idx="86">
                  <c:v>11435.167386964657</c:v>
                </c:pt>
                <c:pt idx="87">
                  <c:v>11818.990691486753</c:v>
                </c:pt>
                <c:pt idx="88">
                  <c:v>12217.136045088047</c:v>
                </c:pt>
                <c:pt idx="89">
                  <c:v>12630.369086068009</c:v>
                </c:pt>
                <c:pt idx="90">
                  <c:v>13059.511876677239</c:v>
                </c:pt>
                <c:pt idx="91">
                  <c:v>13505.448179403202</c:v>
                </c:pt>
                <c:pt idx="92">
                  <c:v>13969.12933710632</c:v>
                </c:pt>
                <c:pt idx="93">
                  <c:v>14451.580839185173</c:v>
                </c:pt>
                <c:pt idx="94">
                  <c:v>14953.909668985822</c:v>
                </c:pt>
                <c:pt idx="95">
                  <c:v>15477.312543078619</c:v>
                </c:pt>
                <c:pt idx="96">
                  <c:v>16023.085171297818</c:v>
                </c:pt>
                <c:pt idx="97">
                  <c:v>16592.632688179059</c:v>
                </c:pt>
                <c:pt idx="98">
                  <c:v>17187.481432380991</c:v>
                </c:pt>
                <c:pt idx="99">
                  <c:v>17809.292281771712</c:v>
                </c:pt>
                <c:pt idx="100">
                  <c:v>18459.875789251419</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77.610570652759208</c:v>
                </c:pt>
                <c:pt idx="1">
                  <c:v>76.810824392739505</c:v>
                </c:pt>
                <c:pt idx="2">
                  <c:v>76.011095508861885</c:v>
                </c:pt>
                <c:pt idx="3">
                  <c:v>75.211363735790485</c:v>
                </c:pt>
                <c:pt idx="4">
                  <c:v>74.412135028716875</c:v>
                </c:pt>
                <c:pt idx="5">
                  <c:v>73.612065727713542</c:v>
                </c:pt>
                <c:pt idx="6">
                  <c:v>72.812280627894197</c:v>
                </c:pt>
                <c:pt idx="7">
                  <c:v>72.012243348725548</c:v>
                </c:pt>
                <c:pt idx="8">
                  <c:v>71.212529589413023</c:v>
                </c:pt>
                <c:pt idx="9">
                  <c:v>70.41252792481464</c:v>
                </c:pt>
                <c:pt idx="10">
                  <c:v>69.612693681331891</c:v>
                </c:pt>
                <c:pt idx="11">
                  <c:v>68.812909369436596</c:v>
                </c:pt>
                <c:pt idx="12">
                  <c:v>68.01274915470735</c:v>
                </c:pt>
                <c:pt idx="13">
                  <c:v>67.212979799950332</c:v>
                </c:pt>
                <c:pt idx="14">
                  <c:v>66.412961593079373</c:v>
                </c:pt>
                <c:pt idx="15">
                  <c:v>65.613001460956241</c:v>
                </c:pt>
                <c:pt idx="16">
                  <c:v>64.813034525118127</c:v>
                </c:pt>
                <c:pt idx="17">
                  <c:v>64.013174429033086</c:v>
                </c:pt>
                <c:pt idx="18">
                  <c:v>63.213188950633977</c:v>
                </c:pt>
                <c:pt idx="19">
                  <c:v>62.413293169506204</c:v>
                </c:pt>
                <c:pt idx="20">
                  <c:v>61.613327748953665</c:v>
                </c:pt>
                <c:pt idx="21">
                  <c:v>60.813456117737495</c:v>
                </c:pt>
                <c:pt idx="22">
                  <c:v>60.013507942600626</c:v>
                </c:pt>
                <c:pt idx="23">
                  <c:v>59.213682127457623</c:v>
                </c:pt>
                <c:pt idx="24">
                  <c:v>58.413776702523336</c:v>
                </c:pt>
                <c:pt idx="25">
                  <c:v>57.613917860831229</c:v>
                </c:pt>
                <c:pt idx="26">
                  <c:v>56.813922596964431</c:v>
                </c:pt>
                <c:pt idx="27">
                  <c:v>56.01405011589722</c:v>
                </c:pt>
                <c:pt idx="28">
                  <c:v>55.2142752366398</c:v>
                </c:pt>
                <c:pt idx="29">
                  <c:v>54.415102357060341</c:v>
                </c:pt>
                <c:pt idx="30">
                  <c:v>53.615189845330463</c:v>
                </c:pt>
                <c:pt idx="31">
                  <c:v>52.815667676802207</c:v>
                </c:pt>
                <c:pt idx="32">
                  <c:v>52.016008541227414</c:v>
                </c:pt>
                <c:pt idx="33">
                  <c:v>51.216800641273039</c:v>
                </c:pt>
                <c:pt idx="34">
                  <c:v>50.417450050187959</c:v>
                </c:pt>
                <c:pt idx="35">
                  <c:v>49.618433765208209</c:v>
                </c:pt>
                <c:pt idx="36">
                  <c:v>48.819661974814437</c:v>
                </c:pt>
                <c:pt idx="37">
                  <c:v>48.020743689053667</c:v>
                </c:pt>
                <c:pt idx="38">
                  <c:v>47.222486302924139</c:v>
                </c:pt>
                <c:pt idx="39">
                  <c:v>46.424302115401701</c:v>
                </c:pt>
                <c:pt idx="40">
                  <c:v>45.626559020156265</c:v>
                </c:pt>
                <c:pt idx="41">
                  <c:v>44.829266504563776</c:v>
                </c:pt>
                <c:pt idx="42">
                  <c:v>44.032626971155089</c:v>
                </c:pt>
                <c:pt idx="43">
                  <c:v>43.236516216826544</c:v>
                </c:pt>
                <c:pt idx="44">
                  <c:v>42.441276500301711</c:v>
                </c:pt>
                <c:pt idx="45">
                  <c:v>41.646902578075768</c:v>
                </c:pt>
                <c:pt idx="46">
                  <c:v>40.853739375326242</c:v>
                </c:pt>
                <c:pt idx="47">
                  <c:v>40.061835389083427</c:v>
                </c:pt>
                <c:pt idx="48">
                  <c:v>39.271645499457939</c:v>
                </c:pt>
                <c:pt idx="49">
                  <c:v>38.48327562721088</c:v>
                </c:pt>
                <c:pt idx="50">
                  <c:v>37.697210828114848</c:v>
                </c:pt>
                <c:pt idx="51">
                  <c:v>36.913695555909229</c:v>
                </c:pt>
                <c:pt idx="52">
                  <c:v>36.133479582818509</c:v>
                </c:pt>
                <c:pt idx="53">
                  <c:v>35.357113612812512</c:v>
                </c:pt>
                <c:pt idx="54">
                  <c:v>34.585747379733135</c:v>
                </c:pt>
                <c:pt idx="55">
                  <c:v>33.818849677686572</c:v>
                </c:pt>
                <c:pt idx="56">
                  <c:v>33.05837165205218</c:v>
                </c:pt>
                <c:pt idx="57">
                  <c:v>32.304777091290227</c:v>
                </c:pt>
                <c:pt idx="58">
                  <c:v>31.559682717808496</c:v>
                </c:pt>
                <c:pt idx="59">
                  <c:v>30.823683656272692</c:v>
                </c:pt>
                <c:pt idx="60">
                  <c:v>30.098432349776129</c:v>
                </c:pt>
                <c:pt idx="61">
                  <c:v>29.385078845321885</c:v>
                </c:pt>
                <c:pt idx="62">
                  <c:v>28.684489444158135</c:v>
                </c:pt>
                <c:pt idx="63">
                  <c:v>27.998480359707031</c:v>
                </c:pt>
                <c:pt idx="64">
                  <c:v>27.327464568865437</c:v>
                </c:pt>
                <c:pt idx="65">
                  <c:v>26.672389248536923</c:v>
                </c:pt>
                <c:pt idx="66">
                  <c:v>26.033494461566843</c:v>
                </c:pt>
                <c:pt idx="67">
                  <c:v>25.410667350203482</c:v>
                </c:pt>
                <c:pt idx="68">
                  <c:v>24.802942062211915</c:v>
                </c:pt>
                <c:pt idx="69">
                  <c:v>24.209053922149653</c:v>
                </c:pt>
                <c:pt idx="70">
                  <c:v>23.626797341781</c:v>
                </c:pt>
                <c:pt idx="71">
                  <c:v>23.053587893903934</c:v>
                </c:pt>
                <c:pt idx="72">
                  <c:v>22.48608243376108</c:v>
                </c:pt>
                <c:pt idx="73">
                  <c:v>21.92083527942728</c:v>
                </c:pt>
                <c:pt idx="74">
                  <c:v>21.353940124297562</c:v>
                </c:pt>
                <c:pt idx="75">
                  <c:v>20.781753281819846</c:v>
                </c:pt>
                <c:pt idx="76">
                  <c:v>20.200639123210475</c:v>
                </c:pt>
                <c:pt idx="77">
                  <c:v>19.607683132173353</c:v>
                </c:pt>
                <c:pt idx="78">
                  <c:v>19.000293116017637</c:v>
                </c:pt>
                <c:pt idx="79">
                  <c:v>18.376883776117946</c:v>
                </c:pt>
                <c:pt idx="80">
                  <c:v>17.735008602325102</c:v>
                </c:pt>
                <c:pt idx="81">
                  <c:v>17.074714831307244</c:v>
                </c:pt>
                <c:pt idx="82">
                  <c:v>16.395189392425124</c:v>
                </c:pt>
                <c:pt idx="83">
                  <c:v>15.696907087691658</c:v>
                </c:pt>
                <c:pt idx="84">
                  <c:v>14.979551242353228</c:v>
                </c:pt>
                <c:pt idx="85">
                  <c:v>14.243853722579491</c:v>
                </c:pt>
                <c:pt idx="86">
                  <c:v>13.490042793061223</c:v>
                </c:pt>
                <c:pt idx="87">
                  <c:v>12.71793988836875</c:v>
                </c:pt>
                <c:pt idx="88">
                  <c:v>11.928345036078582</c:v>
                </c:pt>
                <c:pt idx="89">
                  <c:v>11.12045524221644</c:v>
                </c:pt>
                <c:pt idx="90">
                  <c:v>10.294117075921118</c:v>
                </c:pt>
                <c:pt idx="91">
                  <c:v>9.4484986440409582</c:v>
                </c:pt>
                <c:pt idx="92">
                  <c:v>8.5826341326272377</c:v>
                </c:pt>
                <c:pt idx="93">
                  <c:v>7.6948607148554604</c:v>
                </c:pt>
                <c:pt idx="94">
                  <c:v>7.4694140334265509</c:v>
                </c:pt>
                <c:pt idx="95">
                  <c:v>7.3554295880768885</c:v>
                </c:pt>
                <c:pt idx="96">
                  <c:v>7.2423744216320216</c:v>
                </c:pt>
                <c:pt idx="97">
                  <c:v>7.1276389110690292</c:v>
                </c:pt>
                <c:pt idx="98">
                  <c:v>7.01383351467633</c:v>
                </c:pt>
                <c:pt idx="99">
                  <c:v>6.898302415308688</c:v>
                </c:pt>
                <c:pt idx="100">
                  <c:v>6.7837026796745814</c:v>
                </c:pt>
                <c:pt idx="101">
                  <c:v>6.6674206361099762</c:v>
                </c:pt>
                <c:pt idx="102">
                  <c:v>6.5520702025466573</c:v>
                </c:pt>
                <c:pt idx="103">
                  <c:v>6.4349088465979429</c:v>
                </c:pt>
                <c:pt idx="104">
                  <c:v>6.3186811170513995</c:v>
                </c:pt>
                <c:pt idx="105">
                  <c:v>6.2006875131123387</c:v>
                </c:pt>
                <c:pt idx="106">
                  <c:v>6.0836285352581001</c:v>
                </c:pt>
                <c:pt idx="107">
                  <c:v>5.9648468109389832</c:v>
                </c:pt>
                <c:pt idx="108">
                  <c:v>5.8469997821912862</c:v>
                </c:pt>
                <c:pt idx="109">
                  <c:v>5.7273901996047041</c:v>
                </c:pt>
                <c:pt idx="110">
                  <c:v>5.6087157958384779</c:v>
                </c:pt>
                <c:pt idx="111">
                  <c:v>5.4881612194321292</c:v>
                </c:pt>
                <c:pt idx="112">
                  <c:v>5.3685439224508666</c:v>
                </c:pt>
                <c:pt idx="113">
                  <c:v>5.2470917033742479</c:v>
                </c:pt>
                <c:pt idx="114">
                  <c:v>5.1265779394090405</c:v>
                </c:pt>
                <c:pt idx="115">
                  <c:v>5.00419528176689</c:v>
                </c:pt>
                <c:pt idx="116">
                  <c:v>4.8827525974191239</c:v>
                </c:pt>
                <c:pt idx="117">
                  <c:v>4.7594088605612006</c:v>
                </c:pt>
                <c:pt idx="118">
                  <c:v>4.6370069405705552</c:v>
                </c:pt>
                <c:pt idx="119">
                  <c:v>4.5127486261041181</c:v>
                </c:pt>
                <c:pt idx="120">
                  <c:v>4.3894331522548766</c:v>
                </c:pt>
                <c:pt idx="121">
                  <c:v>4.2642303066167537</c:v>
                </c:pt>
                <c:pt idx="122">
                  <c:v>4.139971697391073</c:v>
                </c:pt>
                <c:pt idx="123">
                  <c:v>4.0137236250740873</c:v>
                </c:pt>
                <c:pt idx="124">
                  <c:v>3.8884226287389412</c:v>
                </c:pt>
                <c:pt idx="125">
                  <c:v>3.7611784796278247</c:v>
                </c:pt>
                <c:pt idx="126">
                  <c:v>3.6348834647043962</c:v>
                </c:pt>
                <c:pt idx="127">
                  <c:v>3.5066192903243887</c:v>
                </c:pt>
                <c:pt idx="128">
                  <c:v>3.3793066504763134</c:v>
                </c:pt>
                <c:pt idx="129">
                  <c:v>3.2500004199601369</c:v>
                </c:pt>
                <c:pt idx="130">
                  <c:v>3.1216484593399905</c:v>
                </c:pt>
                <c:pt idx="131">
                  <c:v>2.9912800136631028</c:v>
                </c:pt>
                <c:pt idx="132">
                  <c:v>2.9264560594265197</c:v>
                </c:pt>
                <c:pt idx="133">
                  <c:v>2.8618689022727386</c:v>
                </c:pt>
                <c:pt idx="134">
                  <c:v>2.7959891119072147</c:v>
                </c:pt>
                <c:pt idx="135">
                  <c:v>2.7303523002470236</c:v>
                </c:pt>
                <c:pt idx="136">
                  <c:v>2.6649559029941594</c:v>
                </c:pt>
                <c:pt idx="137">
                  <c:v>2.5997974024380444</c:v>
                </c:pt>
                <c:pt idx="138">
                  <c:v>2.5334030387338915</c:v>
                </c:pt>
                <c:pt idx="139">
                  <c:v>2.4672523146784573</c:v>
                </c:pt>
                <c:pt idx="140">
                  <c:v>2.4013426812724434</c:v>
                </c:pt>
                <c:pt idx="141">
                  <c:v>2.3356716358081835</c:v>
                </c:pt>
                <c:pt idx="142">
                  <c:v>2.2686878813658868</c:v>
                </c:pt>
                <c:pt idx="143">
                  <c:v>2.2019490005851439</c:v>
                </c:pt>
                <c:pt idx="144">
                  <c:v>2.1354524520962697</c:v>
                </c:pt>
                <c:pt idx="145">
                  <c:v>2.0691957406677752</c:v>
                </c:pt>
                <c:pt idx="146">
                  <c:v>2.0016499303254456</c:v>
                </c:pt>
                <c:pt idx="147">
                  <c:v>1.9343500552707136</c:v>
                </c:pt>
                <c:pt idx="148">
                  <c:v>1.8672935856509374</c:v>
                </c:pt>
                <c:pt idx="149">
                  <c:v>1.8004780374579001</c:v>
                </c:pt>
                <c:pt idx="150">
                  <c:v>1.7323644188597043</c:v>
                </c:pt>
                <c:pt idx="151">
                  <c:v>1.6644978730166813</c:v>
                </c:pt>
                <c:pt idx="152">
                  <c:v>1.5968758814370965</c:v>
                </c:pt>
                <c:pt idx="153">
                  <c:v>1.5294959711330482</c:v>
                </c:pt>
                <c:pt idx="154">
                  <c:v>1.4607780666719927</c:v>
                </c:pt>
                <c:pt idx="155">
                  <c:v>1.3923086737465544</c:v>
                </c:pt>
                <c:pt idx="156">
                  <c:v>1.3240852814952033</c:v>
                </c:pt>
                <c:pt idx="157">
                  <c:v>1.2561054242543621</c:v>
                </c:pt>
                <c:pt idx="158">
                  <c:v>1.1867804682246033</c:v>
                </c:pt>
                <c:pt idx="159">
                  <c:v>1.1177055216640277</c:v>
                </c:pt>
                <c:pt idx="160">
                  <c:v>1.0488780811439229</c:v>
                </c:pt>
                <c:pt idx="161">
                  <c:v>0.98029568807279843</c:v>
                </c:pt>
                <c:pt idx="162">
                  <c:v>0.91039231376089991</c:v>
                </c:pt>
                <c:pt idx="163">
                  <c:v>0.84074028398174216</c:v>
                </c:pt>
                <c:pt idx="164">
                  <c:v>0.77133710560599356</c:v>
                </c:pt>
                <c:pt idx="165">
                  <c:v>0.70218032984999779</c:v>
                </c:pt>
                <c:pt idx="166">
                  <c:v>0.63163548170439543</c:v>
                </c:pt>
                <c:pt idx="167">
                  <c:v>0.56134381108963283</c:v>
                </c:pt>
                <c:pt idx="168">
                  <c:v>0.49130282798252412</c:v>
                </c:pt>
                <c:pt idx="169">
                  <c:v>0.42151008631690057</c:v>
                </c:pt>
                <c:pt idx="170">
                  <c:v>0.35047343688571986</c:v>
                </c:pt>
                <c:pt idx="171">
                  <c:v>0.27969077371646572</c:v>
                </c:pt>
                <c:pt idx="172">
                  <c:v>0.20915962478047373</c:v>
                </c:pt>
                <c:pt idx="173">
                  <c:v>0.13887756119947431</c:v>
                </c:pt>
                <c:pt idx="174">
                  <c:v>6.7079766192924578E-2</c:v>
                </c:pt>
                <c:pt idx="175">
                  <c:v>-4.46126197835365E-3</c:v>
                </c:pt>
                <c:pt idx="176">
                  <c:v>-7.5748006467346876E-2</c:v>
                </c:pt>
                <c:pt idx="177">
                  <c:v>-0.14678290748185976</c:v>
                </c:pt>
                <c:pt idx="178">
                  <c:v>-0.21930586712088357</c:v>
                </c:pt>
                <c:pt idx="179">
                  <c:v>-0.29156949817760686</c:v>
                </c:pt>
                <c:pt idx="180">
                  <c:v>-0.36357629223741061</c:v>
                </c:pt>
                <c:pt idx="181">
                  <c:v>-0.43532869829302367</c:v>
                </c:pt>
                <c:pt idx="182">
                  <c:v>-0.50825657849040129</c:v>
                </c:pt>
                <c:pt idx="183">
                  <c:v>-0.58092480961828463</c:v>
                </c:pt>
                <c:pt idx="184">
                  <c:v>-0.65333586067465887</c:v>
                </c:pt>
                <c:pt idx="185">
                  <c:v>-0.7254921591990362</c:v>
                </c:pt>
                <c:pt idx="186">
                  <c:v>-0.79936638936040438</c:v>
                </c:pt>
                <c:pt idx="187">
                  <c:v>-0.87297675443027301</c:v>
                </c:pt>
                <c:pt idx="188">
                  <c:v>-0.94632575775406957</c:v>
                </c:pt>
                <c:pt idx="189">
                  <c:v>-1.0194158611690574</c:v>
                </c:pt>
                <c:pt idx="190">
                  <c:v>-1.0936369624130173</c:v>
                </c:pt>
                <c:pt idx="191">
                  <c:v>-1.1675942230853611</c:v>
                </c:pt>
                <c:pt idx="192">
                  <c:v>-1.2412901225975572</c:v>
                </c:pt>
                <c:pt idx="193">
                  <c:v>-1.3147271001739134</c:v>
                </c:pt>
                <c:pt idx="194">
                  <c:v>-1.3898227153880933</c:v>
                </c:pt>
                <c:pt idx="195">
                  <c:v>-1.4646507338892629</c:v>
                </c:pt>
                <c:pt idx="196">
                  <c:v>-1.5392136667841032</c:v>
                </c:pt>
                <c:pt idx="197">
                  <c:v>-1.6135139852021709</c:v>
                </c:pt>
                <c:pt idx="198">
                  <c:v>-1.6891725452547508</c:v>
                </c:pt>
                <c:pt idx="199">
                  <c:v>-1.764561958011849</c:v>
                </c:pt>
                <c:pt idx="200">
                  <c:v>-1.8396847380181813</c:v>
                </c:pt>
                <c:pt idx="201">
                  <c:v>-1.9145433607514539</c:v>
                </c:pt>
                <c:pt idx="202">
                  <c:v>-1.9907359222806433</c:v>
                </c:pt>
                <c:pt idx="203">
                  <c:v>-2.0666579848479292</c:v>
                </c:pt>
                <c:pt idx="204">
                  <c:v>-2.142312067023358</c:v>
                </c:pt>
                <c:pt idx="205">
                  <c:v>-2.2177006492957623</c:v>
                </c:pt>
                <c:pt idx="206">
                  <c:v>-2.29466163418244</c:v>
                </c:pt>
                <c:pt idx="207">
                  <c:v>-2.3713491160563094</c:v>
                </c:pt>
                <c:pt idx="208">
                  <c:v>-2.4477656443932032</c:v>
                </c:pt>
                <c:pt idx="209">
                  <c:v>-2.5239137311356945</c:v>
                </c:pt>
                <c:pt idx="210">
                  <c:v>-2.6018640116270983</c:v>
                </c:pt>
                <c:pt idx="211">
                  <c:v>-2.6795362485585175</c:v>
                </c:pt>
                <c:pt idx="212">
                  <c:v>-2.7569330482897341</c:v>
                </c:pt>
                <c:pt idx="213">
                  <c:v>-2.8340569798207431</c:v>
                </c:pt>
                <c:pt idx="214">
                  <c:v>-2.9124398102700475</c:v>
                </c:pt>
                <c:pt idx="215">
                  <c:v>-2.9905440695092853</c:v>
                </c:pt>
                <c:pt idx="216">
                  <c:v>-3.0683723697480243</c:v>
                </c:pt>
                <c:pt idx="217">
                  <c:v>-3.1459272871019301</c:v>
                </c:pt>
                <c:pt idx="218">
                  <c:v>-3.2249704018168717</c:v>
                </c:pt>
                <c:pt idx="219">
                  <c:v>-3.3037328645853603</c:v>
                </c:pt>
                <c:pt idx="220">
                  <c:v>-3.3822173210939677</c:v>
                </c:pt>
                <c:pt idx="221">
                  <c:v>-3.4604263817954073</c:v>
                </c:pt>
                <c:pt idx="222">
                  <c:v>-3.5400969658517978</c:v>
                </c:pt>
                <c:pt idx="223">
                  <c:v>-3.6194851471180529</c:v>
                </c:pt>
                <c:pt idx="224">
                  <c:v>-3.6985936067455496</c:v>
                </c:pt>
                <c:pt idx="225">
                  <c:v>-3.7774249916009364</c:v>
                </c:pt>
                <c:pt idx="226">
                  <c:v>-3.8579362372011019</c:v>
                </c:pt>
                <c:pt idx="227">
                  <c:v>-3.9381619492873439</c:v>
                </c:pt>
                <c:pt idx="228">
                  <c:v>-4.0181048718168055</c:v>
                </c:pt>
                <c:pt idx="229">
                  <c:v>-4.0977677150909351</c:v>
                </c:pt>
                <c:pt idx="230">
                  <c:v>-4.2601042105788709</c:v>
                </c:pt>
                <c:pt idx="231">
                  <c:v>-4.3408429478368333</c:v>
                </c:pt>
                <c:pt idx="232">
                  <c:v>-4.4212990576545836</c:v>
                </c:pt>
                <c:pt idx="233">
                  <c:v>-4.5033751991571878</c:v>
                </c:pt>
                <c:pt idx="234">
                  <c:v>-4.5851609226961481</c:v>
                </c:pt>
                <c:pt idx="235">
                  <c:v>-4.6666591062944942</c:v>
                </c:pt>
                <c:pt idx="236">
                  <c:v>-4.7478725959698993</c:v>
                </c:pt>
                <c:pt idx="237">
                  <c:v>-4.8304433991527036</c:v>
                </c:pt>
                <c:pt idx="238">
                  <c:v>-4.9127237262141374</c:v>
                </c:pt>
                <c:pt idx="239">
                  <c:v>-4.9947165030788634</c:v>
                </c:pt>
                <c:pt idx="240">
                  <c:v>-5.0764246250327281</c:v>
                </c:pt>
                <c:pt idx="241">
                  <c:v>-5.1599292115928828</c:v>
                </c:pt>
                <c:pt idx="242">
                  <c:v>-5.2431404744543393</c:v>
                </c:pt>
                <c:pt idx="243">
                  <c:v>-5.3260614424446846</c:v>
                </c:pt>
                <c:pt idx="244">
                  <c:v>-5.4086951145570303</c:v>
                </c:pt>
                <c:pt idx="245">
                  <c:v>-5.4928661794420641</c:v>
                </c:pt>
                <c:pt idx="246">
                  <c:v>-5.576743318940637</c:v>
                </c:pt>
                <c:pt idx="247">
                  <c:v>-5.6603296453605925</c:v>
                </c:pt>
                <c:pt idx="248">
                  <c:v>-5.7436282424836378</c:v>
                </c:pt>
                <c:pt idx="249">
                  <c:v>-5.8286633656679534</c:v>
                </c:pt>
                <c:pt idx="250">
                  <c:v>-5.9134030161570692</c:v>
                </c:pt>
                <c:pt idx="251">
                  <c:v>-5.9978504219714832</c:v>
                </c:pt>
                <c:pt idx="252">
                  <c:v>-6.0820087837936985</c:v>
                </c:pt>
                <c:pt idx="253">
                  <c:v>-6.1676532890007199</c:v>
                </c:pt>
                <c:pt idx="254">
                  <c:v>-6.2530030488659296</c:v>
                </c:pt>
                <c:pt idx="255">
                  <c:v>-6.3380613895345475</c:v>
                </c:pt>
                <c:pt idx="256">
                  <c:v>-6.4228316115011861</c:v>
                </c:pt>
                <c:pt idx="257">
                  <c:v>-6.5095019749401786</c:v>
                </c:pt>
                <c:pt idx="258">
                  <c:v>-6.5958760566138972</c:v>
                </c:pt>
                <c:pt idx="259">
                  <c:v>-6.681957342381394</c:v>
                </c:pt>
                <c:pt idx="260">
                  <c:v>-6.7677492938753092</c:v>
                </c:pt>
                <c:pt idx="261">
                  <c:v>-6.8551953731052873</c:v>
                </c:pt>
                <c:pt idx="262">
                  <c:v>-6.9423460675928226</c:v>
                </c:pt>
                <c:pt idx="263">
                  <c:v>-7.0292050082228297</c:v>
                </c:pt>
                <c:pt idx="264">
                  <c:v>-7.1157758036611041</c:v>
                </c:pt>
                <c:pt idx="265">
                  <c:v>-7.2039763086655642</c:v>
                </c:pt>
                <c:pt idx="266">
                  <c:v>-7.2918832785475924</c:v>
                </c:pt>
                <c:pt idx="267">
                  <c:v>-7.3795005025796883</c:v>
                </c:pt>
                <c:pt idx="268">
                  <c:v>-7.4668317501845483</c:v>
                </c:pt>
                <c:pt idx="269">
                  <c:v>-7.5559799457097725</c:v>
                </c:pt>
                <c:pt idx="270">
                  <c:v>-7.6448361263813949</c:v>
                </c:pt>
                <c:pt idx="271">
                  <c:v>-7.7334042836177863</c:v>
                </c:pt>
                <c:pt idx="272">
                  <c:v>-7.8216883916283129</c:v>
                </c:pt>
                <c:pt idx="273">
                  <c:v>-7.9117646262501964</c:v>
                </c:pt>
                <c:pt idx="274">
                  <c:v>-8.001551630680666</c:v>
                </c:pt>
                <c:pt idx="275">
                  <c:v>-8.0910536183338415</c:v>
                </c:pt>
                <c:pt idx="276">
                  <c:v>-8.1802747886443221</c:v>
                </c:pt>
                <c:pt idx="277">
                  <c:v>-8.2710609023037343</c:v>
                </c:pt>
                <c:pt idx="278">
                  <c:v>-8.3615632332430803</c:v>
                </c:pt>
                <c:pt idx="279">
                  <c:v>-8.4517862103278887</c:v>
                </c:pt>
                <c:pt idx="280">
                  <c:v>-8.5417342524601292</c:v>
                </c:pt>
                <c:pt idx="281">
                  <c:v>-8.6338372358553865</c:v>
                </c:pt>
                <c:pt idx="282">
                  <c:v>-8.7256596103379014</c:v>
                </c:pt>
                <c:pt idx="283">
                  <c:v>-8.8172061394505992</c:v>
                </c:pt>
                <c:pt idx="284">
                  <c:v>-8.9084815814124934</c:v>
                </c:pt>
                <c:pt idx="285">
                  <c:v>-9.0012882168492077</c:v>
                </c:pt>
                <c:pt idx="286">
                  <c:v>-9.0938229184982227</c:v>
                </c:pt>
                <c:pt idx="287">
                  <c:v>-9.186090724784675</c:v>
                </c:pt>
                <c:pt idx="288">
                  <c:v>-9.278096674660647</c:v>
                </c:pt>
                <c:pt idx="289">
                  <c:v>-9.3722152700407655</c:v>
                </c:pt>
                <c:pt idx="290">
                  <c:v>-9.4660690412125792</c:v>
                </c:pt>
                <c:pt idx="291">
                  <c:v>-9.5596634405190599</c:v>
                </c:pt>
                <c:pt idx="292">
                  <c:v>-9.6530039280109001</c:v>
                </c:pt>
                <c:pt idx="293">
                  <c:v>-9.7482443667001828</c:v>
                </c:pt>
                <c:pt idx="294">
                  <c:v>-9.8432306178160829</c:v>
                </c:pt>
                <c:pt idx="295">
                  <c:v>-9.9379685657775969</c:v>
                </c:pt>
                <c:pt idx="296">
                  <c:v>-10.032464111576182</c:v>
                </c:pt>
                <c:pt idx="297">
                  <c:v>-10.128849544822856</c:v>
                </c:pt>
                <c:pt idx="298">
                  <c:v>-10.224994044404266</c:v>
                </c:pt>
                <c:pt idx="299">
                  <c:v>-10.320903987813226</c:v>
                </c:pt>
                <c:pt idx="300">
                  <c:v>-10.416585780044532</c:v>
                </c:pt>
                <c:pt idx="301">
                  <c:v>-10.514151958307632</c:v>
                </c:pt>
                <c:pt idx="302">
                  <c:v>-10.611493423420722</c:v>
                </c:pt>
                <c:pt idx="303">
                  <c:v>-10.708617119370032</c:v>
                </c:pt>
                <c:pt idx="304">
                  <c:v>-10.80553003111638</c:v>
                </c:pt>
                <c:pt idx="305">
                  <c:v>-10.904706559937569</c:v>
                </c:pt>
                <c:pt idx="306">
                  <c:v>-11.003676425073268</c:v>
                </c:pt>
                <c:pt idx="307">
                  <c:v>-11.102447313959559</c:v>
                </c:pt>
                <c:pt idx="308">
                  <c:v>-11.20102697254225</c:v>
                </c:pt>
                <c:pt idx="309">
                  <c:v>-11.30149477627892</c:v>
                </c:pt>
                <c:pt idx="310">
                  <c:v>-11.40177972858651</c:v>
                </c:pt>
                <c:pt idx="311">
                  <c:v>-11.501890287328788</c:v>
                </c:pt>
                <c:pt idx="312">
                  <c:v>-11.601834989760505</c:v>
                </c:pt>
                <c:pt idx="313">
                  <c:v>-11.70405440633801</c:v>
                </c:pt>
                <c:pt idx="314">
                  <c:v>-11.806118187101216</c:v>
                </c:pt>
                <c:pt idx="315">
                  <c:v>-11.908035796616975</c:v>
                </c:pt>
                <c:pt idx="316">
                  <c:v>-12.009816806264006</c:v>
                </c:pt>
                <c:pt idx="317">
                  <c:v>-12.11388976844545</c:v>
                </c:pt>
                <c:pt idx="318">
                  <c:v>-12.217840218224453</c:v>
                </c:pt>
                <c:pt idx="319">
                  <c:v>-12.321678809862702</c:v>
                </c:pt>
                <c:pt idx="320">
                  <c:v>-12.425416339042364</c:v>
                </c:pt>
                <c:pt idx="321">
                  <c:v>-12.531473170742869</c:v>
                </c:pt>
                <c:pt idx="322">
                  <c:v>-12.637447536578957</c:v>
                </c:pt>
                <c:pt idx="323">
                  <c:v>-12.743351506441105</c:v>
                </c:pt>
                <c:pt idx="324">
                  <c:v>-12.849197335393194</c:v>
                </c:pt>
                <c:pt idx="325">
                  <c:v>-12.957401588119007</c:v>
                </c:pt>
                <c:pt idx="326">
                  <c:v>-13.065571583713584</c:v>
                </c:pt>
                <c:pt idx="327">
                  <c:v>-13.173721087799377</c:v>
                </c:pt>
                <c:pt idx="328">
                  <c:v>-13.281864106620617</c:v>
                </c:pt>
                <c:pt idx="329">
                  <c:v>-13.392603336196823</c:v>
                </c:pt>
                <c:pt idx="330">
                  <c:v>-13.503366305428994</c:v>
                </c:pt>
                <c:pt idx="331">
                  <c:v>-13.614168904694591</c:v>
                </c:pt>
                <c:pt idx="332">
                  <c:v>-13.725027337616392</c:v>
                </c:pt>
                <c:pt idx="333">
                  <c:v>-13.838366575318535</c:v>
                </c:pt>
                <c:pt idx="334">
                  <c:v>-13.951799350811591</c:v>
                </c:pt>
                <c:pt idx="335">
                  <c:v>-14.06534404874882</c:v>
                </c:pt>
                <c:pt idx="336">
                  <c:v>-14.17901945766847</c:v>
                </c:pt>
                <c:pt idx="337">
                  <c:v>-14.29563667166841</c:v>
                </c:pt>
                <c:pt idx="338">
                  <c:v>-14.412432382865063</c:v>
                </c:pt>
                <c:pt idx="339">
                  <c:v>-14.529428231694595</c:v>
                </c:pt>
                <c:pt idx="340">
                  <c:v>-14.646646385556961</c:v>
                </c:pt>
                <c:pt idx="341">
                  <c:v>-14.766922877801766</c:v>
                </c:pt>
                <c:pt idx="342">
                  <c:v>-14.887481269070307</c:v>
                </c:pt>
                <c:pt idx="343">
                  <c:v>-15.008347228459684</c:v>
                </c:pt>
                <c:pt idx="344">
                  <c:v>-15.129547112832736</c:v>
                </c:pt>
                <c:pt idx="345">
                  <c:v>-15.253763087198159</c:v>
                </c:pt>
                <c:pt idx="346">
                  <c:v>-15.378385675422434</c:v>
                </c:pt>
                <c:pt idx="347">
                  <c:v>-15.503445426982626</c:v>
                </c:pt>
                <c:pt idx="348">
                  <c:v>-15.62897378500991</c:v>
                </c:pt>
                <c:pt idx="349">
                  <c:v>-15.758083551040293</c:v>
                </c:pt>
                <c:pt idx="350">
                  <c:v>-15.887754909871141</c:v>
                </c:pt>
                <c:pt idx="351">
                  <c:v>-16.018024856164455</c:v>
                </c:pt>
                <c:pt idx="352">
                  <c:v>-16.148931563842389</c:v>
                </c:pt>
                <c:pt idx="353">
                  <c:v>-16.283655940738498</c:v>
                </c:pt>
                <c:pt idx="354">
                  <c:v>-16.419132772015988</c:v>
                </c:pt>
                <c:pt idx="355">
                  <c:v>-16.555407245034065</c:v>
                </c:pt>
                <c:pt idx="356">
                  <c:v>-16.692526110875498</c:v>
                </c:pt>
                <c:pt idx="357">
                  <c:v>-16.833557054000295</c:v>
                </c:pt>
                <c:pt idx="358">
                  <c:v>-16.975573627753558</c:v>
                </c:pt>
                <c:pt idx="359">
                  <c:v>-17.118631291061416</c:v>
                </c:pt>
                <c:pt idx="360">
                  <c:v>-17.262787578199678</c:v>
                </c:pt>
                <c:pt idx="361">
                  <c:v>-17.411631073651343</c:v>
                </c:pt>
                <c:pt idx="362">
                  <c:v>-17.561756274695703</c:v>
                </c:pt>
                <c:pt idx="363">
                  <c:v>-17.713232501268877</c:v>
                </c:pt>
                <c:pt idx="364">
                  <c:v>-17.866131884138529</c:v>
                </c:pt>
                <c:pt idx="365">
                  <c:v>-18.0239781890374</c:v>
                </c:pt>
                <c:pt idx="366">
                  <c:v>-18.183473689101454</c:v>
                </c:pt>
                <c:pt idx="367">
                  <c:v>-18.344705603167093</c:v>
                </c:pt>
                <c:pt idx="368">
                  <c:v>-18.507764980496365</c:v>
                </c:pt>
                <c:pt idx="369">
                  <c:v>-18.676806728936107</c:v>
                </c:pt>
                <c:pt idx="370">
                  <c:v>-18.847973199161469</c:v>
                </c:pt>
                <c:pt idx="371">
                  <c:v>-19.021376372052419</c:v>
                </c:pt>
                <c:pt idx="372">
                  <c:v>-19.197133586835953</c:v>
                </c:pt>
                <c:pt idx="373">
                  <c:v>-19.37941597974379</c:v>
                </c:pt>
                <c:pt idx="374">
                  <c:v>-19.564426580365538</c:v>
                </c:pt>
                <c:pt idx="375">
                  <c:v>-19.752310635143484</c:v>
                </c:pt>
                <c:pt idx="376">
                  <c:v>-19.943220997519187</c:v>
                </c:pt>
                <c:pt idx="377">
                  <c:v>-20.142143552534062</c:v>
                </c:pt>
                <c:pt idx="378">
                  <c:v>-20.344595227569432</c:v>
                </c:pt>
                <c:pt idx="379">
                  <c:v>-20.5507691489446</c:v>
                </c:pt>
                <c:pt idx="380">
                  <c:v>-20.760869645202913</c:v>
                </c:pt>
                <c:pt idx="381">
                  <c:v>-20.979770664711104</c:v>
                </c:pt>
                <c:pt idx="382">
                  <c:v>-21.203239811606331</c:v>
                </c:pt>
                <c:pt idx="383">
                  <c:v>-21.431537442718298</c:v>
                </c:pt>
                <c:pt idx="384">
                  <c:v>-21.664940814185908</c:v>
                </c:pt>
                <c:pt idx="385">
                  <c:v>-21.9097352251583</c:v>
                </c:pt>
                <c:pt idx="386">
                  <c:v>-22.160542504821844</c:v>
                </c:pt>
                <c:pt idx="387">
                  <c:v>-22.417727453274313</c:v>
                </c:pt>
                <c:pt idx="388">
                  <c:v>-22.681681928123453</c:v>
                </c:pt>
                <c:pt idx="389">
                  <c:v>-22.959145255196113</c:v>
                </c:pt>
                <c:pt idx="390">
                  <c:v>-23.244621923522782</c:v>
                </c:pt>
                <c:pt idx="391">
                  <c:v>-23.538640297004186</c:v>
                </c:pt>
                <c:pt idx="392">
                  <c:v>-23.841774436162648</c:v>
                </c:pt>
                <c:pt idx="393">
                  <c:v>-24.161793657773995</c:v>
                </c:pt>
                <c:pt idx="394">
                  <c:v>-24.492728596760752</c:v>
                </c:pt>
                <c:pt idx="395">
                  <c:v>-24.835383576708633</c:v>
                </c:pt>
                <c:pt idx="396">
                  <c:v>-25.190646146544481</c:v>
                </c:pt>
                <c:pt idx="397">
                  <c:v>-25.568632516966314</c:v>
                </c:pt>
                <c:pt idx="398">
                  <c:v>-25.962056362548633</c:v>
                </c:pt>
                <c:pt idx="399">
                  <c:v>-26.372239062839874</c:v>
                </c:pt>
                <c:pt idx="400">
                  <c:v>-26.800671068289709</c:v>
                </c:pt>
                <c:pt idx="401">
                  <c:v>-27.259409696337951</c:v>
                </c:pt>
                <c:pt idx="402">
                  <c:v>-27.741069798656575</c:v>
                </c:pt>
                <c:pt idx="403">
                  <c:v>-28.248040564835435</c:v>
                </c:pt>
                <c:pt idx="404">
                  <c:v>-28.783103499512407</c:v>
                </c:pt>
                <c:pt idx="405">
                  <c:v>-29.363057464281738</c:v>
                </c:pt>
                <c:pt idx="406">
                  <c:v>-29.980010736005802</c:v>
                </c:pt>
                <c:pt idx="407">
                  <c:v>-30.638988791311125</c:v>
                </c:pt>
                <c:pt idx="408">
                  <c:v>-31.346137625905509</c:v>
                </c:pt>
                <c:pt idx="409">
                  <c:v>-32.127950452025182</c:v>
                </c:pt>
                <c:pt idx="410">
                  <c:v>-32.978650608463106</c:v>
                </c:pt>
                <c:pt idx="411">
                  <c:v>-33.911751539841646</c:v>
                </c:pt>
                <c:pt idx="412">
                  <c:v>-34.945290078890217</c:v>
                </c:pt>
                <c:pt idx="413">
                  <c:v>-36.132727401323955</c:v>
                </c:pt>
                <c:pt idx="414">
                  <c:v>-37.489755634972461</c:v>
                </c:pt>
                <c:pt idx="415">
                  <c:v>-39.07491668072295</c:v>
                </c:pt>
                <c:pt idx="416">
                  <c:v>-40.984140700306888</c:v>
                </c:pt>
                <c:pt idx="417">
                  <c:v>-43.45691362617714</c:v>
                </c:pt>
                <c:pt idx="418">
                  <c:v>-46.855964714660026</c:v>
                </c:pt>
                <c:pt idx="419">
                  <c:v>-52.37770928983263</c:v>
                </c:pt>
                <c:pt idx="420">
                  <c:v>-70.20951418185247</c:v>
                </c:pt>
                <c:pt idx="421">
                  <c:v>-54.938883742029574</c:v>
                </c:pt>
                <c:pt idx="422">
                  <c:v>-48.301727385380666</c:v>
                </c:pt>
                <c:pt idx="423">
                  <c:v>-44.652762868465395</c:v>
                </c:pt>
                <c:pt idx="424">
                  <c:v>-42.144400281589142</c:v>
                </c:pt>
                <c:pt idx="425">
                  <c:v>-40.203101507857262</c:v>
                </c:pt>
                <c:pt idx="426">
                  <c:v>-38.65679512481681</c:v>
                </c:pt>
                <c:pt idx="427">
                  <c:v>-37.379321983628039</c:v>
                </c:pt>
                <c:pt idx="428">
                  <c:v>-36.297050632123991</c:v>
                </c:pt>
                <c:pt idx="429">
                  <c:v>-35.343174042904735</c:v>
                </c:pt>
                <c:pt idx="430">
                  <c:v>-34.511033718643759</c:v>
                </c:pt>
                <c:pt idx="431">
                  <c:v>-33.776968196048131</c:v>
                </c:pt>
                <c:pt idx="432">
                  <c:v>-33.123710574777853</c:v>
                </c:pt>
                <c:pt idx="433">
                  <c:v>-32.525768947283247</c:v>
                </c:pt>
                <c:pt idx="434">
                  <c:v>-31.988032683234451</c:v>
                </c:pt>
                <c:pt idx="435">
                  <c:v>-31.502093594386981</c:v>
                </c:pt>
                <c:pt idx="436">
                  <c:v>-31.061220609341493</c:v>
                </c:pt>
                <c:pt idx="437">
                  <c:v>-30.650799141788649</c:v>
                </c:pt>
                <c:pt idx="438">
                  <c:v>-30.277034753921228</c:v>
                </c:pt>
                <c:pt idx="439">
                  <c:v>-29.935889310701981</c:v>
                </c:pt>
                <c:pt idx="440">
                  <c:v>-29.623958662789043</c:v>
                </c:pt>
                <c:pt idx="441">
                  <c:v>-29.331975904610871</c:v>
                </c:pt>
                <c:pt idx="442">
                  <c:v>-29.064882891595254</c:v>
                </c:pt>
                <c:pt idx="443">
                  <c:v>-28.820373022529758</c:v>
                </c:pt>
                <c:pt idx="444">
                  <c:v>-28.596436553123354</c:v>
                </c:pt>
                <c:pt idx="445">
                  <c:v>-28.38684232465722</c:v>
                </c:pt>
                <c:pt idx="446">
                  <c:v>-28.195261622755382</c:v>
                </c:pt>
                <c:pt idx="447">
                  <c:v>-28.020220195162842</c:v>
                </c:pt>
                <c:pt idx="448">
                  <c:v>-27.860404988554365</c:v>
                </c:pt>
                <c:pt idx="449">
                  <c:v>-27.711307146960582</c:v>
                </c:pt>
                <c:pt idx="450">
                  <c:v>-27.575810361206837</c:v>
                </c:pt>
                <c:pt idx="451">
                  <c:v>-27.45289477196043</c:v>
                </c:pt>
                <c:pt idx="452">
                  <c:v>-27.341638877936237</c:v>
                </c:pt>
                <c:pt idx="453">
                  <c:v>-27.2390571388122</c:v>
                </c:pt>
                <c:pt idx="454">
                  <c:v>-27.146983308697195</c:v>
                </c:pt>
                <c:pt idx="455">
                  <c:v>-27.064679236366267</c:v>
                </c:pt>
                <c:pt idx="456">
                  <c:v>-26.991471731068792</c:v>
                </c:pt>
                <c:pt idx="457">
                  <c:v>-26.925307751472403</c:v>
                </c:pt>
                <c:pt idx="458">
                  <c:v>-26.867428617874509</c:v>
                </c:pt>
                <c:pt idx="459">
                  <c:v>-26.817281375525003</c:v>
                </c:pt>
                <c:pt idx="460">
                  <c:v>-26.774358958426028</c:v>
                </c:pt>
                <c:pt idx="461">
                  <c:v>-26.737434073018719</c:v>
                </c:pt>
                <c:pt idx="462">
                  <c:v>-26.707127346443315</c:v>
                </c:pt>
                <c:pt idx="463">
                  <c:v>-26.683017851670328</c:v>
                </c:pt>
                <c:pt idx="464">
                  <c:v>-26.664718518634032</c:v>
                </c:pt>
                <c:pt idx="465">
                  <c:v>-26.651634767601749</c:v>
                </c:pt>
                <c:pt idx="466">
                  <c:v>-26.643912393815846</c:v>
                </c:pt>
                <c:pt idx="467">
                  <c:v>-26.641228316164568</c:v>
                </c:pt>
                <c:pt idx="468">
                  <c:v>-26.643285323905125</c:v>
                </c:pt>
                <c:pt idx="469">
                  <c:v>-26.650009670671256</c:v>
                </c:pt>
                <c:pt idx="470">
                  <c:v>-26.661139628924772</c:v>
                </c:pt>
                <c:pt idx="471">
                  <c:v>-26.676428138133176</c:v>
                </c:pt>
                <c:pt idx="472">
                  <c:v>-26.695648426506125</c:v>
                </c:pt>
                <c:pt idx="473">
                  <c:v>-26.719184307413876</c:v>
                </c:pt>
                <c:pt idx="474">
                  <c:v>-26.746419552289119</c:v>
                </c:pt>
                <c:pt idx="475">
                  <c:v>-26.777167404829743</c:v>
                </c:pt>
                <c:pt idx="476">
                  <c:v>-26.811257534877203</c:v>
                </c:pt>
                <c:pt idx="477">
                  <c:v>-26.849441228059252</c:v>
                </c:pt>
                <c:pt idx="478">
                  <c:v>-26.890811969563437</c:v>
                </c:pt>
                <c:pt idx="479">
                  <c:v>-26.935233739190902</c:v>
                </c:pt>
                <c:pt idx="480">
                  <c:v>-26.982584250693662</c:v>
                </c:pt>
                <c:pt idx="481">
                  <c:v>-27.03392969009699</c:v>
                </c:pt>
                <c:pt idx="482">
                  <c:v>-27.088120726142918</c:v>
                </c:pt>
                <c:pt idx="483">
                  <c:v>-27.145066188926886</c:v>
                </c:pt>
                <c:pt idx="484">
                  <c:v>-27.204686930867908</c:v>
                </c:pt>
                <c:pt idx="485">
                  <c:v>-27.268375506216902</c:v>
                </c:pt>
                <c:pt idx="486">
                  <c:v>-27.33473245381392</c:v>
                </c:pt>
                <c:pt idx="487">
                  <c:v>-27.403708892281536</c:v>
                </c:pt>
                <c:pt idx="488">
                  <c:v>-27.475267211616547</c:v>
                </c:pt>
                <c:pt idx="489">
                  <c:v>-27.551177612939316</c:v>
                </c:pt>
                <c:pt idx="490">
                  <c:v>-27.629749657156395</c:v>
                </c:pt>
                <c:pt idx="491">
                  <c:v>-27.710978151188375</c:v>
                </c:pt>
                <c:pt idx="492">
                  <c:v>-27.794869500498809</c:v>
                </c:pt>
                <c:pt idx="493">
                  <c:v>-27.883488486181673</c:v>
                </c:pt>
                <c:pt idx="494">
                  <c:v>-27.974946539292059</c:v>
                </c:pt>
                <c:pt idx="495">
                  <c:v>-28.069288565497246</c:v>
                </c:pt>
                <c:pt idx="496">
                  <c:v>-28.166572702942275</c:v>
                </c:pt>
                <c:pt idx="497">
                  <c:v>-28.269253571487031</c:v>
                </c:pt>
                <c:pt idx="498">
                  <c:v>-28.375183111160794</c:v>
                </c:pt>
                <c:pt idx="499">
                  <c:v>-28.484469490531794</c:v>
                </c:pt>
                <c:pt idx="500">
                  <c:v>-28.597237680777219</c:v>
                </c:pt>
                <c:pt idx="501">
                  <c:v>-28.716409497174602</c:v>
                </c:pt>
                <c:pt idx="502">
                  <c:v>-28.839551462279246</c:v>
                </c:pt>
                <c:pt idx="503">
                  <c:v>-28.966858785499682</c:v>
                </c:pt>
                <c:pt idx="504">
                  <c:v>-29.098550135349672</c:v>
                </c:pt>
                <c:pt idx="505">
                  <c:v>-29.23805474830948</c:v>
                </c:pt>
                <c:pt idx="506">
                  <c:v>-29.38269289011064</c:v>
                </c:pt>
                <c:pt idx="507">
                  <c:v>-29.532787574927617</c:v>
                </c:pt>
                <c:pt idx="508">
                  <c:v>-29.688697147857969</c:v>
                </c:pt>
                <c:pt idx="509">
                  <c:v>-29.854631212064781</c:v>
                </c:pt>
                <c:pt idx="510">
                  <c:v>-30.027538043997097</c:v>
                </c:pt>
                <c:pt idx="511">
                  <c:v>-30.207940090811178</c:v>
                </c:pt>
                <c:pt idx="512">
                  <c:v>-30.396416678820792</c:v>
                </c:pt>
                <c:pt idx="513">
                  <c:v>-30.598397458962324</c:v>
                </c:pt>
                <c:pt idx="514">
                  <c:v>-30.810279972540041</c:v>
                </c:pt>
                <c:pt idx="515">
                  <c:v>-31.032917294234529</c:v>
                </c:pt>
                <c:pt idx="516">
                  <c:v>-31.26726061006725</c:v>
                </c:pt>
                <c:pt idx="517">
                  <c:v>-31.52025622258239</c:v>
                </c:pt>
                <c:pt idx="518">
                  <c:v>-31.787893981276252</c:v>
                </c:pt>
                <c:pt idx="519">
                  <c:v>-32.071607935471498</c:v>
                </c:pt>
                <c:pt idx="520">
                  <c:v>-32.373015744967574</c:v>
                </c:pt>
                <c:pt idx="521">
                  <c:v>-32.701643098741052</c:v>
                </c:pt>
                <c:pt idx="522">
                  <c:v>-33.052946232208022</c:v>
                </c:pt>
                <c:pt idx="523">
                  <c:v>-33.429483780388701</c:v>
                </c:pt>
                <c:pt idx="524">
                  <c:v>-33.834204661789244</c:v>
                </c:pt>
                <c:pt idx="525">
                  <c:v>-34.281073693807485</c:v>
                </c:pt>
                <c:pt idx="526">
                  <c:v>-34.76533571577508</c:v>
                </c:pt>
                <c:pt idx="527">
                  <c:v>-35.292091440443485</c:v>
                </c:pt>
                <c:pt idx="528">
                  <c:v>-35.867465195696951</c:v>
                </c:pt>
                <c:pt idx="529">
                  <c:v>-36.514328979196051</c:v>
                </c:pt>
                <c:pt idx="530">
                  <c:v>-37.229838918567111</c:v>
                </c:pt>
                <c:pt idx="531">
                  <c:v>-38.026611104804445</c:v>
                </c:pt>
                <c:pt idx="532">
                  <c:v>-38.921090264441006</c:v>
                </c:pt>
                <c:pt idx="533">
                  <c:v>-39.961174741380219</c:v>
                </c:pt>
                <c:pt idx="534">
                  <c:v>-41.160120454795091</c:v>
                </c:pt>
                <c:pt idx="535">
                  <c:v>-42.567079427955377</c:v>
                </c:pt>
                <c:pt idx="536">
                  <c:v>-44.259552150759973</c:v>
                </c:pt>
                <c:pt idx="537">
                  <c:v>-46.425522814141232</c:v>
                </c:pt>
                <c:pt idx="538">
                  <c:v>-49.314483835617722</c:v>
                </c:pt>
                <c:pt idx="539">
                  <c:v>-53.643700822167006</c:v>
                </c:pt>
                <c:pt idx="540">
                  <c:v>-62.512568758133213</c:v>
                </c:pt>
                <c:pt idx="541">
                  <c:v>-64.541877953122054</c:v>
                </c:pt>
                <c:pt idx="542">
                  <c:v>-54.38868613797419</c:v>
                </c:pt>
                <c:pt idx="543">
                  <c:v>-49.922598294462432</c:v>
                </c:pt>
                <c:pt idx="544">
                  <c:v>-47.061917848144091</c:v>
                </c:pt>
                <c:pt idx="545">
                  <c:v>-44.937908395145158</c:v>
                </c:pt>
                <c:pt idx="546">
                  <c:v>-43.295633208472125</c:v>
                </c:pt>
                <c:pt idx="547">
                  <c:v>-41.973411280039834</c:v>
                </c:pt>
                <c:pt idx="548">
                  <c:v>-40.880502502352165</c:v>
                </c:pt>
                <c:pt idx="549">
                  <c:v>-39.941114687675217</c:v>
                </c:pt>
                <c:pt idx="550">
                  <c:v>-39.142997555592814</c:v>
                </c:pt>
                <c:pt idx="551">
                  <c:v>-38.458285512099543</c:v>
                </c:pt>
                <c:pt idx="552">
                  <c:v>-37.866678045834504</c:v>
                </c:pt>
                <c:pt idx="553">
                  <c:v>-37.341598422100283</c:v>
                </c:pt>
                <c:pt idx="554">
                  <c:v>-36.885308828719808</c:v>
                </c:pt>
                <c:pt idx="555">
                  <c:v>-36.487756817457878</c:v>
                </c:pt>
                <c:pt idx="556">
                  <c:v>-36.140837581406757</c:v>
                </c:pt>
                <c:pt idx="557">
                  <c:v>-35.561914382041302</c:v>
                </c:pt>
                <c:pt idx="558">
                  <c:v>-35.124748732173359</c:v>
                </c:pt>
                <c:pt idx="559">
                  <c:v>-34.791866334406087</c:v>
                </c:pt>
                <c:pt idx="560">
                  <c:v>-34.550565424529502</c:v>
                </c:pt>
                <c:pt idx="561">
                  <c:v>-34.379716641497915</c:v>
                </c:pt>
                <c:pt idx="562">
                  <c:v>-34.271727244770823</c:v>
                </c:pt>
                <c:pt idx="563">
                  <c:v>-34.21519677223182</c:v>
                </c:pt>
                <c:pt idx="564">
                  <c:v>-34.204617116011519</c:v>
                </c:pt>
                <c:pt idx="565">
                  <c:v>-34.235027702600306</c:v>
                </c:pt>
                <c:pt idx="566">
                  <c:v>-34.302604107191343</c:v>
                </c:pt>
                <c:pt idx="567">
                  <c:v>-34.407276549921001</c:v>
                </c:pt>
                <c:pt idx="568">
                  <c:v>-34.546196319941089</c:v>
                </c:pt>
                <c:pt idx="569">
                  <c:v>-34.723004703383751</c:v>
                </c:pt>
                <c:pt idx="570">
                  <c:v>-34.936642010117332</c:v>
                </c:pt>
                <c:pt idx="571">
                  <c:v>-35.197717617220022</c:v>
                </c:pt>
                <c:pt idx="572">
                  <c:v>-35.506305641964829</c:v>
                </c:pt>
                <c:pt idx="573">
                  <c:v>-35.877966146503006</c:v>
                </c:pt>
                <c:pt idx="574">
                  <c:v>-36.319319924402876</c:v>
                </c:pt>
                <c:pt idx="575">
                  <c:v>-36.862388671959764</c:v>
                </c:pt>
                <c:pt idx="576">
                  <c:v>-37.522115961830245</c:v>
                </c:pt>
                <c:pt idx="577">
                  <c:v>-42.861596192273517</c:v>
                </c:pt>
                <c:pt idx="578">
                  <c:v>-59.140137433078912</c:v>
                </c:pt>
                <c:pt idx="579">
                  <c:v>-38.892565793677619</c:v>
                </c:pt>
                <c:pt idx="580">
                  <c:v>-39.454949663892506</c:v>
                </c:pt>
                <c:pt idx="581">
                  <c:v>-60.368638577208358</c:v>
                </c:pt>
                <c:pt idx="582">
                  <c:v>-41.759144254321953</c:v>
                </c:pt>
                <c:pt idx="583">
                  <c:v>-44.897727700773729</c:v>
                </c:pt>
                <c:pt idx="584">
                  <c:v>-45.464373873565563</c:v>
                </c:pt>
                <c:pt idx="585">
                  <c:v>-46.472191474167168</c:v>
                </c:pt>
                <c:pt idx="586">
                  <c:v>-46.824924819760597</c:v>
                </c:pt>
                <c:pt idx="587">
                  <c:v>-55.696463882529379</c:v>
                </c:pt>
                <c:pt idx="588">
                  <c:v>-48.303824201324403</c:v>
                </c:pt>
                <c:pt idx="589">
                  <c:v>-50.249737510380115</c:v>
                </c:pt>
                <c:pt idx="590">
                  <c:v>-57.290527230378203</c:v>
                </c:pt>
                <c:pt idx="591">
                  <c:v>-80.273870877246338</c:v>
                </c:pt>
                <c:pt idx="592">
                  <c:v>-67.125355836434736</c:v>
                </c:pt>
                <c:pt idx="593">
                  <c:v>-79.313515462502977</c:v>
                </c:pt>
                <c:pt idx="594">
                  <c:v>-59.059460819075575</c:v>
                </c:pt>
                <c:pt idx="595">
                  <c:v>-56.417217592233428</c:v>
                </c:pt>
                <c:pt idx="596">
                  <c:v>-61.577462275280993</c:v>
                </c:pt>
                <c:pt idx="597">
                  <c:v>-59.015534301792059</c:v>
                </c:pt>
                <c:pt idx="598">
                  <c:v>-75.229330908917234</c:v>
                </c:pt>
                <c:pt idx="599">
                  <c:v>-66.70782023780832</c:v>
                </c:pt>
                <c:pt idx="600">
                  <c:v>-68.616757051431961</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91.418746440069725</c:v>
                </c:pt>
                <c:pt idx="1">
                  <c:v>91.300820965214996</c:v>
                </c:pt>
                <c:pt idx="2">
                  <c:v>91.193940340152139</c:v>
                </c:pt>
                <c:pt idx="3">
                  <c:v>91.097193169811362</c:v>
                </c:pt>
                <c:pt idx="4">
                  <c:v>91.009810081711876</c:v>
                </c:pt>
                <c:pt idx="5">
                  <c:v>90.930907152521357</c:v>
                </c:pt>
                <c:pt idx="6">
                  <c:v>90.859934276310469</c:v>
                </c:pt>
                <c:pt idx="7">
                  <c:v>90.796240233478699</c:v>
                </c:pt>
                <c:pt idx="8">
                  <c:v>90.739329161456823</c:v>
                </c:pt>
                <c:pt idx="9">
                  <c:v>90.688673612954787</c:v>
                </c:pt>
                <c:pt idx="10">
                  <c:v>90.643873787061722</c:v>
                </c:pt>
                <c:pt idx="11">
                  <c:v>90.604540391107619</c:v>
                </c:pt>
                <c:pt idx="12">
                  <c:v>90.570321658027751</c:v>
                </c:pt>
                <c:pt idx="13">
                  <c:v>90.5409598162029</c:v>
                </c:pt>
                <c:pt idx="14">
                  <c:v>90.516180693362131</c:v>
                </c:pt>
                <c:pt idx="15">
                  <c:v>90.495785038874473</c:v>
                </c:pt>
                <c:pt idx="16">
                  <c:v>90.47959756168693</c:v>
                </c:pt>
                <c:pt idx="17">
                  <c:v>90.46748231269838</c:v>
                </c:pt>
                <c:pt idx="18">
                  <c:v>90.459332975290579</c:v>
                </c:pt>
                <c:pt idx="19">
                  <c:v>90.45508273510238</c:v>
                </c:pt>
                <c:pt idx="20">
                  <c:v>90.454694384511896</c:v>
                </c:pt>
                <c:pt idx="21">
                  <c:v>90.458164361697371</c:v>
                </c:pt>
                <c:pt idx="22">
                  <c:v>90.465522515723578</c:v>
                </c:pt>
                <c:pt idx="23">
                  <c:v>90.476828835775279</c:v>
                </c:pt>
                <c:pt idx="24">
                  <c:v>90.492181450839496</c:v>
                </c:pt>
                <c:pt idx="25">
                  <c:v>90.511707985764531</c:v>
                </c:pt>
                <c:pt idx="26">
                  <c:v>90.53557873444656</c:v>
                </c:pt>
                <c:pt idx="27">
                  <c:v>90.563987805718256</c:v>
                </c:pt>
                <c:pt idx="28">
                  <c:v>90.597174159683377</c:v>
                </c:pt>
                <c:pt idx="29">
                  <c:v>90.635390321398745</c:v>
                </c:pt>
                <c:pt idx="30">
                  <c:v>90.679024222064456</c:v>
                </c:pt>
                <c:pt idx="31">
                  <c:v>90.728385117723903</c:v>
                </c:pt>
                <c:pt idx="32">
                  <c:v>90.783918230479429</c:v>
                </c:pt>
                <c:pt idx="33">
                  <c:v>90.846045204766341</c:v>
                </c:pt>
                <c:pt idx="34">
                  <c:v>90.915329224126694</c:v>
                </c:pt>
                <c:pt idx="35">
                  <c:v>90.992305484718628</c:v>
                </c:pt>
                <c:pt idx="36">
                  <c:v>91.077615795165698</c:v>
                </c:pt>
                <c:pt idx="37">
                  <c:v>91.172009460388082</c:v>
                </c:pt>
                <c:pt idx="38">
                  <c:v>91.276162803353756</c:v>
                </c:pt>
                <c:pt idx="39">
                  <c:v>91.39099639163922</c:v>
                </c:pt>
                <c:pt idx="40">
                  <c:v>91.517386187633903</c:v>
                </c:pt>
                <c:pt idx="41">
                  <c:v>91.65633734397494</c:v>
                </c:pt>
                <c:pt idx="42">
                  <c:v>91.808905946381032</c:v>
                </c:pt>
                <c:pt idx="43">
                  <c:v>91.976299204803126</c:v>
                </c:pt>
                <c:pt idx="44">
                  <c:v>92.159719499135434</c:v>
                </c:pt>
                <c:pt idx="45">
                  <c:v>92.360531176958347</c:v>
                </c:pt>
                <c:pt idx="46">
                  <c:v>92.580097082805949</c:v>
                </c:pt>
                <c:pt idx="47">
                  <c:v>92.819934993402498</c:v>
                </c:pt>
                <c:pt idx="48">
                  <c:v>93.081506212065094</c:v>
                </c:pt>
                <c:pt idx="49">
                  <c:v>93.366426299193819</c:v>
                </c:pt>
                <c:pt idx="50">
                  <c:v>93.676198553846802</c:v>
                </c:pt>
                <c:pt idx="51">
                  <c:v>94.012395616254764</c:v>
                </c:pt>
                <c:pt idx="52">
                  <c:v>94.376295729056451</c:v>
                </c:pt>
                <c:pt idx="53">
                  <c:v>94.769093493109438</c:v>
                </c:pt>
                <c:pt idx="54">
                  <c:v>95.19140075684669</c:v>
                </c:pt>
                <c:pt idx="55">
                  <c:v>95.644405090746318</c:v>
                </c:pt>
                <c:pt idx="56">
                  <c:v>96.127366241347801</c:v>
                </c:pt>
                <c:pt idx="57">
                  <c:v>96.639679199350937</c:v>
                </c:pt>
                <c:pt idx="58">
                  <c:v>97.179020840177543</c:v>
                </c:pt>
                <c:pt idx="59">
                  <c:v>97.742562376446244</c:v>
                </c:pt>
                <c:pt idx="60">
                  <c:v>98.325176746547939</c:v>
                </c:pt>
                <c:pt idx="61">
                  <c:v>98.9202672306849</c:v>
                </c:pt>
                <c:pt idx="62">
                  <c:v>99.519343176739071</c:v>
                </c:pt>
                <c:pt idx="63">
                  <c:v>100.11067168236075</c:v>
                </c:pt>
                <c:pt idx="64">
                  <c:v>100.6811044565279</c:v>
                </c:pt>
                <c:pt idx="65">
                  <c:v>101.21437205996284</c:v>
                </c:pt>
                <c:pt idx="66">
                  <c:v>101.69229914168181</c:v>
                </c:pt>
                <c:pt idx="67">
                  <c:v>102.09491284366995</c:v>
                </c:pt>
                <c:pt idx="68">
                  <c:v>102.40143942344429</c:v>
                </c:pt>
                <c:pt idx="69">
                  <c:v>102.59088933087224</c:v>
                </c:pt>
                <c:pt idx="70">
                  <c:v>102.64349813550497</c:v>
                </c:pt>
                <c:pt idx="71">
                  <c:v>102.54171698448053</c:v>
                </c:pt>
                <c:pt idx="72">
                  <c:v>102.27132017108877</c:v>
                </c:pt>
                <c:pt idx="73">
                  <c:v>101.82237271861773</c:v>
                </c:pt>
                <c:pt idx="74">
                  <c:v>101.18945357208803</c:v>
                </c:pt>
                <c:pt idx="75">
                  <c:v>100.37210807784069</c:v>
                </c:pt>
                <c:pt idx="76">
                  <c:v>99.373998968856384</c:v>
                </c:pt>
                <c:pt idx="77">
                  <c:v>98.203001688149115</c:v>
                </c:pt>
                <c:pt idx="78">
                  <c:v>96.869344788958557</c:v>
                </c:pt>
                <c:pt idx="79">
                  <c:v>95.385708621225675</c:v>
                </c:pt>
                <c:pt idx="80">
                  <c:v>93.761449319159809</c:v>
                </c:pt>
                <c:pt idx="81">
                  <c:v>92.009811949444313</c:v>
                </c:pt>
                <c:pt idx="82">
                  <c:v>90.139020631178269</c:v>
                </c:pt>
                <c:pt idx="83">
                  <c:v>88.157470180130346</c:v>
                </c:pt>
                <c:pt idx="84">
                  <c:v>86.067962451869079</c:v>
                </c:pt>
                <c:pt idx="85">
                  <c:v>83.87310939165674</c:v>
                </c:pt>
                <c:pt idx="86">
                  <c:v>81.571278474614004</c:v>
                </c:pt>
                <c:pt idx="87">
                  <c:v>79.157233655682191</c:v>
                </c:pt>
                <c:pt idx="88">
                  <c:v>76.627077645523215</c:v>
                </c:pt>
                <c:pt idx="89">
                  <c:v>73.970719885132382</c:v>
                </c:pt>
                <c:pt idx="90">
                  <c:v>71.179587676421917</c:v>
                </c:pt>
                <c:pt idx="91">
                  <c:v>68.242928646013752</c:v>
                </c:pt>
                <c:pt idx="92">
                  <c:v>65.150127862478001</c:v>
                </c:pt>
                <c:pt idx="93">
                  <c:v>61.889162645724809</c:v>
                </c:pt>
                <c:pt idx="94">
                  <c:v>61.046797931411589</c:v>
                </c:pt>
                <c:pt idx="95">
                  <c:v>60.618743179450803</c:v>
                </c:pt>
                <c:pt idx="96">
                  <c:v>60.192756211436816</c:v>
                </c:pt>
                <c:pt idx="97">
                  <c:v>59.758999174113697</c:v>
                </c:pt>
                <c:pt idx="98">
                  <c:v>59.32733656799013</c:v>
                </c:pt>
                <c:pt idx="99">
                  <c:v>58.887690500071756</c:v>
                </c:pt>
                <c:pt idx="100">
                  <c:v>58.450168445948634</c:v>
                </c:pt>
                <c:pt idx="101">
                  <c:v>58.004789638058753</c:v>
                </c:pt>
                <c:pt idx="102">
                  <c:v>57.561564129425619</c:v>
                </c:pt>
                <c:pt idx="103">
                  <c:v>57.109950726710181</c:v>
                </c:pt>
                <c:pt idx="104">
                  <c:v>56.660526020596635</c:v>
                </c:pt>
                <c:pt idx="105">
                  <c:v>56.202850734996147</c:v>
                </c:pt>
                <c:pt idx="106">
                  <c:v>55.747399197894751</c:v>
                </c:pt>
                <c:pt idx="107">
                  <c:v>55.283833351684493</c:v>
                </c:pt>
                <c:pt idx="108">
                  <c:v>54.822526016101918</c:v>
                </c:pt>
                <c:pt idx="109">
                  <c:v>54.352920770767625</c:v>
                </c:pt>
                <c:pt idx="110">
                  <c:v>53.885611647143236</c:v>
                </c:pt>
                <c:pt idx="111">
                  <c:v>53.409513677756294</c:v>
                </c:pt>
                <c:pt idx="112">
                  <c:v>52.935755296095991</c:v>
                </c:pt>
                <c:pt idx="113">
                  <c:v>52.453360191251662</c:v>
                </c:pt>
                <c:pt idx="114">
                  <c:v>51.973347671970743</c:v>
                </c:pt>
                <c:pt idx="115">
                  <c:v>51.484539980176891</c:v>
                </c:pt>
                <c:pt idx="116">
                  <c:v>50.998160454765355</c:v>
                </c:pt>
                <c:pt idx="117">
                  <c:v>50.50283555288982</c:v>
                </c:pt>
                <c:pt idx="118">
                  <c:v>50.009986872257144</c:v>
                </c:pt>
                <c:pt idx="119">
                  <c:v>49.508354204354532</c:v>
                </c:pt>
                <c:pt idx="120">
                  <c:v>49.009245123920039</c:v>
                </c:pt>
                <c:pt idx="121">
                  <c:v>48.501211920796095</c:v>
                </c:pt>
                <c:pt idx="122">
                  <c:v>47.995751947259436</c:v>
                </c:pt>
                <c:pt idx="123">
                  <c:v>47.480938310334039</c:v>
                </c:pt>
                <c:pt idx="124">
                  <c:v>46.968752689904221</c:v>
                </c:pt>
                <c:pt idx="125">
                  <c:v>46.447389383366612</c:v>
                </c:pt>
                <c:pt idx="126">
                  <c:v>45.928707763198418</c:v>
                </c:pt>
                <c:pt idx="127">
                  <c:v>45.40073166978587</c:v>
                </c:pt>
                <c:pt idx="128">
                  <c:v>44.875492701572398</c:v>
                </c:pt>
                <c:pt idx="129">
                  <c:v>44.340849897651935</c:v>
                </c:pt>
                <c:pt idx="130">
                  <c:v>43.809001224323964</c:v>
                </c:pt>
                <c:pt idx="131">
                  <c:v>43.267646560638354</c:v>
                </c:pt>
                <c:pt idx="132">
                  <c:v>42.998041157710134</c:v>
                </c:pt>
                <c:pt idx="133">
                  <c:v>42.72914437933656</c:v>
                </c:pt>
                <c:pt idx="134">
                  <c:v>42.454584908519024</c:v>
                </c:pt>
                <c:pt idx="135">
                  <c:v>42.180758806676437</c:v>
                </c:pt>
                <c:pt idx="136">
                  <c:v>41.9076614246828</c:v>
                </c:pt>
                <c:pt idx="137">
                  <c:v>41.635288164392165</c:v>
                </c:pt>
                <c:pt idx="138">
                  <c:v>41.357475219736784</c:v>
                </c:pt>
                <c:pt idx="139">
                  <c:v>41.080410079348837</c:v>
                </c:pt>
                <c:pt idx="140">
                  <c:v>40.804087980058966</c:v>
                </c:pt>
                <c:pt idx="141">
                  <c:v>40.528504207848528</c:v>
                </c:pt>
                <c:pt idx="142">
                  <c:v>40.247145327145319</c:v>
                </c:pt>
                <c:pt idx="143">
                  <c:v>39.966550358920415</c:v>
                </c:pt>
                <c:pt idx="144">
                  <c:v>39.686714396142577</c:v>
                </c:pt>
                <c:pt idx="145">
                  <c:v>39.407632579414241</c:v>
                </c:pt>
                <c:pt idx="146">
                  <c:v>39.122861610054969</c:v>
                </c:pt>
                <c:pt idx="147">
                  <c:v>38.838869984073796</c:v>
                </c:pt>
                <c:pt idx="148">
                  <c:v>38.555652642072573</c:v>
                </c:pt>
                <c:pt idx="149">
                  <c:v>38.273204570806115</c:v>
                </c:pt>
                <c:pt idx="150">
                  <c:v>37.985016883080817</c:v>
                </c:pt>
                <c:pt idx="151">
                  <c:v>37.697623975764998</c:v>
                </c:pt>
                <c:pt idx="152">
                  <c:v>37.411020620964564</c:v>
                </c:pt>
                <c:pt idx="153">
                  <c:v>37.125201635608448</c:v>
                </c:pt>
                <c:pt idx="154">
                  <c:v>36.833461250861149</c:v>
                </c:pt>
                <c:pt idx="155">
                  <c:v>36.542531749607832</c:v>
                </c:pt>
                <c:pt idx="156">
                  <c:v>36.252407711593747</c:v>
                </c:pt>
                <c:pt idx="157">
                  <c:v>35.963083760311491</c:v>
                </c:pt>
                <c:pt idx="158">
                  <c:v>35.667795435338974</c:v>
                </c:pt>
                <c:pt idx="159">
                  <c:v>35.373333915495351</c:v>
                </c:pt>
                <c:pt idx="160">
                  <c:v>35.079693571392795</c:v>
                </c:pt>
                <c:pt idx="161">
                  <c:v>34.786868816495428</c:v>
                </c:pt>
                <c:pt idx="162">
                  <c:v>34.488170187918882</c:v>
                </c:pt>
                <c:pt idx="163">
                  <c:v>34.190313273034718</c:v>
                </c:pt>
                <c:pt idx="164">
                  <c:v>33.893292224038532</c:v>
                </c:pt>
                <c:pt idx="165">
                  <c:v>33.597101235210886</c:v>
                </c:pt>
                <c:pt idx="166">
                  <c:v>33.294736684031506</c:v>
                </c:pt>
                <c:pt idx="167">
                  <c:v>32.993229865171998</c:v>
                </c:pt>
                <c:pt idx="168">
                  <c:v>32.692574679895813</c:v>
                </c:pt>
                <c:pt idx="169">
                  <c:v>32.39276507115693</c:v>
                </c:pt>
                <c:pt idx="170">
                  <c:v>32.087388513552611</c:v>
                </c:pt>
                <c:pt idx="171">
                  <c:v>31.782881566168783</c:v>
                </c:pt>
                <c:pt idx="172">
                  <c:v>31.479237901849785</c:v>
                </c:pt>
                <c:pt idx="173">
                  <c:v>31.176451234622391</c:v>
                </c:pt>
                <c:pt idx="174">
                  <c:v>30.866914428816273</c:v>
                </c:pt>
                <c:pt idx="175">
                  <c:v>30.558265123059186</c:v>
                </c:pt>
                <c:pt idx="176">
                  <c:v>30.250496672629907</c:v>
                </c:pt>
                <c:pt idx="177">
                  <c:v>29.943602474356283</c:v>
                </c:pt>
                <c:pt idx="178">
                  <c:v>29.630061598832725</c:v>
                </c:pt>
                <c:pt idx="179">
                  <c:v>29.317424595779414</c:v>
                </c:pt>
                <c:pt idx="180">
                  <c:v>29.005684492881841</c:v>
                </c:pt>
                <c:pt idx="181">
                  <c:v>28.694834359927142</c:v>
                </c:pt>
                <c:pt idx="182">
                  <c:v>28.378676927261068</c:v>
                </c:pt>
                <c:pt idx="183">
                  <c:v>28.063430984997325</c:v>
                </c:pt>
                <c:pt idx="184">
                  <c:v>27.74908930891084</c:v>
                </c:pt>
                <c:pt idx="185">
                  <c:v>27.435644716970643</c:v>
                </c:pt>
                <c:pt idx="186">
                  <c:v>27.11452261952499</c:v>
                </c:pt>
                <c:pt idx="187">
                  <c:v>26.794332295932037</c:v>
                </c:pt>
                <c:pt idx="188">
                  <c:v>26.475066090607953</c:v>
                </c:pt>
                <c:pt idx="189">
                  <c:v>26.156716391807095</c:v>
                </c:pt>
                <c:pt idx="190">
                  <c:v>25.833226390378115</c:v>
                </c:pt>
                <c:pt idx="191">
                  <c:v>25.510672385370356</c:v>
                </c:pt>
                <c:pt idx="192">
                  <c:v>25.189046456898467</c:v>
                </c:pt>
                <c:pt idx="193">
                  <c:v>24.868340729441826</c:v>
                </c:pt>
                <c:pt idx="194">
                  <c:v>24.540175478244691</c:v>
                </c:pt>
                <c:pt idx="195">
                  <c:v>24.21296264622265</c:v>
                </c:pt>
                <c:pt idx="196">
                  <c:v>23.886693863553177</c:v>
                </c:pt>
                <c:pt idx="197">
                  <c:v>23.561360806863831</c:v>
                </c:pt>
                <c:pt idx="198">
                  <c:v>23.229861740912042</c:v>
                </c:pt>
                <c:pt idx="199">
                  <c:v>22.899322401941248</c:v>
                </c:pt>
                <c:pt idx="200">
                  <c:v>22.569734054106306</c:v>
                </c:pt>
                <c:pt idx="201">
                  <c:v>22.241088009638133</c:v>
                </c:pt>
                <c:pt idx="202">
                  <c:v>21.906363374526734</c:v>
                </c:pt>
                <c:pt idx="203">
                  <c:v>21.572603688358356</c:v>
                </c:pt>
                <c:pt idx="204">
                  <c:v>21.239799844436646</c:v>
                </c:pt>
                <c:pt idx="205">
                  <c:v>20.907942785963769</c:v>
                </c:pt>
                <c:pt idx="206">
                  <c:v>20.568935763834816</c:v>
                </c:pt>
                <c:pt idx="207">
                  <c:v>20.230903354855741</c:v>
                </c:pt>
                <c:pt idx="208">
                  <c:v>19.893835980153767</c:v>
                </c:pt>
                <c:pt idx="209">
                  <c:v>19.557724113465866</c:v>
                </c:pt>
                <c:pt idx="210">
                  <c:v>19.213420173401886</c:v>
                </c:pt>
                <c:pt idx="211">
                  <c:v>18.870104418216158</c:v>
                </c:pt>
                <c:pt idx="212">
                  <c:v>18.527766689717254</c:v>
                </c:pt>
                <c:pt idx="213">
                  <c:v>18.186396885949904</c:v>
                </c:pt>
                <c:pt idx="214">
                  <c:v>17.839209009657708</c:v>
                </c:pt>
                <c:pt idx="215">
                  <c:v>17.493006980451156</c:v>
                </c:pt>
                <c:pt idx="216">
                  <c:v>17.147780257398267</c:v>
                </c:pt>
                <c:pt idx="217">
                  <c:v>16.803518358088382</c:v>
                </c:pt>
                <c:pt idx="218">
                  <c:v>16.452394047018174</c:v>
                </c:pt>
                <c:pt idx="219">
                  <c:v>16.102257062990788</c:v>
                </c:pt>
                <c:pt idx="220">
                  <c:v>15.753096376477401</c:v>
                </c:pt>
                <c:pt idx="221">
                  <c:v>15.404901019603528</c:v>
                </c:pt>
                <c:pt idx="222">
                  <c:v>15.049929837849646</c:v>
                </c:pt>
                <c:pt idx="223">
                  <c:v>14.69594452013385</c:v>
                </c:pt>
                <c:pt idx="224">
                  <c:v>14.34293354466331</c:v>
                </c:pt>
                <c:pt idx="225">
                  <c:v>13.990885454490865</c:v>
                </c:pt>
                <c:pt idx="226">
                  <c:v>13.631050840234565</c:v>
                </c:pt>
                <c:pt idx="227">
                  <c:v>13.272203539685052</c:v>
                </c:pt>
                <c:pt idx="228">
                  <c:v>12.914331425815703</c:v>
                </c:pt>
                <c:pt idx="229">
                  <c:v>12.557422440461522</c:v>
                </c:pt>
                <c:pt idx="230">
                  <c:v>11.829204361237828</c:v>
                </c:pt>
                <c:pt idx="231">
                  <c:v>11.466560299491874</c:v>
                </c:pt>
                <c:pt idx="232">
                  <c:v>11.104875977161868</c:v>
                </c:pt>
                <c:pt idx="233">
                  <c:v>10.735586712556824</c:v>
                </c:pt>
                <c:pt idx="234">
                  <c:v>10.367276660775644</c:v>
                </c:pt>
                <c:pt idx="235">
                  <c:v>9.9999324644659566</c:v>
                </c:pt>
                <c:pt idx="236">
                  <c:v>9.6335408430211942</c:v>
                </c:pt>
                <c:pt idx="237">
                  <c:v>9.2606832500931375</c:v>
                </c:pt>
                <c:pt idx="238">
                  <c:v>8.8887895893823554</c:v>
                </c:pt>
                <c:pt idx="239">
                  <c:v>8.5178459970354652</c:v>
                </c:pt>
                <c:pt idx="240">
                  <c:v>8.1478386887423824</c:v>
                </c:pt>
                <c:pt idx="241">
                  <c:v>7.7693291084183045</c:v>
                </c:pt>
                <c:pt idx="242">
                  <c:v>7.3917751880438516</c:v>
                </c:pt>
                <c:pt idx="243">
                  <c:v>7.0151623133442627</c:v>
                </c:pt>
                <c:pt idx="244">
                  <c:v>6.6394759539212487</c:v>
                </c:pt>
                <c:pt idx="245">
                  <c:v>6.2564066348874121</c:v>
                </c:pt>
                <c:pt idx="246">
                  <c:v>5.8742749146136646</c:v>
                </c:pt>
                <c:pt idx="247">
                  <c:v>5.4930655399610657</c:v>
                </c:pt>
                <c:pt idx="248">
                  <c:v>5.1127633447004541</c:v>
                </c:pt>
                <c:pt idx="249">
                  <c:v>4.724110361553187</c:v>
                </c:pt>
                <c:pt idx="250">
                  <c:v>4.3363774062521827</c:v>
                </c:pt>
                <c:pt idx="251">
                  <c:v>3.9495484514226007</c:v>
                </c:pt>
                <c:pt idx="252">
                  <c:v>3.5636075600855861</c:v>
                </c:pt>
                <c:pt idx="253">
                  <c:v>3.1703985929425187</c:v>
                </c:pt>
                <c:pt idx="254">
                  <c:v>2.7780823702813393</c:v>
                </c:pt>
                <c:pt idx="255">
                  <c:v>2.3866422046784237</c:v>
                </c:pt>
                <c:pt idx="256">
                  <c:v>1.9960615010253946</c:v>
                </c:pt>
                <c:pt idx="257">
                  <c:v>1.5962379767261439</c:v>
                </c:pt>
                <c:pt idx="258">
                  <c:v>1.1972839298527447</c:v>
                </c:pt>
                <c:pt idx="259">
                  <c:v>0.79918173460654884</c:v>
                </c:pt>
                <c:pt idx="260">
                  <c:v>0.40191386058512535</c:v>
                </c:pt>
                <c:pt idx="261">
                  <c:v>-3.5380210689481828E-3</c:v>
                </c:pt>
                <c:pt idx="262">
                  <c:v>-0.40815401828558606</c:v>
                </c:pt>
                <c:pt idx="263">
                  <c:v>-0.81195258595505493</c:v>
                </c:pt>
                <c:pt idx="264">
                  <c:v>-1.2149520823728324</c:v>
                </c:pt>
                <c:pt idx="265">
                  <c:v>-1.6261002351645004</c:v>
                </c:pt>
                <c:pt idx="266">
                  <c:v>-2.0364519003699968</c:v>
                </c:pt>
                <c:pt idx="267">
                  <c:v>-2.4460263875466808</c:v>
                </c:pt>
                <c:pt idx="268">
                  <c:v>-2.8548429095364725</c:v>
                </c:pt>
                <c:pt idx="269">
                  <c:v>-3.2727685535241733</c:v>
                </c:pt>
                <c:pt idx="270">
                  <c:v>-3.6899396633052959</c:v>
                </c:pt>
                <c:pt idx="271">
                  <c:v>-4.1063765770631449</c:v>
                </c:pt>
                <c:pt idx="272">
                  <c:v>-4.5220995364927319</c:v>
                </c:pt>
                <c:pt idx="273">
                  <c:v>-4.9469089015597945</c:v>
                </c:pt>
                <c:pt idx="274">
                  <c:v>-5.3710128549265619</c:v>
                </c:pt>
                <c:pt idx="275">
                  <c:v>-5.7944328069683593</c:v>
                </c:pt>
                <c:pt idx="276">
                  <c:v>-6.2171900733209498</c:v>
                </c:pt>
                <c:pt idx="277">
                  <c:v>-6.6480527930475262</c:v>
                </c:pt>
                <c:pt idx="278">
                  <c:v>-7.0782696461952241</c:v>
                </c:pt>
                <c:pt idx="279">
                  <c:v>-7.5078630151687094</c:v>
                </c:pt>
                <c:pt idx="280">
                  <c:v>-7.9368551919339723</c:v>
                </c:pt>
                <c:pt idx="281">
                  <c:v>-8.3768654069645834</c:v>
                </c:pt>
                <c:pt idx="282">
                  <c:v>-8.8162888079497748</c:v>
                </c:pt>
                <c:pt idx="283">
                  <c:v>-9.2551492708021499</c:v>
                </c:pt>
                <c:pt idx="284">
                  <c:v>-9.6934705848916849</c:v>
                </c:pt>
                <c:pt idx="285">
                  <c:v>-10.139931314915458</c:v>
                </c:pt>
                <c:pt idx="286">
                  <c:v>-10.58588106561146</c:v>
                </c:pt>
                <c:pt idx="287">
                  <c:v>-11.031344811112263</c:v>
                </c:pt>
                <c:pt idx="288">
                  <c:v>-11.476347447469635</c:v>
                </c:pt>
                <c:pt idx="289">
                  <c:v>-11.932405636452046</c:v>
                </c:pt>
                <c:pt idx="290">
                  <c:v>-12.388031400557139</c:v>
                </c:pt>
                <c:pt idx="291">
                  <c:v>-12.843251387446713</c:v>
                </c:pt>
                <c:pt idx="292">
                  <c:v>-13.298092175720171</c:v>
                </c:pt>
                <c:pt idx="293">
                  <c:v>-13.763079197327613</c:v>
                </c:pt>
                <c:pt idx="294">
                  <c:v>-14.227725374661475</c:v>
                </c:pt>
                <c:pt idx="295">
                  <c:v>-14.692058976073611</c:v>
                </c:pt>
                <c:pt idx="296">
                  <c:v>-15.15610821354457</c:v>
                </c:pt>
                <c:pt idx="297">
                  <c:v>-15.630374325688507</c:v>
                </c:pt>
                <c:pt idx="298">
                  <c:v>-16.104402591162341</c:v>
                </c:pt>
                <c:pt idx="299">
                  <c:v>-16.57822302582548</c:v>
                </c:pt>
                <c:pt idx="300">
                  <c:v>-17.051865605122629</c:v>
                </c:pt>
                <c:pt idx="301">
                  <c:v>-17.535817544806633</c:v>
                </c:pt>
                <c:pt idx="302">
                  <c:v>-18.019646899080669</c:v>
                </c:pt>
                <c:pt idx="303">
                  <c:v>-18.503385577517207</c:v>
                </c:pt>
                <c:pt idx="304">
                  <c:v>-18.987065468752604</c:v>
                </c:pt>
                <c:pt idx="305">
                  <c:v>-19.483071005615471</c:v>
                </c:pt>
                <c:pt idx="306">
                  <c:v>-19.979082604651722</c:v>
                </c:pt>
                <c:pt idx="307">
                  <c:v>-20.475134630116884</c:v>
                </c:pt>
                <c:pt idx="308">
                  <c:v>-20.971261448620254</c:v>
                </c:pt>
                <c:pt idx="309">
                  <c:v>-21.477955939333526</c:v>
                </c:pt>
                <c:pt idx="310">
                  <c:v>-21.984800858568292</c:v>
                </c:pt>
                <c:pt idx="311">
                  <c:v>-22.491832840145719</c:v>
                </c:pt>
                <c:pt idx="312">
                  <c:v>-22.99908854781728</c:v>
                </c:pt>
                <c:pt idx="313">
                  <c:v>-23.518986687332102</c:v>
                </c:pt>
                <c:pt idx="314">
                  <c:v>-24.039197611225205</c:v>
                </c:pt>
                <c:pt idx="315">
                  <c:v>-24.559760873607189</c:v>
                </c:pt>
                <c:pt idx="316">
                  <c:v>-25.080716090950745</c:v>
                </c:pt>
                <c:pt idx="317">
                  <c:v>-25.614522509788998</c:v>
                </c:pt>
                <c:pt idx="318">
                  <c:v>-26.148824040969231</c:v>
                </c:pt>
                <c:pt idx="319">
                  <c:v>-26.68366344845964</c:v>
                </c:pt>
                <c:pt idx="320">
                  <c:v>-27.219083595818091</c:v>
                </c:pt>
                <c:pt idx="321">
                  <c:v>-27.767601356514092</c:v>
                </c:pt>
                <c:pt idx="322">
                  <c:v>-28.316818338201244</c:v>
                </c:pt>
                <c:pt idx="323">
                  <c:v>-28.866780837189424</c:v>
                </c:pt>
                <c:pt idx="324">
                  <c:v>-29.417535290972353</c:v>
                </c:pt>
                <c:pt idx="325">
                  <c:v>-29.981674601611871</c:v>
                </c:pt>
                <c:pt idx="326">
                  <c:v>-30.54674100674589</c:v>
                </c:pt>
                <c:pt idx="327">
                  <c:v>-31.112784689196076</c:v>
                </c:pt>
                <c:pt idx="328">
                  <c:v>-31.679856017969456</c:v>
                </c:pt>
                <c:pt idx="329">
                  <c:v>-32.261615926160744</c:v>
                </c:pt>
                <c:pt idx="330">
                  <c:v>-32.844560765901093</c:v>
                </c:pt>
                <c:pt idx="331">
                  <c:v>-33.428745262587029</c:v>
                </c:pt>
                <c:pt idx="332">
                  <c:v>-34.014224376054898</c:v>
                </c:pt>
                <c:pt idx="333">
                  <c:v>-34.613804539396341</c:v>
                </c:pt>
                <c:pt idx="334">
                  <c:v>-35.214852886061095</c:v>
                </c:pt>
                <c:pt idx="335">
                  <c:v>-35.817428830298041</c:v>
                </c:pt>
                <c:pt idx="336">
                  <c:v>-36.421592066546424</c:v>
                </c:pt>
                <c:pt idx="337">
                  <c:v>-37.042272062799015</c:v>
                </c:pt>
                <c:pt idx="338">
                  <c:v>-37.664745882596804</c:v>
                </c:pt>
                <c:pt idx="339">
                  <c:v>-38.289078660446734</c:v>
                </c:pt>
                <c:pt idx="340">
                  <c:v>-38.91533585511678</c:v>
                </c:pt>
                <c:pt idx="341">
                  <c:v>-39.558638014634511</c:v>
                </c:pt>
                <c:pt idx="342">
                  <c:v>-40.204097715469373</c:v>
                </c:pt>
                <c:pt idx="343">
                  <c:v>-40.851786290226698</c:v>
                </c:pt>
                <c:pt idx="344">
                  <c:v>-41.501775427625063</c:v>
                </c:pt>
                <c:pt idx="345">
                  <c:v>-42.168390102556202</c:v>
                </c:pt>
                <c:pt idx="346">
                  <c:v>-42.837559221904428</c:v>
                </c:pt>
                <c:pt idx="347">
                  <c:v>-43.509360390016866</c:v>
                </c:pt>
                <c:pt idx="348">
                  <c:v>-44.183871573507361</c:v>
                </c:pt>
                <c:pt idx="349">
                  <c:v>-44.877726086076706</c:v>
                </c:pt>
                <c:pt idx="350">
                  <c:v>-45.574591163721038</c:v>
                </c:pt>
                <c:pt idx="351">
                  <c:v>-46.274551715718189</c:v>
                </c:pt>
                <c:pt idx="352">
                  <c:v>-46.977692984126008</c:v>
                </c:pt>
                <c:pt idx="353">
                  <c:v>-47.700960262302402</c:v>
                </c:pt>
                <c:pt idx="354">
                  <c:v>-48.427743312163557</c:v>
                </c:pt>
                <c:pt idx="355">
                  <c:v>-49.158134524686602</c:v>
                </c:pt>
                <c:pt idx="356">
                  <c:v>-49.892226529180419</c:v>
                </c:pt>
                <c:pt idx="357">
                  <c:v>-50.646242727976386</c:v>
                </c:pt>
                <c:pt idx="358">
                  <c:v>-51.40431895872851</c:v>
                </c:pt>
                <c:pt idx="359">
                  <c:v>-52.166554518827638</c:v>
                </c:pt>
                <c:pt idx="360">
                  <c:v>-52.933048749258234</c:v>
                </c:pt>
                <c:pt idx="361">
                  <c:v>-53.722596569832803</c:v>
                </c:pt>
                <c:pt idx="362">
                  <c:v>-54.516822283125521</c:v>
                </c:pt>
                <c:pt idx="363">
                  <c:v>-55.315832276504551</c:v>
                </c:pt>
                <c:pt idx="364">
                  <c:v>-56.119732637967502</c:v>
                </c:pt>
                <c:pt idx="365">
                  <c:v>-56.946662076533471</c:v>
                </c:pt>
                <c:pt idx="366">
                  <c:v>-57.778924396859537</c:v>
                </c:pt>
                <c:pt idx="367">
                  <c:v>-58.616631211107205</c:v>
                </c:pt>
                <c:pt idx="368">
                  <c:v>-59.459893274705138</c:v>
                </c:pt>
                <c:pt idx="369">
                  <c:v>-60.329654017318035</c:v>
                </c:pt>
                <c:pt idx="370">
                  <c:v>-61.205476919176078</c:v>
                </c:pt>
                <c:pt idx="371">
                  <c:v>-62.087477163461159</c:v>
                </c:pt>
                <c:pt idx="372">
                  <c:v>-62.975768202169576</c:v>
                </c:pt>
                <c:pt idx="373">
                  <c:v>-63.890708309326328</c:v>
                </c:pt>
                <c:pt idx="374">
                  <c:v>-64.812459448924216</c:v>
                </c:pt>
                <c:pt idx="375">
                  <c:v>-65.741135718719107</c:v>
                </c:pt>
                <c:pt idx="376">
                  <c:v>-66.676848198238162</c:v>
                </c:pt>
                <c:pt idx="377">
                  <c:v>-67.64303082502218</c:v>
                </c:pt>
                <c:pt idx="378">
                  <c:v>-68.616825698759044</c:v>
                </c:pt>
                <c:pt idx="379">
                  <c:v>-69.598340227131047</c:v>
                </c:pt>
                <c:pt idx="380">
                  <c:v>-70.587676921210061</c:v>
                </c:pt>
                <c:pt idx="381">
                  <c:v>-71.606480619593071</c:v>
                </c:pt>
                <c:pt idx="382">
                  <c:v>-72.63364544840087</c:v>
                </c:pt>
                <c:pt idx="383">
                  <c:v>-73.669261868106958</c:v>
                </c:pt>
                <c:pt idx="384">
                  <c:v>-74.713412926437428</c:v>
                </c:pt>
                <c:pt idx="385">
                  <c:v>-75.792374330442357</c:v>
                </c:pt>
                <c:pt idx="386">
                  <c:v>-76.880448865969868</c:v>
                </c:pt>
                <c:pt idx="387">
                  <c:v>-77.977697821153015</c:v>
                </c:pt>
                <c:pt idx="388">
                  <c:v>-79.084171644699438</c:v>
                </c:pt>
                <c:pt idx="389">
                  <c:v>-80.225651965831844</c:v>
                </c:pt>
                <c:pt idx="390">
                  <c:v>-81.376854912018132</c:v>
                </c:pt>
                <c:pt idx="391">
                  <c:v>-82.537794597368702</c:v>
                </c:pt>
                <c:pt idx="392">
                  <c:v>-83.708470089676609</c:v>
                </c:pt>
                <c:pt idx="393">
                  <c:v>-84.915486014937755</c:v>
                </c:pt>
                <c:pt idx="394">
                  <c:v>-86.132626430385415</c:v>
                </c:pt>
                <c:pt idx="395">
                  <c:v>-87.3598363700861</c:v>
                </c:pt>
                <c:pt idx="396">
                  <c:v>-88.597040999100841</c:v>
                </c:pt>
                <c:pt idx="397">
                  <c:v>-89.87454347755687</c:v>
                </c:pt>
                <c:pt idx="398">
                  <c:v>-91.162305644436742</c:v>
                </c:pt>
                <c:pt idx="399">
                  <c:v>-92.460177272005922</c:v>
                </c:pt>
                <c:pt idx="400">
                  <c:v>-93.767983119643247</c:v>
                </c:pt>
                <c:pt idx="401">
                  <c:v>-95.115374249096362</c:v>
                </c:pt>
                <c:pt idx="402">
                  <c:v>-96.472700038297205</c:v>
                </c:pt>
                <c:pt idx="403">
                  <c:v>-97.839688530236174</c:v>
                </c:pt>
                <c:pt idx="404">
                  <c:v>-99.216038531054721</c:v>
                </c:pt>
                <c:pt idx="405">
                  <c:v>-100.63363524306891</c:v>
                </c:pt>
                <c:pt idx="406">
                  <c:v>-102.06030049511043</c:v>
                </c:pt>
                <c:pt idx="407">
                  <c:v>-103.4956166421303</c:v>
                </c:pt>
                <c:pt idx="408">
                  <c:v>-104.9391346928515</c:v>
                </c:pt>
                <c:pt idx="409">
                  <c:v>-106.42490623975198</c:v>
                </c:pt>
                <c:pt idx="410">
                  <c:v>-107.91822404759642</c:v>
                </c:pt>
                <c:pt idx="411">
                  <c:v>-109.41851007839233</c:v>
                </c:pt>
                <c:pt idx="412">
                  <c:v>-110.92515665558881</c:v>
                </c:pt>
                <c:pt idx="413">
                  <c:v>-112.47265125498438</c:v>
                </c:pt>
                <c:pt idx="414">
                  <c:v>-114.02543099729257</c:v>
                </c:pt>
                <c:pt idx="415">
                  <c:v>-115.58276210739359</c:v>
                </c:pt>
                <c:pt idx="416">
                  <c:v>-117.14388836435774</c:v>
                </c:pt>
                <c:pt idx="417">
                  <c:v>-118.74511425020705</c:v>
                </c:pt>
                <c:pt idx="418">
                  <c:v>-120.34865538990601</c:v>
                </c:pt>
                <c:pt idx="419">
                  <c:v>-121.95364927418211</c:v>
                </c:pt>
                <c:pt idx="420">
                  <c:v>-123.55922413986644</c:v>
                </c:pt>
                <c:pt idx="421">
                  <c:v>54.799977683662803</c:v>
                </c:pt>
                <c:pt idx="422">
                  <c:v>53.160425202216942</c:v>
                </c:pt>
                <c:pt idx="423">
                  <c:v>51.523051384110232</c:v>
                </c:pt>
                <c:pt idx="424">
                  <c:v>49.88878006312197</c:v>
                </c:pt>
                <c:pt idx="425">
                  <c:v>48.218465048142036</c:v>
                </c:pt>
                <c:pt idx="426">
                  <c:v>46.553321867745581</c:v>
                </c:pt>
                <c:pt idx="427">
                  <c:v>44.894284985994545</c:v>
                </c:pt>
                <c:pt idx="428">
                  <c:v>43.242259504510855</c:v>
                </c:pt>
                <c:pt idx="429">
                  <c:v>41.560311353918308</c:v>
                </c:pt>
                <c:pt idx="430">
                  <c:v>39.887506447129908</c:v>
                </c:pt>
                <c:pt idx="431">
                  <c:v>38.224692919033913</c:v>
                </c:pt>
                <c:pt idx="432">
                  <c:v>36.572671045220176</c:v>
                </c:pt>
                <c:pt idx="433">
                  <c:v>34.89536047177279</c:v>
                </c:pt>
                <c:pt idx="434">
                  <c:v>33.230861690984995</c:v>
                </c:pt>
                <c:pt idx="435">
                  <c:v>31.579859909280088</c:v>
                </c:pt>
                <c:pt idx="436">
                  <c:v>29.942979780599728</c:v>
                </c:pt>
                <c:pt idx="437">
                  <c:v>28.282238472110123</c:v>
                </c:pt>
                <c:pt idx="438">
                  <c:v>26.637430016609187</c:v>
                </c:pt>
                <c:pt idx="439">
                  <c:v>25.009026039413641</c:v>
                </c:pt>
                <c:pt idx="440">
                  <c:v>23.397432472423617</c:v>
                </c:pt>
                <c:pt idx="441">
                  <c:v>21.766018284938667</c:v>
                </c:pt>
                <c:pt idx="442">
                  <c:v>20.15286402886818</c:v>
                </c:pt>
                <c:pt idx="443">
                  <c:v>18.558202784259208</c:v>
                </c:pt>
                <c:pt idx="444">
                  <c:v>16.982204831668213</c:v>
                </c:pt>
                <c:pt idx="445">
                  <c:v>15.389715606122763</c:v>
                </c:pt>
                <c:pt idx="446">
                  <c:v>13.816922942477333</c:v>
                </c:pt>
                <c:pt idx="447">
                  <c:v>12.263826658124543</c:v>
                </c:pt>
                <c:pt idx="448">
                  <c:v>10.73037288113099</c:v>
                </c:pt>
                <c:pt idx="449">
                  <c:v>9.180373381644273</c:v>
                </c:pt>
                <c:pt idx="450">
                  <c:v>7.6507008139004142</c:v>
                </c:pt>
                <c:pt idx="451">
                  <c:v>6.1411487380502479</c:v>
                </c:pt>
                <c:pt idx="452">
                  <c:v>4.6514693111254815</c:v>
                </c:pt>
                <c:pt idx="453">
                  <c:v>3.1483858654506491</c:v>
                </c:pt>
                <c:pt idx="454">
                  <c:v>1.6654442933801477</c:v>
                </c:pt>
                <c:pt idx="455">
                  <c:v>0.20227180473963813</c:v>
                </c:pt>
                <c:pt idx="456">
                  <c:v>-1.2415324777219041</c:v>
                </c:pt>
                <c:pt idx="457">
                  <c:v>-2.6999815130550076</c:v>
                </c:pt>
                <c:pt idx="458">
                  <c:v>-4.1390567491998524</c:v>
                </c:pt>
                <c:pt idx="459">
                  <c:v>-5.5592563804793826</c:v>
                </c:pt>
                <c:pt idx="460">
                  <c:v>-6.9610946501657054</c:v>
                </c:pt>
                <c:pt idx="461">
                  <c:v>-8.3769748692569124</c:v>
                </c:pt>
                <c:pt idx="462">
                  <c:v>-9.7747606553922139</c:v>
                </c:pt>
                <c:pt idx="463">
                  <c:v>-11.155036644298121</c:v>
                </c:pt>
                <c:pt idx="464">
                  <c:v>-12.518393676487875</c:v>
                </c:pt>
                <c:pt idx="465">
                  <c:v>-13.896806791670087</c:v>
                </c:pt>
                <c:pt idx="466">
                  <c:v>-15.25876179158098</c:v>
                </c:pt>
                <c:pt idx="467">
                  <c:v>-16.604899340811812</c:v>
                </c:pt>
                <c:pt idx="468">
                  <c:v>-17.935859121067864</c:v>
                </c:pt>
                <c:pt idx="469">
                  <c:v>-19.282260221647476</c:v>
                </c:pt>
                <c:pt idx="470">
                  <c:v>-20.614125771482009</c:v>
                </c:pt>
                <c:pt idx="471">
                  <c:v>-21.932129468853532</c:v>
                </c:pt>
                <c:pt idx="472">
                  <c:v>-23.236939438180286</c:v>
                </c:pt>
                <c:pt idx="473">
                  <c:v>-24.559930185363783</c:v>
                </c:pt>
                <c:pt idx="474">
                  <c:v>-25.87048665125738</c:v>
                </c:pt>
                <c:pt idx="475">
                  <c:v>-27.169304386686889</c:v>
                </c:pt>
                <c:pt idx="476">
                  <c:v>-28.457071051980932</c:v>
                </c:pt>
                <c:pt idx="477">
                  <c:v>-29.764141471996879</c:v>
                </c:pt>
                <c:pt idx="478">
                  <c:v>-31.061070835409083</c:v>
                </c:pt>
                <c:pt idx="479">
                  <c:v>-32.348570409349179</c:v>
                </c:pt>
                <c:pt idx="480">
                  <c:v>-33.627343207445819</c:v>
                </c:pt>
                <c:pt idx="481">
                  <c:v>-34.926958909857291</c:v>
                </c:pt>
                <c:pt idx="482">
                  <c:v>-36.218908299870066</c:v>
                </c:pt>
                <c:pt idx="483">
                  <c:v>-37.503919433405713</c:v>
                </c:pt>
                <c:pt idx="484">
                  <c:v>-38.782713380650847</c:v>
                </c:pt>
                <c:pt idx="485">
                  <c:v>-40.085206735588315</c:v>
                </c:pt>
                <c:pt idx="486">
                  <c:v>-41.382700984416886</c:v>
                </c:pt>
                <c:pt idx="487">
                  <c:v>-42.675950008845092</c:v>
                </c:pt>
                <c:pt idx="488">
                  <c:v>-43.965703317866371</c:v>
                </c:pt>
                <c:pt idx="489">
                  <c:v>-45.283343352866751</c:v>
                </c:pt>
                <c:pt idx="490">
                  <c:v>-46.598899064656024</c:v>
                </c:pt>
                <c:pt idx="491">
                  <c:v>-47.913166694010243</c:v>
                </c:pt>
                <c:pt idx="492">
                  <c:v>-49.226941868072572</c:v>
                </c:pt>
                <c:pt idx="493">
                  <c:v>-50.57161099378942</c:v>
                </c:pt>
                <c:pt idx="494">
                  <c:v>-51.917452746964216</c:v>
                </c:pt>
                <c:pt idx="495">
                  <c:v>-53.265324717003665</c:v>
                </c:pt>
                <c:pt idx="496">
                  <c:v>-54.61608858793781</c:v>
                </c:pt>
                <c:pt idx="497">
                  <c:v>-56.002348066312351</c:v>
                </c:pt>
                <c:pt idx="498">
                  <c:v>-57.393480453305955</c:v>
                </c:pt>
                <c:pt idx="499">
                  <c:v>-58.790430083026735</c:v>
                </c:pt>
                <c:pt idx="500">
                  <c:v>-60.19415062739651</c:v>
                </c:pt>
                <c:pt idx="501">
                  <c:v>-61.63886503154194</c:v>
                </c:pt>
                <c:pt idx="502">
                  <c:v>-63.092728098222125</c:v>
                </c:pt>
                <c:pt idx="503">
                  <c:v>-64.55679916650567</c:v>
                </c:pt>
                <c:pt idx="504">
                  <c:v>-66.032151745931174</c:v>
                </c:pt>
                <c:pt idx="505">
                  <c:v>-67.55417549554835</c:v>
                </c:pt>
                <c:pt idx="506">
                  <c:v>-69.090324724881867</c:v>
                </c:pt>
                <c:pt idx="507">
                  <c:v>-70.641797347449426</c:v>
                </c:pt>
                <c:pt idx="508">
                  <c:v>-72.209807634815121</c:v>
                </c:pt>
                <c:pt idx="509">
                  <c:v>-73.832347925313201</c:v>
                </c:pt>
                <c:pt idx="510">
                  <c:v>-75.474816825704522</c:v>
                </c:pt>
                <c:pt idx="511">
                  <c:v>-77.138560888027939</c:v>
                </c:pt>
                <c:pt idx="512">
                  <c:v>-78.824937904620867</c:v>
                </c:pt>
                <c:pt idx="513">
                  <c:v>-80.576170093151518</c:v>
                </c:pt>
                <c:pt idx="514">
                  <c:v>-82.354020689439778</c:v>
                </c:pt>
                <c:pt idx="515">
                  <c:v>-84.159955372193679</c:v>
                </c:pt>
                <c:pt idx="516">
                  <c:v>-85.995429451510461</c:v>
                </c:pt>
                <c:pt idx="517">
                  <c:v>-87.905486872303243</c:v>
                </c:pt>
                <c:pt idx="518">
                  <c:v>-89.849475528458129</c:v>
                </c:pt>
                <c:pt idx="519">
                  <c:v>-91.828852512357344</c:v>
                </c:pt>
                <c:pt idx="520">
                  <c:v>-93.845010766446251</c:v>
                </c:pt>
                <c:pt idx="521">
                  <c:v>-95.947387354206114</c:v>
                </c:pt>
                <c:pt idx="522">
                  <c:v>-98.090932739630659</c:v>
                </c:pt>
                <c:pt idx="523">
                  <c:v>-100.27679574306785</c:v>
                </c:pt>
                <c:pt idx="524">
                  <c:v>-102.50595481038602</c:v>
                </c:pt>
                <c:pt idx="525">
                  <c:v>-104.83252223803669</c:v>
                </c:pt>
                <c:pt idx="526">
                  <c:v>-107.20580797105794</c:v>
                </c:pt>
                <c:pt idx="527">
                  <c:v>-109.62608933548432</c:v>
                </c:pt>
                <c:pt idx="528">
                  <c:v>-112.09330525555049</c:v>
                </c:pt>
                <c:pt idx="529">
                  <c:v>-114.66599030583365</c:v>
                </c:pt>
                <c:pt idx="530">
                  <c:v>-117.28643416514348</c:v>
                </c:pt>
                <c:pt idx="531">
                  <c:v>-119.95322194380213</c:v>
                </c:pt>
                <c:pt idx="532">
                  <c:v>-122.66441417021468</c:v>
                </c:pt>
                <c:pt idx="533">
                  <c:v>-125.48345739469505</c:v>
                </c:pt>
                <c:pt idx="534">
                  <c:v>-128.34316096828076</c:v>
                </c:pt>
                <c:pt idx="535">
                  <c:v>-131.23964473506862</c:v>
                </c:pt>
                <c:pt idx="536">
                  <c:v>-134.16844264015339</c:v>
                </c:pt>
                <c:pt idx="537">
                  <c:v>-137.19193350176926</c:v>
                </c:pt>
                <c:pt idx="538">
                  <c:v>-140.23809712286328</c:v>
                </c:pt>
                <c:pt idx="539">
                  <c:v>-143.30061076898909</c:v>
                </c:pt>
                <c:pt idx="540">
                  <c:v>-146.37281935860864</c:v>
                </c:pt>
                <c:pt idx="541">
                  <c:v>30.479244857094983</c:v>
                </c:pt>
                <c:pt idx="542">
                  <c:v>27.335790140469925</c:v>
                </c:pt>
                <c:pt idx="543">
                  <c:v>24.2041958533745</c:v>
                </c:pt>
                <c:pt idx="544">
                  <c:v>21.091623905722486</c:v>
                </c:pt>
                <c:pt idx="545">
                  <c:v>17.933735981103979</c:v>
                </c:pt>
                <c:pt idx="546">
                  <c:v>14.80965443073606</c:v>
                </c:pt>
                <c:pt idx="547">
                  <c:v>11.725512175039171</c:v>
                </c:pt>
                <c:pt idx="548">
                  <c:v>8.6867206077905337</c:v>
                </c:pt>
                <c:pt idx="549">
                  <c:v>5.6294325893982773</c:v>
                </c:pt>
                <c:pt idx="550">
                  <c:v>2.6285591163613731</c:v>
                </c:pt>
                <c:pt idx="551">
                  <c:v>-0.31268445763822683</c:v>
                </c:pt>
                <c:pt idx="552">
                  <c:v>-3.1919348672563785</c:v>
                </c:pt>
                <c:pt idx="553">
                  <c:v>-6.0731426020464028</c:v>
                </c:pt>
                <c:pt idx="554">
                  <c:v>-8.8869061842867438</c:v>
                </c:pt>
                <c:pt idx="555">
                  <c:v>-11.63308895158147</c:v>
                </c:pt>
                <c:pt idx="556">
                  <c:v>-14.312197131003416</c:v>
                </c:pt>
                <c:pt idx="557">
                  <c:v>-19.591914669152771</c:v>
                </c:pt>
                <c:pt idx="558">
                  <c:v>-24.610165750136275</c:v>
                </c:pt>
                <c:pt idx="559">
                  <c:v>-29.493811306129317</c:v>
                </c:pt>
                <c:pt idx="560">
                  <c:v>-34.149651375301204</c:v>
                </c:pt>
                <c:pt idx="561">
                  <c:v>-38.707571304924272</c:v>
                </c:pt>
                <c:pt idx="562">
                  <c:v>-43.08317090995979</c:v>
                </c:pt>
                <c:pt idx="563">
                  <c:v>-47.393831321085116</c:v>
                </c:pt>
                <c:pt idx="564">
                  <c:v>-51.572934736701995</c:v>
                </c:pt>
                <c:pt idx="565">
                  <c:v>-55.750178495944539</c:v>
                </c:pt>
                <c:pt idx="566">
                  <c:v>-59.847693650760135</c:v>
                </c:pt>
                <c:pt idx="567">
                  <c:v>-63.992666496797426</c:v>
                </c:pt>
                <c:pt idx="568">
                  <c:v>-68.113000147578788</c:v>
                </c:pt>
                <c:pt idx="569">
                  <c:v>-72.32070385609623</c:v>
                </c:pt>
                <c:pt idx="570">
                  <c:v>-76.564432879388903</c:v>
                </c:pt>
                <c:pt idx="571">
                  <c:v>-80.9956556346242</c:v>
                </c:pt>
                <c:pt idx="572">
                  <c:v>-85.534220242663423</c:v>
                </c:pt>
                <c:pt idx="573">
                  <c:v>-90.308360351438807</c:v>
                </c:pt>
                <c:pt idx="574">
                  <c:v>-95.273746397704201</c:v>
                </c:pt>
                <c:pt idx="575">
                  <c:v>-100.61283636391966</c:v>
                </c:pt>
                <c:pt idx="576">
                  <c:v>-106.24481731997349</c:v>
                </c:pt>
                <c:pt idx="577">
                  <c:v>-134.21323770530756</c:v>
                </c:pt>
                <c:pt idx="578">
                  <c:v>11.753979896113236</c:v>
                </c:pt>
                <c:pt idx="579">
                  <c:v>-51.118422610967656</c:v>
                </c:pt>
                <c:pt idx="580">
                  <c:v>-97.440047362701819</c:v>
                </c:pt>
                <c:pt idx="581">
                  <c:v>-168.18748617749975</c:v>
                </c:pt>
                <c:pt idx="582">
                  <c:v>-68.542736763948312</c:v>
                </c:pt>
                <c:pt idx="583">
                  <c:v>-131.07250015344175</c:v>
                </c:pt>
                <c:pt idx="584">
                  <c:v>-56.027827689328006</c:v>
                </c:pt>
                <c:pt idx="585">
                  <c:v>-130.70960275329992</c:v>
                </c:pt>
                <c:pt idx="586">
                  <c:v>-70.858562178261792</c:v>
                </c:pt>
                <c:pt idx="587">
                  <c:v>-168.27671451579897</c:v>
                </c:pt>
                <c:pt idx="588">
                  <c:v>-112.04361843428273</c:v>
                </c:pt>
                <c:pt idx="589">
                  <c:v>-77.610246021735691</c:v>
                </c:pt>
                <c:pt idx="590">
                  <c:v>-42.103176728639369</c:v>
                </c:pt>
                <c:pt idx="591">
                  <c:v>-193.81197744187841</c:v>
                </c:pt>
                <c:pt idx="592">
                  <c:v>-185.62851464170268</c:v>
                </c:pt>
                <c:pt idx="593">
                  <c:v>-20.5157881015584</c:v>
                </c:pt>
                <c:pt idx="594">
                  <c:v>-57.61010909848693</c:v>
                </c:pt>
                <c:pt idx="595">
                  <c:v>-100.34573380759139</c:v>
                </c:pt>
                <c:pt idx="596">
                  <c:v>-159.18449284639928</c:v>
                </c:pt>
                <c:pt idx="597">
                  <c:v>-89.301136516987924</c:v>
                </c:pt>
                <c:pt idx="598">
                  <c:v>-26.56302211827861</c:v>
                </c:pt>
                <c:pt idx="599">
                  <c:v>-166.30163554130326</c:v>
                </c:pt>
                <c:pt idx="600">
                  <c:v>-168.75650602564286</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106.25914717344631</c:v>
                </c:pt>
                <c:pt idx="42">
                  <c:v>102.0917831431796</c:v>
                </c:pt>
                <c:pt idx="43">
                  <c:v>99.775971510877127</c:v>
                </c:pt>
                <c:pt idx="44">
                  <c:v>97.564099797175928</c:v>
                </c:pt>
                <c:pt idx="45">
                  <c:v>95.448662100497046</c:v>
                </c:pt>
                <c:pt idx="46">
                  <c:v>93.423486098620884</c:v>
                </c:pt>
                <c:pt idx="47">
                  <c:v>91.482915217094217</c:v>
                </c:pt>
                <c:pt idx="48">
                  <c:v>89.621755862840004</c:v>
                </c:pt>
                <c:pt idx="49">
                  <c:v>87.835231006131082</c:v>
                </c:pt>
                <c:pt idx="50">
                  <c:v>86.118939237370896</c:v>
                </c:pt>
                <c:pt idx="51">
                  <c:v>84.468818559853403</c:v>
                </c:pt>
                <c:pt idx="52">
                  <c:v>82.881114291468194</c:v>
                </c:pt>
                <c:pt idx="53">
                  <c:v>81.352350541432074</c:v>
                </c:pt>
                <c:pt idx="54">
                  <c:v>79.879304805973447</c:v>
                </c:pt>
                <c:pt idx="55">
                  <c:v>78.458985292199102</c:v>
                </c:pt>
                <c:pt idx="56">
                  <c:v>77.088610634342245</c:v>
                </c:pt>
                <c:pt idx="57">
                  <c:v>75.765591713012839</c:v>
                </c:pt>
                <c:pt idx="58">
                  <c:v>74.487515327392856</c:v>
                </c:pt>
                <c:pt idx="59">
                  <c:v>73.252129503734309</c:v>
                </c:pt>
                <c:pt idx="60">
                  <c:v>72.057330251988617</c:v>
                </c:pt>
                <c:pt idx="61">
                  <c:v>70.901149606727614</c:v>
                </c:pt>
                <c:pt idx="62">
                  <c:v>69.781744809363957</c:v>
                </c:pt>
                <c:pt idx="63">
                  <c:v>68.69738850658895</c:v>
                </c:pt>
                <c:pt idx="64">
                  <c:v>67.646459855370935</c:v>
                </c:pt>
                <c:pt idx="65">
                  <c:v>66.627436438175764</c:v>
                </c:pt>
                <c:pt idx="66">
                  <c:v>65.638886903595377</c:v>
                </c:pt>
                <c:pt idx="67">
                  <c:v>64.67946425756837</c:v>
                </c:pt>
                <c:pt idx="68">
                  <c:v>63.747899739066554</c:v>
                </c:pt>
                <c:pt idx="69">
                  <c:v>62.842997221692691</c:v>
                </c:pt>
                <c:pt idx="70">
                  <c:v>61.963628089245148</c:v>
                </c:pt>
                <c:pt idx="71">
                  <c:v>61.108726539085779</c:v>
                </c:pt>
                <c:pt idx="72">
                  <c:v>60.277285272216623</c:v>
                </c:pt>
                <c:pt idx="73">
                  <c:v>59.468351533420744</c:v>
                </c:pt>
                <c:pt idx="74">
                  <c:v>58.681023468738196</c:v>
                </c:pt>
                <c:pt idx="75">
                  <c:v>57.914446770999191</c:v>
                </c:pt>
                <c:pt idx="76">
                  <c:v>57.167811587183323</c:v>
                </c:pt>
                <c:pt idx="77">
                  <c:v>56.440349664068798</c:v>
                </c:pt>
                <c:pt idx="78">
                  <c:v>55.731331711022904</c:v>
                </c:pt>
                <c:pt idx="79">
                  <c:v>55.040064960902697</c:v>
                </c:pt>
                <c:pt idx="80">
                  <c:v>54.365890911918534</c:v>
                </c:pt>
                <c:pt idx="81">
                  <c:v>53.708183234987466</c:v>
                </c:pt>
                <c:pt idx="82">
                  <c:v>53.066345832598273</c:v>
                </c:pt>
                <c:pt idx="83">
                  <c:v>52.439811036542267</c:v>
                </c:pt>
                <c:pt idx="84">
                  <c:v>51.828037933056784</c:v>
                </c:pt>
                <c:pt idx="85">
                  <c:v>51.230510804994942</c:v>
                </c:pt>
                <c:pt idx="86">
                  <c:v>50.646737681591496</c:v>
                </c:pt>
                <c:pt idx="87">
                  <c:v>50.076248987253706</c:v>
                </c:pt>
                <c:pt idx="88">
                  <c:v>49.518596281577331</c:v>
                </c:pt>
                <c:pt idx="89">
                  <c:v>48.973351083482363</c:v>
                </c:pt>
                <c:pt idx="90">
                  <c:v>48.440103772988103</c:v>
                </c:pt>
                <c:pt idx="91">
                  <c:v>47.918462564712819</c:v>
                </c:pt>
                <c:pt idx="92">
                  <c:v>47.408052547690708</c:v>
                </c:pt>
                <c:pt idx="93">
                  <c:v>46.908514786562051</c:v>
                </c:pt>
                <c:pt idx="94">
                  <c:v>46.419505479607139</c:v>
                </c:pt>
                <c:pt idx="95">
                  <c:v>45.940695169474054</c:v>
                </c:pt>
                <c:pt idx="96">
                  <c:v>45.471768002792807</c:v>
                </c:pt>
                <c:pt idx="97">
                  <c:v>45.012421035178505</c:v>
                </c:pt>
                <c:pt idx="98">
                  <c:v>44.562363578411052</c:v>
                </c:pt>
                <c:pt idx="99">
                  <c:v>44.121316586834382</c:v>
                </c:pt>
                <c:pt idx="100">
                  <c:v>43.689012080254045</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10.221035998444799</c:v>
                </c:pt>
                <c:pt idx="43">
                  <c:v>10.464951468632131</c:v>
                </c:pt>
                <c:pt idx="44">
                  <c:v>10.708930656694797</c:v>
                </c:pt>
                <c:pt idx="45">
                  <c:v>10.952937596851436</c:v>
                </c:pt>
                <c:pt idx="46">
                  <c:v>11.196972296147743</c:v>
                </c:pt>
                <c:pt idx="47">
                  <c:v>11.4410347616318</c:v>
                </c:pt>
                <c:pt idx="48">
                  <c:v>11.685125000354098</c:v>
                </c:pt>
                <c:pt idx="49">
                  <c:v>11.929243019367517</c:v>
                </c:pt>
                <c:pt idx="50">
                  <c:v>12.17338882572732</c:v>
                </c:pt>
                <c:pt idx="51">
                  <c:v>12.417562426491191</c:v>
                </c:pt>
                <c:pt idx="52">
                  <c:v>12.661763828719188</c:v>
                </c:pt>
                <c:pt idx="53">
                  <c:v>12.905993039473776</c:v>
                </c:pt>
                <c:pt idx="54">
                  <c:v>13.150250065819813</c:v>
                </c:pt>
                <c:pt idx="55">
                  <c:v>13.39453491482455</c:v>
                </c:pt>
                <c:pt idx="56">
                  <c:v>13.638847593557657</c:v>
                </c:pt>
                <c:pt idx="57">
                  <c:v>13.883188109091174</c:v>
                </c:pt>
                <c:pt idx="58">
                  <c:v>14.127556468499563</c:v>
                </c:pt>
                <c:pt idx="59">
                  <c:v>14.371952678859676</c:v>
                </c:pt>
                <c:pt idx="60">
                  <c:v>14.61637674725077</c:v>
                </c:pt>
                <c:pt idx="61">
                  <c:v>14.8608286807545</c:v>
                </c:pt>
                <c:pt idx="62">
                  <c:v>15.105308486454927</c:v>
                </c:pt>
                <c:pt idx="63">
                  <c:v>15.349816171438512</c:v>
                </c:pt>
                <c:pt idx="64">
                  <c:v>15.594351742794128</c:v>
                </c:pt>
                <c:pt idx="65">
                  <c:v>15.838915207613045</c:v>
                </c:pt>
                <c:pt idx="66">
                  <c:v>16.083506572988949</c:v>
                </c:pt>
                <c:pt idx="67">
                  <c:v>16.328125846017919</c:v>
                </c:pt>
                <c:pt idx="68">
                  <c:v>16.572773033798448</c:v>
                </c:pt>
                <c:pt idx="69">
                  <c:v>16.817448143431449</c:v>
                </c:pt>
                <c:pt idx="70">
                  <c:v>17.06215118202023</c:v>
                </c:pt>
                <c:pt idx="71">
                  <c:v>17.306882156670518</c:v>
                </c:pt>
                <c:pt idx="72">
                  <c:v>17.551641074490448</c:v>
                </c:pt>
                <c:pt idx="73">
                  <c:v>17.796427942590569</c:v>
                </c:pt>
                <c:pt idx="74">
                  <c:v>18.041242768083841</c:v>
                </c:pt>
                <c:pt idx="75">
                  <c:v>18.286085558085645</c:v>
                </c:pt>
                <c:pt idx="76">
                  <c:v>18.530956319713766</c:v>
                </c:pt>
                <c:pt idx="77">
                  <c:v>18.775855060088425</c:v>
                </c:pt>
                <c:pt idx="78">
                  <c:v>19.020781786332243</c:v>
                </c:pt>
                <c:pt idx="79">
                  <c:v>19.265736505570263</c:v>
                </c:pt>
                <c:pt idx="80">
                  <c:v>19.51071922492995</c:v>
                </c:pt>
                <c:pt idx="81">
                  <c:v>19.755729951541195</c:v>
                </c:pt>
                <c:pt idx="82">
                  <c:v>20.00076869253629</c:v>
                </c:pt>
                <c:pt idx="83">
                  <c:v>20.245835455049981</c:v>
                </c:pt>
                <c:pt idx="84">
                  <c:v>20.490930246219417</c:v>
                </c:pt>
                <c:pt idx="85">
                  <c:v>20.73605307318417</c:v>
                </c:pt>
                <c:pt idx="86">
                  <c:v>20.981203943086243</c:v>
                </c:pt>
                <c:pt idx="87">
                  <c:v>21.226382863070064</c:v>
                </c:pt>
                <c:pt idx="88">
                  <c:v>21.471589840282498</c:v>
                </c:pt>
                <c:pt idx="89">
                  <c:v>21.716824881872817</c:v>
                </c:pt>
                <c:pt idx="90">
                  <c:v>21.962087994992746</c:v>
                </c:pt>
                <c:pt idx="91">
                  <c:v>22.207379186796423</c:v>
                </c:pt>
                <c:pt idx="92">
                  <c:v>22.452698464440431</c:v>
                </c:pt>
                <c:pt idx="93">
                  <c:v>22.698045835083775</c:v>
                </c:pt>
                <c:pt idx="94">
                  <c:v>22.943421305887885</c:v>
                </c:pt>
                <c:pt idx="95">
                  <c:v>23.188824884016668</c:v>
                </c:pt>
                <c:pt idx="96">
                  <c:v>23.434256576636407</c:v>
                </c:pt>
                <c:pt idx="97">
                  <c:v>23.679716390915875</c:v>
                </c:pt>
                <c:pt idx="98">
                  <c:v>23.925204334026244</c:v>
                </c:pt>
                <c:pt idx="99">
                  <c:v>24.17072041314114</c:v>
                </c:pt>
                <c:pt idx="100">
                  <c:v>24.416264635436637</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1.6666671776674781E-2</c:v>
                </c:pt>
                <c:pt idx="1">
                  <c:v>1.6699493621377126E-2</c:v>
                </c:pt>
                <c:pt idx="2">
                  <c:v>1.6713128897077469E-2</c:v>
                </c:pt>
                <c:pt idx="3">
                  <c:v>1.6723606719663341E-2</c:v>
                </c:pt>
                <c:pt idx="4">
                  <c:v>1.7677442781877363E-2</c:v>
                </c:pt>
                <c:pt idx="5">
                  <c:v>2.2096803477346705E-2</c:v>
                </c:pt>
                <c:pt idx="6">
                  <c:v>2.6516164172816045E-2</c:v>
                </c:pt>
                <c:pt idx="7">
                  <c:v>3.093552486828539E-2</c:v>
                </c:pt>
                <c:pt idx="8">
                  <c:v>3.5354885563754726E-2</c:v>
                </c:pt>
                <c:pt idx="9">
                  <c:v>3.9774246259224058E-2</c:v>
                </c:pt>
                <c:pt idx="10">
                  <c:v>4.4193606954693411E-2</c:v>
                </c:pt>
                <c:pt idx="11">
                  <c:v>4.861296765016275E-2</c:v>
                </c:pt>
                <c:pt idx="12">
                  <c:v>5.3032328345632089E-2</c:v>
                </c:pt>
                <c:pt idx="13">
                  <c:v>5.7451689041101435E-2</c:v>
                </c:pt>
                <c:pt idx="14">
                  <c:v>6.1871049736570781E-2</c:v>
                </c:pt>
                <c:pt idx="15">
                  <c:v>6.629041043204012E-2</c:v>
                </c:pt>
                <c:pt idx="16">
                  <c:v>7.0709771127509452E-2</c:v>
                </c:pt>
                <c:pt idx="17">
                  <c:v>7.5129131822978812E-2</c:v>
                </c:pt>
                <c:pt idx="18">
                  <c:v>7.9548492518448116E-2</c:v>
                </c:pt>
                <c:pt idx="19">
                  <c:v>8.3967853213917476E-2</c:v>
                </c:pt>
                <c:pt idx="20">
                  <c:v>8.8387213909386822E-2</c:v>
                </c:pt>
                <c:pt idx="21">
                  <c:v>9.2806574604856154E-2</c:v>
                </c:pt>
                <c:pt idx="22">
                  <c:v>9.72259353003255E-2</c:v>
                </c:pt>
                <c:pt idx="23">
                  <c:v>0.10164529599579487</c:v>
                </c:pt>
                <c:pt idx="24">
                  <c:v>0.10606465669126418</c:v>
                </c:pt>
                <c:pt idx="25">
                  <c:v>0.11048401738673354</c:v>
                </c:pt>
                <c:pt idx="26">
                  <c:v>0.11490337808220287</c:v>
                </c:pt>
                <c:pt idx="27">
                  <c:v>0.1193227387776722</c:v>
                </c:pt>
                <c:pt idx="28">
                  <c:v>0.12374209947314156</c:v>
                </c:pt>
                <c:pt idx="29">
                  <c:v>0.12816146016861088</c:v>
                </c:pt>
                <c:pt idx="30">
                  <c:v>0.13258082086408024</c:v>
                </c:pt>
                <c:pt idx="31">
                  <c:v>0.13700018155954957</c:v>
                </c:pt>
                <c:pt idx="32">
                  <c:v>0.1414195422550189</c:v>
                </c:pt>
                <c:pt idx="33">
                  <c:v>0.14583890295048829</c:v>
                </c:pt>
                <c:pt idx="34">
                  <c:v>0.15025826364595762</c:v>
                </c:pt>
                <c:pt idx="35">
                  <c:v>0.15467762434142693</c:v>
                </c:pt>
                <c:pt idx="36">
                  <c:v>0.15909698503689623</c:v>
                </c:pt>
                <c:pt idx="37">
                  <c:v>0.16351634573236562</c:v>
                </c:pt>
                <c:pt idx="38">
                  <c:v>0.16793570642783495</c:v>
                </c:pt>
                <c:pt idx="39">
                  <c:v>0.17235506712330434</c:v>
                </c:pt>
                <c:pt idx="40">
                  <c:v>0.17677442781877364</c:v>
                </c:pt>
                <c:pt idx="41">
                  <c:v>0.18434813499924824</c:v>
                </c:pt>
                <c:pt idx="42">
                  <c:v>0.18013128711563231</c:v>
                </c:pt>
                <c:pt idx="43">
                  <c:v>0.17727835041620316</c:v>
                </c:pt>
                <c:pt idx="44">
                  <c:v>0.17740916940300058</c:v>
                </c:pt>
                <c:pt idx="45">
                  <c:v>0.17753639303870275</c:v>
                </c:pt>
                <c:pt idx="46">
                  <c:v>0.17766025147297251</c:v>
                </c:pt>
                <c:pt idx="47">
                  <c:v>0.1777809556405561</c:v>
                </c:pt>
                <c:pt idx="48">
                  <c:v>0.1778986992255755</c:v>
                </c:pt>
                <c:pt idx="49">
                  <c:v>0.17801366038968222</c:v>
                </c:pt>
                <c:pt idx="50">
                  <c:v>0.17812600329654213</c:v>
                </c:pt>
                <c:pt idx="51">
                  <c:v>0.17823587946011488</c:v>
                </c:pt>
                <c:pt idx="52">
                  <c:v>0.17834342894004029</c:v>
                </c:pt>
                <c:pt idx="53">
                  <c:v>0.1784487814039831</c:v>
                </c:pt>
                <c:pt idx="54">
                  <c:v>0.1785520570738969</c:v>
                </c:pt>
                <c:pt idx="55">
                  <c:v>0.17865336757074085</c:v>
                </c:pt>
                <c:pt idx="56">
                  <c:v>0.17875281667013848</c:v>
                </c:pt>
                <c:pt idx="57">
                  <c:v>0.17885050097974464</c:v>
                </c:pt>
                <c:pt idx="58">
                  <c:v>0.17894651054762256</c:v>
                </c:pt>
                <c:pt idx="59">
                  <c:v>0.17904092940969307</c:v>
                </c:pt>
                <c:pt idx="60">
                  <c:v>0.17913383608325659</c:v>
                </c:pt>
                <c:pt idx="61">
                  <c:v>0.17922530401268633</c:v>
                </c:pt>
                <c:pt idx="62">
                  <c:v>0.17931540197261406</c:v>
                </c:pt>
                <c:pt idx="63">
                  <c:v>0.17940419443326408</c:v>
                </c:pt>
                <c:pt idx="64">
                  <c:v>0.17949174189201825</c:v>
                </c:pt>
                <c:pt idx="65">
                  <c:v>0.17957810117479664</c:v>
                </c:pt>
                <c:pt idx="66">
                  <c:v>0.17966332571041446</c:v>
                </c:pt>
                <c:pt idx="67">
                  <c:v>0.17974746578069739</c:v>
                </c:pt>
                <c:pt idx="68">
                  <c:v>0.17983056874882078</c:v>
                </c:pt>
                <c:pt idx="69">
                  <c:v>0.17991267926805118</c:v>
                </c:pt>
                <c:pt idx="70">
                  <c:v>0.17999383947282599</c:v>
                </c:pt>
                <c:pt idx="71">
                  <c:v>0.1800740891538895</c:v>
                </c:pt>
                <c:pt idx="72">
                  <c:v>0.18015346591901688</c:v>
                </c:pt>
                <c:pt idx="73">
                  <c:v>0.18023200534069075</c:v>
                </c:pt>
                <c:pt idx="74">
                  <c:v>0.18030974109194897</c:v>
                </c:pt>
                <c:pt idx="75">
                  <c:v>0.18038670507149573</c:v>
                </c:pt>
                <c:pt idx="76">
                  <c:v>0.1804629275190521</c:v>
                </c:pt>
                <c:pt idx="77">
                  <c:v>0.18053843712182283</c:v>
                </c:pt>
                <c:pt idx="78">
                  <c:v>0.18061326111286852</c:v>
                </c:pt>
                <c:pt idx="79">
                  <c:v>0.1806874253620914</c:v>
                </c:pt>
                <c:pt idx="80">
                  <c:v>0.18076095446047388</c:v>
                </c:pt>
                <c:pt idx="81">
                  <c:v>0.18083387179814642</c:v>
                </c:pt>
                <c:pt idx="82">
                  <c:v>0.18090619963680646</c:v>
                </c:pt>
                <c:pt idx="83">
                  <c:v>0.18097795917695841</c:v>
                </c:pt>
                <c:pt idx="84">
                  <c:v>0.1810491706204026</c:v>
                </c:pt>
                <c:pt idx="85">
                  <c:v>0.18111985322835986</c:v>
                </c:pt>
                <c:pt idx="86">
                  <c:v>0.18119002537558349</c:v>
                </c:pt>
                <c:pt idx="87">
                  <c:v>0.18125970460077809</c:v>
                </c:pt>
                <c:pt idx="88">
                  <c:v>0.18132890765361576</c:v>
                </c:pt>
                <c:pt idx="89">
                  <c:v>0.18139765053861476</c:v>
                </c:pt>
                <c:pt idx="90">
                  <c:v>0.18146594855612258</c:v>
                </c:pt>
                <c:pt idx="91">
                  <c:v>0.18153381634062296</c:v>
                </c:pt>
                <c:pt idx="92">
                  <c:v>0.18160126789656994</c:v>
                </c:pt>
                <c:pt idx="93">
                  <c:v>0.18166831663193161</c:v>
                </c:pt>
                <c:pt idx="94">
                  <c:v>0.18173497538961381</c:v>
                </c:pt>
                <c:pt idx="95">
                  <c:v>0.18180125647691817</c:v>
                </c:pt>
                <c:pt idx="96">
                  <c:v>0.18186717169317562</c:v>
                </c:pt>
                <c:pt idx="97">
                  <c:v>0.1819327323556873</c:v>
                </c:pt>
                <c:pt idx="98">
                  <c:v>0.18199794932409122</c:v>
                </c:pt>
                <c:pt idx="99">
                  <c:v>0.1820628330232662</c:v>
                </c:pt>
                <c:pt idx="100">
                  <c:v>0.18212739346487361</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1.6666671776674781E-2</c:v>
                </c:pt>
                <c:pt idx="1">
                  <c:v>1.6699493621377126E-2</c:v>
                </c:pt>
                <c:pt idx="2">
                  <c:v>1.6713128897077469E-2</c:v>
                </c:pt>
                <c:pt idx="3">
                  <c:v>1.6723606719663341E-2</c:v>
                </c:pt>
                <c:pt idx="4">
                  <c:v>1.7677442781877363E-2</c:v>
                </c:pt>
                <c:pt idx="5">
                  <c:v>2.2096803477346705E-2</c:v>
                </c:pt>
                <c:pt idx="6">
                  <c:v>2.6516164172816045E-2</c:v>
                </c:pt>
                <c:pt idx="7">
                  <c:v>3.093552486828539E-2</c:v>
                </c:pt>
                <c:pt idx="8">
                  <c:v>3.5354885563754726E-2</c:v>
                </c:pt>
                <c:pt idx="9">
                  <c:v>3.9774246259224058E-2</c:v>
                </c:pt>
                <c:pt idx="10">
                  <c:v>4.4193606954693411E-2</c:v>
                </c:pt>
                <c:pt idx="11">
                  <c:v>4.861296765016275E-2</c:v>
                </c:pt>
                <c:pt idx="12">
                  <c:v>5.3032328345632089E-2</c:v>
                </c:pt>
                <c:pt idx="13">
                  <c:v>5.7451689041101435E-2</c:v>
                </c:pt>
                <c:pt idx="14">
                  <c:v>6.1871049736570781E-2</c:v>
                </c:pt>
                <c:pt idx="15">
                  <c:v>6.629041043204012E-2</c:v>
                </c:pt>
                <c:pt idx="16">
                  <c:v>7.0709771127509452E-2</c:v>
                </c:pt>
                <c:pt idx="17">
                  <c:v>7.5129131822978812E-2</c:v>
                </c:pt>
                <c:pt idx="18">
                  <c:v>7.9548492518448116E-2</c:v>
                </c:pt>
                <c:pt idx="19">
                  <c:v>8.3967853213917476E-2</c:v>
                </c:pt>
                <c:pt idx="20">
                  <c:v>8.8387213909386822E-2</c:v>
                </c:pt>
                <c:pt idx="21">
                  <c:v>9.2806574604856154E-2</c:v>
                </c:pt>
                <c:pt idx="22">
                  <c:v>9.72259353003255E-2</c:v>
                </c:pt>
                <c:pt idx="23">
                  <c:v>0.10164529599579487</c:v>
                </c:pt>
                <c:pt idx="24">
                  <c:v>0.10606465669126418</c:v>
                </c:pt>
                <c:pt idx="25">
                  <c:v>0.11048401738673354</c:v>
                </c:pt>
                <c:pt idx="26">
                  <c:v>0.11490337808220287</c:v>
                </c:pt>
                <c:pt idx="27">
                  <c:v>0.1193227387776722</c:v>
                </c:pt>
                <c:pt idx="28">
                  <c:v>0.12374209947314156</c:v>
                </c:pt>
                <c:pt idx="29">
                  <c:v>0.12816146016861088</c:v>
                </c:pt>
                <c:pt idx="30">
                  <c:v>0.13258082086408024</c:v>
                </c:pt>
                <c:pt idx="31">
                  <c:v>0.13700018155954957</c:v>
                </c:pt>
                <c:pt idx="32">
                  <c:v>0.1414195422550189</c:v>
                </c:pt>
                <c:pt idx="33">
                  <c:v>0.14583890295048829</c:v>
                </c:pt>
                <c:pt idx="34">
                  <c:v>0.15025826364595762</c:v>
                </c:pt>
                <c:pt idx="35">
                  <c:v>0.15467762434142693</c:v>
                </c:pt>
                <c:pt idx="36">
                  <c:v>0.15909698503689623</c:v>
                </c:pt>
                <c:pt idx="37">
                  <c:v>0.16351634573236562</c:v>
                </c:pt>
                <c:pt idx="38">
                  <c:v>0.16793570642783495</c:v>
                </c:pt>
                <c:pt idx="39">
                  <c:v>0.17235506712330434</c:v>
                </c:pt>
                <c:pt idx="40">
                  <c:v>0.17677442781877364</c:v>
                </c:pt>
                <c:pt idx="41">
                  <c:v>0.18434813499924824</c:v>
                </c:pt>
                <c:pt idx="42">
                  <c:v>0.18013128711563231</c:v>
                </c:pt>
                <c:pt idx="43">
                  <c:v>0.17727835041620316</c:v>
                </c:pt>
                <c:pt idx="44">
                  <c:v>0.17740916940300058</c:v>
                </c:pt>
                <c:pt idx="45">
                  <c:v>0.17753639303870275</c:v>
                </c:pt>
                <c:pt idx="46">
                  <c:v>0.17766025147297251</c:v>
                </c:pt>
                <c:pt idx="47">
                  <c:v>0.1777809556405561</c:v>
                </c:pt>
                <c:pt idx="48">
                  <c:v>0.1778986992255755</c:v>
                </c:pt>
                <c:pt idx="49">
                  <c:v>0.17801366038968222</c:v>
                </c:pt>
                <c:pt idx="50">
                  <c:v>0.17812600329654213</c:v>
                </c:pt>
                <c:pt idx="51">
                  <c:v>0.17823587946011488</c:v>
                </c:pt>
                <c:pt idx="52">
                  <c:v>0.17834342894004029</c:v>
                </c:pt>
                <c:pt idx="53">
                  <c:v>0.1784487814039831</c:v>
                </c:pt>
                <c:pt idx="54">
                  <c:v>0.1785520570738969</c:v>
                </c:pt>
                <c:pt idx="55">
                  <c:v>0.17865336757074085</c:v>
                </c:pt>
                <c:pt idx="56">
                  <c:v>0.17875281667013848</c:v>
                </c:pt>
                <c:pt idx="57">
                  <c:v>0.17885050097974464</c:v>
                </c:pt>
                <c:pt idx="58">
                  <c:v>0.17894651054762256</c:v>
                </c:pt>
                <c:pt idx="59">
                  <c:v>0.17904092940969307</c:v>
                </c:pt>
                <c:pt idx="60">
                  <c:v>0.17913383608325659</c:v>
                </c:pt>
                <c:pt idx="61">
                  <c:v>0.17922530401268633</c:v>
                </c:pt>
                <c:pt idx="62">
                  <c:v>0.17931540197261406</c:v>
                </c:pt>
                <c:pt idx="63">
                  <c:v>0.17940419443326408</c:v>
                </c:pt>
                <c:pt idx="64">
                  <c:v>0.17949174189201825</c:v>
                </c:pt>
                <c:pt idx="65">
                  <c:v>0.17957810117479664</c:v>
                </c:pt>
                <c:pt idx="66">
                  <c:v>0.17966332571041446</c:v>
                </c:pt>
                <c:pt idx="67">
                  <c:v>0.17974746578069739</c:v>
                </c:pt>
                <c:pt idx="68">
                  <c:v>0.17983056874882078</c:v>
                </c:pt>
                <c:pt idx="69">
                  <c:v>0.17991267926805118</c:v>
                </c:pt>
                <c:pt idx="70">
                  <c:v>0.17999383947282599</c:v>
                </c:pt>
                <c:pt idx="71">
                  <c:v>0.1800740891538895</c:v>
                </c:pt>
                <c:pt idx="72">
                  <c:v>0.18015346591901688</c:v>
                </c:pt>
                <c:pt idx="73">
                  <c:v>0.18023200534069075</c:v>
                </c:pt>
                <c:pt idx="74">
                  <c:v>0.18030974109194897</c:v>
                </c:pt>
                <c:pt idx="75">
                  <c:v>0.18038670507149573</c:v>
                </c:pt>
                <c:pt idx="76">
                  <c:v>0.1804629275190521</c:v>
                </c:pt>
                <c:pt idx="77">
                  <c:v>0.18053843712182283</c:v>
                </c:pt>
                <c:pt idx="78">
                  <c:v>0.18061326111286852</c:v>
                </c:pt>
                <c:pt idx="79">
                  <c:v>0.1806874253620914</c:v>
                </c:pt>
                <c:pt idx="80">
                  <c:v>0.18076095446047388</c:v>
                </c:pt>
                <c:pt idx="81">
                  <c:v>0.18083387179814642</c:v>
                </c:pt>
                <c:pt idx="82">
                  <c:v>0.18090619963680646</c:v>
                </c:pt>
                <c:pt idx="83">
                  <c:v>0.18097795917695841</c:v>
                </c:pt>
                <c:pt idx="84">
                  <c:v>0.1810491706204026</c:v>
                </c:pt>
                <c:pt idx="85">
                  <c:v>0.18111985322835986</c:v>
                </c:pt>
                <c:pt idx="86">
                  <c:v>0.18119002537558349</c:v>
                </c:pt>
                <c:pt idx="87">
                  <c:v>0.18125970460077809</c:v>
                </c:pt>
                <c:pt idx="88">
                  <c:v>0.18132890765361576</c:v>
                </c:pt>
                <c:pt idx="89">
                  <c:v>0.18139765053861476</c:v>
                </c:pt>
                <c:pt idx="90">
                  <c:v>0.18146594855612258</c:v>
                </c:pt>
                <c:pt idx="91">
                  <c:v>0.18153381634062296</c:v>
                </c:pt>
                <c:pt idx="92">
                  <c:v>0.18160126789656994</c:v>
                </c:pt>
                <c:pt idx="93">
                  <c:v>0.18166831663193161</c:v>
                </c:pt>
                <c:pt idx="94">
                  <c:v>0.18173497538961381</c:v>
                </c:pt>
                <c:pt idx="95">
                  <c:v>0.18180125647691817</c:v>
                </c:pt>
                <c:pt idx="96">
                  <c:v>0.18186717169317562</c:v>
                </c:pt>
                <c:pt idx="97">
                  <c:v>0.1819327323556873</c:v>
                </c:pt>
                <c:pt idx="98">
                  <c:v>0.18199794932409122</c:v>
                </c:pt>
                <c:pt idx="99">
                  <c:v>0.1820628330232662</c:v>
                </c:pt>
                <c:pt idx="100">
                  <c:v>0.18212739346487361</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10.272278997833462</c:v>
                </c:pt>
                <c:pt idx="30">
                  <c:v>10.627165154246638</c:v>
                </c:pt>
                <c:pt idx="31">
                  <c:v>10.982100361418821</c:v>
                </c:pt>
                <c:pt idx="32">
                  <c:v>11.337085049480594</c:v>
                </c:pt>
                <c:pt idx="33">
                  <c:v>11.692119649018068</c:v>
                </c:pt>
                <c:pt idx="34">
                  <c:v>12.047204591074976</c:v>
                </c:pt>
                <c:pt idx="35">
                  <c:v>12.402340307154754</c:v>
                </c:pt>
                <c:pt idx="36">
                  <c:v>12.757527229222617</c:v>
                </c:pt>
                <c:pt idx="37">
                  <c:v>13.112765789707657</c:v>
                </c:pt>
                <c:pt idx="38">
                  <c:v>13.46805642150494</c:v>
                </c:pt>
                <c:pt idx="39">
                  <c:v>13.823399557977618</c:v>
                </c:pt>
                <c:pt idx="40">
                  <c:v>14.178795632959002</c:v>
                </c:pt>
                <c:pt idx="41">
                  <c:v>14.534245080754735</c:v>
                </c:pt>
                <c:pt idx="42">
                  <c:v>14.88974833614485</c:v>
                </c:pt>
                <c:pt idx="43">
                  <c:v>15.245305834385928</c:v>
                </c:pt>
                <c:pt idx="44">
                  <c:v>15.600918011213217</c:v>
                </c:pt>
                <c:pt idx="45">
                  <c:v>15.95658530284277</c:v>
                </c:pt>
                <c:pt idx="46">
                  <c:v>16.312308145973574</c:v>
                </c:pt>
                <c:pt idx="47">
                  <c:v>16.668086977789699</c:v>
                </c:pt>
                <c:pt idx="48">
                  <c:v>17.023922235962477</c:v>
                </c:pt>
                <c:pt idx="49">
                  <c:v>17.379814358652606</c:v>
                </c:pt>
                <c:pt idx="50">
                  <c:v>17.735763784512336</c:v>
                </c:pt>
                <c:pt idx="51">
                  <c:v>18.09177095268765</c:v>
                </c:pt>
                <c:pt idx="52">
                  <c:v>18.447836302820424</c:v>
                </c:pt>
                <c:pt idx="53">
                  <c:v>18.803960275050592</c:v>
                </c:pt>
                <c:pt idx="54">
                  <c:v>19.160143310018338</c:v>
                </c:pt>
                <c:pt idx="55">
                  <c:v>19.516385848866292</c:v>
                </c:pt>
                <c:pt idx="56">
                  <c:v>19.872688333241737</c:v>
                </c:pt>
                <c:pt idx="57">
                  <c:v>20.229051205298749</c:v>
                </c:pt>
                <c:pt idx="58">
                  <c:v>20.585474907700494</c:v>
                </c:pt>
                <c:pt idx="59">
                  <c:v>20.941959883621351</c:v>
                </c:pt>
                <c:pt idx="60">
                  <c:v>21.298506576749187</c:v>
                </c:pt>
                <c:pt idx="61">
                  <c:v>21.655115431287545</c:v>
                </c:pt>
                <c:pt idx="62">
                  <c:v>22.011786891957904</c:v>
                </c:pt>
                <c:pt idx="63">
                  <c:v>22.368521404001889</c:v>
                </c:pt>
                <c:pt idx="64">
                  <c:v>22.725319413183517</c:v>
                </c:pt>
                <c:pt idx="65">
                  <c:v>23.082181365791449</c:v>
                </c:pt>
                <c:pt idx="66">
                  <c:v>23.439107708641227</c:v>
                </c:pt>
                <c:pt idx="67">
                  <c:v>23.796098889077555</c:v>
                </c:pt>
                <c:pt idx="68">
                  <c:v>24.153155354976544</c:v>
                </c:pt>
                <c:pt idx="69">
                  <c:v>24.510277554747972</c:v>
                </c:pt>
                <c:pt idx="70">
                  <c:v>24.867465937337599</c:v>
                </c:pt>
                <c:pt idx="71">
                  <c:v>25.224720952229411</c:v>
                </c:pt>
                <c:pt idx="72">
                  <c:v>25.582043049447897</c:v>
                </c:pt>
                <c:pt idx="73">
                  <c:v>25.939432679560412</c:v>
                </c:pt>
                <c:pt idx="74">
                  <c:v>26.296890293679397</c:v>
                </c:pt>
                <c:pt idx="75">
                  <c:v>26.65441634346471</c:v>
                </c:pt>
                <c:pt idx="76">
                  <c:v>27.012011281125954</c:v>
                </c:pt>
                <c:pt idx="77">
                  <c:v>27.369675559424817</c:v>
                </c:pt>
                <c:pt idx="78">
                  <c:v>27.727409631677311</c:v>
                </c:pt>
                <c:pt idx="79">
                  <c:v>28.085213951756167</c:v>
                </c:pt>
                <c:pt idx="80">
                  <c:v>28.443088974093207</c:v>
                </c:pt>
                <c:pt idx="81">
                  <c:v>28.801035153681593</c:v>
                </c:pt>
                <c:pt idx="82">
                  <c:v>29.159052946078216</c:v>
                </c:pt>
                <c:pt idx="83">
                  <c:v>29.517142807406096</c:v>
                </c:pt>
                <c:pt idx="84">
                  <c:v>29.875305194356685</c:v>
                </c:pt>
                <c:pt idx="85">
                  <c:v>30.233540564192253</c:v>
                </c:pt>
                <c:pt idx="86">
                  <c:v>30.591849374748275</c:v>
                </c:pt>
                <c:pt idx="87">
                  <c:v>30.9502320844358</c:v>
                </c:pt>
                <c:pt idx="88">
                  <c:v>31.308689152243819</c:v>
                </c:pt>
                <c:pt idx="89">
                  <c:v>31.667221037741736</c:v>
                </c:pt>
                <c:pt idx="90">
                  <c:v>32.025828201081659</c:v>
                </c:pt>
                <c:pt idx="91">
                  <c:v>32.384511103000861</c:v>
                </c:pt>
                <c:pt idx="92">
                  <c:v>32.743270204824249</c:v>
                </c:pt>
                <c:pt idx="93">
                  <c:v>33.10210596846666</c:v>
                </c:pt>
                <c:pt idx="94">
                  <c:v>33.461018856435409</c:v>
                </c:pt>
                <c:pt idx="95">
                  <c:v>33.820009331832665</c:v>
                </c:pt>
                <c:pt idx="96">
                  <c:v>34.179077858357857</c:v>
                </c:pt>
                <c:pt idx="97">
                  <c:v>34.538224900310205</c:v>
                </c:pt>
                <c:pt idx="98">
                  <c:v>34.897450922591119</c:v>
                </c:pt>
                <c:pt idx="99">
                  <c:v>35.256756390706634</c:v>
                </c:pt>
                <c:pt idx="100">
                  <c:v>35.616141770769964</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Dual'!$AI$5:$AI$105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10.066561863300485</c:v>
                </c:pt>
                <c:pt idx="44">
                  <c:v>10.298901262548265</c:v>
                </c:pt>
                <c:pt idx="45">
                  <c:v>10.531161307555822</c:v>
                </c:pt>
                <c:pt idx="46">
                  <c:v>10.763342061011675</c:v>
                </c:pt>
                <c:pt idx="47">
                  <c:v>10.995443585549587</c:v>
                </c:pt>
                <c:pt idx="48">
                  <c:v>11.227465943748655</c:v>
                </c:pt>
                <c:pt idx="49">
                  <c:v>11.459409198133333</c:v>
                </c:pt>
                <c:pt idx="50">
                  <c:v>11.691273411173524</c:v>
                </c:pt>
                <c:pt idx="51">
                  <c:v>11.923058645284645</c:v>
                </c:pt>
                <c:pt idx="52">
                  <c:v>12.154764962827679</c:v>
                </c:pt>
                <c:pt idx="53">
                  <c:v>12.386392426109241</c:v>
                </c:pt>
                <c:pt idx="54">
                  <c:v>12.617941097381646</c:v>
                </c:pt>
                <c:pt idx="55">
                  <c:v>12.849411038842986</c:v>
                </c:pt>
                <c:pt idx="56">
                  <c:v>13.080802312637161</c:v>
                </c:pt>
                <c:pt idx="57">
                  <c:v>13.312114980853957</c:v>
                </c:pt>
                <c:pt idx="58">
                  <c:v>13.543349105529149</c:v>
                </c:pt>
                <c:pt idx="59">
                  <c:v>13.774504748644484</c:v>
                </c:pt>
                <c:pt idx="60">
                  <c:v>14.005581972127823</c:v>
                </c:pt>
                <c:pt idx="61">
                  <c:v>14.236580837853154</c:v>
                </c:pt>
                <c:pt idx="62">
                  <c:v>14.467501407640674</c:v>
                </c:pt>
                <c:pt idx="63">
                  <c:v>14.69834374325686</c:v>
                </c:pt>
                <c:pt idx="64">
                  <c:v>14.929107906414508</c:v>
                </c:pt>
                <c:pt idx="65">
                  <c:v>15.159793958772823</c:v>
                </c:pt>
                <c:pt idx="66">
                  <c:v>15.39040196193746</c:v>
                </c:pt>
                <c:pt idx="67">
                  <c:v>15.6209319774606</c:v>
                </c:pt>
                <c:pt idx="68">
                  <c:v>15.851384066841009</c:v>
                </c:pt>
                <c:pt idx="69">
                  <c:v>16.081758291524096</c:v>
                </c:pt>
                <c:pt idx="70">
                  <c:v>16.312054712901986</c:v>
                </c:pt>
                <c:pt idx="71">
                  <c:v>16.542273392313568</c:v>
                </c:pt>
                <c:pt idx="72">
                  <c:v>16.77241439104457</c:v>
                </c:pt>
                <c:pt idx="73">
                  <c:v>17.002477770327623</c:v>
                </c:pt>
                <c:pt idx="74">
                  <c:v>17.232463591342306</c:v>
                </c:pt>
                <c:pt idx="75">
                  <c:v>17.462371915215222</c:v>
                </c:pt>
                <c:pt idx="76">
                  <c:v>17.692202803020059</c:v>
                </c:pt>
                <c:pt idx="77">
                  <c:v>17.921956315777649</c:v>
                </c:pt>
                <c:pt idx="78">
                  <c:v>18.15163251445604</c:v>
                </c:pt>
                <c:pt idx="79">
                  <c:v>18.381231459970525</c:v>
                </c:pt>
                <c:pt idx="80">
                  <c:v>18.610753213183742</c:v>
                </c:pt>
                <c:pt idx="81">
                  <c:v>18.840197834905737</c:v>
                </c:pt>
                <c:pt idx="82">
                  <c:v>19.069565385893963</c:v>
                </c:pt>
                <c:pt idx="83">
                  <c:v>19.298855926853442</c:v>
                </c:pt>
                <c:pt idx="84">
                  <c:v>19.528069518436748</c:v>
                </c:pt>
                <c:pt idx="85">
                  <c:v>19.757206221244072</c:v>
                </c:pt>
                <c:pt idx="86">
                  <c:v>19.986266095823339</c:v>
                </c:pt>
                <c:pt idx="87">
                  <c:v>20.215249202670215</c:v>
                </c:pt>
                <c:pt idx="88">
                  <c:v>20.444155602228172</c:v>
                </c:pt>
                <c:pt idx="89">
                  <c:v>20.672985354888606</c:v>
                </c:pt>
                <c:pt idx="90">
                  <c:v>20.901738520990815</c:v>
                </c:pt>
                <c:pt idx="91">
                  <c:v>21.130415160822103</c:v>
                </c:pt>
                <c:pt idx="92">
                  <c:v>21.359015334617876</c:v>
                </c:pt>
                <c:pt idx="93">
                  <c:v>21.587539102561614</c:v>
                </c:pt>
                <c:pt idx="94">
                  <c:v>21.815986524785014</c:v>
                </c:pt>
                <c:pt idx="95">
                  <c:v>22.044357661368018</c:v>
                </c:pt>
                <c:pt idx="96">
                  <c:v>22.272652572338846</c:v>
                </c:pt>
                <c:pt idx="97">
                  <c:v>22.500871317674118</c:v>
                </c:pt>
                <c:pt idx="98">
                  <c:v>22.729013957298861</c:v>
                </c:pt>
                <c:pt idx="99">
                  <c:v>22.957080551086584</c:v>
                </c:pt>
                <c:pt idx="100">
                  <c:v>23.185071158859362</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10.01475145890428</c:v>
                </c:pt>
                <c:pt idx="45">
                  <c:v>10.240551667877666</c:v>
                </c:pt>
                <c:pt idx="46">
                  <c:v>10.466272436661823</c:v>
                </c:pt>
                <c:pt idx="47">
                  <c:v>10.69191382370993</c:v>
                </c:pt>
                <c:pt idx="48">
                  <c:v>10.917475887424397</c:v>
                </c:pt>
                <c:pt idx="49">
                  <c:v>11.142958686156877</c:v>
                </c:pt>
                <c:pt idx="50">
                  <c:v>11.36836227820838</c:v>
                </c:pt>
                <c:pt idx="51">
                  <c:v>11.593686721829293</c:v>
                </c:pt>
                <c:pt idx="52">
                  <c:v>11.818932075219449</c:v>
                </c:pt>
                <c:pt idx="53">
                  <c:v>12.044098396528188</c:v>
                </c:pt>
                <c:pt idx="54">
                  <c:v>12.269185743854406</c:v>
                </c:pt>
                <c:pt idx="55">
                  <c:v>12.494194175246617</c:v>
                </c:pt>
                <c:pt idx="56">
                  <c:v>12.719123748703023</c:v>
                </c:pt>
                <c:pt idx="57">
                  <c:v>12.943974522171523</c:v>
                </c:pt>
                <c:pt idx="58">
                  <c:v>13.168746553549846</c:v>
                </c:pt>
                <c:pt idx="59">
                  <c:v>13.393439900685527</c:v>
                </c:pt>
                <c:pt idx="60">
                  <c:v>13.618054621376031</c:v>
                </c:pt>
                <c:pt idx="61">
                  <c:v>13.842590773368761</c:v>
                </c:pt>
                <c:pt idx="62">
                  <c:v>14.067048414361146</c:v>
                </c:pt>
                <c:pt idx="63">
                  <c:v>14.291427602000683</c:v>
                </c:pt>
                <c:pt idx="64">
                  <c:v>14.515728393884986</c:v>
                </c:pt>
                <c:pt idx="65">
                  <c:v>14.739950847561866</c:v>
                </c:pt>
                <c:pt idx="66">
                  <c:v>14.964095020529369</c:v>
                </c:pt>
                <c:pt idx="67">
                  <c:v>15.188160970235826</c:v>
                </c:pt>
                <c:pt idx="68">
                  <c:v>15.412148754079936</c:v>
                </c:pt>
                <c:pt idx="69">
                  <c:v>15.63605842941079</c:v>
                </c:pt>
                <c:pt idx="70">
                  <c:v>15.859890053527954</c:v>
                </c:pt>
                <c:pt idx="71">
                  <c:v>16.083643683681501</c:v>
                </c:pt>
                <c:pt idx="72">
                  <c:v>16.307319377072091</c:v>
                </c:pt>
                <c:pt idx="73">
                  <c:v>16.53091719085101</c:v>
                </c:pt>
                <c:pt idx="74">
                  <c:v>16.754437182120228</c:v>
                </c:pt>
                <c:pt idx="75">
                  <c:v>16.977879407932448</c:v>
                </c:pt>
                <c:pt idx="76">
                  <c:v>17.201243925291184</c:v>
                </c:pt>
                <c:pt idx="77">
                  <c:v>17.424530791150801</c:v>
                </c:pt>
                <c:pt idx="78">
                  <c:v>17.64774006241657</c:v>
                </c:pt>
                <c:pt idx="79">
                  <c:v>17.870871795944698</c:v>
                </c:pt>
                <c:pt idx="80">
                  <c:v>18.093926048542464</c:v>
                </c:pt>
                <c:pt idx="81">
                  <c:v>18.316902876968175</c:v>
                </c:pt>
                <c:pt idx="82">
                  <c:v>18.539802337931267</c:v>
                </c:pt>
                <c:pt idx="83">
                  <c:v>18.762624488092399</c:v>
                </c:pt>
                <c:pt idx="84">
                  <c:v>18.985369384063425</c:v>
                </c:pt>
                <c:pt idx="85">
                  <c:v>19.208037082407504</c:v>
                </c:pt>
                <c:pt idx="86">
                  <c:v>19.430627639639152</c:v>
                </c:pt>
                <c:pt idx="87">
                  <c:v>19.653141112224279</c:v>
                </c:pt>
                <c:pt idx="88">
                  <c:v>19.875577556580243</c:v>
                </c:pt>
                <c:pt idx="89">
                  <c:v>20.097937029075936</c:v>
                </c:pt>
                <c:pt idx="90">
                  <c:v>20.320219586031783</c:v>
                </c:pt>
                <c:pt idx="91">
                  <c:v>20.542425283719854</c:v>
                </c:pt>
                <c:pt idx="92">
                  <c:v>20.764554178363898</c:v>
                </c:pt>
                <c:pt idx="93">
                  <c:v>20.986606326139352</c:v>
                </c:pt>
                <c:pt idx="94">
                  <c:v>21.208581783173475</c:v>
                </c:pt>
                <c:pt idx="95">
                  <c:v>21.430480605545355</c:v>
                </c:pt>
                <c:pt idx="96">
                  <c:v>21.652302849285952</c:v>
                </c:pt>
                <c:pt idx="97">
                  <c:v>21.874048570378193</c:v>
                </c:pt>
                <c:pt idx="98">
                  <c:v>22.095717824756981</c:v>
                </c:pt>
                <c:pt idx="99">
                  <c:v>22.317310668309283</c:v>
                </c:pt>
                <c:pt idx="100">
                  <c:v>22.538827156874177</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1.2</c:v>
                </c:pt>
                <c:pt idx="29">
                  <c:v>1.4016881465433051</c:v>
                </c:pt>
                <c:pt idx="30">
                  <c:v>1.6645667809234357</c:v>
                </c:pt>
                <c:pt idx="31">
                  <c:v>1.9274817491991267</c:v>
                </c:pt>
                <c:pt idx="32">
                  <c:v>2.1904333699856249</c:v>
                </c:pt>
                <c:pt idx="33">
                  <c:v>2.4534219622356055</c:v>
                </c:pt>
                <c:pt idx="34">
                  <c:v>2.7164478452407232</c:v>
                </c:pt>
                <c:pt idx="35">
                  <c:v>2.9795113386331509</c:v>
                </c:pt>
                <c:pt idx="36">
                  <c:v>3.2426127623871235</c:v>
                </c:pt>
                <c:pt idx="37">
                  <c:v>3.5057524368204867</c:v>
                </c:pt>
                <c:pt idx="38">
                  <c:v>3.7689306825962516</c:v>
                </c:pt>
                <c:pt idx="39">
                  <c:v>4.0321478207241617</c:v>
                </c:pt>
                <c:pt idx="40">
                  <c:v>4.2954041725622236</c:v>
                </c:pt>
                <c:pt idx="41">
                  <c:v>4.5587000598183218</c:v>
                </c:pt>
                <c:pt idx="42">
                  <c:v>4.8220358045517404</c:v>
                </c:pt>
                <c:pt idx="43">
                  <c:v>5.0854117291747611</c:v>
                </c:pt>
                <c:pt idx="44">
                  <c:v>5.3488281564542355</c:v>
                </c:pt>
                <c:pt idx="45">
                  <c:v>5.6122854095131629</c:v>
                </c:pt>
                <c:pt idx="46">
                  <c:v>5.875783811832278</c:v>
                </c:pt>
                <c:pt idx="47">
                  <c:v>6.139323687251629</c:v>
                </c:pt>
                <c:pt idx="48">
                  <c:v>6.4029053599722054</c:v>
                </c:pt>
                <c:pt idx="49">
                  <c:v>6.6665291545574856</c:v>
                </c:pt>
                <c:pt idx="50">
                  <c:v>6.9301953959350637</c:v>
                </c:pt>
                <c:pt idx="51">
                  <c:v>7.1939044093982591</c:v>
                </c:pt>
                <c:pt idx="52">
                  <c:v>7.4576565206077214</c:v>
                </c:pt>
                <c:pt idx="53">
                  <c:v>7.7214520555930308</c:v>
                </c:pt>
                <c:pt idx="54">
                  <c:v>7.9852913407543245</c:v>
                </c:pt>
                <c:pt idx="55">
                  <c:v>8.24917470286392</c:v>
                </c:pt>
                <c:pt idx="56">
                  <c:v>8.5131024690679524</c:v>
                </c:pt>
                <c:pt idx="57">
                  <c:v>8.7770749668879624</c:v>
                </c:pt>
                <c:pt idx="58">
                  <c:v>9.0410925242225879</c:v>
                </c:pt>
                <c:pt idx="59">
                  <c:v>9.3051554693491472</c:v>
                </c:pt>
                <c:pt idx="60">
                  <c:v>9.5692641309253226</c:v>
                </c:pt>
                <c:pt idx="61">
                  <c:v>9.8334188379907719</c:v>
                </c:pt>
                <c:pt idx="62">
                  <c:v>10.097619919968816</c:v>
                </c:pt>
                <c:pt idx="63">
                  <c:v>10.361867706668066</c:v>
                </c:pt>
                <c:pt idx="64">
                  <c:v>10.626162528284086</c:v>
                </c:pt>
                <c:pt idx="65">
                  <c:v>10.890504715401073</c:v>
                </c:pt>
                <c:pt idx="66">
                  <c:v>11.154894598993501</c:v>
                </c:pt>
                <c:pt idx="67">
                  <c:v>11.419332510427818</c:v>
                </c:pt>
                <c:pt idx="68">
                  <c:v>11.683818781464106</c:v>
                </c:pt>
                <c:pt idx="69">
                  <c:v>11.948353744257757</c:v>
                </c:pt>
                <c:pt idx="70">
                  <c:v>12.212937731361183</c:v>
                </c:pt>
                <c:pt idx="71">
                  <c:v>12.477571075725489</c:v>
                </c:pt>
                <c:pt idx="72">
                  <c:v>12.742254110702145</c:v>
                </c:pt>
                <c:pt idx="73">
                  <c:v>13.006987170044749</c:v>
                </c:pt>
                <c:pt idx="74">
                  <c:v>13.271770587910662</c:v>
                </c:pt>
                <c:pt idx="75">
                  <c:v>13.536604698862748</c:v>
                </c:pt>
                <c:pt idx="76">
                  <c:v>13.801489837871076</c:v>
                </c:pt>
                <c:pt idx="77">
                  <c:v>14.066426340314678</c:v>
                </c:pt>
                <c:pt idx="78">
                  <c:v>14.331414541983193</c:v>
                </c:pt>
                <c:pt idx="79">
                  <c:v>14.596454779078641</c:v>
                </c:pt>
                <c:pt idx="80">
                  <c:v>14.86154738821719</c:v>
                </c:pt>
                <c:pt idx="81">
                  <c:v>15.126692706430807</c:v>
                </c:pt>
                <c:pt idx="82">
                  <c:v>15.391891071169047</c:v>
                </c:pt>
                <c:pt idx="83">
                  <c:v>15.657142820300811</c:v>
                </c:pt>
                <c:pt idx="84">
                  <c:v>15.922448292116062</c:v>
                </c:pt>
                <c:pt idx="85">
                  <c:v>16.187807825327592</c:v>
                </c:pt>
                <c:pt idx="86">
                  <c:v>16.453221759072797</c:v>
                </c:pt>
                <c:pt idx="87">
                  <c:v>16.718690432915405</c:v>
                </c:pt>
                <c:pt idx="88">
                  <c:v>16.984214186847272</c:v>
                </c:pt>
                <c:pt idx="89">
                  <c:v>17.249793361290173</c:v>
                </c:pt>
                <c:pt idx="90">
                  <c:v>17.515428297097522</c:v>
                </c:pt>
                <c:pt idx="91">
                  <c:v>17.781119335556191</c:v>
                </c:pt>
                <c:pt idx="92">
                  <c:v>18.046866818388331</c:v>
                </c:pt>
                <c:pt idx="93">
                  <c:v>18.312671087753081</c:v>
                </c:pt>
                <c:pt idx="94">
                  <c:v>18.578532486248449</c:v>
                </c:pt>
                <c:pt idx="95">
                  <c:v>18.844451356913083</c:v>
                </c:pt>
                <c:pt idx="96">
                  <c:v>19.11042804322804</c:v>
                </c:pt>
                <c:pt idx="97">
                  <c:v>19.37646288911867</c:v>
                </c:pt>
                <c:pt idx="98">
                  <c:v>19.642556238956381</c:v>
                </c:pt>
                <c:pt idx="99">
                  <c:v>19.90870843756047</c:v>
                </c:pt>
                <c:pt idx="100">
                  <c:v>20.174919830199972</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Dual'!$AJ$5:$AJ$105</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1.0422628265777623</c:v>
                </c:pt>
                <c:pt idx="29">
                  <c:v>1.0437722132412537</c:v>
                </c:pt>
                <c:pt idx="30">
                  <c:v>1.0452815999047451</c:v>
                </c:pt>
                <c:pt idx="31">
                  <c:v>1.0467909865682368</c:v>
                </c:pt>
                <c:pt idx="32">
                  <c:v>1.0483003732317282</c:v>
                </c:pt>
                <c:pt idx="33">
                  <c:v>1.0498097598952199</c:v>
                </c:pt>
                <c:pt idx="34">
                  <c:v>1.0513191465587113</c:v>
                </c:pt>
                <c:pt idx="35">
                  <c:v>1.0528285332222027</c:v>
                </c:pt>
                <c:pt idx="36">
                  <c:v>1.0543379198856944</c:v>
                </c:pt>
                <c:pt idx="37">
                  <c:v>1.0558473065491858</c:v>
                </c:pt>
                <c:pt idx="38">
                  <c:v>1.0573566932126772</c:v>
                </c:pt>
                <c:pt idx="39">
                  <c:v>1.0588660798761689</c:v>
                </c:pt>
                <c:pt idx="40">
                  <c:v>1.0603754665396603</c:v>
                </c:pt>
                <c:pt idx="41">
                  <c:v>1.2</c:v>
                </c:pt>
                <c:pt idx="42">
                  <c:v>1.2</c:v>
                </c:pt>
                <c:pt idx="43">
                  <c:v>1.2493050839262854</c:v>
                </c:pt>
                <c:pt idx="44">
                  <c:v>1.4214083426283444</c:v>
                </c:pt>
                <c:pt idx="45">
                  <c:v>1.5934528204117198</c:v>
                </c:pt>
                <c:pt idx="46">
                  <c:v>1.765438563712352</c:v>
                </c:pt>
                <c:pt idx="47">
                  <c:v>1.9373656189256203</c:v>
                </c:pt>
                <c:pt idx="48">
                  <c:v>2.1092340324064107</c:v>
                </c:pt>
                <c:pt idx="49">
                  <c:v>2.2810438504691355</c:v>
                </c:pt>
                <c:pt idx="50">
                  <c:v>2.4527951193877957</c:v>
                </c:pt>
                <c:pt idx="51">
                  <c:v>2.6244878853960332</c:v>
                </c:pt>
                <c:pt idx="52">
                  <c:v>2.7961221946871699</c:v>
                </c:pt>
                <c:pt idx="53">
                  <c:v>2.9676980934142527</c:v>
                </c:pt>
                <c:pt idx="54">
                  <c:v>3.139215627690108</c:v>
                </c:pt>
                <c:pt idx="55">
                  <c:v>3.3106748435873969</c:v>
                </c:pt>
                <c:pt idx="56">
                  <c:v>3.4820757871386379</c:v>
                </c:pt>
                <c:pt idx="57">
                  <c:v>3.6534185043362646</c:v>
                </c:pt>
                <c:pt idx="58">
                  <c:v>3.824703041132703</c:v>
                </c:pt>
                <c:pt idx="59">
                  <c:v>3.9959294434403585</c:v>
                </c:pt>
                <c:pt idx="60">
                  <c:v>4.1670977571317209</c:v>
                </c:pt>
                <c:pt idx="61">
                  <c:v>4.3382080280393733</c:v>
                </c:pt>
                <c:pt idx="62">
                  <c:v>4.5092603019560542</c:v>
                </c:pt>
                <c:pt idx="63">
                  <c:v>4.6802546246347108</c:v>
                </c:pt>
                <c:pt idx="64">
                  <c:v>4.8511910417885238</c:v>
                </c:pt>
                <c:pt idx="65">
                  <c:v>5.0220695990909805</c:v>
                </c:pt>
                <c:pt idx="66">
                  <c:v>5.1928903421758958</c:v>
                </c:pt>
                <c:pt idx="67">
                  <c:v>5.3636533166374818</c:v>
                </c:pt>
                <c:pt idx="68">
                  <c:v>5.5343585680303775</c:v>
                </c:pt>
                <c:pt idx="69">
                  <c:v>5.7050061418697009</c:v>
                </c:pt>
                <c:pt idx="70">
                  <c:v>5.875596083631101</c:v>
                </c:pt>
                <c:pt idx="71">
                  <c:v>6.0461284387507916</c:v>
                </c:pt>
                <c:pt idx="72">
                  <c:v>6.2166032526256076</c:v>
                </c:pt>
                <c:pt idx="73">
                  <c:v>6.3870205706130543</c:v>
                </c:pt>
                <c:pt idx="74">
                  <c:v>6.5573804380313385</c:v>
                </c:pt>
                <c:pt idx="75">
                  <c:v>6.7276829001594232</c:v>
                </c:pt>
                <c:pt idx="76">
                  <c:v>6.897928002237081</c:v>
                </c:pt>
                <c:pt idx="77">
                  <c:v>7.0681157894649251</c:v>
                </c:pt>
                <c:pt idx="78">
                  <c:v>7.2382463070044745</c:v>
                </c:pt>
                <c:pt idx="79">
                  <c:v>7.4083195999781672</c:v>
                </c:pt>
                <c:pt idx="80">
                  <c:v>7.5783357134694382</c:v>
                </c:pt>
                <c:pt idx="81">
                  <c:v>7.7482946925227685</c:v>
                </c:pt>
                <c:pt idx="82">
                  <c:v>7.9181965821436764</c:v>
                </c:pt>
                <c:pt idx="83">
                  <c:v>8.0880414272988439</c:v>
                </c:pt>
                <c:pt idx="84">
                  <c:v>8.2578292729161085</c:v>
                </c:pt>
                <c:pt idx="85">
                  <c:v>8.4275601638844968</c:v>
                </c:pt>
                <c:pt idx="86">
                  <c:v>8.5972341450543261</c:v>
                </c:pt>
                <c:pt idx="87">
                  <c:v>8.7668512612371963</c:v>
                </c:pt>
                <c:pt idx="88">
                  <c:v>8.9364115572060534</c:v>
                </c:pt>
                <c:pt idx="89">
                  <c:v>9.1059150776952631</c:v>
                </c:pt>
                <c:pt idx="90">
                  <c:v>9.2753618674006031</c:v>
                </c:pt>
                <c:pt idx="91">
                  <c:v>9.4447519709793344</c:v>
                </c:pt>
                <c:pt idx="92">
                  <c:v>9.6140854330502776</c:v>
                </c:pt>
                <c:pt idx="93">
                  <c:v>9.7833622981937882</c:v>
                </c:pt>
                <c:pt idx="94">
                  <c:v>9.9525826109518611</c:v>
                </c:pt>
                <c:pt idx="95">
                  <c:v>10.121746415828161</c:v>
                </c:pt>
                <c:pt idx="96">
                  <c:v>10.290853757288033</c:v>
                </c:pt>
                <c:pt idx="97">
                  <c:v>10.459904679758605</c:v>
                </c:pt>
                <c:pt idx="98">
                  <c:v>10.628899227628786</c:v>
                </c:pt>
                <c:pt idx="99">
                  <c:v>10.797837445249321</c:v>
                </c:pt>
                <c:pt idx="100">
                  <c:v>10.966719376932861</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1.0057142857142858</c:v>
                </c:pt>
                <c:pt idx="3">
                  <c:v>1.0057142857142858</c:v>
                </c:pt>
                <c:pt idx="4">
                  <c:v>1.0060368068277339</c:v>
                </c:pt>
                <c:pt idx="5">
                  <c:v>1.0075460085346675</c:v>
                </c:pt>
                <c:pt idx="6">
                  <c:v>1.0090552102416008</c:v>
                </c:pt>
                <c:pt idx="7">
                  <c:v>1.0105644119485344</c:v>
                </c:pt>
                <c:pt idx="8">
                  <c:v>1.0120736136554678</c:v>
                </c:pt>
                <c:pt idx="9">
                  <c:v>1.0135828153624014</c:v>
                </c:pt>
                <c:pt idx="10">
                  <c:v>1.0150920170693347</c:v>
                </c:pt>
                <c:pt idx="11">
                  <c:v>1.0166012187762683</c:v>
                </c:pt>
                <c:pt idx="12">
                  <c:v>1.0181104204832017</c:v>
                </c:pt>
                <c:pt idx="13">
                  <c:v>1.0196196221901352</c:v>
                </c:pt>
                <c:pt idx="14">
                  <c:v>1.0211288238970686</c:v>
                </c:pt>
                <c:pt idx="15">
                  <c:v>1.0226380256040022</c:v>
                </c:pt>
                <c:pt idx="16">
                  <c:v>1.0241472273109355</c:v>
                </c:pt>
                <c:pt idx="17">
                  <c:v>1.0256564290178691</c:v>
                </c:pt>
                <c:pt idx="18">
                  <c:v>1.0271656307248025</c:v>
                </c:pt>
                <c:pt idx="19">
                  <c:v>1.0286748324317361</c:v>
                </c:pt>
                <c:pt idx="20">
                  <c:v>1.0301840341386694</c:v>
                </c:pt>
                <c:pt idx="21">
                  <c:v>1.031693235845603</c:v>
                </c:pt>
                <c:pt idx="22">
                  <c:v>1.0332024375525364</c:v>
                </c:pt>
                <c:pt idx="23">
                  <c:v>1.03471163925947</c:v>
                </c:pt>
                <c:pt idx="24">
                  <c:v>1.0362208409664033</c:v>
                </c:pt>
                <c:pt idx="25">
                  <c:v>1.0377300426733369</c:v>
                </c:pt>
                <c:pt idx="26">
                  <c:v>1.0392392443802703</c:v>
                </c:pt>
                <c:pt idx="27">
                  <c:v>1.0407484460872038</c:v>
                </c:pt>
                <c:pt idx="28">
                  <c:v>1.0422576477941372</c:v>
                </c:pt>
                <c:pt idx="29">
                  <c:v>1.0437668495010708</c:v>
                </c:pt>
                <c:pt idx="30">
                  <c:v>1.0452760512080044</c:v>
                </c:pt>
                <c:pt idx="31">
                  <c:v>1.0467852529149377</c:v>
                </c:pt>
                <c:pt idx="32">
                  <c:v>1.0482944546218711</c:v>
                </c:pt>
                <c:pt idx="33">
                  <c:v>1.0498036563288047</c:v>
                </c:pt>
                <c:pt idx="34">
                  <c:v>1.0513128580357383</c:v>
                </c:pt>
                <c:pt idx="35">
                  <c:v>1.0528220597426716</c:v>
                </c:pt>
                <c:pt idx="36">
                  <c:v>1.054331261449605</c:v>
                </c:pt>
                <c:pt idx="37">
                  <c:v>1.0558404631565386</c:v>
                </c:pt>
                <c:pt idx="38">
                  <c:v>1.0573496648634721</c:v>
                </c:pt>
                <c:pt idx="39">
                  <c:v>1.0588588665704055</c:v>
                </c:pt>
                <c:pt idx="40">
                  <c:v>1.0603680682773391</c:v>
                </c:pt>
                <c:pt idx="41">
                  <c:v>1.0618772699842725</c:v>
                </c:pt>
                <c:pt idx="42">
                  <c:v>1.0633965576783824</c:v>
                </c:pt>
                <c:pt idx="43">
                  <c:v>1.2</c:v>
                </c:pt>
                <c:pt idx="44">
                  <c:v>1.2109270065957631</c:v>
                </c:pt>
                <c:pt idx="45">
                  <c:v>1.3781864206501229</c:v>
                </c:pt>
                <c:pt idx="46">
                  <c:v>1.5453869901198689</c:v>
                </c:pt>
                <c:pt idx="47">
                  <c:v>1.7125287583036517</c:v>
                </c:pt>
                <c:pt idx="48">
                  <c:v>1.879611768462516</c:v>
                </c:pt>
                <c:pt idx="49">
                  <c:v>2.0466360638199088</c:v>
                </c:pt>
                <c:pt idx="50">
                  <c:v>2.2136016875617628</c:v>
                </c:pt>
                <c:pt idx="51">
                  <c:v>2.3805086828365134</c:v>
                </c:pt>
                <c:pt idx="52">
                  <c:v>2.5473570927551474</c:v>
                </c:pt>
                <c:pt idx="53">
                  <c:v>2.7141469603912505</c:v>
                </c:pt>
                <c:pt idx="54">
                  <c:v>2.8808783287810416</c:v>
                </c:pt>
                <c:pt idx="55">
                  <c:v>3.0475512409234202</c:v>
                </c:pt>
                <c:pt idx="56">
                  <c:v>3.2141657397800163</c:v>
                </c:pt>
                <c:pt idx="57">
                  <c:v>3.3807218682752023</c:v>
                </c:pt>
                <c:pt idx="58">
                  <c:v>3.5472196692961822</c:v>
                </c:pt>
                <c:pt idx="59">
                  <c:v>3.7136591856929826</c:v>
                </c:pt>
                <c:pt idx="60">
                  <c:v>3.8800404602785408</c:v>
                </c:pt>
                <c:pt idx="61">
                  <c:v>4.0463635358287116</c:v>
                </c:pt>
                <c:pt idx="62">
                  <c:v>4.2126284550823305</c:v>
                </c:pt>
                <c:pt idx="63">
                  <c:v>4.3788352607412468</c:v>
                </c:pt>
                <c:pt idx="64">
                  <c:v>4.5449839954703597</c:v>
                </c:pt>
                <c:pt idx="65">
                  <c:v>4.7110747018976786</c:v>
                </c:pt>
                <c:pt idx="66">
                  <c:v>4.8771074226143467</c:v>
                </c:pt>
                <c:pt idx="67">
                  <c:v>5.0430822001746858</c:v>
                </c:pt>
                <c:pt idx="68">
                  <c:v>5.2089990770962489</c:v>
                </c:pt>
                <c:pt idx="69">
                  <c:v>5.3748580958598442</c:v>
                </c:pt>
                <c:pt idx="70">
                  <c:v>5.5406592989095955</c:v>
                </c:pt>
                <c:pt idx="71">
                  <c:v>5.7064027286529644</c:v>
                </c:pt>
                <c:pt idx="72">
                  <c:v>5.8720884274608078</c:v>
                </c:pt>
                <c:pt idx="73">
                  <c:v>6.0377164376674148</c:v>
                </c:pt>
                <c:pt idx="74">
                  <c:v>6.2032868015705391</c:v>
                </c:pt>
                <c:pt idx="75">
                  <c:v>6.3687995614314437</c:v>
                </c:pt>
                <c:pt idx="76">
                  <c:v>6.5342547594749512</c:v>
                </c:pt>
                <c:pt idx="77">
                  <c:v>6.6996524378894824</c:v>
                </c:pt>
                <c:pt idx="78">
                  <c:v>6.864992638827089</c:v>
                </c:pt>
                <c:pt idx="79">
                  <c:v>7.0302754044034801</c:v>
                </c:pt>
                <c:pt idx="80">
                  <c:v>7.1955007766981218</c:v>
                </c:pt>
                <c:pt idx="81">
                  <c:v>7.3606687977542045</c:v>
                </c:pt>
                <c:pt idx="82">
                  <c:v>7.5257795095787161</c:v>
                </c:pt>
                <c:pt idx="83">
                  <c:v>7.6908329541425182</c:v>
                </c:pt>
                <c:pt idx="84">
                  <c:v>7.8558291733803154</c:v>
                </c:pt>
                <c:pt idx="85">
                  <c:v>8.0207682091907433</c:v>
                </c:pt>
                <c:pt idx="86">
                  <c:v>8.1856501034364086</c:v>
                </c:pt>
                <c:pt idx="87">
                  <c:v>8.3504748979439096</c:v>
                </c:pt>
                <c:pt idx="88">
                  <c:v>8.515242634503883</c:v>
                </c:pt>
                <c:pt idx="89">
                  <c:v>8.6799533548710635</c:v>
                </c:pt>
                <c:pt idx="90">
                  <c:v>8.8446071007642821</c:v>
                </c:pt>
                <c:pt idx="91">
                  <c:v>9.0092039138665587</c:v>
                </c:pt>
                <c:pt idx="92">
                  <c:v>9.1737438358251104</c:v>
                </c:pt>
                <c:pt idx="93">
                  <c:v>9.3382269082513716</c:v>
                </c:pt>
                <c:pt idx="94">
                  <c:v>9.5026531727210912</c:v>
                </c:pt>
                <c:pt idx="95">
                  <c:v>9.6670226707743367</c:v>
                </c:pt>
                <c:pt idx="96">
                  <c:v>9.8313354439155187</c:v>
                </c:pt>
                <c:pt idx="97">
                  <c:v>9.9955915336134744</c:v>
                </c:pt>
                <c:pt idx="98">
                  <c:v>10.159790981301466</c:v>
                </c:pt>
                <c:pt idx="99">
                  <c:v>10.323933828377244</c:v>
                </c:pt>
                <c:pt idx="100">
                  <c:v>10.488020116203092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1.4924022931493747E-6</c:v>
                </c:pt>
                <c:pt idx="1">
                  <c:v>48.651397765384175</c:v>
                </c:pt>
                <c:pt idx="2">
                  <c:v>64.578371528676229</c:v>
                </c:pt>
                <c:pt idx="3">
                  <c:v>72.488428604122745</c:v>
                </c:pt>
                <c:pt idx="4">
                  <c:v>77.105407098675428</c:v>
                </c:pt>
                <c:pt idx="5">
                  <c:v>79.807492097455807</c:v>
                </c:pt>
                <c:pt idx="6">
                  <c:v>81.704149817636846</c:v>
                </c:pt>
                <c:pt idx="7">
                  <c:v>83.102985592044533</c:v>
                </c:pt>
                <c:pt idx="8">
                  <c:v>84.172284957324223</c:v>
                </c:pt>
                <c:pt idx="9">
                  <c:v>85.011891350262829</c:v>
                </c:pt>
                <c:pt idx="10">
                  <c:v>85.684806013743639</c:v>
                </c:pt>
                <c:pt idx="11">
                  <c:v>86.232757948337593</c:v>
                </c:pt>
                <c:pt idx="12">
                  <c:v>86.684491773818877</c:v>
                </c:pt>
                <c:pt idx="13">
                  <c:v>87.060459934807184</c:v>
                </c:pt>
                <c:pt idx="14">
                  <c:v>87.375616655115849</c:v>
                </c:pt>
                <c:pt idx="15">
                  <c:v>87.641153093391338</c:v>
                </c:pt>
                <c:pt idx="16">
                  <c:v>87.865614078999641</c:v>
                </c:pt>
                <c:pt idx="17">
                  <c:v>88.055639201970607</c:v>
                </c:pt>
                <c:pt idx="18">
                  <c:v>88.216467883942627</c:v>
                </c:pt>
                <c:pt idx="19">
                  <c:v>88.352291728076466</c:v>
                </c:pt>
                <c:pt idx="20">
                  <c:v>88.466505456186468</c:v>
                </c:pt>
                <c:pt idx="21">
                  <c:v>88.561888940474745</c:v>
                </c:pt>
                <c:pt idx="22">
                  <c:v>88.640741447916156</c:v>
                </c:pt>
                <c:pt idx="23">
                  <c:v>88.704982127255377</c:v>
                </c:pt>
                <c:pt idx="24">
                  <c:v>88.756226249448673</c:v>
                </c:pt>
                <c:pt idx="25">
                  <c:v>88.79584376766617</c:v>
                </c:pt>
                <c:pt idx="26">
                  <c:v>88.825004805880809</c:v>
                </c:pt>
                <c:pt idx="27">
                  <c:v>88.844715360758968</c:v>
                </c:pt>
                <c:pt idx="28">
                  <c:v>88.855845590567924</c:v>
                </c:pt>
                <c:pt idx="29">
                  <c:v>88.859152428592921</c:v>
                </c:pt>
                <c:pt idx="30">
                  <c:v>88.85529780799888</c:v>
                </c:pt>
                <c:pt idx="31">
                  <c:v>88.844863461859404</c:v>
                </c:pt>
                <c:pt idx="32">
                  <c:v>88.828363027430797</c:v>
                </c:pt>
                <c:pt idx="33">
                  <c:v>88.806252011495559</c:v>
                </c:pt>
                <c:pt idx="34">
                  <c:v>88.778936045832552</c:v>
                </c:pt>
                <c:pt idx="35">
                  <c:v>88.746777766177757</c:v>
                </c:pt>
                <c:pt idx="36">
                  <c:v>88.710102575713989</c:v>
                </c:pt>
                <c:pt idx="37">
                  <c:v>88.669203498997135</c:v>
                </c:pt>
                <c:pt idx="38">
                  <c:v>88.624345289863484</c:v>
                </c:pt>
                <c:pt idx="39">
                  <c:v>88.575767924063555</c:v>
                </c:pt>
                <c:pt idx="40">
                  <c:v>88.523689581792013</c:v>
                </c:pt>
                <c:pt idx="41">
                  <c:v>88.305790850344437</c:v>
                </c:pt>
                <c:pt idx="42">
                  <c:v>88.688342642629806</c:v>
                </c:pt>
                <c:pt idx="43">
                  <c:v>88.955948586420902</c:v>
                </c:pt>
                <c:pt idx="44">
                  <c:v>88.996774663969305</c:v>
                </c:pt>
                <c:pt idx="45">
                  <c:v>89.032740834332003</c:v>
                </c:pt>
                <c:pt idx="46">
                  <c:v>89.064089660976094</c:v>
                </c:pt>
                <c:pt idx="47">
                  <c:v>89.091041907153155</c:v>
                </c:pt>
                <c:pt idx="48">
                  <c:v>89.113798590739592</c:v>
                </c:pt>
                <c:pt idx="49">
                  <c:v>89.132542795973208</c:v>
                </c:pt>
                <c:pt idx="50">
                  <c:v>89.147441274024544</c:v>
                </c:pt>
                <c:pt idx="51">
                  <c:v>89.158645859566505</c:v>
                </c:pt>
                <c:pt idx="52">
                  <c:v>89.166294726511893</c:v>
                </c:pt>
                <c:pt idx="53">
                  <c:v>89.170513502739539</c:v>
                </c:pt>
                <c:pt idx="54">
                  <c:v>89.171416260807732</c:v>
                </c:pt>
                <c:pt idx="55">
                  <c:v>89.169106399272607</c:v>
                </c:pt>
                <c:pt idx="56">
                  <c:v>89.16367742720584</c:v>
                </c:pt>
                <c:pt idx="57">
                  <c:v>89.155213662789848</c:v>
                </c:pt>
                <c:pt idx="58">
                  <c:v>89.143790855399473</c:v>
                </c:pt>
                <c:pt idx="59">
                  <c:v>89.129476739324033</c:v>
                </c:pt>
                <c:pt idx="60">
                  <c:v>89.112331526203377</c:v>
                </c:pt>
                <c:pt idx="61">
                  <c:v>89.092408342320951</c:v>
                </c:pt>
                <c:pt idx="62">
                  <c:v>89.069753616091376</c:v>
                </c:pt>
                <c:pt idx="63">
                  <c:v>89.044407420380082</c:v>
                </c:pt>
                <c:pt idx="64">
                  <c:v>89.016403773683294</c:v>
                </c:pt>
                <c:pt idx="65">
                  <c:v>88.98577090366166</c:v>
                </c:pt>
                <c:pt idx="66">
                  <c:v>88.952531476051789</c:v>
                </c:pt>
                <c:pt idx="67">
                  <c:v>88.916702791564006</c:v>
                </c:pt>
                <c:pt idx="68">
                  <c:v>88.878296953006128</c:v>
                </c:pt>
                <c:pt idx="69">
                  <c:v>88.83732100454209</c:v>
                </c:pt>
                <c:pt idx="70">
                  <c:v>88.793777044697748</c:v>
                </c:pt>
                <c:pt idx="71">
                  <c:v>88.747662314455468</c:v>
                </c:pt>
                <c:pt idx="72">
                  <c:v>88.698969261532866</c:v>
                </c:pt>
                <c:pt idx="73">
                  <c:v>88.647685581711841</c:v>
                </c:pt>
                <c:pt idx="74">
                  <c:v>88.593794237871464</c:v>
                </c:pt>
                <c:pt idx="75">
                  <c:v>88.537273457176298</c:v>
                </c:pt>
                <c:pt idx="76">
                  <c:v>88.478096706678798</c:v>
                </c:pt>
                <c:pt idx="77">
                  <c:v>88.416232647407838</c:v>
                </c:pt>
                <c:pt idx="78">
                  <c:v>88.351645066831239</c:v>
                </c:pt>
                <c:pt idx="79">
                  <c:v>88.284292789397526</c:v>
                </c:pt>
                <c:pt idx="80">
                  <c:v>88.214129564677151</c:v>
                </c:pt>
                <c:pt idx="81">
                  <c:v>88.141103932434163</c:v>
                </c:pt>
                <c:pt idx="82">
                  <c:v>88.065159063763673</c:v>
                </c:pt>
                <c:pt idx="83">
                  <c:v>87.986232577224342</c:v>
                </c:pt>
                <c:pt idx="84">
                  <c:v>87.904256328677221</c:v>
                </c:pt>
                <c:pt idx="85">
                  <c:v>87.819156173309025</c:v>
                </c:pt>
                <c:pt idx="86">
                  <c:v>87.730851698065095</c:v>
                </c:pt>
                <c:pt idx="87">
                  <c:v>87.639255922442374</c:v>
                </c:pt>
                <c:pt idx="88">
                  <c:v>87.544274965291692</c:v>
                </c:pt>
                <c:pt idx="89">
                  <c:v>87.445807674944717</c:v>
                </c:pt>
                <c:pt idx="90">
                  <c:v>87.343745219612188</c:v>
                </c:pt>
                <c:pt idx="91">
                  <c:v>87.237970634586802</c:v>
                </c:pt>
                <c:pt idx="92">
                  <c:v>87.128358322323237</c:v>
                </c:pt>
                <c:pt idx="93">
                  <c:v>87.014773500946703</c:v>
                </c:pt>
                <c:pt idx="94">
                  <c:v>86.897071596155655</c:v>
                </c:pt>
                <c:pt idx="95">
                  <c:v>86.775097570819128</c:v>
                </c:pt>
                <c:pt idx="96">
                  <c:v>86.648685185813846</c:v>
                </c:pt>
                <c:pt idx="97">
                  <c:v>86.517656184785565</c:v>
                </c:pt>
                <c:pt idx="98">
                  <c:v>86.381819394535</c:v>
                </c:pt>
                <c:pt idx="99">
                  <c:v>86.240969731601652</c:v>
                </c:pt>
                <c:pt idx="100">
                  <c:v>86.038678359453343</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186.73285063304527</c:v>
                </c:pt>
                <c:pt idx="1">
                  <c:v>186.62698080358589</c:v>
                </c:pt>
                <c:pt idx="2">
                  <c:v>186.58315311862344</c:v>
                </c:pt>
                <c:pt idx="3">
                  <c:v>186.54953709916745</c:v>
                </c:pt>
                <c:pt idx="4">
                  <c:v>197.10750192962828</c:v>
                </c:pt>
                <c:pt idx="5">
                  <c:v>246.55745887134722</c:v>
                </c:pt>
                <c:pt idx="6">
                  <c:v>296.07694041125541</c:v>
                </c:pt>
                <c:pt idx="7">
                  <c:v>345.66609327557126</c:v>
                </c:pt>
                <c:pt idx="8">
                  <c:v>395.32506460367523</c:v>
                </c:pt>
                <c:pt idx="9">
                  <c:v>445.05400194956701</c:v>
                </c:pt>
                <c:pt idx="10">
                  <c:v>494.85305328332555</c:v>
                </c:pt>
                <c:pt idx="11">
                  <c:v>544.72236699257701</c:v>
                </c:pt>
                <c:pt idx="12">
                  <c:v>594.66209188396863</c:v>
                </c:pt>
                <c:pt idx="13">
                  <c:v>644.67237718464912</c:v>
                </c:pt>
                <c:pt idx="14">
                  <c:v>694.75337254375461</c:v>
                </c:pt>
                <c:pt idx="15">
                  <c:v>744.90522803390093</c:v>
                </c:pt>
                <c:pt idx="16">
                  <c:v>795.12809415268498</c:v>
                </c:pt>
                <c:pt idx="17">
                  <c:v>845.42212182418666</c:v>
                </c:pt>
                <c:pt idx="18">
                  <c:v>895.78746240048281</c:v>
                </c:pt>
                <c:pt idx="19">
                  <c:v>946.22426766316596</c:v>
                </c:pt>
                <c:pt idx="20">
                  <c:v>996.73268982486638</c:v>
                </c:pt>
                <c:pt idx="21">
                  <c:v>1047.3128815307871</c:v>
                </c:pt>
                <c:pt idx="22">
                  <c:v>1097.9649958602379</c:v>
                </c:pt>
                <c:pt idx="23">
                  <c:v>1148.6891863281819</c:v>
                </c:pt>
                <c:pt idx="24">
                  <c:v>1199.4856068867857</c:v>
                </c:pt>
                <c:pt idx="25">
                  <c:v>1250.3544119269777</c:v>
                </c:pt>
                <c:pt idx="26">
                  <c:v>1301.2957562800102</c:v>
                </c:pt>
                <c:pt idx="27">
                  <c:v>1352.3097952190333</c:v>
                </c:pt>
                <c:pt idx="28">
                  <c:v>1403.3966844606703</c:v>
                </c:pt>
                <c:pt idx="29">
                  <c:v>1454.5565801666019</c:v>
                </c:pt>
                <c:pt idx="30">
                  <c:v>1505.7896389451594</c:v>
                </c:pt>
                <c:pt idx="31">
                  <c:v>1557.0960178529222</c:v>
                </c:pt>
                <c:pt idx="32">
                  <c:v>1608.4758743963187</c:v>
                </c:pt>
                <c:pt idx="33">
                  <c:v>1659.9293665332455</c:v>
                </c:pt>
                <c:pt idx="34">
                  <c:v>1711.4566526746783</c:v>
                </c:pt>
                <c:pt idx="35">
                  <c:v>1763.0578916863044</c:v>
                </c:pt>
                <c:pt idx="36">
                  <c:v>1814.7332428901498</c:v>
                </c:pt>
                <c:pt idx="37">
                  <c:v>1866.482866066224</c:v>
                </c:pt>
                <c:pt idx="38">
                  <c:v>1918.3069214541606</c:v>
                </c:pt>
                <c:pt idx="39">
                  <c:v>1970.2055697548783</c:v>
                </c:pt>
                <c:pt idx="40">
                  <c:v>2022.1789721322345</c:v>
                </c:pt>
                <c:pt idx="41">
                  <c:v>2111.3486750056531</c:v>
                </c:pt>
                <c:pt idx="42">
                  <c:v>2061.3938620032482</c:v>
                </c:pt>
                <c:pt idx="43">
                  <c:v>2029.8478488974808</c:v>
                </c:pt>
                <c:pt idx="44">
                  <c:v>2039.3739508626632</c:v>
                </c:pt>
                <c:pt idx="45">
                  <c:v>2049.2079836848802</c:v>
                </c:pt>
                <c:pt idx="46">
                  <c:v>2059.3494015773153</c:v>
                </c:pt>
                <c:pt idx="47">
                  <c:v>2069.7979461699606</c:v>
                </c:pt>
                <c:pt idx="48">
                  <c:v>2080.5536248436306</c:v>
                </c:pt>
                <c:pt idx="49">
                  <c:v>2091.6166918498943</c:v>
                </c:pt>
                <c:pt idx="50">
                  <c:v>2102.9876318408865</c:v>
                </c:pt>
                <c:pt idx="51">
                  <c:v>2114.6671454911157</c:v>
                </c:pt>
                <c:pt idx="52">
                  <c:v>2126.6561369417527</c:v>
                </c:pt>
                <c:pt idx="53">
                  <c:v>2138.9557028380591</c:v>
                </c:pt>
                <c:pt idx="54">
                  <c:v>2151.5671227643934</c:v>
                </c:pt>
                <c:pt idx="55">
                  <c:v>2164.4918509094082</c:v>
                </c:pt>
                <c:pt idx="56">
                  <c:v>2177.7315088178902</c:v>
                </c:pt>
                <c:pt idx="57">
                  <c:v>2191.2878791058401</c:v>
                </c:pt>
                <c:pt idx="58">
                  <c:v>2205.1629000324174</c:v>
                </c:pt>
                <c:pt idx="59">
                  <c:v>2219.3586608368832</c:v>
                </c:pt>
                <c:pt idx="60">
                  <c:v>2233.8773977610967</c:v>
                </c:pt>
                <c:pt idx="61">
                  <c:v>2248.7214906886657</c:v>
                </c:pt>
                <c:pt idx="62">
                  <c:v>2263.8934603409957</c:v>
                </c:pt>
                <c:pt idx="63">
                  <c:v>2279.3959659782695</c:v>
                </c:pt>
                <c:pt idx="64">
                  <c:v>2295.2318035601938</c:v>
                </c:pt>
                <c:pt idx="65">
                  <c:v>2311.403904327165</c:v>
                </c:pt>
                <c:pt idx="66">
                  <c:v>2327.9153337676403</c:v>
                </c:pt>
                <c:pt idx="67">
                  <c:v>2344.7692909418711</c:v>
                </c:pt>
                <c:pt idx="68">
                  <c:v>2361.969108136082</c:v>
                </c:pt>
                <c:pt idx="69">
                  <c:v>2379.5182508245457</c:v>
                </c:pt>
                <c:pt idx="70">
                  <c:v>2397.4203179199822</c:v>
                </c:pt>
                <c:pt idx="71">
                  <c:v>2415.6790422953572</c:v>
                </c:pt>
                <c:pt idx="72">
                  <c:v>2434.2982915624793</c:v>
                </c:pt>
                <c:pt idx="73">
                  <c:v>2453.282069094847</c:v>
                </c:pt>
                <c:pt idx="74">
                  <c:v>2472.6345152840736</c:v>
                </c:pt>
                <c:pt idx="75">
                  <c:v>2492.3599090208386</c:v>
                </c:pt>
                <c:pt idx="76">
                  <c:v>2512.4626693928167</c:v>
                </c:pt>
                <c:pt idx="77">
                  <c:v>2532.9473575933625</c:v>
                </c:pt>
                <c:pt idx="78">
                  <c:v>2553.8186790359555</c:v>
                </c:pt>
                <c:pt idx="79">
                  <c:v>2575.0814856705188</c:v>
                </c:pt>
                <c:pt idx="80">
                  <c:v>2596.7407784987249</c:v>
                </c:pt>
                <c:pt idx="81">
                  <c:v>2618.8017102863737</c:v>
                </c:pt>
                <c:pt idx="82">
                  <c:v>2641.2695884717523</c:v>
                </c:pt>
                <c:pt idx="83">
                  <c:v>2664.1498782697349</c:v>
                </c:pt>
                <c:pt idx="84">
                  <c:v>2687.4482059721386</c:v>
                </c:pt>
                <c:pt idx="85">
                  <c:v>2711.1703624455436</c:v>
                </c:pt>
                <c:pt idx="86">
                  <c:v>2735.3223068285238</c:v>
                </c:pt>
                <c:pt idx="87">
                  <c:v>2759.9101704308509</c:v>
                </c:pt>
                <c:pt idx="88">
                  <c:v>2784.9402608378905</c:v>
                </c:pt>
                <c:pt idx="89">
                  <c:v>2810.4190662240467</c:v>
                </c:pt>
                <c:pt idx="90">
                  <c:v>2836.3532598796724</c:v>
                </c:pt>
                <c:pt idx="91">
                  <c:v>2862.7497049565345</c:v>
                </c:pt>
                <c:pt idx="92">
                  <c:v>2889.615459437457</c:v>
                </c:pt>
                <c:pt idx="93">
                  <c:v>2916.9577813363862</c:v>
                </c:pt>
                <c:pt idx="94">
                  <c:v>2944.7841341357348</c:v>
                </c:pt>
                <c:pt idx="95">
                  <c:v>2973.1021924684615</c:v>
                </c:pt>
                <c:pt idx="96">
                  <c:v>3001.9198480529158</c:v>
                </c:pt>
                <c:pt idx="97">
                  <c:v>3031.2452158892193</c:v>
                </c:pt>
                <c:pt idx="98">
                  <c:v>3061.0866407264516</c:v>
                </c:pt>
                <c:pt idx="99">
                  <c:v>3091.4527038107053</c:v>
                </c:pt>
                <c:pt idx="100">
                  <c:v>3122.3522299246952</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1354.4065423061827</c:v>
                </c:pt>
                <c:pt idx="1">
                  <c:v>1354.4065374438539</c:v>
                </c:pt>
                <c:pt idx="2">
                  <c:v>1354.4065354238828</c:v>
                </c:pt>
                <c:pt idx="3">
                  <c:v>1354.4065338716666</c:v>
                </c:pt>
                <c:pt idx="4">
                  <c:v>1355.2645097874133</c:v>
                </c:pt>
                <c:pt idx="5">
                  <c:v>1360.1861221354213</c:v>
                </c:pt>
                <c:pt idx="6">
                  <c:v>1366.7405403977473</c:v>
                </c:pt>
                <c:pt idx="7">
                  <c:v>1375.0840675045351</c:v>
                </c:pt>
                <c:pt idx="8">
                  <c:v>1385.3603515299519</c:v>
                </c:pt>
                <c:pt idx="9">
                  <c:v>1397.70304634429</c:v>
                </c:pt>
                <c:pt idx="10">
                  <c:v>1412.2376508974487</c:v>
                </c:pt>
                <c:pt idx="11">
                  <c:v>1429.0828442298609</c:v>
                </c:pt>
                <c:pt idx="12">
                  <c:v>1448.351491139782</c:v>
                </c:pt>
                <c:pt idx="13">
                  <c:v>1470.1514222831047</c:v>
                </c:pt>
                <c:pt idx="14">
                  <c:v>1494.5860538346774</c:v>
                </c:pt>
                <c:pt idx="15">
                  <c:v>1521.7548894669758</c:v>
                </c:pt>
                <c:pt idx="16">
                  <c:v>1551.7539337689295</c:v>
                </c:pt>
                <c:pt idx="17">
                  <c:v>1584.6760375624647</c:v>
                </c:pt>
                <c:pt idx="18">
                  <c:v>1620.6111898681611</c:v>
                </c:pt>
                <c:pt idx="19">
                  <c:v>1659.6467673988302</c:v>
                </c:pt>
                <c:pt idx="20">
                  <c:v>1701.8677497623596</c:v>
                </c:pt>
                <c:pt idx="21">
                  <c:v>1747.3569066330865</c:v>
                </c:pt>
                <c:pt idx="22">
                  <c:v>1796.1949617538319</c:v>
                </c:pt>
                <c:pt idx="23">
                  <c:v>1848.4607375969031</c:v>
                </c:pt>
                <c:pt idx="24">
                  <c:v>1904.2312837353386</c:v>
                </c:pt>
                <c:pt idx="25">
                  <c:v>1963.5819913830858</c:v>
                </c:pt>
                <c:pt idx="26">
                  <c:v>2026.5866961051918</c:v>
                </c:pt>
                <c:pt idx="27">
                  <c:v>2093.3177703414799</c:v>
                </c:pt>
                <c:pt idx="28">
                  <c:v>2163.8462071046574</c:v>
                </c:pt>
                <c:pt idx="29">
                  <c:v>2238.2416959886145</c:v>
                </c:pt>
                <c:pt idx="30">
                  <c:v>2316.5726924413025</c:v>
                </c:pt>
                <c:pt idx="31">
                  <c:v>2398.906481109419</c:v>
                </c:pt>
                <c:pt idx="32">
                  <c:v>2485.309233941924</c:v>
                </c:pt>
                <c:pt idx="33">
                  <c:v>2575.8460636401819</c:v>
                </c:pt>
                <c:pt idx="34">
                  <c:v>2670.5810729604395</c:v>
                </c:pt>
                <c:pt idx="35">
                  <c:v>2769.5774003058109</c:v>
                </c:pt>
                <c:pt idx="36">
                  <c:v>2872.8972619873457</c:v>
                </c:pt>
                <c:pt idx="37">
                  <c:v>2980.6019914853205</c:v>
                </c:pt>
                <c:pt idx="38">
                  <c:v>3092.7520760006696</c:v>
                </c:pt>
                <c:pt idx="39">
                  <c:v>3209.4071905514102</c:v>
                </c:pt>
                <c:pt idx="40">
                  <c:v>3330.6262298389729</c:v>
                </c:pt>
                <c:pt idx="41">
                  <c:v>3548.9901110230444</c:v>
                </c:pt>
                <c:pt idx="42">
                  <c:v>3425.1651455312472</c:v>
                </c:pt>
                <c:pt idx="43">
                  <c:v>3365.6432242518945</c:v>
                </c:pt>
                <c:pt idx="44">
                  <c:v>3447.1043368068972</c:v>
                </c:pt>
                <c:pt idx="45">
                  <c:v>3530.9155172002734</c:v>
                </c:pt>
                <c:pt idx="46">
                  <c:v>3617.1347883453409</c:v>
                </c:pt>
                <c:pt idx="47">
                  <c:v>3705.8219875786858</c:v>
                </c:pt>
                <c:pt idx="48">
                  <c:v>3797.0389133508447</c:v>
                </c:pt>
                <c:pt idx="49">
                  <c:v>3890.8494722665873</c:v>
                </c:pt>
                <c:pt idx="50">
                  <c:v>3987.3198276254316</c:v>
                </c:pt>
                <c:pt idx="51">
                  <c:v>4086.5185505285685</c:v>
                </c:pt>
                <c:pt idx="52">
                  <c:v>4188.5167745557073</c:v>
                </c:pt>
                <c:pt idx="53">
                  <c:v>4293.388354972245</c:v>
                </c:pt>
                <c:pt idx="54">
                  <c:v>4401.2100333992694</c:v>
                </c:pt>
                <c:pt idx="55">
                  <c:v>4512.0616088660872</c:v>
                </c:pt>
                <c:pt idx="56">
                  <c:v>4626.0261161645367</c:v>
                </c:pt>
                <c:pt idx="57">
                  <c:v>4743.1900124357489</c:v>
                </c:pt>
                <c:pt idx="58">
                  <c:v>4863.6433729425007</c:v>
                </c:pt>
                <c:pt idx="59">
                  <c:v>4987.4800970127426</c:v>
                </c:pt>
                <c:pt idx="60">
                  <c:v>5114.7981251832962</c:v>
                </c:pt>
                <c:pt idx="61">
                  <c:v>5245.6996686254379</c:v>
                </c:pt>
                <c:pt idx="62">
                  <c:v>5380.2914519978258</c:v>
                </c:pt>
                <c:pt idx="63">
                  <c:v>5518.6849709461503</c:v>
                </c:pt>
                <c:pt idx="64">
                  <c:v>5660.9967655541059</c:v>
                </c:pt>
                <c:pt idx="65">
                  <c:v>5807.3487111473869</c:v>
                </c:pt>
                <c:pt idx="66">
                  <c:v>5957.8683279623383</c:v>
                </c:pt>
                <c:pt idx="67">
                  <c:v>6112.6891113140537</c:v>
                </c:pt>
                <c:pt idx="68">
                  <c:v>6271.9508840377184</c:v>
                </c:pt>
                <c:pt idx="69">
                  <c:v>6435.8001731317545</c:v>
                </c:pt>
                <c:pt idx="70">
                  <c:v>6604.3906127046193</c:v>
                </c:pt>
                <c:pt idx="71">
                  <c:v>6777.8833755206642</c:v>
                </c:pt>
                <c:pt idx="72">
                  <c:v>6956.4476356562745</c:v>
                </c:pt>
                <c:pt idx="73">
                  <c:v>7140.2610650183988</c:v>
                </c:pt>
                <c:pt idx="74">
                  <c:v>7329.510366746782</c:v>
                </c:pt>
                <c:pt idx="75">
                  <c:v>7524.3918488216823</c:v>
                </c:pt>
                <c:pt idx="76">
                  <c:v>7725.1120415347614</c:v>
                </c:pt>
                <c:pt idx="77">
                  <c:v>7931.8883628571102</c:v>
                </c:pt>
                <c:pt idx="78">
                  <c:v>8144.9498361590922</c:v>
                </c:pt>
                <c:pt idx="79">
                  <c:v>8364.5378652093223</c:v>
                </c:pt>
                <c:pt idx="80">
                  <c:v>8590.9070719101292</c:v>
                </c:pt>
                <c:pt idx="81">
                  <c:v>8824.3262028231948</c:v>
                </c:pt>
                <c:pt idx="82">
                  <c:v>9065.0791112097613</c:v>
                </c:pt>
                <c:pt idx="83">
                  <c:v>9313.4658220672845</c:v>
                </c:pt>
                <c:pt idx="84">
                  <c:v>9569.8036884979429</c:v>
                </c:pt>
                <c:pt idx="85">
                  <c:v>9834.4286487115005</c:v>
                </c:pt>
                <c:pt idx="86">
                  <c:v>10107.696594059737</c:v>
                </c:pt>
                <c:pt idx="87">
                  <c:v>10389.984859741426</c:v>
                </c:pt>
                <c:pt idx="88">
                  <c:v>10681.693851229995</c:v>
                </c:pt>
                <c:pt idx="89">
                  <c:v>10983.248821083916</c:v>
                </c:pt>
                <c:pt idx="90">
                  <c:v>11295.101812635105</c:v>
                </c:pt>
                <c:pt idx="91">
                  <c:v>11617.733789149333</c:v>
                </c:pt>
                <c:pt idx="92">
                  <c:v>11951.656969455564</c:v>
                </c:pt>
                <c:pt idx="93">
                  <c:v>12297.41739380063</c:v>
                </c:pt>
                <c:pt idx="94">
                  <c:v>12655.597746859856</c:v>
                </c:pt>
                <c:pt idx="95">
                  <c:v>13026.820468493299</c:v>
                </c:pt>
                <c:pt idx="96">
                  <c:v>13411.75118706634</c:v>
                </c:pt>
                <c:pt idx="97">
                  <c:v>13811.102515051891</c:v>
                </c:pt>
                <c:pt idx="98">
                  <c:v>14225.638252318115</c:v>
                </c:pt>
                <c:pt idx="99">
                  <c:v>14656.1780491274</c:v>
                </c:pt>
                <c:pt idx="100">
                  <c:v>15103.6025885982</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1.6666671776674781E-2</c:v>
                </c:pt>
                <c:pt idx="1">
                  <c:v>1.6699493621377126E-2</c:v>
                </c:pt>
                <c:pt idx="2">
                  <c:v>1.6713128897077469E-2</c:v>
                </c:pt>
                <c:pt idx="3">
                  <c:v>1.6723606719663341E-2</c:v>
                </c:pt>
                <c:pt idx="4">
                  <c:v>1.7677442781877363E-2</c:v>
                </c:pt>
                <c:pt idx="5">
                  <c:v>2.2096803477346705E-2</c:v>
                </c:pt>
                <c:pt idx="6">
                  <c:v>2.6516164172816045E-2</c:v>
                </c:pt>
                <c:pt idx="7">
                  <c:v>3.093552486828539E-2</c:v>
                </c:pt>
                <c:pt idx="8">
                  <c:v>3.5354885563754726E-2</c:v>
                </c:pt>
                <c:pt idx="9">
                  <c:v>3.9774246259224058E-2</c:v>
                </c:pt>
                <c:pt idx="10">
                  <c:v>4.4193606954693411E-2</c:v>
                </c:pt>
                <c:pt idx="11">
                  <c:v>4.861296765016275E-2</c:v>
                </c:pt>
                <c:pt idx="12">
                  <c:v>5.3032328345632089E-2</c:v>
                </c:pt>
                <c:pt idx="13">
                  <c:v>5.7451689041101435E-2</c:v>
                </c:pt>
                <c:pt idx="14">
                  <c:v>6.1871049736570781E-2</c:v>
                </c:pt>
                <c:pt idx="15">
                  <c:v>6.629041043204012E-2</c:v>
                </c:pt>
                <c:pt idx="16">
                  <c:v>7.0709771127509452E-2</c:v>
                </c:pt>
                <c:pt idx="17">
                  <c:v>7.5129131822978812E-2</c:v>
                </c:pt>
                <c:pt idx="18">
                  <c:v>7.9548492518448116E-2</c:v>
                </c:pt>
                <c:pt idx="19">
                  <c:v>8.3967853213917476E-2</c:v>
                </c:pt>
                <c:pt idx="20">
                  <c:v>8.8387213909386822E-2</c:v>
                </c:pt>
                <c:pt idx="21">
                  <c:v>9.2806574604856154E-2</c:v>
                </c:pt>
                <c:pt idx="22">
                  <c:v>9.72259353003255E-2</c:v>
                </c:pt>
                <c:pt idx="23">
                  <c:v>0.10164529599579487</c:v>
                </c:pt>
                <c:pt idx="24">
                  <c:v>0.10606465669126418</c:v>
                </c:pt>
                <c:pt idx="25">
                  <c:v>0.11048401738673354</c:v>
                </c:pt>
                <c:pt idx="26">
                  <c:v>0.11490337808220287</c:v>
                </c:pt>
                <c:pt idx="27">
                  <c:v>0.1193227387776722</c:v>
                </c:pt>
                <c:pt idx="28">
                  <c:v>0.12374209947314156</c:v>
                </c:pt>
                <c:pt idx="29">
                  <c:v>0.12816146016861088</c:v>
                </c:pt>
                <c:pt idx="30">
                  <c:v>0.13258082086408024</c:v>
                </c:pt>
                <c:pt idx="31">
                  <c:v>0.13700018155954957</c:v>
                </c:pt>
                <c:pt idx="32">
                  <c:v>0.1414195422550189</c:v>
                </c:pt>
                <c:pt idx="33">
                  <c:v>0.14583890295048829</c:v>
                </c:pt>
                <c:pt idx="34">
                  <c:v>0.15025826364595762</c:v>
                </c:pt>
                <c:pt idx="35">
                  <c:v>0.15467762434142693</c:v>
                </c:pt>
                <c:pt idx="36">
                  <c:v>0.15909698503689623</c:v>
                </c:pt>
                <c:pt idx="37">
                  <c:v>0.16351634573236562</c:v>
                </c:pt>
                <c:pt idx="38">
                  <c:v>0.16793570642783495</c:v>
                </c:pt>
                <c:pt idx="39">
                  <c:v>0.17235506712330434</c:v>
                </c:pt>
                <c:pt idx="40">
                  <c:v>0.17677442781877364</c:v>
                </c:pt>
                <c:pt idx="41">
                  <c:v>0.18434813499924824</c:v>
                </c:pt>
                <c:pt idx="42">
                  <c:v>0.18013128711563231</c:v>
                </c:pt>
                <c:pt idx="43">
                  <c:v>0.17727835041620316</c:v>
                </c:pt>
                <c:pt idx="44">
                  <c:v>0.17740916940300058</c:v>
                </c:pt>
                <c:pt idx="45">
                  <c:v>0.17753639303870275</c:v>
                </c:pt>
                <c:pt idx="46">
                  <c:v>0.17766025147297251</c:v>
                </c:pt>
                <c:pt idx="47">
                  <c:v>0.1777809556405561</c:v>
                </c:pt>
                <c:pt idx="48">
                  <c:v>0.1778986992255755</c:v>
                </c:pt>
                <c:pt idx="49">
                  <c:v>0.17801366038968222</c:v>
                </c:pt>
                <c:pt idx="50">
                  <c:v>0.17812600329654213</c:v>
                </c:pt>
                <c:pt idx="51">
                  <c:v>0.17823587946011488</c:v>
                </c:pt>
                <c:pt idx="52">
                  <c:v>0.17834342894004029</c:v>
                </c:pt>
                <c:pt idx="53">
                  <c:v>0.1784487814039831</c:v>
                </c:pt>
                <c:pt idx="54">
                  <c:v>0.1785520570738969</c:v>
                </c:pt>
                <c:pt idx="55">
                  <c:v>0.17865336757074085</c:v>
                </c:pt>
                <c:pt idx="56">
                  <c:v>0.17875281667013848</c:v>
                </c:pt>
                <c:pt idx="57">
                  <c:v>0.17885050097974464</c:v>
                </c:pt>
                <c:pt idx="58">
                  <c:v>0.17894651054762256</c:v>
                </c:pt>
                <c:pt idx="59">
                  <c:v>0.17904092940969307</c:v>
                </c:pt>
                <c:pt idx="60">
                  <c:v>0.17913383608325659</c:v>
                </c:pt>
                <c:pt idx="61">
                  <c:v>0.17922530401268633</c:v>
                </c:pt>
                <c:pt idx="62">
                  <c:v>0.17931540197261406</c:v>
                </c:pt>
                <c:pt idx="63">
                  <c:v>0.17940419443326408</c:v>
                </c:pt>
                <c:pt idx="64">
                  <c:v>0.17949174189201825</c:v>
                </c:pt>
                <c:pt idx="65">
                  <c:v>0.17957810117479664</c:v>
                </c:pt>
                <c:pt idx="66">
                  <c:v>0.17966332571041446</c:v>
                </c:pt>
                <c:pt idx="67">
                  <c:v>0.17974746578069739</c:v>
                </c:pt>
                <c:pt idx="68">
                  <c:v>0.17983056874882078</c:v>
                </c:pt>
                <c:pt idx="69">
                  <c:v>0.17991267926805118</c:v>
                </c:pt>
                <c:pt idx="70">
                  <c:v>0.17999383947282599</c:v>
                </c:pt>
                <c:pt idx="71">
                  <c:v>0.1800740891538895</c:v>
                </c:pt>
                <c:pt idx="72">
                  <c:v>0.18015346591901688</c:v>
                </c:pt>
                <c:pt idx="73">
                  <c:v>0.18023200534069075</c:v>
                </c:pt>
                <c:pt idx="74">
                  <c:v>0.18030974109194897</c:v>
                </c:pt>
                <c:pt idx="75">
                  <c:v>0.18038670507149573</c:v>
                </c:pt>
                <c:pt idx="76">
                  <c:v>0.1804629275190521</c:v>
                </c:pt>
                <c:pt idx="77">
                  <c:v>0.18053843712182283</c:v>
                </c:pt>
                <c:pt idx="78">
                  <c:v>0.18061326111286852</c:v>
                </c:pt>
                <c:pt idx="79">
                  <c:v>0.1806874253620914</c:v>
                </c:pt>
                <c:pt idx="80">
                  <c:v>0.18076095446047388</c:v>
                </c:pt>
                <c:pt idx="81">
                  <c:v>0.18083387179814642</c:v>
                </c:pt>
                <c:pt idx="82">
                  <c:v>0.18090619963680646</c:v>
                </c:pt>
                <c:pt idx="83">
                  <c:v>0.18097795917695841</c:v>
                </c:pt>
                <c:pt idx="84">
                  <c:v>0.1810491706204026</c:v>
                </c:pt>
                <c:pt idx="85">
                  <c:v>0.18111985322835986</c:v>
                </c:pt>
                <c:pt idx="86">
                  <c:v>0.18119002537558349</c:v>
                </c:pt>
                <c:pt idx="87">
                  <c:v>0.18125970460077809</c:v>
                </c:pt>
                <c:pt idx="88">
                  <c:v>0.18132890765361576</c:v>
                </c:pt>
                <c:pt idx="89">
                  <c:v>0.18139765053861476</c:v>
                </c:pt>
                <c:pt idx="90">
                  <c:v>0.18146594855612258</c:v>
                </c:pt>
                <c:pt idx="91">
                  <c:v>0.18153381634062296</c:v>
                </c:pt>
                <c:pt idx="92">
                  <c:v>0.18160126789656994</c:v>
                </c:pt>
                <c:pt idx="93">
                  <c:v>0.18166831663193161</c:v>
                </c:pt>
                <c:pt idx="94">
                  <c:v>0.18173497538961381</c:v>
                </c:pt>
                <c:pt idx="95">
                  <c:v>0.18180125647691817</c:v>
                </c:pt>
                <c:pt idx="96">
                  <c:v>0.18186717169317562</c:v>
                </c:pt>
                <c:pt idx="97">
                  <c:v>0.1819327323556873</c:v>
                </c:pt>
                <c:pt idx="98">
                  <c:v>0.18199794932409122</c:v>
                </c:pt>
                <c:pt idx="99">
                  <c:v>0.1820628330232662</c:v>
                </c:pt>
                <c:pt idx="100">
                  <c:v>0.18212739346487361</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1.6666671776674781E-2</c:v>
                </c:pt>
                <c:pt idx="1">
                  <c:v>1.6699493621377126E-2</c:v>
                </c:pt>
                <c:pt idx="2">
                  <c:v>1.6713128897077469E-2</c:v>
                </c:pt>
                <c:pt idx="3">
                  <c:v>1.6723606719663341E-2</c:v>
                </c:pt>
                <c:pt idx="4">
                  <c:v>1.7677442781877363E-2</c:v>
                </c:pt>
                <c:pt idx="5">
                  <c:v>2.2096803477346705E-2</c:v>
                </c:pt>
                <c:pt idx="6">
                  <c:v>2.6516164172816045E-2</c:v>
                </c:pt>
                <c:pt idx="7">
                  <c:v>3.093552486828539E-2</c:v>
                </c:pt>
                <c:pt idx="8">
                  <c:v>3.5354885563754726E-2</c:v>
                </c:pt>
                <c:pt idx="9">
                  <c:v>3.9774246259224058E-2</c:v>
                </c:pt>
                <c:pt idx="10">
                  <c:v>4.4193606954693411E-2</c:v>
                </c:pt>
                <c:pt idx="11">
                  <c:v>4.861296765016275E-2</c:v>
                </c:pt>
                <c:pt idx="12">
                  <c:v>5.3032328345632089E-2</c:v>
                </c:pt>
                <c:pt idx="13">
                  <c:v>5.7451689041101435E-2</c:v>
                </c:pt>
                <c:pt idx="14">
                  <c:v>6.1871049736570781E-2</c:v>
                </c:pt>
                <c:pt idx="15">
                  <c:v>6.629041043204012E-2</c:v>
                </c:pt>
                <c:pt idx="16">
                  <c:v>7.0709771127509452E-2</c:v>
                </c:pt>
                <c:pt idx="17">
                  <c:v>7.5129131822978812E-2</c:v>
                </c:pt>
                <c:pt idx="18">
                  <c:v>7.9548492518448116E-2</c:v>
                </c:pt>
                <c:pt idx="19">
                  <c:v>8.3967853213917476E-2</c:v>
                </c:pt>
                <c:pt idx="20">
                  <c:v>8.8387213909386822E-2</c:v>
                </c:pt>
                <c:pt idx="21">
                  <c:v>9.2806574604856154E-2</c:v>
                </c:pt>
                <c:pt idx="22">
                  <c:v>9.72259353003255E-2</c:v>
                </c:pt>
                <c:pt idx="23">
                  <c:v>0.10164529599579487</c:v>
                </c:pt>
                <c:pt idx="24">
                  <c:v>0.10606465669126418</c:v>
                </c:pt>
                <c:pt idx="25">
                  <c:v>0.11048401738673354</c:v>
                </c:pt>
                <c:pt idx="26">
                  <c:v>0.11490337808220287</c:v>
                </c:pt>
                <c:pt idx="27">
                  <c:v>0.1193227387776722</c:v>
                </c:pt>
                <c:pt idx="28">
                  <c:v>0.12374209947314156</c:v>
                </c:pt>
                <c:pt idx="29">
                  <c:v>0.12816146016861088</c:v>
                </c:pt>
                <c:pt idx="30">
                  <c:v>0.13258082086408024</c:v>
                </c:pt>
                <c:pt idx="31">
                  <c:v>0.13700018155954957</c:v>
                </c:pt>
                <c:pt idx="32">
                  <c:v>0.1414195422550189</c:v>
                </c:pt>
                <c:pt idx="33">
                  <c:v>0.14583890295048829</c:v>
                </c:pt>
                <c:pt idx="34">
                  <c:v>0.15025826364595762</c:v>
                </c:pt>
                <c:pt idx="35">
                  <c:v>0.15467762434142693</c:v>
                </c:pt>
                <c:pt idx="36">
                  <c:v>0.15909698503689623</c:v>
                </c:pt>
                <c:pt idx="37">
                  <c:v>0.16351634573236562</c:v>
                </c:pt>
                <c:pt idx="38">
                  <c:v>0.16793570642783495</c:v>
                </c:pt>
                <c:pt idx="39">
                  <c:v>0.17235506712330434</c:v>
                </c:pt>
                <c:pt idx="40">
                  <c:v>0.17677442781877364</c:v>
                </c:pt>
                <c:pt idx="41">
                  <c:v>0.18434813499924824</c:v>
                </c:pt>
                <c:pt idx="42">
                  <c:v>0.18013128711563231</c:v>
                </c:pt>
                <c:pt idx="43">
                  <c:v>0.17727835041620316</c:v>
                </c:pt>
                <c:pt idx="44">
                  <c:v>0.17740916940300058</c:v>
                </c:pt>
                <c:pt idx="45">
                  <c:v>0.17753639303870275</c:v>
                </c:pt>
                <c:pt idx="46">
                  <c:v>0.17766025147297251</c:v>
                </c:pt>
                <c:pt idx="47">
                  <c:v>0.1777809556405561</c:v>
                </c:pt>
                <c:pt idx="48">
                  <c:v>0.1778986992255755</c:v>
                </c:pt>
                <c:pt idx="49">
                  <c:v>0.17801366038968222</c:v>
                </c:pt>
                <c:pt idx="50">
                  <c:v>0.17812600329654213</c:v>
                </c:pt>
                <c:pt idx="51">
                  <c:v>0.17823587946011488</c:v>
                </c:pt>
                <c:pt idx="52">
                  <c:v>0.17834342894004029</c:v>
                </c:pt>
                <c:pt idx="53">
                  <c:v>0.1784487814039831</c:v>
                </c:pt>
                <c:pt idx="54">
                  <c:v>0.1785520570738969</c:v>
                </c:pt>
                <c:pt idx="55">
                  <c:v>0.17865336757074085</c:v>
                </c:pt>
                <c:pt idx="56">
                  <c:v>0.17875281667013848</c:v>
                </c:pt>
                <c:pt idx="57">
                  <c:v>0.17885050097974464</c:v>
                </c:pt>
                <c:pt idx="58">
                  <c:v>0.17894651054762256</c:v>
                </c:pt>
                <c:pt idx="59">
                  <c:v>0.17904092940969307</c:v>
                </c:pt>
                <c:pt idx="60">
                  <c:v>0.17913383608325659</c:v>
                </c:pt>
                <c:pt idx="61">
                  <c:v>0.17922530401268633</c:v>
                </c:pt>
                <c:pt idx="62">
                  <c:v>0.17931540197261406</c:v>
                </c:pt>
                <c:pt idx="63">
                  <c:v>0.17940419443326408</c:v>
                </c:pt>
                <c:pt idx="64">
                  <c:v>0.17949174189201825</c:v>
                </c:pt>
                <c:pt idx="65">
                  <c:v>0.17957810117479664</c:v>
                </c:pt>
                <c:pt idx="66">
                  <c:v>0.17966332571041446</c:v>
                </c:pt>
                <c:pt idx="67">
                  <c:v>0.17974746578069739</c:v>
                </c:pt>
                <c:pt idx="68">
                  <c:v>0.17983056874882078</c:v>
                </c:pt>
                <c:pt idx="69">
                  <c:v>0.17991267926805118</c:v>
                </c:pt>
                <c:pt idx="70">
                  <c:v>0.17999383947282599</c:v>
                </c:pt>
                <c:pt idx="71">
                  <c:v>0.1800740891538895</c:v>
                </c:pt>
                <c:pt idx="72">
                  <c:v>0.18015346591901688</c:v>
                </c:pt>
                <c:pt idx="73">
                  <c:v>0.18023200534069075</c:v>
                </c:pt>
                <c:pt idx="74">
                  <c:v>0.18030974109194897</c:v>
                </c:pt>
                <c:pt idx="75">
                  <c:v>0.18038670507149573</c:v>
                </c:pt>
                <c:pt idx="76">
                  <c:v>0.1804629275190521</c:v>
                </c:pt>
                <c:pt idx="77">
                  <c:v>0.18053843712182283</c:v>
                </c:pt>
                <c:pt idx="78">
                  <c:v>0.18061326111286852</c:v>
                </c:pt>
                <c:pt idx="79">
                  <c:v>0.1806874253620914</c:v>
                </c:pt>
                <c:pt idx="80">
                  <c:v>0.18076095446047388</c:v>
                </c:pt>
                <c:pt idx="81">
                  <c:v>0.18083387179814642</c:v>
                </c:pt>
                <c:pt idx="82">
                  <c:v>0.18090619963680646</c:v>
                </c:pt>
                <c:pt idx="83">
                  <c:v>0.18097795917695841</c:v>
                </c:pt>
                <c:pt idx="84">
                  <c:v>0.1810491706204026</c:v>
                </c:pt>
                <c:pt idx="85">
                  <c:v>0.18111985322835986</c:v>
                </c:pt>
                <c:pt idx="86">
                  <c:v>0.18119002537558349</c:v>
                </c:pt>
                <c:pt idx="87">
                  <c:v>0.18125970460077809</c:v>
                </c:pt>
                <c:pt idx="88">
                  <c:v>0.18132890765361576</c:v>
                </c:pt>
                <c:pt idx="89">
                  <c:v>0.18139765053861476</c:v>
                </c:pt>
                <c:pt idx="90">
                  <c:v>0.18146594855612258</c:v>
                </c:pt>
                <c:pt idx="91">
                  <c:v>0.18153381634062296</c:v>
                </c:pt>
                <c:pt idx="92">
                  <c:v>0.18160126789656994</c:v>
                </c:pt>
                <c:pt idx="93">
                  <c:v>0.18166831663193161</c:v>
                </c:pt>
                <c:pt idx="94">
                  <c:v>0.18173497538961381</c:v>
                </c:pt>
                <c:pt idx="95">
                  <c:v>0.18180125647691817</c:v>
                </c:pt>
                <c:pt idx="96">
                  <c:v>0.18186717169317562</c:v>
                </c:pt>
                <c:pt idx="97">
                  <c:v>0.1819327323556873</c:v>
                </c:pt>
                <c:pt idx="98">
                  <c:v>0.18199794932409122</c:v>
                </c:pt>
                <c:pt idx="99">
                  <c:v>0.1820628330232662</c:v>
                </c:pt>
                <c:pt idx="100">
                  <c:v>0.18212739346487361</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10.272278997833462</c:v>
                </c:pt>
                <c:pt idx="30">
                  <c:v>10.627165154246638</c:v>
                </c:pt>
                <c:pt idx="31">
                  <c:v>10.982100361418821</c:v>
                </c:pt>
                <c:pt idx="32">
                  <c:v>11.337085049480594</c:v>
                </c:pt>
                <c:pt idx="33">
                  <c:v>11.692119649018068</c:v>
                </c:pt>
                <c:pt idx="34">
                  <c:v>12.047204591074976</c:v>
                </c:pt>
                <c:pt idx="35">
                  <c:v>12.402340307154754</c:v>
                </c:pt>
                <c:pt idx="36">
                  <c:v>12.757527229222617</c:v>
                </c:pt>
                <c:pt idx="37">
                  <c:v>13.112765789707657</c:v>
                </c:pt>
                <c:pt idx="38">
                  <c:v>13.46805642150494</c:v>
                </c:pt>
                <c:pt idx="39">
                  <c:v>13.823399557977618</c:v>
                </c:pt>
                <c:pt idx="40">
                  <c:v>14.178795632959002</c:v>
                </c:pt>
                <c:pt idx="41">
                  <c:v>14.534245080754735</c:v>
                </c:pt>
                <c:pt idx="42">
                  <c:v>14.88974833614485</c:v>
                </c:pt>
                <c:pt idx="43">
                  <c:v>15.245305834385928</c:v>
                </c:pt>
                <c:pt idx="44">
                  <c:v>15.600918011213217</c:v>
                </c:pt>
                <c:pt idx="45">
                  <c:v>15.95658530284277</c:v>
                </c:pt>
                <c:pt idx="46">
                  <c:v>16.312308145973574</c:v>
                </c:pt>
                <c:pt idx="47">
                  <c:v>16.668086977789699</c:v>
                </c:pt>
                <c:pt idx="48">
                  <c:v>17.023922235962477</c:v>
                </c:pt>
                <c:pt idx="49">
                  <c:v>17.379814358652606</c:v>
                </c:pt>
                <c:pt idx="50">
                  <c:v>17.735763784512336</c:v>
                </c:pt>
                <c:pt idx="51">
                  <c:v>18.09177095268765</c:v>
                </c:pt>
                <c:pt idx="52">
                  <c:v>18.447836302820424</c:v>
                </c:pt>
                <c:pt idx="53">
                  <c:v>18.803960275050592</c:v>
                </c:pt>
                <c:pt idx="54">
                  <c:v>19.160143310018338</c:v>
                </c:pt>
                <c:pt idx="55">
                  <c:v>19.516385848866292</c:v>
                </c:pt>
                <c:pt idx="56">
                  <c:v>19.872688333241737</c:v>
                </c:pt>
                <c:pt idx="57">
                  <c:v>20.229051205298749</c:v>
                </c:pt>
                <c:pt idx="58">
                  <c:v>20.585474907700494</c:v>
                </c:pt>
                <c:pt idx="59">
                  <c:v>20.941959883621351</c:v>
                </c:pt>
                <c:pt idx="60">
                  <c:v>21.298506576749187</c:v>
                </c:pt>
                <c:pt idx="61">
                  <c:v>21.655115431287545</c:v>
                </c:pt>
                <c:pt idx="62">
                  <c:v>22.011786891957904</c:v>
                </c:pt>
                <c:pt idx="63">
                  <c:v>22.368521404001889</c:v>
                </c:pt>
                <c:pt idx="64">
                  <c:v>22.725319413183517</c:v>
                </c:pt>
                <c:pt idx="65">
                  <c:v>23.082181365791449</c:v>
                </c:pt>
                <c:pt idx="66">
                  <c:v>23.439107708641227</c:v>
                </c:pt>
                <c:pt idx="67">
                  <c:v>23.796098889077555</c:v>
                </c:pt>
                <c:pt idx="68">
                  <c:v>24.153155354976544</c:v>
                </c:pt>
                <c:pt idx="69">
                  <c:v>24.510277554747972</c:v>
                </c:pt>
                <c:pt idx="70">
                  <c:v>24.867465937337599</c:v>
                </c:pt>
                <c:pt idx="71">
                  <c:v>25.224720952229411</c:v>
                </c:pt>
                <c:pt idx="72">
                  <c:v>25.582043049447897</c:v>
                </c:pt>
                <c:pt idx="73">
                  <c:v>25.939432679560412</c:v>
                </c:pt>
                <c:pt idx="74">
                  <c:v>26.296890293679397</c:v>
                </c:pt>
                <c:pt idx="75">
                  <c:v>26.65441634346471</c:v>
                </c:pt>
                <c:pt idx="76">
                  <c:v>27.012011281125954</c:v>
                </c:pt>
                <c:pt idx="77">
                  <c:v>27.369675559424817</c:v>
                </c:pt>
                <c:pt idx="78">
                  <c:v>27.727409631677311</c:v>
                </c:pt>
                <c:pt idx="79">
                  <c:v>28.085213951756167</c:v>
                </c:pt>
                <c:pt idx="80">
                  <c:v>28.443088974093207</c:v>
                </c:pt>
                <c:pt idx="81">
                  <c:v>28.801035153681593</c:v>
                </c:pt>
                <c:pt idx="82">
                  <c:v>29.159052946078216</c:v>
                </c:pt>
                <c:pt idx="83">
                  <c:v>29.517142807406096</c:v>
                </c:pt>
                <c:pt idx="84">
                  <c:v>29.875305194356685</c:v>
                </c:pt>
                <c:pt idx="85">
                  <c:v>30.233540564192253</c:v>
                </c:pt>
                <c:pt idx="86">
                  <c:v>30.591849374748275</c:v>
                </c:pt>
                <c:pt idx="87">
                  <c:v>30.9502320844358</c:v>
                </c:pt>
                <c:pt idx="88">
                  <c:v>31.308689152243819</c:v>
                </c:pt>
                <c:pt idx="89">
                  <c:v>31.667221037741736</c:v>
                </c:pt>
                <c:pt idx="90">
                  <c:v>32.025828201081659</c:v>
                </c:pt>
                <c:pt idx="91">
                  <c:v>32.384511103000861</c:v>
                </c:pt>
                <c:pt idx="92">
                  <c:v>32.743270204824249</c:v>
                </c:pt>
                <c:pt idx="93">
                  <c:v>33.10210596846666</c:v>
                </c:pt>
                <c:pt idx="94">
                  <c:v>33.461018856435409</c:v>
                </c:pt>
                <c:pt idx="95">
                  <c:v>33.820009331832665</c:v>
                </c:pt>
                <c:pt idx="96">
                  <c:v>34.179077858357857</c:v>
                </c:pt>
                <c:pt idx="97">
                  <c:v>34.538224900310205</c:v>
                </c:pt>
                <c:pt idx="98">
                  <c:v>34.897450922591119</c:v>
                </c:pt>
                <c:pt idx="99">
                  <c:v>35.256756390706634</c:v>
                </c:pt>
                <c:pt idx="100">
                  <c:v>35.616141770769964</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Dual'!$AI$5:$AI$105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10.066561863300485</c:v>
                </c:pt>
                <c:pt idx="44">
                  <c:v>10.298901262548265</c:v>
                </c:pt>
                <c:pt idx="45">
                  <c:v>10.531161307555822</c:v>
                </c:pt>
                <c:pt idx="46">
                  <c:v>10.763342061011675</c:v>
                </c:pt>
                <c:pt idx="47">
                  <c:v>10.995443585549587</c:v>
                </c:pt>
                <c:pt idx="48">
                  <c:v>11.227465943748655</c:v>
                </c:pt>
                <c:pt idx="49">
                  <c:v>11.459409198133333</c:v>
                </c:pt>
                <c:pt idx="50">
                  <c:v>11.691273411173524</c:v>
                </c:pt>
                <c:pt idx="51">
                  <c:v>11.923058645284645</c:v>
                </c:pt>
                <c:pt idx="52">
                  <c:v>12.154764962827679</c:v>
                </c:pt>
                <c:pt idx="53">
                  <c:v>12.386392426109241</c:v>
                </c:pt>
                <c:pt idx="54">
                  <c:v>12.617941097381646</c:v>
                </c:pt>
                <c:pt idx="55">
                  <c:v>12.849411038842986</c:v>
                </c:pt>
                <c:pt idx="56">
                  <c:v>13.080802312637161</c:v>
                </c:pt>
                <c:pt idx="57">
                  <c:v>13.312114980853957</c:v>
                </c:pt>
                <c:pt idx="58">
                  <c:v>13.543349105529149</c:v>
                </c:pt>
                <c:pt idx="59">
                  <c:v>13.774504748644484</c:v>
                </c:pt>
                <c:pt idx="60">
                  <c:v>14.005581972127823</c:v>
                </c:pt>
                <c:pt idx="61">
                  <c:v>14.236580837853154</c:v>
                </c:pt>
                <c:pt idx="62">
                  <c:v>14.467501407640674</c:v>
                </c:pt>
                <c:pt idx="63">
                  <c:v>14.69834374325686</c:v>
                </c:pt>
                <c:pt idx="64">
                  <c:v>14.929107906414508</c:v>
                </c:pt>
                <c:pt idx="65">
                  <c:v>15.159793958772823</c:v>
                </c:pt>
                <c:pt idx="66">
                  <c:v>15.39040196193746</c:v>
                </c:pt>
                <c:pt idx="67">
                  <c:v>15.6209319774606</c:v>
                </c:pt>
                <c:pt idx="68">
                  <c:v>15.851384066841009</c:v>
                </c:pt>
                <c:pt idx="69">
                  <c:v>16.081758291524096</c:v>
                </c:pt>
                <c:pt idx="70">
                  <c:v>16.312054712901986</c:v>
                </c:pt>
                <c:pt idx="71">
                  <c:v>16.542273392313568</c:v>
                </c:pt>
                <c:pt idx="72">
                  <c:v>16.77241439104457</c:v>
                </c:pt>
                <c:pt idx="73">
                  <c:v>17.002477770327623</c:v>
                </c:pt>
                <c:pt idx="74">
                  <c:v>17.232463591342306</c:v>
                </c:pt>
                <c:pt idx="75">
                  <c:v>17.462371915215222</c:v>
                </c:pt>
                <c:pt idx="76">
                  <c:v>17.692202803020059</c:v>
                </c:pt>
                <c:pt idx="77">
                  <c:v>17.921956315777649</c:v>
                </c:pt>
                <c:pt idx="78">
                  <c:v>18.15163251445604</c:v>
                </c:pt>
                <c:pt idx="79">
                  <c:v>18.381231459970525</c:v>
                </c:pt>
                <c:pt idx="80">
                  <c:v>18.610753213183742</c:v>
                </c:pt>
                <c:pt idx="81">
                  <c:v>18.840197834905737</c:v>
                </c:pt>
                <c:pt idx="82">
                  <c:v>19.069565385893963</c:v>
                </c:pt>
                <c:pt idx="83">
                  <c:v>19.298855926853442</c:v>
                </c:pt>
                <c:pt idx="84">
                  <c:v>19.528069518436748</c:v>
                </c:pt>
                <c:pt idx="85">
                  <c:v>19.757206221244072</c:v>
                </c:pt>
                <c:pt idx="86">
                  <c:v>19.986266095823339</c:v>
                </c:pt>
                <c:pt idx="87">
                  <c:v>20.215249202670215</c:v>
                </c:pt>
                <c:pt idx="88">
                  <c:v>20.444155602228172</c:v>
                </c:pt>
                <c:pt idx="89">
                  <c:v>20.672985354888606</c:v>
                </c:pt>
                <c:pt idx="90">
                  <c:v>20.901738520990815</c:v>
                </c:pt>
                <c:pt idx="91">
                  <c:v>21.130415160822103</c:v>
                </c:pt>
                <c:pt idx="92">
                  <c:v>21.359015334617876</c:v>
                </c:pt>
                <c:pt idx="93">
                  <c:v>21.587539102561614</c:v>
                </c:pt>
                <c:pt idx="94">
                  <c:v>21.815986524785014</c:v>
                </c:pt>
                <c:pt idx="95">
                  <c:v>22.044357661368018</c:v>
                </c:pt>
                <c:pt idx="96">
                  <c:v>22.272652572338846</c:v>
                </c:pt>
                <c:pt idx="97">
                  <c:v>22.500871317674118</c:v>
                </c:pt>
                <c:pt idx="98">
                  <c:v>22.729013957298861</c:v>
                </c:pt>
                <c:pt idx="99">
                  <c:v>22.957080551086584</c:v>
                </c:pt>
                <c:pt idx="100">
                  <c:v>23.185071158859362</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10.01475145890428</c:v>
                </c:pt>
                <c:pt idx="45">
                  <c:v>10.240551667877666</c:v>
                </c:pt>
                <c:pt idx="46">
                  <c:v>10.466272436661823</c:v>
                </c:pt>
                <c:pt idx="47">
                  <c:v>10.69191382370993</c:v>
                </c:pt>
                <c:pt idx="48">
                  <c:v>10.917475887424397</c:v>
                </c:pt>
                <c:pt idx="49">
                  <c:v>11.142958686156877</c:v>
                </c:pt>
                <c:pt idx="50">
                  <c:v>11.36836227820838</c:v>
                </c:pt>
                <c:pt idx="51">
                  <c:v>11.593686721829293</c:v>
                </c:pt>
                <c:pt idx="52">
                  <c:v>11.818932075219449</c:v>
                </c:pt>
                <c:pt idx="53">
                  <c:v>12.044098396528188</c:v>
                </c:pt>
                <c:pt idx="54">
                  <c:v>12.269185743854406</c:v>
                </c:pt>
                <c:pt idx="55">
                  <c:v>12.494194175246617</c:v>
                </c:pt>
                <c:pt idx="56">
                  <c:v>12.719123748703023</c:v>
                </c:pt>
                <c:pt idx="57">
                  <c:v>12.943974522171523</c:v>
                </c:pt>
                <c:pt idx="58">
                  <c:v>13.168746553549846</c:v>
                </c:pt>
                <c:pt idx="59">
                  <c:v>13.393439900685527</c:v>
                </c:pt>
                <c:pt idx="60">
                  <c:v>13.618054621376031</c:v>
                </c:pt>
                <c:pt idx="61">
                  <c:v>13.842590773368761</c:v>
                </c:pt>
                <c:pt idx="62">
                  <c:v>14.067048414361146</c:v>
                </c:pt>
                <c:pt idx="63">
                  <c:v>14.291427602000683</c:v>
                </c:pt>
                <c:pt idx="64">
                  <c:v>14.515728393884986</c:v>
                </c:pt>
                <c:pt idx="65">
                  <c:v>14.739950847561866</c:v>
                </c:pt>
                <c:pt idx="66">
                  <c:v>14.964095020529369</c:v>
                </c:pt>
                <c:pt idx="67">
                  <c:v>15.188160970235826</c:v>
                </c:pt>
                <c:pt idx="68">
                  <c:v>15.412148754079936</c:v>
                </c:pt>
                <c:pt idx="69">
                  <c:v>15.63605842941079</c:v>
                </c:pt>
                <c:pt idx="70">
                  <c:v>15.859890053527954</c:v>
                </c:pt>
                <c:pt idx="71">
                  <c:v>16.083643683681501</c:v>
                </c:pt>
                <c:pt idx="72">
                  <c:v>16.307319377072091</c:v>
                </c:pt>
                <c:pt idx="73">
                  <c:v>16.53091719085101</c:v>
                </c:pt>
                <c:pt idx="74">
                  <c:v>16.754437182120228</c:v>
                </c:pt>
                <c:pt idx="75">
                  <c:v>16.977879407932448</c:v>
                </c:pt>
                <c:pt idx="76">
                  <c:v>17.201243925291184</c:v>
                </c:pt>
                <c:pt idx="77">
                  <c:v>17.424530791150801</c:v>
                </c:pt>
                <c:pt idx="78">
                  <c:v>17.64774006241657</c:v>
                </c:pt>
                <c:pt idx="79">
                  <c:v>17.870871795944698</c:v>
                </c:pt>
                <c:pt idx="80">
                  <c:v>18.093926048542464</c:v>
                </c:pt>
                <c:pt idx="81">
                  <c:v>18.316902876968175</c:v>
                </c:pt>
                <c:pt idx="82">
                  <c:v>18.539802337931267</c:v>
                </c:pt>
                <c:pt idx="83">
                  <c:v>18.762624488092399</c:v>
                </c:pt>
                <c:pt idx="84">
                  <c:v>18.985369384063425</c:v>
                </c:pt>
                <c:pt idx="85">
                  <c:v>19.208037082407504</c:v>
                </c:pt>
                <c:pt idx="86">
                  <c:v>19.430627639639152</c:v>
                </c:pt>
                <c:pt idx="87">
                  <c:v>19.653141112224279</c:v>
                </c:pt>
                <c:pt idx="88">
                  <c:v>19.875577556580243</c:v>
                </c:pt>
                <c:pt idx="89">
                  <c:v>20.097937029075936</c:v>
                </c:pt>
                <c:pt idx="90">
                  <c:v>20.320219586031783</c:v>
                </c:pt>
                <c:pt idx="91">
                  <c:v>20.542425283719854</c:v>
                </c:pt>
                <c:pt idx="92">
                  <c:v>20.764554178363898</c:v>
                </c:pt>
                <c:pt idx="93">
                  <c:v>20.986606326139352</c:v>
                </c:pt>
                <c:pt idx="94">
                  <c:v>21.208581783173475</c:v>
                </c:pt>
                <c:pt idx="95">
                  <c:v>21.430480605545355</c:v>
                </c:pt>
                <c:pt idx="96">
                  <c:v>21.652302849285952</c:v>
                </c:pt>
                <c:pt idx="97">
                  <c:v>21.874048570378193</c:v>
                </c:pt>
                <c:pt idx="98">
                  <c:v>22.095717824756981</c:v>
                </c:pt>
                <c:pt idx="99">
                  <c:v>22.317310668309283</c:v>
                </c:pt>
                <c:pt idx="100">
                  <c:v>22.538827156874177</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1.2</c:v>
                </c:pt>
                <c:pt idx="29">
                  <c:v>1.4016881465433051</c:v>
                </c:pt>
                <c:pt idx="30">
                  <c:v>1.6645667809234357</c:v>
                </c:pt>
                <c:pt idx="31">
                  <c:v>1.9274817491991267</c:v>
                </c:pt>
                <c:pt idx="32">
                  <c:v>2.1904333699856249</c:v>
                </c:pt>
                <c:pt idx="33">
                  <c:v>2.4534219622356055</c:v>
                </c:pt>
                <c:pt idx="34">
                  <c:v>2.7164478452407232</c:v>
                </c:pt>
                <c:pt idx="35">
                  <c:v>2.9795113386331509</c:v>
                </c:pt>
                <c:pt idx="36">
                  <c:v>3.2426127623871235</c:v>
                </c:pt>
                <c:pt idx="37">
                  <c:v>3.5057524368204867</c:v>
                </c:pt>
                <c:pt idx="38">
                  <c:v>3.7689306825962516</c:v>
                </c:pt>
                <c:pt idx="39">
                  <c:v>4.0321478207241617</c:v>
                </c:pt>
                <c:pt idx="40">
                  <c:v>4.2954041725622236</c:v>
                </c:pt>
                <c:pt idx="41">
                  <c:v>4.5587000598183218</c:v>
                </c:pt>
                <c:pt idx="42">
                  <c:v>4.8220358045517404</c:v>
                </c:pt>
                <c:pt idx="43">
                  <c:v>5.0854117291747611</c:v>
                </c:pt>
                <c:pt idx="44">
                  <c:v>5.3488281564542355</c:v>
                </c:pt>
                <c:pt idx="45">
                  <c:v>5.6122854095131629</c:v>
                </c:pt>
                <c:pt idx="46">
                  <c:v>5.875783811832278</c:v>
                </c:pt>
                <c:pt idx="47">
                  <c:v>6.139323687251629</c:v>
                </c:pt>
                <c:pt idx="48">
                  <c:v>6.4029053599722054</c:v>
                </c:pt>
                <c:pt idx="49">
                  <c:v>6.6665291545574856</c:v>
                </c:pt>
                <c:pt idx="50">
                  <c:v>6.9301953959350637</c:v>
                </c:pt>
                <c:pt idx="51">
                  <c:v>7.1939044093982591</c:v>
                </c:pt>
                <c:pt idx="52">
                  <c:v>7.4576565206077214</c:v>
                </c:pt>
                <c:pt idx="53">
                  <c:v>7.7214520555930308</c:v>
                </c:pt>
                <c:pt idx="54">
                  <c:v>7.9852913407543245</c:v>
                </c:pt>
                <c:pt idx="55">
                  <c:v>8.24917470286392</c:v>
                </c:pt>
                <c:pt idx="56">
                  <c:v>8.5131024690679524</c:v>
                </c:pt>
                <c:pt idx="57">
                  <c:v>8.7770749668879624</c:v>
                </c:pt>
                <c:pt idx="58">
                  <c:v>9.0410925242225879</c:v>
                </c:pt>
                <c:pt idx="59">
                  <c:v>9.3051554693491472</c:v>
                </c:pt>
                <c:pt idx="60">
                  <c:v>9.5692641309253226</c:v>
                </c:pt>
                <c:pt idx="61">
                  <c:v>9.8334188379907719</c:v>
                </c:pt>
                <c:pt idx="62">
                  <c:v>10.097619919968816</c:v>
                </c:pt>
                <c:pt idx="63">
                  <c:v>10.361867706668066</c:v>
                </c:pt>
                <c:pt idx="64">
                  <c:v>10.626162528284086</c:v>
                </c:pt>
                <c:pt idx="65">
                  <c:v>10.890504715401073</c:v>
                </c:pt>
                <c:pt idx="66">
                  <c:v>11.154894598993501</c:v>
                </c:pt>
                <c:pt idx="67">
                  <c:v>11.419332510427818</c:v>
                </c:pt>
                <c:pt idx="68">
                  <c:v>11.683818781464106</c:v>
                </c:pt>
                <c:pt idx="69">
                  <c:v>11.948353744257757</c:v>
                </c:pt>
                <c:pt idx="70">
                  <c:v>12.212937731361183</c:v>
                </c:pt>
                <c:pt idx="71">
                  <c:v>12.477571075725489</c:v>
                </c:pt>
                <c:pt idx="72">
                  <c:v>12.742254110702145</c:v>
                </c:pt>
                <c:pt idx="73">
                  <c:v>13.006987170044749</c:v>
                </c:pt>
                <c:pt idx="74">
                  <c:v>13.271770587910662</c:v>
                </c:pt>
                <c:pt idx="75">
                  <c:v>13.536604698862748</c:v>
                </c:pt>
                <c:pt idx="76">
                  <c:v>13.801489837871076</c:v>
                </c:pt>
                <c:pt idx="77">
                  <c:v>14.066426340314678</c:v>
                </c:pt>
                <c:pt idx="78">
                  <c:v>14.331414541983193</c:v>
                </c:pt>
                <c:pt idx="79">
                  <c:v>14.596454779078641</c:v>
                </c:pt>
                <c:pt idx="80">
                  <c:v>14.86154738821719</c:v>
                </c:pt>
                <c:pt idx="81">
                  <c:v>15.126692706430807</c:v>
                </c:pt>
                <c:pt idx="82">
                  <c:v>15.391891071169047</c:v>
                </c:pt>
                <c:pt idx="83">
                  <c:v>15.657142820300811</c:v>
                </c:pt>
                <c:pt idx="84">
                  <c:v>15.922448292116062</c:v>
                </c:pt>
                <c:pt idx="85">
                  <c:v>16.187807825327592</c:v>
                </c:pt>
                <c:pt idx="86">
                  <c:v>16.453221759072797</c:v>
                </c:pt>
                <c:pt idx="87">
                  <c:v>16.718690432915405</c:v>
                </c:pt>
                <c:pt idx="88">
                  <c:v>16.984214186847272</c:v>
                </c:pt>
                <c:pt idx="89">
                  <c:v>17.249793361290173</c:v>
                </c:pt>
                <c:pt idx="90">
                  <c:v>17.515428297097522</c:v>
                </c:pt>
                <c:pt idx="91">
                  <c:v>17.781119335556191</c:v>
                </c:pt>
                <c:pt idx="92">
                  <c:v>18.046866818388331</c:v>
                </c:pt>
                <c:pt idx="93">
                  <c:v>18.312671087753081</c:v>
                </c:pt>
                <c:pt idx="94">
                  <c:v>18.578532486248449</c:v>
                </c:pt>
                <c:pt idx="95">
                  <c:v>18.844451356913083</c:v>
                </c:pt>
                <c:pt idx="96">
                  <c:v>19.11042804322804</c:v>
                </c:pt>
                <c:pt idx="97">
                  <c:v>19.37646288911867</c:v>
                </c:pt>
                <c:pt idx="98">
                  <c:v>19.642556238956381</c:v>
                </c:pt>
                <c:pt idx="99">
                  <c:v>19.90870843756047</c:v>
                </c:pt>
                <c:pt idx="100">
                  <c:v>20.174919830199972</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Dual'!$AJ$5:$AJ$105</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1.0422628265777623</c:v>
                </c:pt>
                <c:pt idx="29">
                  <c:v>1.0437722132412537</c:v>
                </c:pt>
                <c:pt idx="30">
                  <c:v>1.0452815999047451</c:v>
                </c:pt>
                <c:pt idx="31">
                  <c:v>1.0467909865682368</c:v>
                </c:pt>
                <c:pt idx="32">
                  <c:v>1.0483003732317282</c:v>
                </c:pt>
                <c:pt idx="33">
                  <c:v>1.0498097598952199</c:v>
                </c:pt>
                <c:pt idx="34">
                  <c:v>1.0513191465587113</c:v>
                </c:pt>
                <c:pt idx="35">
                  <c:v>1.0528285332222027</c:v>
                </c:pt>
                <c:pt idx="36">
                  <c:v>1.0543379198856944</c:v>
                </c:pt>
                <c:pt idx="37">
                  <c:v>1.0558473065491858</c:v>
                </c:pt>
                <c:pt idx="38">
                  <c:v>1.0573566932126772</c:v>
                </c:pt>
                <c:pt idx="39">
                  <c:v>1.0588660798761689</c:v>
                </c:pt>
                <c:pt idx="40">
                  <c:v>1.0603754665396603</c:v>
                </c:pt>
                <c:pt idx="41">
                  <c:v>1.2</c:v>
                </c:pt>
                <c:pt idx="42">
                  <c:v>1.2</c:v>
                </c:pt>
                <c:pt idx="43">
                  <c:v>1.2493050839262854</c:v>
                </c:pt>
                <c:pt idx="44">
                  <c:v>1.4214083426283444</c:v>
                </c:pt>
                <c:pt idx="45">
                  <c:v>1.5934528204117198</c:v>
                </c:pt>
                <c:pt idx="46">
                  <c:v>1.765438563712352</c:v>
                </c:pt>
                <c:pt idx="47">
                  <c:v>1.9373656189256203</c:v>
                </c:pt>
                <c:pt idx="48">
                  <c:v>2.1092340324064107</c:v>
                </c:pt>
                <c:pt idx="49">
                  <c:v>2.2810438504691355</c:v>
                </c:pt>
                <c:pt idx="50">
                  <c:v>2.4527951193877957</c:v>
                </c:pt>
                <c:pt idx="51">
                  <c:v>2.6244878853960332</c:v>
                </c:pt>
                <c:pt idx="52">
                  <c:v>2.7961221946871699</c:v>
                </c:pt>
                <c:pt idx="53">
                  <c:v>2.9676980934142527</c:v>
                </c:pt>
                <c:pt idx="54">
                  <c:v>3.139215627690108</c:v>
                </c:pt>
                <c:pt idx="55">
                  <c:v>3.3106748435873969</c:v>
                </c:pt>
                <c:pt idx="56">
                  <c:v>3.4820757871386379</c:v>
                </c:pt>
                <c:pt idx="57">
                  <c:v>3.6534185043362646</c:v>
                </c:pt>
                <c:pt idx="58">
                  <c:v>3.824703041132703</c:v>
                </c:pt>
                <c:pt idx="59">
                  <c:v>3.9959294434403585</c:v>
                </c:pt>
                <c:pt idx="60">
                  <c:v>4.1670977571317209</c:v>
                </c:pt>
                <c:pt idx="61">
                  <c:v>4.3382080280393733</c:v>
                </c:pt>
                <c:pt idx="62">
                  <c:v>4.5092603019560542</c:v>
                </c:pt>
                <c:pt idx="63">
                  <c:v>4.6802546246347108</c:v>
                </c:pt>
                <c:pt idx="64">
                  <c:v>4.8511910417885238</c:v>
                </c:pt>
                <c:pt idx="65">
                  <c:v>5.0220695990909805</c:v>
                </c:pt>
                <c:pt idx="66">
                  <c:v>5.1928903421758958</c:v>
                </c:pt>
                <c:pt idx="67">
                  <c:v>5.3636533166374818</c:v>
                </c:pt>
                <c:pt idx="68">
                  <c:v>5.5343585680303775</c:v>
                </c:pt>
                <c:pt idx="69">
                  <c:v>5.7050061418697009</c:v>
                </c:pt>
                <c:pt idx="70">
                  <c:v>5.875596083631101</c:v>
                </c:pt>
                <c:pt idx="71">
                  <c:v>6.0461284387507916</c:v>
                </c:pt>
                <c:pt idx="72">
                  <c:v>6.2166032526256076</c:v>
                </c:pt>
                <c:pt idx="73">
                  <c:v>6.3870205706130543</c:v>
                </c:pt>
                <c:pt idx="74">
                  <c:v>6.5573804380313385</c:v>
                </c:pt>
                <c:pt idx="75">
                  <c:v>6.7276829001594232</c:v>
                </c:pt>
                <c:pt idx="76">
                  <c:v>6.897928002237081</c:v>
                </c:pt>
                <c:pt idx="77">
                  <c:v>7.0681157894649251</c:v>
                </c:pt>
                <c:pt idx="78">
                  <c:v>7.2382463070044745</c:v>
                </c:pt>
                <c:pt idx="79">
                  <c:v>7.4083195999781672</c:v>
                </c:pt>
                <c:pt idx="80">
                  <c:v>7.5783357134694382</c:v>
                </c:pt>
                <c:pt idx="81">
                  <c:v>7.7482946925227685</c:v>
                </c:pt>
                <c:pt idx="82">
                  <c:v>7.9181965821436764</c:v>
                </c:pt>
                <c:pt idx="83">
                  <c:v>8.0880414272988439</c:v>
                </c:pt>
                <c:pt idx="84">
                  <c:v>8.2578292729161085</c:v>
                </c:pt>
                <c:pt idx="85">
                  <c:v>8.4275601638844968</c:v>
                </c:pt>
                <c:pt idx="86">
                  <c:v>8.5972341450543261</c:v>
                </c:pt>
                <c:pt idx="87">
                  <c:v>8.7668512612371963</c:v>
                </c:pt>
                <c:pt idx="88">
                  <c:v>8.9364115572060534</c:v>
                </c:pt>
                <c:pt idx="89">
                  <c:v>9.1059150776952631</c:v>
                </c:pt>
                <c:pt idx="90">
                  <c:v>9.2753618674006031</c:v>
                </c:pt>
                <c:pt idx="91">
                  <c:v>9.4447519709793344</c:v>
                </c:pt>
                <c:pt idx="92">
                  <c:v>9.6140854330502776</c:v>
                </c:pt>
                <c:pt idx="93">
                  <c:v>9.7833622981937882</c:v>
                </c:pt>
                <c:pt idx="94">
                  <c:v>9.9525826109518611</c:v>
                </c:pt>
                <c:pt idx="95">
                  <c:v>10.121746415828161</c:v>
                </c:pt>
                <c:pt idx="96">
                  <c:v>10.290853757288033</c:v>
                </c:pt>
                <c:pt idx="97">
                  <c:v>10.459904679758605</c:v>
                </c:pt>
                <c:pt idx="98">
                  <c:v>10.628899227628786</c:v>
                </c:pt>
                <c:pt idx="99">
                  <c:v>10.797837445249321</c:v>
                </c:pt>
                <c:pt idx="100">
                  <c:v>10.966719376932861</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1.0057142857142858</c:v>
                </c:pt>
                <c:pt idx="3">
                  <c:v>1.0057142857142858</c:v>
                </c:pt>
                <c:pt idx="4">
                  <c:v>1.0060368068277339</c:v>
                </c:pt>
                <c:pt idx="5">
                  <c:v>1.0075460085346675</c:v>
                </c:pt>
                <c:pt idx="6">
                  <c:v>1.0090552102416008</c:v>
                </c:pt>
                <c:pt idx="7">
                  <c:v>1.0105644119485344</c:v>
                </c:pt>
                <c:pt idx="8">
                  <c:v>1.0120736136554678</c:v>
                </c:pt>
                <c:pt idx="9">
                  <c:v>1.0135828153624014</c:v>
                </c:pt>
                <c:pt idx="10">
                  <c:v>1.0150920170693347</c:v>
                </c:pt>
                <c:pt idx="11">
                  <c:v>1.0166012187762683</c:v>
                </c:pt>
                <c:pt idx="12">
                  <c:v>1.0181104204832017</c:v>
                </c:pt>
                <c:pt idx="13">
                  <c:v>1.0196196221901352</c:v>
                </c:pt>
                <c:pt idx="14">
                  <c:v>1.0211288238970686</c:v>
                </c:pt>
                <c:pt idx="15">
                  <c:v>1.0226380256040022</c:v>
                </c:pt>
                <c:pt idx="16">
                  <c:v>1.0241472273109355</c:v>
                </c:pt>
                <c:pt idx="17">
                  <c:v>1.0256564290178691</c:v>
                </c:pt>
                <c:pt idx="18">
                  <c:v>1.0271656307248025</c:v>
                </c:pt>
                <c:pt idx="19">
                  <c:v>1.0286748324317361</c:v>
                </c:pt>
                <c:pt idx="20">
                  <c:v>1.0301840341386694</c:v>
                </c:pt>
                <c:pt idx="21">
                  <c:v>1.031693235845603</c:v>
                </c:pt>
                <c:pt idx="22">
                  <c:v>1.0332024375525364</c:v>
                </c:pt>
                <c:pt idx="23">
                  <c:v>1.03471163925947</c:v>
                </c:pt>
                <c:pt idx="24">
                  <c:v>1.0362208409664033</c:v>
                </c:pt>
                <c:pt idx="25">
                  <c:v>1.0377300426733369</c:v>
                </c:pt>
                <c:pt idx="26">
                  <c:v>1.0392392443802703</c:v>
                </c:pt>
                <c:pt idx="27">
                  <c:v>1.0407484460872038</c:v>
                </c:pt>
                <c:pt idx="28">
                  <c:v>1.0422576477941372</c:v>
                </c:pt>
                <c:pt idx="29">
                  <c:v>1.0437668495010708</c:v>
                </c:pt>
                <c:pt idx="30">
                  <c:v>1.0452760512080044</c:v>
                </c:pt>
                <c:pt idx="31">
                  <c:v>1.0467852529149377</c:v>
                </c:pt>
                <c:pt idx="32">
                  <c:v>1.0482944546218711</c:v>
                </c:pt>
                <c:pt idx="33">
                  <c:v>1.0498036563288047</c:v>
                </c:pt>
                <c:pt idx="34">
                  <c:v>1.0513128580357383</c:v>
                </c:pt>
                <c:pt idx="35">
                  <c:v>1.0528220597426716</c:v>
                </c:pt>
                <c:pt idx="36">
                  <c:v>1.054331261449605</c:v>
                </c:pt>
                <c:pt idx="37">
                  <c:v>1.0558404631565386</c:v>
                </c:pt>
                <c:pt idx="38">
                  <c:v>1.0573496648634721</c:v>
                </c:pt>
                <c:pt idx="39">
                  <c:v>1.0588588665704055</c:v>
                </c:pt>
                <c:pt idx="40">
                  <c:v>1.0603680682773391</c:v>
                </c:pt>
                <c:pt idx="41">
                  <c:v>1.0618772699842725</c:v>
                </c:pt>
                <c:pt idx="42">
                  <c:v>1.0633965576783824</c:v>
                </c:pt>
                <c:pt idx="43">
                  <c:v>1.2</c:v>
                </c:pt>
                <c:pt idx="44">
                  <c:v>1.2109270065957631</c:v>
                </c:pt>
                <c:pt idx="45">
                  <c:v>1.3781864206501229</c:v>
                </c:pt>
                <c:pt idx="46">
                  <c:v>1.5453869901198689</c:v>
                </c:pt>
                <c:pt idx="47">
                  <c:v>1.7125287583036517</c:v>
                </c:pt>
                <c:pt idx="48">
                  <c:v>1.879611768462516</c:v>
                </c:pt>
                <c:pt idx="49">
                  <c:v>2.0466360638199088</c:v>
                </c:pt>
                <c:pt idx="50">
                  <c:v>2.2136016875617628</c:v>
                </c:pt>
                <c:pt idx="51">
                  <c:v>2.3805086828365134</c:v>
                </c:pt>
                <c:pt idx="52">
                  <c:v>2.5473570927551474</c:v>
                </c:pt>
                <c:pt idx="53">
                  <c:v>2.7141469603912505</c:v>
                </c:pt>
                <c:pt idx="54">
                  <c:v>2.8808783287810416</c:v>
                </c:pt>
                <c:pt idx="55">
                  <c:v>3.0475512409234202</c:v>
                </c:pt>
                <c:pt idx="56">
                  <c:v>3.2141657397800163</c:v>
                </c:pt>
                <c:pt idx="57">
                  <c:v>3.3807218682752023</c:v>
                </c:pt>
                <c:pt idx="58">
                  <c:v>3.5472196692961822</c:v>
                </c:pt>
                <c:pt idx="59">
                  <c:v>3.7136591856929826</c:v>
                </c:pt>
                <c:pt idx="60">
                  <c:v>3.8800404602785408</c:v>
                </c:pt>
                <c:pt idx="61">
                  <c:v>4.0463635358287116</c:v>
                </c:pt>
                <c:pt idx="62">
                  <c:v>4.2126284550823305</c:v>
                </c:pt>
                <c:pt idx="63">
                  <c:v>4.3788352607412468</c:v>
                </c:pt>
                <c:pt idx="64">
                  <c:v>4.5449839954703597</c:v>
                </c:pt>
                <c:pt idx="65">
                  <c:v>4.7110747018976786</c:v>
                </c:pt>
                <c:pt idx="66">
                  <c:v>4.8771074226143467</c:v>
                </c:pt>
                <c:pt idx="67">
                  <c:v>5.0430822001746858</c:v>
                </c:pt>
                <c:pt idx="68">
                  <c:v>5.2089990770962489</c:v>
                </c:pt>
                <c:pt idx="69">
                  <c:v>5.3748580958598442</c:v>
                </c:pt>
                <c:pt idx="70">
                  <c:v>5.5406592989095955</c:v>
                </c:pt>
                <c:pt idx="71">
                  <c:v>5.7064027286529644</c:v>
                </c:pt>
                <c:pt idx="72">
                  <c:v>5.8720884274608078</c:v>
                </c:pt>
                <c:pt idx="73">
                  <c:v>6.0377164376674148</c:v>
                </c:pt>
                <c:pt idx="74">
                  <c:v>6.2032868015705391</c:v>
                </c:pt>
                <c:pt idx="75">
                  <c:v>6.3687995614314437</c:v>
                </c:pt>
                <c:pt idx="76">
                  <c:v>6.5342547594749512</c:v>
                </c:pt>
                <c:pt idx="77">
                  <c:v>6.6996524378894824</c:v>
                </c:pt>
                <c:pt idx="78">
                  <c:v>6.864992638827089</c:v>
                </c:pt>
                <c:pt idx="79">
                  <c:v>7.0302754044034801</c:v>
                </c:pt>
                <c:pt idx="80">
                  <c:v>7.1955007766981218</c:v>
                </c:pt>
                <c:pt idx="81">
                  <c:v>7.3606687977542045</c:v>
                </c:pt>
                <c:pt idx="82">
                  <c:v>7.5257795095787161</c:v>
                </c:pt>
                <c:pt idx="83">
                  <c:v>7.6908329541425182</c:v>
                </c:pt>
                <c:pt idx="84">
                  <c:v>7.8558291733803154</c:v>
                </c:pt>
                <c:pt idx="85">
                  <c:v>8.0207682091907433</c:v>
                </c:pt>
                <c:pt idx="86">
                  <c:v>8.1856501034364086</c:v>
                </c:pt>
                <c:pt idx="87">
                  <c:v>8.3504748979439096</c:v>
                </c:pt>
                <c:pt idx="88">
                  <c:v>8.515242634503883</c:v>
                </c:pt>
                <c:pt idx="89">
                  <c:v>8.6799533548710635</c:v>
                </c:pt>
                <c:pt idx="90">
                  <c:v>8.8446071007642821</c:v>
                </c:pt>
                <c:pt idx="91">
                  <c:v>9.0092039138665587</c:v>
                </c:pt>
                <c:pt idx="92">
                  <c:v>9.1737438358251104</c:v>
                </c:pt>
                <c:pt idx="93">
                  <c:v>9.3382269082513716</c:v>
                </c:pt>
                <c:pt idx="94">
                  <c:v>9.5026531727210912</c:v>
                </c:pt>
                <c:pt idx="95">
                  <c:v>9.6670226707743367</c:v>
                </c:pt>
                <c:pt idx="96">
                  <c:v>9.8313354439155187</c:v>
                </c:pt>
                <c:pt idx="97">
                  <c:v>9.9955915336134744</c:v>
                </c:pt>
                <c:pt idx="98">
                  <c:v>10.159790981301466</c:v>
                </c:pt>
                <c:pt idx="99">
                  <c:v>10.323933828377244</c:v>
                </c:pt>
                <c:pt idx="100">
                  <c:v>10.488020116203092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72.748461479496569</c:v>
                </c:pt>
                <c:pt idx="1">
                  <c:v>71.948715944706578</c:v>
                </c:pt>
                <c:pt idx="2">
                  <c:v>71.148987932675766</c:v>
                </c:pt>
                <c:pt idx="3">
                  <c:v>70.349257207734368</c:v>
                </c:pt>
                <c:pt idx="4">
                  <c:v>69.550029759845827</c:v>
                </c:pt>
                <c:pt idx="5">
                  <c:v>68.74996197419199</c:v>
                </c:pt>
                <c:pt idx="6">
                  <c:v>67.950178695546626</c:v>
                </c:pt>
                <c:pt idx="7">
                  <c:v>67.15014360656204</c:v>
                </c:pt>
                <c:pt idx="8">
                  <c:v>66.350432479292223</c:v>
                </c:pt>
                <c:pt idx="9">
                  <c:v>65.550433980151908</c:v>
                </c:pt>
                <c:pt idx="10">
                  <c:v>64.750603541527809</c:v>
                </c:pt>
                <c:pt idx="11">
                  <c:v>63.950823803608266</c:v>
                </c:pt>
                <c:pt idx="12">
                  <c:v>63.150669090588387</c:v>
                </c:pt>
                <c:pt idx="13">
                  <c:v>62.350906347082073</c:v>
                </c:pt>
                <c:pt idx="14">
                  <c:v>61.550896091018984</c:v>
                </c:pt>
                <c:pt idx="15">
                  <c:v>60.75094551722281</c:v>
                </c:pt>
                <c:pt idx="16">
                  <c:v>59.950990073128438</c:v>
                </c:pt>
                <c:pt idx="17">
                  <c:v>59.151143791185348</c:v>
                </c:pt>
                <c:pt idx="18">
                  <c:v>58.351174923573993</c:v>
                </c:pt>
                <c:pt idx="19">
                  <c:v>57.551299110806148</c:v>
                </c:pt>
                <c:pt idx="20">
                  <c:v>56.751357699676028</c:v>
                </c:pt>
                <c:pt idx="21">
                  <c:v>55.951514930865748</c:v>
                </c:pt>
                <c:pt idx="22">
                  <c:v>55.151601459546455</c:v>
                </c:pt>
                <c:pt idx="23">
                  <c:v>54.35181736147581</c:v>
                </c:pt>
                <c:pt idx="24">
                  <c:v>53.551962096960615</c:v>
                </c:pt>
                <c:pt idx="25">
                  <c:v>52.752163559106549</c:v>
                </c:pt>
                <c:pt idx="26">
                  <c:v>51.952240811787377</c:v>
                </c:pt>
                <c:pt idx="27">
                  <c:v>51.152455506117789</c:v>
                </c:pt>
                <c:pt idx="28">
                  <c:v>50.352785426443177</c:v>
                </c:pt>
                <c:pt idx="29">
                  <c:v>49.553738445993275</c:v>
                </c:pt>
                <c:pt idx="30">
                  <c:v>48.753977441179821</c:v>
                </c:pt>
                <c:pt idx="31">
                  <c:v>47.954637349540889</c:v>
                </c:pt>
                <c:pt idx="32">
                  <c:v>47.155197173806286</c:v>
                </c:pt>
                <c:pt idx="33">
                  <c:v>46.356252393508363</c:v>
                </c:pt>
                <c:pt idx="34">
                  <c:v>45.55721822589507</c:v>
                </c:pt>
                <c:pt idx="35">
                  <c:v>44.758582250007429</c:v>
                </c:pt>
                <c:pt idx="36">
                  <c:v>43.960267601728503</c:v>
                </c:pt>
                <c:pt idx="37">
                  <c:v>43.161899117516704</c:v>
                </c:pt>
                <c:pt idx="38">
                  <c:v>42.364302322866045</c:v>
                </c:pt>
                <c:pt idx="39">
                  <c:v>41.56691244476697</c:v>
                </c:pt>
                <c:pt idx="40">
                  <c:v>40.770124067542071</c:v>
                </c:pt>
                <c:pt idx="41">
                  <c:v>39.973979115493684</c:v>
                </c:pt>
                <c:pt idx="42">
                  <c:v>39.17871866894955</c:v>
                </c:pt>
                <c:pt idx="43">
                  <c:v>38.384265630049327</c:v>
                </c:pt>
                <c:pt idx="44">
                  <c:v>37.591017890568281</c:v>
                </c:pt>
                <c:pt idx="45">
                  <c:v>36.799037890159987</c:v>
                </c:pt>
                <c:pt idx="46">
                  <c:v>36.008750787691788</c:v>
                </c:pt>
                <c:pt idx="47">
                  <c:v>35.220302535123807</c:v>
                </c:pt>
                <c:pt idx="48">
                  <c:v>34.434263201431648</c:v>
                </c:pt>
                <c:pt idx="49">
                  <c:v>33.650878826898378</c:v>
                </c:pt>
                <c:pt idx="50">
                  <c:v>32.870800318720718</c:v>
                </c:pt>
                <c:pt idx="51">
                  <c:v>32.094473048822735</c:v>
                </c:pt>
                <c:pt idx="52">
                  <c:v>31.322882782694176</c:v>
                </c:pt>
                <c:pt idx="53">
                  <c:v>30.556864329179142</c:v>
                </c:pt>
                <c:pt idx="54">
                  <c:v>29.797897230545093</c:v>
                </c:pt>
                <c:pt idx="55">
                  <c:v>29.045875067424451</c:v>
                </c:pt>
                <c:pt idx="56">
                  <c:v>28.303208652769769</c:v>
                </c:pt>
                <c:pt idx="57">
                  <c:v>27.570939974969328</c:v>
                </c:pt>
                <c:pt idx="58">
                  <c:v>26.851338326248428</c:v>
                </c:pt>
                <c:pt idx="59">
                  <c:v>26.14580470398252</c:v>
                </c:pt>
                <c:pt idx="60">
                  <c:v>25.456896631455685</c:v>
                </c:pt>
                <c:pt idx="61">
                  <c:v>24.786840585394252</c:v>
                </c:pt>
                <c:pt idx="62">
                  <c:v>24.137774504591945</c:v>
                </c:pt>
                <c:pt idx="63">
                  <c:v>23.512895029925968</c:v>
                </c:pt>
                <c:pt idx="64">
                  <c:v>22.914292057813498</c:v>
                </c:pt>
                <c:pt idx="65">
                  <c:v>22.344728490883622</c:v>
                </c:pt>
                <c:pt idx="66">
                  <c:v>21.806499989907294</c:v>
                </c:pt>
                <c:pt idx="67">
                  <c:v>21.301727117169413</c:v>
                </c:pt>
                <c:pt idx="68">
                  <c:v>20.831908225792581</c:v>
                </c:pt>
                <c:pt idx="69">
                  <c:v>20.398310667119897</c:v>
                </c:pt>
                <c:pt idx="70">
                  <c:v>20.001408272188279</c:v>
                </c:pt>
                <c:pt idx="71">
                  <c:v>19.641227788764333</c:v>
                </c:pt>
                <c:pt idx="72">
                  <c:v>19.317027897978377</c:v>
                </c:pt>
                <c:pt idx="73">
                  <c:v>19.027655617157556</c:v>
                </c:pt>
                <c:pt idx="74">
                  <c:v>18.771314621901258</c:v>
                </c:pt>
                <c:pt idx="75">
                  <c:v>18.545938711522979</c:v>
                </c:pt>
                <c:pt idx="76">
                  <c:v>18.349097380111235</c:v>
                </c:pt>
                <c:pt idx="77">
                  <c:v>18.178310628616252</c:v>
                </c:pt>
                <c:pt idx="78">
                  <c:v>18.030962744018904</c:v>
                </c:pt>
                <c:pt idx="79">
                  <c:v>17.904553530113269</c:v>
                </c:pt>
                <c:pt idx="80">
                  <c:v>17.79641424290287</c:v>
                </c:pt>
                <c:pt idx="81">
                  <c:v>17.704401975630727</c:v>
                </c:pt>
                <c:pt idx="82">
                  <c:v>17.62632552789772</c:v>
                </c:pt>
                <c:pt idx="83">
                  <c:v>17.560315136466706</c:v>
                </c:pt>
                <c:pt idx="84">
                  <c:v>17.504601862932894</c:v>
                </c:pt>
                <c:pt idx="85">
                  <c:v>17.457704609306852</c:v>
                </c:pt>
                <c:pt idx="86">
                  <c:v>17.418288919672221</c:v>
                </c:pt>
                <c:pt idx="87">
                  <c:v>17.385189500269107</c:v>
                </c:pt>
                <c:pt idx="88">
                  <c:v>17.35744865828719</c:v>
                </c:pt>
                <c:pt idx="89">
                  <c:v>17.334194809600497</c:v>
                </c:pt>
                <c:pt idx="90">
                  <c:v>17.314714935693289</c:v>
                </c:pt>
                <c:pt idx="91">
                  <c:v>17.298391645875121</c:v>
                </c:pt>
                <c:pt idx="92">
                  <c:v>17.284704530663934</c:v>
                </c:pt>
                <c:pt idx="93">
                  <c:v>17.27320711185407</c:v>
                </c:pt>
                <c:pt idx="94">
                  <c:v>17.27063102366461</c:v>
                </c:pt>
                <c:pt idx="95">
                  <c:v>17.269376135022181</c:v>
                </c:pt>
                <c:pt idx="96">
                  <c:v>17.268161823081766</c:v>
                </c:pt>
                <c:pt idx="97">
                  <c:v>17.266959464506183</c:v>
                </c:pt>
                <c:pt idx="98">
                  <c:v>17.265795843080344</c:v>
                </c:pt>
                <c:pt idx="99">
                  <c:v>17.264643245932472</c:v>
                </c:pt>
                <c:pt idx="100">
                  <c:v>17.263527643098286</c:v>
                </c:pt>
                <c:pt idx="101">
                  <c:v>17.262423034276363</c:v>
                </c:pt>
                <c:pt idx="102">
                  <c:v>17.261353713509283</c:v>
                </c:pt>
                <c:pt idx="103">
                  <c:v>17.260293761191974</c:v>
                </c:pt>
                <c:pt idx="104">
                  <c:v>17.259267528322951</c:v>
                </c:pt>
                <c:pt idx="105">
                  <c:v>17.258250682255301</c:v>
                </c:pt>
                <c:pt idx="106">
                  <c:v>17.25726601547197</c:v>
                </c:pt>
                <c:pt idx="107">
                  <c:v>17.256290678950407</c:v>
                </c:pt>
                <c:pt idx="108">
                  <c:v>17.255346015216407</c:v>
                </c:pt>
                <c:pt idx="109">
                  <c:v>17.25440993414454</c:v>
                </c:pt>
                <c:pt idx="110">
                  <c:v>17.253503096168249</c:v>
                </c:pt>
                <c:pt idx="111">
                  <c:v>17.252603564755919</c:v>
                </c:pt>
                <c:pt idx="112">
                  <c:v>17.251731953454787</c:v>
                </c:pt>
                <c:pt idx="113">
                  <c:v>17.250867637305909</c:v>
                </c:pt>
                <c:pt idx="114">
                  <c:v>17.250029942756459</c:v>
                </c:pt>
                <c:pt idx="115">
                  <c:v>17.249198950593041</c:v>
                </c:pt>
                <c:pt idx="116">
                  <c:v>17.248393341724132</c:v>
                </c:pt>
                <c:pt idx="117">
                  <c:v>17.247593882141501</c:v>
                </c:pt>
                <c:pt idx="118">
                  <c:v>17.246818623281051</c:v>
                </c:pt>
                <c:pt idx="119">
                  <c:v>17.246049454239166</c:v>
                </c:pt>
                <c:pt idx="120">
                  <c:v>17.24530332779123</c:v>
                </c:pt>
                <c:pt idx="121">
                  <c:v>17.244562748605166</c:v>
                </c:pt>
                <c:pt idx="122">
                  <c:v>17.243844107082197</c:v>
                </c:pt>
                <c:pt idx="123">
                  <c:v>17.243130094471159</c:v>
                </c:pt>
                <c:pt idx="124">
                  <c:v>17.242436987614578</c:v>
                </c:pt>
                <c:pt idx="125">
                  <c:v>17.241748455901256</c:v>
                </c:pt>
                <c:pt idx="126">
                  <c:v>17.24107981764206</c:v>
                </c:pt>
                <c:pt idx="127">
                  <c:v>17.240415292001813</c:v>
                </c:pt>
                <c:pt idx="128">
                  <c:v>17.239769690664147</c:v>
                </c:pt>
                <c:pt idx="129">
                  <c:v>17.239127759700605</c:v>
                </c:pt>
                <c:pt idx="130">
                  <c:v>17.238503824240418</c:v>
                </c:pt>
                <c:pt idx="131">
                  <c:v>17.237883134223122</c:v>
                </c:pt>
                <c:pt idx="132">
                  <c:v>17.237579254881709</c:v>
                </c:pt>
                <c:pt idx="133">
                  <c:v>17.237279548730356</c:v>
                </c:pt>
                <c:pt idx="134">
                  <c:v>17.23697693750378</c:v>
                </c:pt>
                <c:pt idx="135">
                  <c:v>17.236678492560749</c:v>
                </c:pt>
                <c:pt idx="136">
                  <c:v>17.236384113267668</c:v>
                </c:pt>
                <c:pt idx="137">
                  <c:v>17.23609370183312</c:v>
                </c:pt>
                <c:pt idx="138">
                  <c:v>17.235800701925179</c:v>
                </c:pt>
                <c:pt idx="139">
                  <c:v>17.235511653897021</c:v>
                </c:pt>
                <c:pt idx="140">
                  <c:v>17.235226461757726</c:v>
                </c:pt>
                <c:pt idx="141">
                  <c:v>17.234945032226516</c:v>
                </c:pt>
                <c:pt idx="142">
                  <c:v>17.234660731902149</c:v>
                </c:pt>
                <c:pt idx="143">
                  <c:v>17.23438018522938</c:v>
                </c:pt>
                <c:pt idx="144">
                  <c:v>17.234103300374684</c:v>
                </c:pt>
                <c:pt idx="145">
                  <c:v>17.233829988098986</c:v>
                </c:pt>
                <c:pt idx="146">
                  <c:v>17.233553952008489</c:v>
                </c:pt>
                <c:pt idx="147">
                  <c:v>17.233281474862927</c:v>
                </c:pt>
                <c:pt idx="148">
                  <c:v>17.233012468951877</c:v>
                </c:pt>
                <c:pt idx="149">
                  <c:v>17.232746849043089</c:v>
                </c:pt>
                <c:pt idx="150">
                  <c:v>17.232478505595136</c:v>
                </c:pt>
                <c:pt idx="151">
                  <c:v>17.232213533623845</c:v>
                </c:pt>
                <c:pt idx="152">
                  <c:v>17.231951849368052</c:v>
                </c:pt>
                <c:pt idx="153">
                  <c:v>17.231693371433305</c:v>
                </c:pt>
                <c:pt idx="154">
                  <c:v>17.231432046676534</c:v>
                </c:pt>
                <c:pt idx="155">
                  <c:v>17.231173915678269</c:v>
                </c:pt>
                <c:pt idx="156">
                  <c:v>17.230918898352307</c:v>
                </c:pt>
                <c:pt idx="157">
                  <c:v>17.230666916876341</c:v>
                </c:pt>
                <c:pt idx="158">
                  <c:v>17.230412088747691</c:v>
                </c:pt>
                <c:pt idx="159">
                  <c:v>17.230160282568754</c:v>
                </c:pt>
                <c:pt idx="160">
                  <c:v>17.229911421789041</c:v>
                </c:pt>
                <c:pt idx="161">
                  <c:v>17.229665432022809</c:v>
                </c:pt>
                <c:pt idx="162">
                  <c:v>17.229416698960456</c:v>
                </c:pt>
                <c:pt idx="163">
                  <c:v>17.229170819204811</c:v>
                </c:pt>
                <c:pt idx="164">
                  <c:v>17.228927719701673</c:v>
                </c:pt>
                <c:pt idx="165">
                  <c:v>17.228687329462385</c:v>
                </c:pt>
                <c:pt idx="166">
                  <c:v>17.228443970188998</c:v>
                </c:pt>
                <c:pt idx="167">
                  <c:v>17.228203306038754</c:v>
                </c:pt>
                <c:pt idx="168">
                  <c:v>17.227965267130521</c:v>
                </c:pt>
                <c:pt idx="169">
                  <c:v>17.227729785560214</c:v>
                </c:pt>
                <c:pt idx="170">
                  <c:v>17.22749182237164</c:v>
                </c:pt>
                <c:pt idx="171">
                  <c:v>17.227256390260163</c:v>
                </c:pt>
                <c:pt idx="172">
                  <c:v>17.227023422821336</c:v>
                </c:pt>
                <c:pt idx="173">
                  <c:v>17.226792855526448</c:v>
                </c:pt>
                <c:pt idx="174">
                  <c:v>17.226558901635929</c:v>
                </c:pt>
                <c:pt idx="175">
                  <c:v>17.226327338850943</c:v>
                </c:pt>
                <c:pt idx="176">
                  <c:v>17.226098103371633</c:v>
                </c:pt>
                <c:pt idx="177">
                  <c:v>17.225871133204016</c:v>
                </c:pt>
                <c:pt idx="178">
                  <c:v>17.225640868365101</c:v>
                </c:pt>
                <c:pt idx="179">
                  <c:v>17.22541285540688</c:v>
                </c:pt>
                <c:pt idx="180">
                  <c:v>17.225187033155976</c:v>
                </c:pt>
                <c:pt idx="181">
                  <c:v>17.224963342173034</c:v>
                </c:pt>
                <c:pt idx="182">
                  <c:v>17.224737313106001</c:v>
                </c:pt>
                <c:pt idx="183">
                  <c:v>17.224513381753479</c:v>
                </c:pt>
                <c:pt idx="184">
                  <c:v>17.224291490243633</c:v>
                </c:pt>
                <c:pt idx="185">
                  <c:v>17.224071582340162</c:v>
                </c:pt>
                <c:pt idx="186">
                  <c:v>17.223847646344037</c:v>
                </c:pt>
                <c:pt idx="187">
                  <c:v>17.223625689059812</c:v>
                </c:pt>
                <c:pt idx="188">
                  <c:v>17.223405654528669</c:v>
                </c:pt>
                <c:pt idx="189">
                  <c:v>17.223187488379935</c:v>
                </c:pt>
                <c:pt idx="190">
                  <c:v>17.222967026265113</c:v>
                </c:pt>
                <c:pt idx="191">
                  <c:v>17.22274839532264</c:v>
                </c:pt>
                <c:pt idx="192">
                  <c:v>17.222531542761686</c:v>
                </c:pt>
                <c:pt idx="193">
                  <c:v>17.222316417283892</c:v>
                </c:pt>
                <c:pt idx="194">
                  <c:v>17.222097395130657</c:v>
                </c:pt>
                <c:pt idx="195">
                  <c:v>17.221880086952375</c:v>
                </c:pt>
                <c:pt idx="196">
                  <c:v>17.221664441886297</c:v>
                </c:pt>
                <c:pt idx="197">
                  <c:v>17.221450410511963</c:v>
                </c:pt>
                <c:pt idx="198">
                  <c:v>17.221233309431959</c:v>
                </c:pt>
                <c:pt idx="199">
                  <c:v>17.221017793542817</c:v>
                </c:pt>
                <c:pt idx="200">
                  <c:v>17.220803814463849</c:v>
                </c:pt>
                <c:pt idx="201">
                  <c:v>17.220591325184714</c:v>
                </c:pt>
                <c:pt idx="202">
                  <c:v>17.220375773097285</c:v>
                </c:pt>
                <c:pt idx="203">
                  <c:v>17.220161680373224</c:v>
                </c:pt>
                <c:pt idx="204">
                  <c:v>17.219949001049258</c:v>
                </c:pt>
                <c:pt idx="205">
                  <c:v>17.219737690461983</c:v>
                </c:pt>
                <c:pt idx="206">
                  <c:v>17.219522581961389</c:v>
                </c:pt>
                <c:pt idx="207">
                  <c:v>17.219308819113209</c:v>
                </c:pt>
                <c:pt idx="208">
                  <c:v>17.219096357856692</c:v>
                </c:pt>
                <c:pt idx="209">
                  <c:v>17.218885155378917</c:v>
                </c:pt>
                <c:pt idx="210">
                  <c:v>17.218669453369998</c:v>
                </c:pt>
                <c:pt idx="211">
                  <c:v>17.218454992083323</c:v>
                </c:pt>
                <c:pt idx="212">
                  <c:v>17.21824172894323</c:v>
                </c:pt>
                <c:pt idx="213">
                  <c:v>17.218029622584766</c:v>
                </c:pt>
                <c:pt idx="214">
                  <c:v>17.217814438117909</c:v>
                </c:pt>
                <c:pt idx="215">
                  <c:v>17.217600373763883</c:v>
                </c:pt>
                <c:pt idx="216">
                  <c:v>17.21738738926781</c:v>
                </c:pt>
                <c:pt idx="217">
                  <c:v>17.217175445516176</c:v>
                </c:pt>
                <c:pt idx="218">
                  <c:v>17.216959706168197</c:v>
                </c:pt>
                <c:pt idx="219">
                  <c:v>17.216744976289156</c:v>
                </c:pt>
                <c:pt idx="220">
                  <c:v>17.216531217487969</c:v>
                </c:pt>
                <c:pt idx="221">
                  <c:v>17.216318392461879</c:v>
                </c:pt>
                <c:pt idx="222">
                  <c:v>17.216101750416009</c:v>
                </c:pt>
                <c:pt idx="223">
                  <c:v>17.215886008728521</c:v>
                </c:pt>
                <c:pt idx="224">
                  <c:v>17.215671130839009</c:v>
                </c:pt>
                <c:pt idx="225">
                  <c:v>17.215457081222876</c:v>
                </c:pt>
                <c:pt idx="226">
                  <c:v>17.215238520414641</c:v>
                </c:pt>
                <c:pt idx="227">
                  <c:v>17.215020757301399</c:v>
                </c:pt>
                <c:pt idx="228">
                  <c:v>17.214803756798311</c:v>
                </c:pt>
                <c:pt idx="229">
                  <c:v>17.214587484816494</c:v>
                </c:pt>
                <c:pt idx="230">
                  <c:v>17.214146559487546</c:v>
                </c:pt>
                <c:pt idx="231">
                  <c:v>17.213927105776897</c:v>
                </c:pt>
                <c:pt idx="232">
                  <c:v>17.213708280854291</c:v>
                </c:pt>
                <c:pt idx="233">
                  <c:v>17.213484879512823</c:v>
                </c:pt>
                <c:pt idx="234">
                  <c:v>17.213262070853041</c:v>
                </c:pt>
                <c:pt idx="235">
                  <c:v>17.213039822751423</c:v>
                </c:pt>
                <c:pt idx="236">
                  <c:v>17.212818103998405</c:v>
                </c:pt>
                <c:pt idx="237">
                  <c:v>17.212592400709571</c:v>
                </c:pt>
                <c:pt idx="238">
                  <c:v>17.212367185606464</c:v>
                </c:pt>
                <c:pt idx="239">
                  <c:v>17.212142428287301</c:v>
                </c:pt>
                <c:pt idx="240">
                  <c:v>17.211918099213214</c:v>
                </c:pt>
                <c:pt idx="241">
                  <c:v>17.211688449197752</c:v>
                </c:pt>
                <c:pt idx="242">
                  <c:v>17.211459189334487</c:v>
                </c:pt>
                <c:pt idx="243">
                  <c:v>17.211230290400742</c:v>
                </c:pt>
                <c:pt idx="244">
                  <c:v>17.211001724005591</c:v>
                </c:pt>
                <c:pt idx="245">
                  <c:v>17.210768407384126</c:v>
                </c:pt>
                <c:pt idx="246">
                  <c:v>17.210535380758579</c:v>
                </c:pt>
                <c:pt idx="247">
                  <c:v>17.21030261632378</c:v>
                </c:pt>
                <c:pt idx="248">
                  <c:v>17.210070087065603</c:v>
                </c:pt>
                <c:pt idx="249">
                  <c:v>17.209832102778201</c:v>
                </c:pt>
                <c:pt idx="250">
                  <c:v>17.209594310322345</c:v>
                </c:pt>
                <c:pt idx="251">
                  <c:v>17.209356683069338</c:v>
                </c:pt>
                <c:pt idx="252">
                  <c:v>17.20911919514942</c:v>
                </c:pt>
                <c:pt idx="253">
                  <c:v>17.208876798698537</c:v>
                </c:pt>
                <c:pt idx="254">
                  <c:v>17.208634495327601</c:v>
                </c:pt>
                <c:pt idx="255">
                  <c:v>17.20839225977673</c:v>
                </c:pt>
                <c:pt idx="256">
                  <c:v>17.208150067505088</c:v>
                </c:pt>
                <c:pt idx="257">
                  <c:v>17.207901620807743</c:v>
                </c:pt>
                <c:pt idx="258">
                  <c:v>17.207653169552945</c:v>
                </c:pt>
                <c:pt idx="259">
                  <c:v>17.207404689445404</c:v>
                </c:pt>
                <c:pt idx="260">
                  <c:v>17.207156156883837</c:v>
                </c:pt>
                <c:pt idx="261">
                  <c:v>17.206901897704917</c:v>
                </c:pt>
                <c:pt idx="262">
                  <c:v>17.206647535848983</c:v>
                </c:pt>
                <c:pt idx="263">
                  <c:v>17.206393048171464</c:v>
                </c:pt>
                <c:pt idx="264">
                  <c:v>17.206138412189244</c:v>
                </c:pt>
                <c:pt idx="265">
                  <c:v>17.205877941603614</c:v>
                </c:pt>
                <c:pt idx="266">
                  <c:v>17.205617270559355</c:v>
                </c:pt>
                <c:pt idx="267">
                  <c:v>17.205356377041749</c:v>
                </c:pt>
                <c:pt idx="268">
                  <c:v>17.205095239665315</c:v>
                </c:pt>
                <c:pt idx="269">
                  <c:v>17.20482752015138</c:v>
                </c:pt>
                <c:pt idx="270">
                  <c:v>17.20455950138383</c:v>
                </c:pt>
                <c:pt idx="271">
                  <c:v>17.204291162305982</c:v>
                </c:pt>
                <c:pt idx="272">
                  <c:v>17.20402248246436</c:v>
                </c:pt>
                <c:pt idx="273">
                  <c:v>17.203747092182727</c:v>
                </c:pt>
                <c:pt idx="274">
                  <c:v>17.203471303358359</c:v>
                </c:pt>
                <c:pt idx="275">
                  <c:v>17.20319509588942</c:v>
                </c:pt>
                <c:pt idx="276">
                  <c:v>17.202918450251012</c:v>
                </c:pt>
                <c:pt idx="277">
                  <c:v>17.202635596134265</c:v>
                </c:pt>
                <c:pt idx="278">
                  <c:v>17.202352246132932</c:v>
                </c:pt>
                <c:pt idx="279">
                  <c:v>17.202068381218485</c:v>
                </c:pt>
                <c:pt idx="280">
                  <c:v>17.201783982908164</c:v>
                </c:pt>
                <c:pt idx="281">
                  <c:v>17.201491306684943</c:v>
                </c:pt>
                <c:pt idx="282">
                  <c:v>17.201198029943427</c:v>
                </c:pt>
                <c:pt idx="283">
                  <c:v>17.200904134336568</c:v>
                </c:pt>
                <c:pt idx="284">
                  <c:v>17.200609602046562</c:v>
                </c:pt>
                <c:pt idx="285">
                  <c:v>17.200308570206513</c:v>
                </c:pt>
                <c:pt idx="286">
                  <c:v>17.20000684042575</c:v>
                </c:pt>
                <c:pt idx="287">
                  <c:v>17.199704395395692</c:v>
                </c:pt>
                <c:pt idx="288">
                  <c:v>17.199401218306527</c:v>
                </c:pt>
                <c:pt idx="289">
                  <c:v>17.199089422617991</c:v>
                </c:pt>
                <c:pt idx="290">
                  <c:v>17.198776822215883</c:v>
                </c:pt>
                <c:pt idx="291">
                  <c:v>17.198463400480016</c:v>
                </c:pt>
                <c:pt idx="292">
                  <c:v>17.198149141271585</c:v>
                </c:pt>
                <c:pt idx="293">
                  <c:v>17.197826736700939</c:v>
                </c:pt>
                <c:pt idx="294">
                  <c:v>17.19750342280047</c:v>
                </c:pt>
                <c:pt idx="295">
                  <c:v>17.19717918374722</c:v>
                </c:pt>
                <c:pt idx="296">
                  <c:v>17.196854004177883</c:v>
                </c:pt>
                <c:pt idx="297">
                  <c:v>17.196520491526538</c:v>
                </c:pt>
                <c:pt idx="298">
                  <c:v>17.196185964303744</c:v>
                </c:pt>
                <c:pt idx="299">
                  <c:v>17.195850407473781</c:v>
                </c:pt>
                <c:pt idx="300">
                  <c:v>17.195513806438942</c:v>
                </c:pt>
                <c:pt idx="301">
                  <c:v>17.195168676631734</c:v>
                </c:pt>
                <c:pt idx="302">
                  <c:v>17.19482242648159</c:v>
                </c:pt>
                <c:pt idx="303">
                  <c:v>17.194475041726662</c:v>
                </c:pt>
                <c:pt idx="304">
                  <c:v>17.194126508521784</c:v>
                </c:pt>
                <c:pt idx="305">
                  <c:v>17.193767866782789</c:v>
                </c:pt>
                <c:pt idx="306">
                  <c:v>17.193407988971128</c:v>
                </c:pt>
                <c:pt idx="307">
                  <c:v>17.193046861428677</c:v>
                </c:pt>
                <c:pt idx="308">
                  <c:v>17.192684470899106</c:v>
                </c:pt>
                <c:pt idx="309">
                  <c:v>17.192313127229053</c:v>
                </c:pt>
                <c:pt idx="310">
                  <c:v>17.191940440071669</c:v>
                </c:pt>
                <c:pt idx="311">
                  <c:v>17.191566396525722</c:v>
                </c:pt>
                <c:pt idx="312">
                  <c:v>17.191190984070705</c:v>
                </c:pt>
                <c:pt idx="313">
                  <c:v>17.190804983115161</c:v>
                </c:pt>
                <c:pt idx="314">
                  <c:v>17.190417520232387</c:v>
                </c:pt>
                <c:pt idx="315">
                  <c:v>17.190028583123972</c:v>
                </c:pt>
                <c:pt idx="316">
                  <c:v>17.189638159857122</c:v>
                </c:pt>
                <c:pt idx="317">
                  <c:v>17.18923688905203</c:v>
                </c:pt>
                <c:pt idx="318">
                  <c:v>17.188834036284774</c:v>
                </c:pt>
                <c:pt idx="319">
                  <c:v>17.188429589862086</c:v>
                </c:pt>
                <c:pt idx="320">
                  <c:v>17.188023538440934</c:v>
                </c:pt>
                <c:pt idx="321">
                  <c:v>17.187606371064966</c:v>
                </c:pt>
                <c:pt idx="322">
                  <c:v>17.187187500214609</c:v>
                </c:pt>
                <c:pt idx="323">
                  <c:v>17.186766914800597</c:v>
                </c:pt>
                <c:pt idx="324">
                  <c:v>17.186344604068506</c:v>
                </c:pt>
                <c:pt idx="325">
                  <c:v>17.185910899914962</c:v>
                </c:pt>
                <c:pt idx="326">
                  <c:v>17.185475369399644</c:v>
                </c:pt>
                <c:pt idx="327">
                  <c:v>17.185038002033309</c:v>
                </c:pt>
                <c:pt idx="328">
                  <c:v>17.184598787646259</c:v>
                </c:pt>
                <c:pt idx="329">
                  <c:v>17.184147137995463</c:v>
                </c:pt>
                <c:pt idx="330">
                  <c:v>17.183693531262886</c:v>
                </c:pt>
                <c:pt idx="331">
                  <c:v>17.183237957504009</c:v>
                </c:pt>
                <c:pt idx="332">
                  <c:v>17.182780407080735</c:v>
                </c:pt>
                <c:pt idx="333">
                  <c:v>17.182310875319608</c:v>
                </c:pt>
                <c:pt idx="334">
                  <c:v>17.181839260759112</c:v>
                </c:pt>
                <c:pt idx="335">
                  <c:v>17.181365554045946</c:v>
                </c:pt>
                <c:pt idx="336">
                  <c:v>17.180889746118226</c:v>
                </c:pt>
                <c:pt idx="337">
                  <c:v>17.180400087956986</c:v>
                </c:pt>
                <c:pt idx="338">
                  <c:v>17.179908205958117</c:v>
                </c:pt>
                <c:pt idx="339">
                  <c:v>17.179414091266167</c:v>
                </c:pt>
                <c:pt idx="340">
                  <c:v>17.178917735305927</c:v>
                </c:pt>
                <c:pt idx="341">
                  <c:v>17.17840717379157</c:v>
                </c:pt>
                <c:pt idx="342">
                  <c:v>17.177894245152938</c:v>
                </c:pt>
                <c:pt idx="343">
                  <c:v>17.177378941038043</c:v>
                </c:pt>
                <c:pt idx="344">
                  <c:v>17.176861253363793</c:v>
                </c:pt>
                <c:pt idx="345">
                  <c:v>17.176329806319124</c:v>
                </c:pt>
                <c:pt idx="346">
                  <c:v>17.175795854383662</c:v>
                </c:pt>
                <c:pt idx="347">
                  <c:v>17.1752593897472</c:v>
                </c:pt>
                <c:pt idx="348">
                  <c:v>17.174720404855581</c:v>
                </c:pt>
                <c:pt idx="349">
                  <c:v>17.174165653145604</c:v>
                </c:pt>
                <c:pt idx="350">
                  <c:v>17.173608241481624</c:v>
                </c:pt>
                <c:pt idx="351">
                  <c:v>17.173048162524502</c:v>
                </c:pt>
                <c:pt idx="352">
                  <c:v>17.172485409181441</c:v>
                </c:pt>
                <c:pt idx="353">
                  <c:v>17.171906479135242</c:v>
                </c:pt>
                <c:pt idx="354">
                  <c:v>17.171324731545525</c:v>
                </c:pt>
                <c:pt idx="355">
                  <c:v>17.170740159551091</c:v>
                </c:pt>
                <c:pt idx="356">
                  <c:v>17.170152756527308</c:v>
                </c:pt>
                <c:pt idx="357">
                  <c:v>17.169549615811505</c:v>
                </c:pt>
                <c:pt idx="358">
                  <c:v>17.168943506012788</c:v>
                </c:pt>
                <c:pt idx="359">
                  <c:v>17.168334420779509</c:v>
                </c:pt>
                <c:pt idx="360">
                  <c:v>17.167722353985521</c:v>
                </c:pt>
                <c:pt idx="361">
                  <c:v>17.167092389390234</c:v>
                </c:pt>
                <c:pt idx="362">
                  <c:v>17.166459284975932</c:v>
                </c:pt>
                <c:pt idx="363">
                  <c:v>17.165823034849325</c:v>
                </c:pt>
                <c:pt idx="364">
                  <c:v>17.165183633334212</c:v>
                </c:pt>
                <c:pt idx="365">
                  <c:v>17.164526759993208</c:v>
                </c:pt>
                <c:pt idx="366">
                  <c:v>17.163866582315283</c:v>
                </c:pt>
                <c:pt idx="367">
                  <c:v>17.163203094895568</c:v>
                </c:pt>
                <c:pt idx="368">
                  <c:v>17.162536292536728</c:v>
                </c:pt>
                <c:pt idx="369">
                  <c:v>17.161849739750842</c:v>
                </c:pt>
                <c:pt idx="370">
                  <c:v>17.161159697495428</c:v>
                </c:pt>
                <c:pt idx="371">
                  <c:v>17.160466160816682</c:v>
                </c:pt>
                <c:pt idx="372">
                  <c:v>17.159769124961059</c:v>
                </c:pt>
                <c:pt idx="373">
                  <c:v>17.159052750286314</c:v>
                </c:pt>
                <c:pt idx="374">
                  <c:v>17.15833270742867</c:v>
                </c:pt>
                <c:pt idx="375">
                  <c:v>17.157608991914017</c:v>
                </c:pt>
                <c:pt idx="376">
                  <c:v>17.156881599460181</c:v>
                </c:pt>
                <c:pt idx="377">
                  <c:v>17.156132463384623</c:v>
                </c:pt>
                <c:pt idx="378">
                  <c:v>17.155379458401953</c:v>
                </c:pt>
                <c:pt idx="379">
                  <c:v>17.154622580493005</c:v>
                </c:pt>
                <c:pt idx="380">
                  <c:v>17.153861825824247</c:v>
                </c:pt>
                <c:pt idx="381">
                  <c:v>17.153080693893397</c:v>
                </c:pt>
                <c:pt idx="382">
                  <c:v>17.152295509040144</c:v>
                </c:pt>
                <c:pt idx="383">
                  <c:v>17.151506267740476</c:v>
                </c:pt>
                <c:pt idx="384">
                  <c:v>17.150712966647909</c:v>
                </c:pt>
                <c:pt idx="385">
                  <c:v>17.149895789776359</c:v>
                </c:pt>
                <c:pt idx="386">
                  <c:v>17.14907434282118</c:v>
                </c:pt>
                <c:pt idx="387">
                  <c:v>17.148248622725003</c:v>
                </c:pt>
                <c:pt idx="388">
                  <c:v>17.147418626602601</c:v>
                </c:pt>
                <c:pt idx="389">
                  <c:v>17.146565134297216</c:v>
                </c:pt>
                <c:pt idx="390">
                  <c:v>17.145707161648986</c:v>
                </c:pt>
                <c:pt idx="391">
                  <c:v>17.144844706093835</c:v>
                </c:pt>
                <c:pt idx="392">
                  <c:v>17.143977765233643</c:v>
                </c:pt>
                <c:pt idx="393">
                  <c:v>17.1430867142038</c:v>
                </c:pt>
                <c:pt idx="394">
                  <c:v>17.142190969577374</c:v>
                </c:pt>
                <c:pt idx="395">
                  <c:v>17.141290529296118</c:v>
                </c:pt>
                <c:pt idx="396">
                  <c:v>17.140385391461592</c:v>
                </c:pt>
                <c:pt idx="397">
                  <c:v>17.139453407356726</c:v>
                </c:pt>
                <c:pt idx="398">
                  <c:v>17.138516491301669</c:v>
                </c:pt>
                <c:pt idx="399">
                  <c:v>17.137574641746266</c:v>
                </c:pt>
                <c:pt idx="400">
                  <c:v>17.136627857295604</c:v>
                </c:pt>
                <c:pt idx="401">
                  <c:v>17.135654596191475</c:v>
                </c:pt>
                <c:pt idx="402">
                  <c:v>17.134676172409776</c:v>
                </c:pt>
                <c:pt idx="403">
                  <c:v>17.133692584932511</c:v>
                </c:pt>
                <c:pt idx="404">
                  <c:v>17.132703832891757</c:v>
                </c:pt>
                <c:pt idx="405">
                  <c:v>17.131686816491253</c:v>
                </c:pt>
                <c:pt idx="406">
                  <c:v>17.130664391959225</c:v>
                </c:pt>
                <c:pt idx="407">
                  <c:v>17.129636558824991</c:v>
                </c:pt>
                <c:pt idx="408">
                  <c:v>17.128603316763481</c:v>
                </c:pt>
                <c:pt idx="409">
                  <c:v>17.127539950123111</c:v>
                </c:pt>
                <c:pt idx="410">
                  <c:v>17.126470914534352</c:v>
                </c:pt>
                <c:pt idx="411">
                  <c:v>17.12539621009515</c:v>
                </c:pt>
                <c:pt idx="412">
                  <c:v>17.124315837045373</c:v>
                </c:pt>
                <c:pt idx="413">
                  <c:v>17.123204551610268</c:v>
                </c:pt>
                <c:pt idx="414">
                  <c:v>17.122087332640628</c:v>
                </c:pt>
                <c:pt idx="415">
                  <c:v>17.120964180828224</c:v>
                </c:pt>
                <c:pt idx="416">
                  <c:v>17.119835097003065</c:v>
                </c:pt>
                <c:pt idx="417">
                  <c:v>17.118673125222855</c:v>
                </c:pt>
                <c:pt idx="418">
                  <c:v>17.117504939266507</c:v>
                </c:pt>
                <c:pt idx="419">
                  <c:v>17.116330540449255</c:v>
                </c:pt>
                <c:pt idx="420">
                  <c:v>17.115149930221559</c:v>
                </c:pt>
                <c:pt idx="421">
                  <c:v>17.11393677228957</c:v>
                </c:pt>
                <c:pt idx="422">
                  <c:v>17.11271712843303</c:v>
                </c:pt>
                <c:pt idx="423">
                  <c:v>17.111491000614677</c:v>
                </c:pt>
                <c:pt idx="424">
                  <c:v>17.110258390929062</c:v>
                </c:pt>
                <c:pt idx="425">
                  <c:v>17.108988730534172</c:v>
                </c:pt>
                <c:pt idx="426">
                  <c:v>17.107712270218521</c:v>
                </c:pt>
                <c:pt idx="427">
                  <c:v>17.106429012642369</c:v>
                </c:pt>
                <c:pt idx="428">
                  <c:v>17.105138960595966</c:v>
                </c:pt>
                <c:pt idx="429">
                  <c:v>17.103812138514787</c:v>
                </c:pt>
                <c:pt idx="430">
                  <c:v>17.102478211372144</c:v>
                </c:pt>
                <c:pt idx="431">
                  <c:v>17.101137182555878</c:v>
                </c:pt>
                <c:pt idx="432">
                  <c:v>17.099789055581631</c:v>
                </c:pt>
                <c:pt idx="433">
                  <c:v>17.098403212176201</c:v>
                </c:pt>
                <c:pt idx="434">
                  <c:v>17.097009954920413</c:v>
                </c:pt>
                <c:pt idx="435">
                  <c:v>17.095609287966134</c:v>
                </c:pt>
                <c:pt idx="436">
                  <c:v>17.094201215590957</c:v>
                </c:pt>
                <c:pt idx="437">
                  <c:v>17.092751857182733</c:v>
                </c:pt>
                <c:pt idx="438">
                  <c:v>17.091294744987575</c:v>
                </c:pt>
                <c:pt idx="439">
                  <c:v>17.089829883985917</c:v>
                </c:pt>
                <c:pt idx="440">
                  <c:v>17.088357279282871</c:v>
                </c:pt>
                <c:pt idx="441">
                  <c:v>17.086842324606565</c:v>
                </c:pt>
                <c:pt idx="442">
                  <c:v>17.085319272080298</c:v>
                </c:pt>
                <c:pt idx="443">
                  <c:v>17.083788127560386</c:v>
                </c:pt>
                <c:pt idx="444">
                  <c:v>17.082248897026894</c:v>
                </c:pt>
                <c:pt idx="445">
                  <c:v>17.080666233865042</c:v>
                </c:pt>
                <c:pt idx="446">
                  <c:v>17.079075125015994</c:v>
                </c:pt>
                <c:pt idx="447">
                  <c:v>17.077475577260628</c:v>
                </c:pt>
                <c:pt idx="448">
                  <c:v>17.075867597502775</c:v>
                </c:pt>
                <c:pt idx="449">
                  <c:v>17.074212306696435</c:v>
                </c:pt>
                <c:pt idx="450">
                  <c:v>17.072548189447541</c:v>
                </c:pt>
                <c:pt idx="451">
                  <c:v>17.070875253551108</c:v>
                </c:pt>
                <c:pt idx="452">
                  <c:v>17.069193506925217</c:v>
                </c:pt>
                <c:pt idx="453">
                  <c:v>17.067464659468243</c:v>
                </c:pt>
                <c:pt idx="454">
                  <c:v>17.065726615771105</c:v>
                </c:pt>
                <c:pt idx="455">
                  <c:v>17.063979384682213</c:v>
                </c:pt>
                <c:pt idx="456">
                  <c:v>17.06222297517288</c:v>
                </c:pt>
                <c:pt idx="457">
                  <c:v>17.060415385037643</c:v>
                </c:pt>
                <c:pt idx="458">
                  <c:v>17.058598195086351</c:v>
                </c:pt>
                <c:pt idx="459">
                  <c:v>17.056771415327265</c:v>
                </c:pt>
                <c:pt idx="460">
                  <c:v>17.054935055892319</c:v>
                </c:pt>
                <c:pt idx="461">
                  <c:v>17.053046222312961</c:v>
                </c:pt>
                <c:pt idx="462">
                  <c:v>17.0511473816135</c:v>
                </c:pt>
                <c:pt idx="463">
                  <c:v>17.049238545032129</c:v>
                </c:pt>
                <c:pt idx="464">
                  <c:v>17.047319723931537</c:v>
                </c:pt>
                <c:pt idx="465">
                  <c:v>17.045345604166808</c:v>
                </c:pt>
                <c:pt idx="466">
                  <c:v>17.043361050844506</c:v>
                </c:pt>
                <c:pt idx="467">
                  <c:v>17.041366076533897</c:v>
                </c:pt>
                <c:pt idx="468">
                  <c:v>17.039360693930131</c:v>
                </c:pt>
                <c:pt idx="469">
                  <c:v>17.037298631338853</c:v>
                </c:pt>
                <c:pt idx="470">
                  <c:v>17.035225705543393</c:v>
                </c:pt>
                <c:pt idx="471">
                  <c:v>17.033141930524028</c:v>
                </c:pt>
                <c:pt idx="472">
                  <c:v>17.031047320388343</c:v>
                </c:pt>
                <c:pt idx="473">
                  <c:v>17.028891478247196</c:v>
                </c:pt>
                <c:pt idx="474">
                  <c:v>17.02672430764316</c:v>
                </c:pt>
                <c:pt idx="475">
                  <c:v>17.024545824118054</c:v>
                </c:pt>
                <c:pt idx="476">
                  <c:v>17.022356043343326</c:v>
                </c:pt>
                <c:pt idx="477">
                  <c:v>17.020103509886631</c:v>
                </c:pt>
                <c:pt idx="478">
                  <c:v>17.017839179659497</c:v>
                </c:pt>
                <c:pt idx="479">
                  <c:v>17.015563069861788</c:v>
                </c:pt>
                <c:pt idx="480">
                  <c:v>17.013275197825376</c:v>
                </c:pt>
                <c:pt idx="481">
                  <c:v>17.010923031336709</c:v>
                </c:pt>
                <c:pt idx="482">
                  <c:v>17.0085585974163</c:v>
                </c:pt>
                <c:pt idx="483">
                  <c:v>17.006181915021553</c:v>
                </c:pt>
                <c:pt idx="484">
                  <c:v>17.003793003244262</c:v>
                </c:pt>
                <c:pt idx="485">
                  <c:v>17.00133655895354</c:v>
                </c:pt>
                <c:pt idx="486">
                  <c:v>16.998867357585645</c:v>
                </c:pt>
                <c:pt idx="487">
                  <c:v>16.996385420000578</c:v>
                </c:pt>
                <c:pt idx="488">
                  <c:v>16.993890767195566</c:v>
                </c:pt>
                <c:pt idx="489">
                  <c:v>16.991323526276897</c:v>
                </c:pt>
                <c:pt idx="490">
                  <c:v>16.988743001995957</c:v>
                </c:pt>
                <c:pt idx="491">
                  <c:v>16.986149217318825</c:v>
                </c:pt>
                <c:pt idx="492">
                  <c:v>16.983542195352403</c:v>
                </c:pt>
                <c:pt idx="493">
                  <c:v>16.980860825960708</c:v>
                </c:pt>
                <c:pt idx="494">
                  <c:v>16.978165645408033</c:v>
                </c:pt>
                <c:pt idx="495">
                  <c:v>16.975456678895004</c:v>
                </c:pt>
                <c:pt idx="496">
                  <c:v>16.972733951766621</c:v>
                </c:pt>
                <c:pt idx="497">
                  <c:v>16.969933314500896</c:v>
                </c:pt>
                <c:pt idx="498">
                  <c:v>16.967118319481862</c:v>
                </c:pt>
                <c:pt idx="499">
                  <c:v>16.964288994329348</c:v>
                </c:pt>
                <c:pt idx="500">
                  <c:v>16.96144536681139</c:v>
                </c:pt>
                <c:pt idx="501">
                  <c:v>16.958520155447513</c:v>
                </c:pt>
                <c:pt idx="502">
                  <c:v>16.955580021165527</c:v>
                </c:pt>
                <c:pt idx="503">
                  <c:v>16.95262499420355</c:v>
                </c:pt>
                <c:pt idx="504">
                  <c:v>16.949655104952033</c:v>
                </c:pt>
                <c:pt idx="505">
                  <c:v>16.946601702207367</c:v>
                </c:pt>
                <c:pt idx="506">
                  <c:v>16.943532811889838</c:v>
                </c:pt>
                <c:pt idx="507">
                  <c:v>16.940448467009837</c:v>
                </c:pt>
                <c:pt idx="508">
                  <c:v>16.93734870073402</c:v>
                </c:pt>
                <c:pt idx="509">
                  <c:v>16.934161578803636</c:v>
                </c:pt>
                <c:pt idx="510">
                  <c:v>16.930958387254137</c:v>
                </c:pt>
                <c:pt idx="511">
                  <c:v>16.927739162089768</c:v>
                </c:pt>
                <c:pt idx="512">
                  <c:v>16.924503939475109</c:v>
                </c:pt>
                <c:pt idx="513">
                  <c:v>16.921175474382181</c:v>
                </c:pt>
                <c:pt idx="514">
                  <c:v>16.91783032142483</c:v>
                </c:pt>
                <c:pt idx="515">
                  <c:v>16.914468519906873</c:v>
                </c:pt>
                <c:pt idx="516">
                  <c:v>16.911090109296975</c:v>
                </c:pt>
                <c:pt idx="517">
                  <c:v>16.907616300205124</c:v>
                </c:pt>
                <c:pt idx="518">
                  <c:v>16.904125187836719</c:v>
                </c:pt>
                <c:pt idx="519">
                  <c:v>16.900616814985202</c:v>
                </c:pt>
                <c:pt idx="520">
                  <c:v>16.897091224612989</c:v>
                </c:pt>
                <c:pt idx="521">
                  <c:v>16.893466052951172</c:v>
                </c:pt>
                <c:pt idx="522">
                  <c:v>16.889822947028627</c:v>
                </c:pt>
                <c:pt idx="523">
                  <c:v>16.886161953399188</c:v>
                </c:pt>
                <c:pt idx="524">
                  <c:v>16.882483118789654</c:v>
                </c:pt>
                <c:pt idx="525">
                  <c:v>16.87870040598176</c:v>
                </c:pt>
                <c:pt idx="526">
                  <c:v>16.874899113195088</c:v>
                </c:pt>
                <c:pt idx="527">
                  <c:v>16.871079291031982</c:v>
                </c:pt>
                <c:pt idx="528">
                  <c:v>16.86724099027148</c:v>
                </c:pt>
                <c:pt idx="529">
                  <c:v>16.863294400262458</c:v>
                </c:pt>
                <c:pt idx="530">
                  <c:v>16.85932857079063</c:v>
                </c:pt>
                <c:pt idx="531">
                  <c:v>16.855343556812709</c:v>
                </c:pt>
                <c:pt idx="532">
                  <c:v>16.851339413465414</c:v>
                </c:pt>
                <c:pt idx="533">
                  <c:v>16.847220325333176</c:v>
                </c:pt>
                <c:pt idx="534">
                  <c:v>16.843081305058792</c:v>
                </c:pt>
                <c:pt idx="535">
                  <c:v>16.838922412369833</c:v>
                </c:pt>
                <c:pt idx="536">
                  <c:v>16.834743707177008</c:v>
                </c:pt>
                <c:pt idx="537">
                  <c:v>16.830449699704694</c:v>
                </c:pt>
                <c:pt idx="538">
                  <c:v>16.82613509719468</c:v>
                </c:pt>
                <c:pt idx="539">
                  <c:v>16.821799964302858</c:v>
                </c:pt>
                <c:pt idx="540">
                  <c:v>16.817444365869981</c:v>
                </c:pt>
                <c:pt idx="541">
                  <c:v>16.81296434992786</c:v>
                </c:pt>
                <c:pt idx="542">
                  <c:v>16.80846302441363</c:v>
                </c:pt>
                <c:pt idx="543">
                  <c:v>16.80394045946813</c:v>
                </c:pt>
                <c:pt idx="544">
                  <c:v>16.799396725418557</c:v>
                </c:pt>
                <c:pt idx="545">
                  <c:v>16.794725902980879</c:v>
                </c:pt>
                <c:pt idx="546">
                  <c:v>16.79003306888416</c:v>
                </c:pt>
                <c:pt idx="547">
                  <c:v>16.785318299035797</c:v>
                </c:pt>
                <c:pt idx="548">
                  <c:v>16.780581669529482</c:v>
                </c:pt>
                <c:pt idx="549">
                  <c:v>16.77571297848932</c:v>
                </c:pt>
                <c:pt idx="550">
                  <c:v>16.770821566979933</c:v>
                </c:pt>
                <c:pt idx="551">
                  <c:v>16.765907517072804</c:v>
                </c:pt>
                <c:pt idx="552">
                  <c:v>16.760970911024216</c:v>
                </c:pt>
                <c:pt idx="553">
                  <c:v>16.755894822027933</c:v>
                </c:pt>
                <c:pt idx="554">
                  <c:v>16.750795277375698</c:v>
                </c:pt>
                <c:pt idx="555">
                  <c:v>16.745672365841056</c:v>
                </c:pt>
                <c:pt idx="556">
                  <c:v>16.740526176379525</c:v>
                </c:pt>
                <c:pt idx="557">
                  <c:v>16.729920133247411</c:v>
                </c:pt>
                <c:pt idx="558">
                  <c:v>16.719217698820167</c:v>
                </c:pt>
                <c:pt idx="559">
                  <c:v>16.708171021647793</c:v>
                </c:pt>
                <c:pt idx="560">
                  <c:v>16.697025115334945</c:v>
                </c:pt>
                <c:pt idx="561">
                  <c:v>16.685512840317319</c:v>
                </c:pt>
                <c:pt idx="562">
                  <c:v>16.673898333069921</c:v>
                </c:pt>
                <c:pt idx="563">
                  <c:v>16.661929971497315</c:v>
                </c:pt>
                <c:pt idx="564">
                  <c:v>16.649856832973281</c:v>
                </c:pt>
                <c:pt idx="565">
                  <c:v>16.637371560741688</c:v>
                </c:pt>
                <c:pt idx="566">
                  <c:v>16.624778204871554</c:v>
                </c:pt>
                <c:pt idx="567">
                  <c:v>16.611764158003478</c:v>
                </c:pt>
                <c:pt idx="568">
                  <c:v>16.598638853178652</c:v>
                </c:pt>
                <c:pt idx="569">
                  <c:v>16.585137585230591</c:v>
                </c:pt>
                <c:pt idx="570">
                  <c:v>16.571522918652445</c:v>
                </c:pt>
                <c:pt idx="571">
                  <c:v>16.55741765704898</c:v>
                </c:pt>
                <c:pt idx="572">
                  <c:v>16.543195235307721</c:v>
                </c:pt>
                <c:pt idx="573">
                  <c:v>16.528582197222232</c:v>
                </c:pt>
                <c:pt idx="574">
                  <c:v>16.513850197365489</c:v>
                </c:pt>
                <c:pt idx="575">
                  <c:v>16.498609720813519</c:v>
                </c:pt>
                <c:pt idx="576">
                  <c:v>16.483246885515076</c:v>
                </c:pt>
                <c:pt idx="577">
                  <c:v>16.416885647171124</c:v>
                </c:pt>
                <c:pt idx="578">
                  <c:v>16.348469823725935</c:v>
                </c:pt>
                <c:pt idx="579">
                  <c:v>16.191902087248419</c:v>
                </c:pt>
                <c:pt idx="580">
                  <c:v>16.010677249021114</c:v>
                </c:pt>
                <c:pt idx="581">
                  <c:v>15.802436372114714</c:v>
                </c:pt>
                <c:pt idx="582">
                  <c:v>15.564549035106205</c:v>
                </c:pt>
                <c:pt idx="583">
                  <c:v>15.294906438130651</c:v>
                </c:pt>
                <c:pt idx="584">
                  <c:v>14.991341892819978</c:v>
                </c:pt>
                <c:pt idx="585">
                  <c:v>14.652490575255561</c:v>
                </c:pt>
                <c:pt idx="586">
                  <c:v>14.27731251306226</c:v>
                </c:pt>
                <c:pt idx="587">
                  <c:v>13.865170385089874</c:v>
                </c:pt>
                <c:pt idx="588">
                  <c:v>13.416662068848066</c:v>
                </c:pt>
                <c:pt idx="589">
                  <c:v>12.932244329517514</c:v>
                </c:pt>
                <c:pt idx="590">
                  <c:v>12.41344734358548</c:v>
                </c:pt>
                <c:pt idx="591">
                  <c:v>11.862056556116618</c:v>
                </c:pt>
                <c:pt idx="592">
                  <c:v>11.280341430090981</c:v>
                </c:pt>
                <c:pt idx="593">
                  <c:v>10.670563946336991</c:v>
                </c:pt>
                <c:pt idx="594">
                  <c:v>10.035451605702674</c:v>
                </c:pt>
                <c:pt idx="595">
                  <c:v>9.3774767758846771</c:v>
                </c:pt>
                <c:pt idx="596">
                  <c:v>8.6993198205122848</c:v>
                </c:pt>
                <c:pt idx="597">
                  <c:v>8.003264363697566</c:v>
                </c:pt>
                <c:pt idx="598">
                  <c:v>7.2917482908201281</c:v>
                </c:pt>
                <c:pt idx="599">
                  <c:v>6.5666649929362242</c:v>
                </c:pt>
                <c:pt idx="600">
                  <c:v>5.8299946210981712</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-88.522988135391785</c:v>
                </c:pt>
                <c:pt idx="1">
                  <c:v>-88.635291000121299</c:v>
                </c:pt>
                <c:pt idx="2">
                  <c:v>-88.736007147665319</c:v>
                </c:pt>
                <c:pt idx="3">
                  <c:v>-88.825995535022599</c:v>
                </c:pt>
                <c:pt idx="4">
                  <c:v>-88.905973096129131</c:v>
                </c:pt>
                <c:pt idx="5">
                  <c:v>-88.976748010066729</c:v>
                </c:pt>
                <c:pt idx="6">
                  <c:v>-89.03881211877011</c:v>
                </c:pt>
                <c:pt idx="7">
                  <c:v>-89.092735071130349</c:v>
                </c:pt>
                <c:pt idx="8">
                  <c:v>-89.13893698680009</c:v>
                </c:pt>
                <c:pt idx="9">
                  <c:v>-89.177846263980825</c:v>
                </c:pt>
                <c:pt idx="10">
                  <c:v>-89.209769482050916</c:v>
                </c:pt>
                <c:pt idx="11">
                  <c:v>-89.234985233672447</c:v>
                </c:pt>
                <c:pt idx="12">
                  <c:v>-89.253717107434525</c:v>
                </c:pt>
                <c:pt idx="13">
                  <c:v>-89.266106351014415</c:v>
                </c:pt>
                <c:pt idx="14">
                  <c:v>-89.272269829943653</c:v>
                </c:pt>
                <c:pt idx="15">
                  <c:v>-89.272255317003868</c:v>
                </c:pt>
                <c:pt idx="16">
                  <c:v>-89.266063323585414</c:v>
                </c:pt>
                <c:pt idx="17">
                  <c:v>-89.253643371227767</c:v>
                </c:pt>
                <c:pt idx="18">
                  <c:v>-89.234886223285116</c:v>
                </c:pt>
                <c:pt idx="19">
                  <c:v>-89.209637323371126</c:v>
                </c:pt>
                <c:pt idx="20">
                  <c:v>-89.177677561239946</c:v>
                </c:pt>
                <c:pt idx="21">
                  <c:v>-89.138742543660342</c:v>
                </c:pt>
                <c:pt idx="22">
                  <c:v>-89.092493701816593</c:v>
                </c:pt>
                <c:pt idx="23">
                  <c:v>-89.038550700985311</c:v>
                </c:pt>
                <c:pt idx="24">
                  <c:v>-88.976442664944727</c:v>
                </c:pt>
                <c:pt idx="25">
                  <c:v>-88.90565178943767</c:v>
                </c:pt>
                <c:pt idx="26">
                  <c:v>-88.825559400376378</c:v>
                </c:pt>
                <c:pt idx="27">
                  <c:v>-88.735511437118561</c:v>
                </c:pt>
                <c:pt idx="28">
                  <c:v>-88.634745006994535</c:v>
                </c:pt>
                <c:pt idx="29">
                  <c:v>-88.522483789848664</c:v>
                </c:pt>
                <c:pt idx="30">
                  <c:v>-88.397583215539342</c:v>
                </c:pt>
                <c:pt idx="31">
                  <c:v>-88.259152402834701</c:v>
                </c:pt>
                <c:pt idx="32">
                  <c:v>-88.105931803396786</c:v>
                </c:pt>
                <c:pt idx="33">
                  <c:v>-87.936744119627136</c:v>
                </c:pt>
                <c:pt idx="34">
                  <c:v>-87.750038072528895</c:v>
                </c:pt>
                <c:pt idx="35">
                  <c:v>-87.544349351926755</c:v>
                </c:pt>
                <c:pt idx="36">
                  <c:v>-87.317933264606637</c:v>
                </c:pt>
                <c:pt idx="37">
                  <c:v>-87.068764195982581</c:v>
                </c:pt>
                <c:pt idx="38">
                  <c:v>-86.795007643153625</c:v>
                </c:pt>
                <c:pt idx="39">
                  <c:v>-86.4941794796881</c:v>
                </c:pt>
                <c:pt idx="40">
                  <c:v>-86.163901332608418</c:v>
                </c:pt>
                <c:pt idx="41">
                  <c:v>-85.801436620718562</c:v>
                </c:pt>
                <c:pt idx="42">
                  <c:v>-85.403886471521147</c:v>
                </c:pt>
                <c:pt idx="43">
                  <c:v>-84.967916634240453</c:v>
                </c:pt>
                <c:pt idx="44">
                  <c:v>-84.490148270204273</c:v>
                </c:pt>
                <c:pt idx="45">
                  <c:v>-83.966703193535466</c:v>
                </c:pt>
                <c:pt idx="46">
                  <c:v>-83.393603605606543</c:v>
                </c:pt>
                <c:pt idx="47">
                  <c:v>-82.766330029977667</c:v>
                </c:pt>
                <c:pt idx="48">
                  <c:v>-82.080329467230811</c:v>
                </c:pt>
                <c:pt idx="49">
                  <c:v>-81.33040685338959</c:v>
                </c:pt>
                <c:pt idx="50">
                  <c:v>-80.511350631590503</c:v>
                </c:pt>
                <c:pt idx="51">
                  <c:v>-79.617360092288521</c:v>
                </c:pt>
                <c:pt idx="52">
                  <c:v>-78.642890588026134</c:v>
                </c:pt>
                <c:pt idx="53">
                  <c:v>-77.581946516732458</c:v>
                </c:pt>
                <c:pt idx="54">
                  <c:v>-76.429244920356666</c:v>
                </c:pt>
                <c:pt idx="55">
                  <c:v>-75.176801600274899</c:v>
                </c:pt>
                <c:pt idx="56">
                  <c:v>-73.820506931395499</c:v>
                </c:pt>
                <c:pt idx="57">
                  <c:v>-72.354115285201289</c:v>
                </c:pt>
                <c:pt idx="58">
                  <c:v>-70.774042856193745</c:v>
                </c:pt>
                <c:pt idx="59">
                  <c:v>-69.075424939020223</c:v>
                </c:pt>
                <c:pt idx="60">
                  <c:v>-67.256879702014174</c:v>
                </c:pt>
                <c:pt idx="61">
                  <c:v>-65.317592560504465</c:v>
                </c:pt>
                <c:pt idx="62">
                  <c:v>-63.257984577460235</c:v>
                </c:pt>
                <c:pt idx="63">
                  <c:v>-61.084063459017443</c:v>
                </c:pt>
                <c:pt idx="64">
                  <c:v>-58.80098190232026</c:v>
                </c:pt>
                <c:pt idx="65">
                  <c:v>-56.419485499090818</c:v>
                </c:pt>
                <c:pt idx="66">
                  <c:v>-53.952412221391469</c:v>
                </c:pt>
                <c:pt idx="67">
                  <c:v>-51.416126343979364</c:v>
                </c:pt>
                <c:pt idx="68">
                  <c:v>-48.828514887837983</c:v>
                </c:pt>
                <c:pt idx="69">
                  <c:v>-46.210942295864406</c:v>
                </c:pt>
                <c:pt idx="70">
                  <c:v>-43.584847075596272</c:v>
                </c:pt>
                <c:pt idx="71">
                  <c:v>-40.973115933410647</c:v>
                </c:pt>
                <c:pt idx="72">
                  <c:v>-38.397011789300251</c:v>
                </c:pt>
                <c:pt idx="73">
                  <c:v>-35.877580618095628</c:v>
                </c:pt>
                <c:pt idx="74">
                  <c:v>-33.432449975067428</c:v>
                </c:pt>
                <c:pt idx="75">
                  <c:v>-31.077595485361545</c:v>
                </c:pt>
                <c:pt idx="76">
                  <c:v>-28.825084940073527</c:v>
                </c:pt>
                <c:pt idx="77">
                  <c:v>-26.68514607351818</c:v>
                </c:pt>
                <c:pt idx="78">
                  <c:v>-24.664159309566937</c:v>
                </c:pt>
                <c:pt idx="79">
                  <c:v>-22.766975323457753</c:v>
                </c:pt>
                <c:pt idx="80">
                  <c:v>-20.991758648304629</c:v>
                </c:pt>
                <c:pt idx="81">
                  <c:v>-19.340385940650165</c:v>
                </c:pt>
                <c:pt idx="82">
                  <c:v>-17.809365806125076</c:v>
                </c:pt>
                <c:pt idx="83">
                  <c:v>-16.396162635202742</c:v>
                </c:pt>
                <c:pt idx="84">
                  <c:v>-15.095163888790729</c:v>
                </c:pt>
                <c:pt idx="85">
                  <c:v>-13.902010175362276</c:v>
                </c:pt>
                <c:pt idx="86">
                  <c:v>-12.811006446791449</c:v>
                </c:pt>
                <c:pt idx="87">
                  <c:v>-11.816005778614914</c:v>
                </c:pt>
                <c:pt idx="88">
                  <c:v>-10.912345151859975</c:v>
                </c:pt>
                <c:pt idx="89">
                  <c:v>-10.093796277566319</c:v>
                </c:pt>
                <c:pt idx="90">
                  <c:v>-9.3554480171041074</c:v>
                </c:pt>
                <c:pt idx="91">
                  <c:v>-8.6922674622227731</c:v>
                </c:pt>
                <c:pt idx="92">
                  <c:v>-8.0997062792780206</c:v>
                </c:pt>
                <c:pt idx="93">
                  <c:v>-7.5733304086805999</c:v>
                </c:pt>
                <c:pt idx="94">
                  <c:v>-7.45167919721505</c:v>
                </c:pt>
                <c:pt idx="95">
                  <c:v>-7.3919317759415453</c:v>
                </c:pt>
                <c:pt idx="96">
                  <c:v>-7.3338162345959788</c:v>
                </c:pt>
                <c:pt idx="97">
                  <c:v>-7.2759859862595366</c:v>
                </c:pt>
                <c:pt idx="98">
                  <c:v>-7.2197518305478994</c:v>
                </c:pt>
                <c:pt idx="99">
                  <c:v>-7.1637969455931394</c:v>
                </c:pt>
                <c:pt idx="100">
                  <c:v>-7.109403854612883</c:v>
                </c:pt>
                <c:pt idx="101">
                  <c:v>-7.0553267864293874</c:v>
                </c:pt>
                <c:pt idx="102">
                  <c:v>-7.0027762896965884</c:v>
                </c:pt>
                <c:pt idx="103">
                  <c:v>-6.950499473111738</c:v>
                </c:pt>
                <c:pt idx="104">
                  <c:v>-6.8997175832017286</c:v>
                </c:pt>
                <c:pt idx="105">
                  <c:v>-6.8492469279399355</c:v>
                </c:pt>
                <c:pt idx="106">
                  <c:v>-6.8002385261453071</c:v>
                </c:pt>
                <c:pt idx="107">
                  <c:v>-6.75157491963704</c:v>
                </c:pt>
                <c:pt idx="108">
                  <c:v>-6.7043400862918601</c:v>
                </c:pt>
                <c:pt idx="109">
                  <c:v>-6.6574484876652731</c:v>
                </c:pt>
                <c:pt idx="110">
                  <c:v>-6.6119534458234375</c:v>
                </c:pt>
                <c:pt idx="111">
                  <c:v>-6.5667726633276793</c:v>
                </c:pt>
                <c:pt idx="112">
                  <c:v>-6.5229591421295465</c:v>
                </c:pt>
                <c:pt idx="113">
                  <c:v>-6.4794937490077</c:v>
                </c:pt>
                <c:pt idx="114">
                  <c:v>-6.43736541560743</c:v>
                </c:pt>
                <c:pt idx="115">
                  <c:v>-6.3955893499186836</c:v>
                </c:pt>
                <c:pt idx="116">
                  <c:v>-6.3551210689038031</c:v>
                </c:pt>
                <c:pt idx="117">
                  <c:v>-6.3150107058728162</c:v>
                </c:pt>
                <c:pt idx="118">
                  <c:v>-6.276179688941335</c:v>
                </c:pt>
                <c:pt idx="119">
                  <c:v>-6.2377364977429934</c:v>
                </c:pt>
                <c:pt idx="120">
                  <c:v>-6.2005434803856891</c:v>
                </c:pt>
                <c:pt idx="121">
                  <c:v>-6.1637434803808357</c:v>
                </c:pt>
                <c:pt idx="122">
                  <c:v>-6.1281653518671275</c:v>
                </c:pt>
                <c:pt idx="123">
                  <c:v>-6.0929666237345668</c:v>
                </c:pt>
                <c:pt idx="124">
                  <c:v>-6.0589636193179848</c:v>
                </c:pt>
                <c:pt idx="125">
                  <c:v>-6.0253688713706008</c:v>
                </c:pt>
                <c:pt idx="126">
                  <c:v>-5.9929429591985999</c:v>
                </c:pt>
                <c:pt idx="127">
                  <c:v>-5.9609336517374549</c:v>
                </c:pt>
                <c:pt idx="128">
                  <c:v>-5.9300669665602372</c:v>
                </c:pt>
                <c:pt idx="129">
                  <c:v>-5.8996260501525422</c:v>
                </c:pt>
                <c:pt idx="130">
                  <c:v>-5.8703021649050529</c:v>
                </c:pt>
                <c:pt idx="131">
                  <c:v>-5.841413915953459</c:v>
                </c:pt>
                <c:pt idx="132">
                  <c:v>-5.8273816259043221</c:v>
                </c:pt>
                <c:pt idx="133">
                  <c:v>-5.8136176838790279</c:v>
                </c:pt>
                <c:pt idx="134">
                  <c:v>-5.7997998160181155</c:v>
                </c:pt>
                <c:pt idx="135">
                  <c:v>-5.7862537166042207</c:v>
                </c:pt>
                <c:pt idx="136">
                  <c:v>-5.7729747468877237</c:v>
                </c:pt>
                <c:pt idx="137">
                  <c:v>-5.7599583728525028</c:v>
                </c:pt>
                <c:pt idx="138">
                  <c:v>-5.7469134652657079</c:v>
                </c:pt>
                <c:pt idx="139">
                  <c:v>-5.7341339432221154</c:v>
                </c:pt>
                <c:pt idx="140">
                  <c:v>-5.7216152779316776</c:v>
                </c:pt>
                <c:pt idx="141">
                  <c:v>-5.7093530428340786</c:v>
                </c:pt>
                <c:pt idx="142">
                  <c:v>-5.6970611345832047</c:v>
                </c:pt>
                <c:pt idx="143">
                  <c:v>-5.685028890384908</c:v>
                </c:pt>
                <c:pt idx="144">
                  <c:v>-5.6732518757587584</c:v>
                </c:pt>
                <c:pt idx="145">
                  <c:v>-5.6617257564004744</c:v>
                </c:pt>
                <c:pt idx="146">
                  <c:v>-5.650187906282647</c:v>
                </c:pt>
                <c:pt idx="147">
                  <c:v>-5.638903838758905</c:v>
                </c:pt>
                <c:pt idx="148">
                  <c:v>-5.6278692188981303</c:v>
                </c:pt>
                <c:pt idx="149">
                  <c:v>-5.6170798097161292</c:v>
                </c:pt>
                <c:pt idx="150">
                  <c:v>-5.6062903960525476</c:v>
                </c:pt>
                <c:pt idx="151">
                  <c:v>-5.5957489926868824</c:v>
                </c:pt>
                <c:pt idx="152">
                  <c:v>-5.5854513626040241</c:v>
                </c:pt>
                <c:pt idx="153">
                  <c:v>-5.5753933645373133</c:v>
                </c:pt>
                <c:pt idx="154">
                  <c:v>-5.56534253165814</c:v>
                </c:pt>
                <c:pt idx="155">
                  <c:v>-5.5555342622718094</c:v>
                </c:pt>
                <c:pt idx="156">
                  <c:v>-5.5459644100884846</c:v>
                </c:pt>
                <c:pt idx="157">
                  <c:v>-5.5366289225666536</c:v>
                </c:pt>
                <c:pt idx="158">
                  <c:v>-5.5273129759378614</c:v>
                </c:pt>
                <c:pt idx="159">
                  <c:v>-5.5182342190231628</c:v>
                </c:pt>
                <c:pt idx="160">
                  <c:v>-5.5093885954700301</c:v>
                </c:pt>
                <c:pt idx="161">
                  <c:v>-5.500772140680688</c:v>
                </c:pt>
                <c:pt idx="162">
                  <c:v>-5.4921912535825221</c:v>
                </c:pt>
                <c:pt idx="163">
                  <c:v>-5.483842052353423</c:v>
                </c:pt>
                <c:pt idx="164">
                  <c:v>-5.4757205749644502</c:v>
                </c:pt>
                <c:pt idx="165">
                  <c:v>-5.4678229489991566</c:v>
                </c:pt>
                <c:pt idx="166">
                  <c:v>-5.4599658747016075</c:v>
                </c:pt>
                <c:pt idx="167">
                  <c:v>-5.4523354639308499</c:v>
                </c:pt>
                <c:pt idx="168">
                  <c:v>-5.4449278377191428</c:v>
                </c:pt>
                <c:pt idx="169">
                  <c:v>-5.4377392048907982</c:v>
                </c:pt>
                <c:pt idx="170">
                  <c:v>-5.4306185496111752</c:v>
                </c:pt>
                <c:pt idx="171">
                  <c:v>-5.4237186608588841</c:v>
                </c:pt>
                <c:pt idx="172">
                  <c:v>-5.4170357660976336</c:v>
                </c:pt>
                <c:pt idx="173">
                  <c:v>-5.4105661780441201</c:v>
                </c:pt>
                <c:pt idx="174">
                  <c:v>-5.4041511590632316</c:v>
                </c:pt>
                <c:pt idx="175">
                  <c:v>-5.3979527531285161</c:v>
                </c:pt>
                <c:pt idx="176">
                  <c:v>-5.3919672505927378</c:v>
                </c:pt>
                <c:pt idx="177">
                  <c:v>-5.3861910258153189</c:v>
                </c:pt>
                <c:pt idx="178">
                  <c:v>-5.3804861176102428</c:v>
                </c:pt>
                <c:pt idx="179">
                  <c:v>-5.3749934604270724</c:v>
                </c:pt>
                <c:pt idx="180">
                  <c:v>-5.3697094136922079</c:v>
                </c:pt>
                <c:pt idx="181">
                  <c:v>-5.3646304193929364</c:v>
                </c:pt>
                <c:pt idx="182">
                  <c:v>-5.359657483941616</c:v>
                </c:pt>
                <c:pt idx="183">
                  <c:v>-5.3548906599574089</c:v>
                </c:pt>
                <c:pt idx="184">
                  <c:v>-5.3503264223790268</c:v>
                </c:pt>
                <c:pt idx="185">
                  <c:v>-5.3459613258473899</c:v>
                </c:pt>
                <c:pt idx="186">
                  <c:v>-5.341680279746357</c:v>
                </c:pt>
                <c:pt idx="187">
                  <c:v>-5.3376023328482782</c:v>
                </c:pt>
                <c:pt idx="188">
                  <c:v>-5.3337239965018775</c:v>
                </c:pt>
                <c:pt idx="189">
                  <c:v>-5.330041861265201</c:v>
                </c:pt>
                <c:pt idx="190">
                  <c:v>-5.3264878596468987</c:v>
                </c:pt>
                <c:pt idx="191">
                  <c:v>-5.3231307115559749</c:v>
                </c:pt>
                <c:pt idx="192">
                  <c:v>-5.3199670483867214</c:v>
                </c:pt>
                <c:pt idx="193">
                  <c:v>-5.3169935777180104</c:v>
                </c:pt>
                <c:pt idx="194">
                  <c:v>-5.3141365134413974</c:v>
                </c:pt>
                <c:pt idx="195">
                  <c:v>-5.3114729565992871</c:v>
                </c:pt>
                <c:pt idx="196">
                  <c:v>-5.3089995853154717</c:v>
                </c:pt>
                <c:pt idx="197">
                  <c:v>-5.3067131530656502</c:v>
                </c:pt>
                <c:pt idx="198">
                  <c:v>-5.3045664753327566</c:v>
                </c:pt>
                <c:pt idx="199">
                  <c:v>-5.3026083902681673</c:v>
                </c:pt>
                <c:pt idx="200">
                  <c:v>-5.300835663683733</c:v>
                </c:pt>
                <c:pt idx="201">
                  <c:v>-5.2992451346647442</c:v>
                </c:pt>
                <c:pt idx="202">
                  <c:v>-5.2978054065062716</c:v>
                </c:pt>
                <c:pt idx="203">
                  <c:v>-5.2965493266800845</c:v>
                </c:pt>
                <c:pt idx="204">
                  <c:v>-5.2954737503037723</c:v>
                </c:pt>
                <c:pt idx="205">
                  <c:v>-5.2945756036275728</c:v>
                </c:pt>
                <c:pt idx="206">
                  <c:v>-5.2938363303983706</c:v>
                </c:pt>
                <c:pt idx="207">
                  <c:v>-5.2932769677606863</c:v>
                </c:pt>
                <c:pt idx="208">
                  <c:v>-5.2928944300694436</c:v>
                </c:pt>
                <c:pt idx="209">
                  <c:v>-5.292685701562295</c:v>
                </c:pt>
                <c:pt idx="210">
                  <c:v>-5.2926491692808018</c:v>
                </c:pt>
                <c:pt idx="211">
                  <c:v>-5.2927898329046954</c:v>
                </c:pt>
                <c:pt idx="212">
                  <c:v>-5.2931046404166766</c:v>
                </c:pt>
                <c:pt idx="213">
                  <c:v>-5.2935906091934344</c:v>
                </c:pt>
                <c:pt idx="214">
                  <c:v>-5.2942595555568399</c:v>
                </c:pt>
                <c:pt idx="215">
                  <c:v>-5.2951004997502285</c:v>
                </c:pt>
                <c:pt idx="216">
                  <c:v>-5.2961104878650636</c:v>
                </c:pt>
                <c:pt idx="217">
                  <c:v>-5.2972866329419066</c:v>
                </c:pt>
                <c:pt idx="218">
                  <c:v>-5.298658537752722</c:v>
                </c:pt>
                <c:pt idx="219">
                  <c:v>-5.3001983603602225</c:v>
                </c:pt>
                <c:pt idx="220">
                  <c:v>-5.3019032170560951</c:v>
                </c:pt>
                <c:pt idx="221">
                  <c:v>-5.3037702894645387</c:v>
                </c:pt>
                <c:pt idx="222">
                  <c:v>-5.3058437964475189</c:v>
                </c:pt>
                <c:pt idx="223">
                  <c:v>-5.3080810768519644</c:v>
                </c:pt>
                <c:pt idx="224">
                  <c:v>-5.3104793195467046</c:v>
                </c:pt>
                <c:pt idx="225">
                  <c:v>-5.3130357770329191</c:v>
                </c:pt>
                <c:pt idx="226">
                  <c:v>-5.3158173157051856</c:v>
                </c:pt>
                <c:pt idx="227">
                  <c:v>-5.3187594066100523</c:v>
                </c:pt>
                <c:pt idx="228">
                  <c:v>-5.3218592881884579</c:v>
                </c:pt>
                <c:pt idx="229">
                  <c:v>-5.3251142614939857</c:v>
                </c:pt>
                <c:pt idx="230">
                  <c:v>-5.3322557669656847</c:v>
                </c:pt>
                <c:pt idx="231">
                  <c:v>-5.3360595928517007</c:v>
                </c:pt>
                <c:pt idx="232">
                  <c:v>-5.3400152520245525</c:v>
                </c:pt>
                <c:pt idx="233">
                  <c:v>-5.3442193964824733</c:v>
                </c:pt>
                <c:pt idx="234">
                  <c:v>-5.3485772458030958</c:v>
                </c:pt>
                <c:pt idx="235">
                  <c:v>-5.3530861497743176</c:v>
                </c:pt>
                <c:pt idx="236">
                  <c:v>-5.3577435183582232</c:v>
                </c:pt>
                <c:pt idx="237">
                  <c:v>-5.362645771459154</c:v>
                </c:pt>
                <c:pt idx="238">
                  <c:v>-5.3676973119617335</c:v>
                </c:pt>
                <c:pt idx="239">
                  <c:v>-5.3728955718512097</c:v>
                </c:pt>
                <c:pt idx="240">
                  <c:v>-5.3782380412517075</c:v>
                </c:pt>
                <c:pt idx="241">
                  <c:v>-5.3838643256747796</c:v>
                </c:pt>
                <c:pt idx="242">
                  <c:v>-5.389637121611953</c:v>
                </c:pt>
                <c:pt idx="243">
                  <c:v>-5.39555390164832</c:v>
                </c:pt>
                <c:pt idx="244">
                  <c:v>-5.4016121957142502</c:v>
                </c:pt>
                <c:pt idx="245">
                  <c:v>-5.4079484851409516</c:v>
                </c:pt>
                <c:pt idx="246">
                  <c:v>-5.414427587888663</c:v>
                </c:pt>
                <c:pt idx="247">
                  <c:v>-5.4210470414256937</c:v>
                </c:pt>
                <c:pt idx="248">
                  <c:v>-5.4278044390304343</c:v>
                </c:pt>
                <c:pt idx="249">
                  <c:v>-5.4348672242978866</c:v>
                </c:pt>
                <c:pt idx="250">
                  <c:v>-5.4420698247473789</c:v>
                </c:pt>
                <c:pt idx="251">
                  <c:v>-5.4494098252583978</c:v>
                </c:pt>
                <c:pt idx="252">
                  <c:v>-5.4568848655011628</c:v>
                </c:pt>
                <c:pt idx="253">
                  <c:v>-5.4646550672507788</c:v>
                </c:pt>
                <c:pt idx="254">
                  <c:v>-5.4725612785857649</c:v>
                </c:pt>
                <c:pt idx="255">
                  <c:v>-5.4806011531545602</c:v>
                </c:pt>
                <c:pt idx="256">
                  <c:v>-5.4887723977236869</c:v>
                </c:pt>
                <c:pt idx="257">
                  <c:v>-5.4972895024559296</c:v>
                </c:pt>
                <c:pt idx="258">
                  <c:v>-5.5059401475369638</c:v>
                </c:pt>
                <c:pt idx="259">
                  <c:v>-5.5147220214326413</c:v>
                </c:pt>
                <c:pt idx="260">
                  <c:v>-5.5236328650662916</c:v>
                </c:pt>
                <c:pt idx="261">
                  <c:v>-5.5328773266597002</c:v>
                </c:pt>
                <c:pt idx="262">
                  <c:v>-5.5422520689387405</c:v>
                </c:pt>
                <c:pt idx="263">
                  <c:v>-5.5517548360404101</c:v>
                </c:pt>
                <c:pt idx="264">
                  <c:v>-5.5613834232610957</c:v>
                </c:pt>
                <c:pt idx="265">
                  <c:v>-5.5713537807045039</c:v>
                </c:pt>
                <c:pt idx="266">
                  <c:v>-5.5814511110620524</c:v>
                </c:pt>
                <c:pt idx="267">
                  <c:v>-5.5916732158851072</c:v>
                </c:pt>
                <c:pt idx="268">
                  <c:v>-5.6020179465241515</c:v>
                </c:pt>
                <c:pt idx="269">
                  <c:v>-5.6127374602430846</c:v>
                </c:pt>
                <c:pt idx="270">
                  <c:v>-5.6235811875012356</c:v>
                </c:pt>
                <c:pt idx="271">
                  <c:v>-5.6345469735358966</c:v>
                </c:pt>
                <c:pt idx="272">
                  <c:v>-5.6456327124270409</c:v>
                </c:pt>
                <c:pt idx="273">
                  <c:v>-5.6571019889310383</c:v>
                </c:pt>
                <c:pt idx="274">
                  <c:v>-5.6686926291361894</c:v>
                </c:pt>
                <c:pt idx="275">
                  <c:v>-5.6804025247087724</c:v>
                </c:pt>
                <c:pt idx="276">
                  <c:v>-5.692229615109424</c:v>
                </c:pt>
                <c:pt idx="277">
                  <c:v>-5.7044207419491038</c:v>
                </c:pt>
                <c:pt idx="278">
                  <c:v>-5.7167297827763592</c:v>
                </c:pt>
                <c:pt idx="279">
                  <c:v>-5.7291546916738181</c:v>
                </c:pt>
                <c:pt idx="280">
                  <c:v>-5.7416934689799826</c:v>
                </c:pt>
                <c:pt idx="281">
                  <c:v>-5.7546883811196272</c:v>
                </c:pt>
                <c:pt idx="282">
                  <c:v>-5.7677992823961688</c:v>
                </c:pt>
                <c:pt idx="283">
                  <c:v>-5.7810241501051198</c:v>
                </c:pt>
                <c:pt idx="284">
                  <c:v>-5.7943610074295968</c:v>
                </c:pt>
                <c:pt idx="285">
                  <c:v>-5.8080750021835765</c:v>
                </c:pt>
                <c:pt idx="286">
                  <c:v>-5.8219014486846632</c:v>
                </c:pt>
                <c:pt idx="287">
                  <c:v>-5.8358383896930874</c:v>
                </c:pt>
                <c:pt idx="288">
                  <c:v>-5.8498839122087407</c:v>
                </c:pt>
                <c:pt idx="289">
                  <c:v>-5.8644035513858528</c:v>
                </c:pt>
                <c:pt idx="290">
                  <c:v>-5.8790335199890702</c:v>
                </c:pt>
                <c:pt idx="291">
                  <c:v>-5.8937718897765938</c:v>
                </c:pt>
                <c:pt idx="292">
                  <c:v>-5.9086167761859087</c:v>
                </c:pt>
                <c:pt idx="293">
                  <c:v>-5.9239130331339238</c:v>
                </c:pt>
                <c:pt idx="294">
                  <c:v>-5.9393169304231908</c:v>
                </c:pt>
                <c:pt idx="295">
                  <c:v>-5.9548265838327206</c:v>
                </c:pt>
                <c:pt idx="296">
                  <c:v>-5.9704401518005117</c:v>
                </c:pt>
                <c:pt idx="297">
                  <c:v>-5.9865119740783248</c:v>
                </c:pt>
                <c:pt idx="298">
                  <c:v>-6.0026886947260047</c:v>
                </c:pt>
                <c:pt idx="299">
                  <c:v>-6.0189684752283554</c:v>
                </c:pt>
                <c:pt idx="300">
                  <c:v>-6.0353495186496628</c:v>
                </c:pt>
                <c:pt idx="301">
                  <c:v>-6.0521952067706621</c:v>
                </c:pt>
                <c:pt idx="302">
                  <c:v>-6.0691430127085653</c:v>
                </c:pt>
                <c:pt idx="303">
                  <c:v>-6.0861911449598791</c:v>
                </c:pt>
                <c:pt idx="304">
                  <c:v>-6.1033378524733264</c:v>
                </c:pt>
                <c:pt idx="305">
                  <c:v>-6.1210230827295042</c:v>
                </c:pt>
                <c:pt idx="306">
                  <c:v>-6.1388083831558049</c:v>
                </c:pt>
                <c:pt idx="307">
                  <c:v>-6.1566919902556956</c:v>
                </c:pt>
                <c:pt idx="308">
                  <c:v>-6.1746721804200932</c:v>
                </c:pt>
                <c:pt idx="309">
                  <c:v>-6.1931291704178735</c:v>
                </c:pt>
                <c:pt idx="310">
                  <c:v>-6.2116833473407693</c:v>
                </c:pt>
                <c:pt idx="311">
                  <c:v>-6.2303329978555482</c:v>
                </c:pt>
                <c:pt idx="312">
                  <c:v>-6.2490764472783145</c:v>
                </c:pt>
                <c:pt idx="313">
                  <c:v>-6.2683726014052112</c:v>
                </c:pt>
                <c:pt idx="314">
                  <c:v>-6.2877637478409421</c:v>
                </c:pt>
                <c:pt idx="315">
                  <c:v>-6.3072482054820309</c:v>
                </c:pt>
                <c:pt idx="316">
                  <c:v>-6.3268243311659544</c:v>
                </c:pt>
                <c:pt idx="317">
                  <c:v>-6.3469598458653271</c:v>
                </c:pt>
                <c:pt idx="318">
                  <c:v>-6.367188077292111</c:v>
                </c:pt>
                <c:pt idx="319">
                  <c:v>-6.3875073788080599</c:v>
                </c:pt>
                <c:pt idx="320">
                  <c:v>-6.4079161409325822</c:v>
                </c:pt>
                <c:pt idx="321">
                  <c:v>-6.4288904898559247</c:v>
                </c:pt>
                <c:pt idx="322">
                  <c:v>-6.4499552137763594</c:v>
                </c:pt>
                <c:pt idx="323">
                  <c:v>-6.4711087023739733</c:v>
                </c:pt>
                <c:pt idx="324">
                  <c:v>-6.4923493816396176</c:v>
                </c:pt>
                <c:pt idx="325">
                  <c:v>-6.5141613857795182</c:v>
                </c:pt>
                <c:pt idx="326">
                  <c:v>-6.5360613705615238</c:v>
                </c:pt>
                <c:pt idx="327">
                  <c:v>-6.5580477634816496</c:v>
                </c:pt>
                <c:pt idx="328">
                  <c:v>-6.5801190274470267</c:v>
                </c:pt>
                <c:pt idx="329">
                  <c:v>-6.6028048653376432</c:v>
                </c:pt>
                <c:pt idx="330">
                  <c:v>-6.6255765329118788</c:v>
                </c:pt>
                <c:pt idx="331">
                  <c:v>-6.6484324890327731</c:v>
                </c:pt>
                <c:pt idx="332">
                  <c:v>-6.6713712272599501</c:v>
                </c:pt>
                <c:pt idx="333">
                  <c:v>-6.6948917658878448</c:v>
                </c:pt>
                <c:pt idx="334">
                  <c:v>-6.7184956462181775</c:v>
                </c:pt>
                <c:pt idx="335">
                  <c:v>-6.7421813675478859</c:v>
                </c:pt>
                <c:pt idx="336">
                  <c:v>-6.7659474628770724</c:v>
                </c:pt>
                <c:pt idx="337">
                  <c:v>-6.7903779142548411</c:v>
                </c:pt>
                <c:pt idx="338">
                  <c:v>-6.8148897148651022</c:v>
                </c:pt>
                <c:pt idx="339">
                  <c:v>-6.8394813911017573</c:v>
                </c:pt>
                <c:pt idx="340">
                  <c:v>-6.8641515024588298</c:v>
                </c:pt>
                <c:pt idx="341">
                  <c:v>-6.8894916093674698</c:v>
                </c:pt>
                <c:pt idx="342">
                  <c:v>-6.9149109948575571</c:v>
                </c:pt>
                <c:pt idx="343">
                  <c:v>-6.9404082144016845</c:v>
                </c:pt>
                <c:pt idx="344">
                  <c:v>-6.9659818559026672</c:v>
                </c:pt>
                <c:pt idx="345">
                  <c:v>-6.9921906817080464</c:v>
                </c:pt>
                <c:pt idx="346">
                  <c:v>-7.0184764176565198</c:v>
                </c:pt>
                <c:pt idx="347">
                  <c:v>-7.0448376563176405</c:v>
                </c:pt>
                <c:pt idx="348">
                  <c:v>-7.0712730217745587</c:v>
                </c:pt>
                <c:pt idx="349">
                  <c:v>-7.0984286069817939</c:v>
                </c:pt>
                <c:pt idx="350">
                  <c:v>-7.1256591536598037</c:v>
                </c:pt>
                <c:pt idx="351">
                  <c:v>-7.1529632798736325</c:v>
                </c:pt>
                <c:pt idx="352">
                  <c:v>-7.1803396346229453</c:v>
                </c:pt>
                <c:pt idx="353">
                  <c:v>-7.2084412567722342</c:v>
                </c:pt>
                <c:pt idx="354">
                  <c:v>-7.2366158175473938</c:v>
                </c:pt>
                <c:pt idx="355">
                  <c:v>-7.2648619622879957</c:v>
                </c:pt>
                <c:pt idx="356">
                  <c:v>-7.2931783666284868</c:v>
                </c:pt>
                <c:pt idx="357">
                  <c:v>-7.3221833613269949</c:v>
                </c:pt>
                <c:pt idx="358">
                  <c:v>-7.3512590101322743</c:v>
                </c:pt>
                <c:pt idx="359">
                  <c:v>-7.3804039927048164</c:v>
                </c:pt>
                <c:pt idx="360">
                  <c:v>-7.4096170181433649</c:v>
                </c:pt>
                <c:pt idx="361">
                  <c:v>-7.4396056872737208</c:v>
                </c:pt>
                <c:pt idx="362">
                  <c:v>-7.4696630800527997</c:v>
                </c:pt>
                <c:pt idx="363">
                  <c:v>-7.4997879003198635</c:v>
                </c:pt>
                <c:pt idx="364">
                  <c:v>-7.5299788807887875</c:v>
                </c:pt>
                <c:pt idx="365">
                  <c:v>-7.5609078636425258</c:v>
                </c:pt>
                <c:pt idx="366">
                  <c:v>-7.5919033907656237</c:v>
                </c:pt>
                <c:pt idx="367">
                  <c:v>-7.622964196836854</c:v>
                </c:pt>
                <c:pt idx="368">
                  <c:v>-7.6540890446409771</c:v>
                </c:pt>
                <c:pt idx="369">
                  <c:v>-7.6860402434977413</c:v>
                </c:pt>
                <c:pt idx="370">
                  <c:v>-7.7180561131975907</c:v>
                </c:pt>
                <c:pt idx="371">
                  <c:v>-7.7501354101660356</c:v>
                </c:pt>
                <c:pt idx="372">
                  <c:v>-7.7822769184267413</c:v>
                </c:pt>
                <c:pt idx="373">
                  <c:v>-7.8152061949060085</c:v>
                </c:pt>
                <c:pt idx="374">
                  <c:v>-7.8481980330598695</c:v>
                </c:pt>
                <c:pt idx="375">
                  <c:v>-7.8812512173270663</c:v>
                </c:pt>
                <c:pt idx="376">
                  <c:v>-7.9143645590441247</c:v>
                </c:pt>
                <c:pt idx="377">
                  <c:v>-7.9483551072934695</c:v>
                </c:pt>
                <c:pt idx="378">
                  <c:v>-7.9824063711192883</c:v>
                </c:pt>
                <c:pt idx="379">
                  <c:v>-8.0165171547766771</c:v>
                </c:pt>
                <c:pt idx="380">
                  <c:v>-8.0506862889512316</c:v>
                </c:pt>
                <c:pt idx="381">
                  <c:v>-8.0856497666453375</c:v>
                </c:pt>
                <c:pt idx="382">
                  <c:v>-8.1206717477062575</c:v>
                </c:pt>
                <c:pt idx="383">
                  <c:v>-8.1557510663668591</c:v>
                </c:pt>
                <c:pt idx="384">
                  <c:v>-8.1908865825172033</c:v>
                </c:pt>
                <c:pt idx="385">
                  <c:v>-8.2269500048445892</c:v>
                </c:pt>
                <c:pt idx="386">
                  <c:v>-8.2630700998847182</c:v>
                </c:pt>
                <c:pt idx="387">
                  <c:v>-8.2992457198371667</c:v>
                </c:pt>
                <c:pt idx="388">
                  <c:v>-8.3354757421289634</c:v>
                </c:pt>
                <c:pt idx="389">
                  <c:v>-8.3725932817043471</c:v>
                </c:pt>
                <c:pt idx="390">
                  <c:v>-8.4097654533837503</c:v>
                </c:pt>
                <c:pt idx="391">
                  <c:v>-8.4469911328161675</c:v>
                </c:pt>
                <c:pt idx="392">
                  <c:v>-8.4842692202801366</c:v>
                </c:pt>
                <c:pt idx="393">
                  <c:v>-8.5224375887525561</c:v>
                </c:pt>
                <c:pt idx="394">
                  <c:v>-8.5606584963853773</c:v>
                </c:pt>
                <c:pt idx="395">
                  <c:v>-8.598930843106908</c:v>
                </c:pt>
                <c:pt idx="396">
                  <c:v>-8.637253552845209</c:v>
                </c:pt>
                <c:pt idx="397">
                  <c:v>-8.6765577523119095</c:v>
                </c:pt>
                <c:pt idx="398">
                  <c:v>-8.7159125788125884</c:v>
                </c:pt>
                <c:pt idx="399">
                  <c:v>-8.755316949937745</c:v>
                </c:pt>
                <c:pt idx="400">
                  <c:v>-8.7947698068315923</c:v>
                </c:pt>
                <c:pt idx="401">
                  <c:v>-8.8351623080169563</c:v>
                </c:pt>
                <c:pt idx="402">
                  <c:v>-8.8756033418066114</c:v>
                </c:pt>
                <c:pt idx="403">
                  <c:v>-8.9160918481650633</c:v>
                </c:pt>
                <c:pt idx="404">
                  <c:v>-8.9566267900199925</c:v>
                </c:pt>
                <c:pt idx="405">
                  <c:v>-8.9981482876638879</c:v>
                </c:pt>
                <c:pt idx="406">
                  <c:v>-9.0397162726669702</c:v>
                </c:pt>
                <c:pt idx="407">
                  <c:v>-9.0813297046559853</c:v>
                </c:pt>
                <c:pt idx="408">
                  <c:v>-9.1229875657005746</c:v>
                </c:pt>
                <c:pt idx="409">
                  <c:v>-9.1656790539897308</c:v>
                </c:pt>
                <c:pt idx="410">
                  <c:v>-9.2084150155803162</c:v>
                </c:pt>
                <c:pt idx="411">
                  <c:v>-9.2511944273671851</c:v>
                </c:pt>
                <c:pt idx="412">
                  <c:v>-9.294016288228045</c:v>
                </c:pt>
                <c:pt idx="413">
                  <c:v>-9.3378737729719781</c:v>
                </c:pt>
                <c:pt idx="414">
                  <c:v>-9.3817736451167058</c:v>
                </c:pt>
                <c:pt idx="415">
                  <c:v>-9.425714899780516</c:v>
                </c:pt>
                <c:pt idx="416">
                  <c:v>-9.4696965535687134</c:v>
                </c:pt>
                <c:pt idx="417">
                  <c:v>-9.5147608384306182</c:v>
                </c:pt>
                <c:pt idx="418">
                  <c:v>-9.559865439865483</c:v>
                </c:pt>
                <c:pt idx="419">
                  <c:v>-9.6050093690161109</c:v>
                </c:pt>
                <c:pt idx="420">
                  <c:v>-9.6501916580706268</c:v>
                </c:pt>
                <c:pt idx="421">
                  <c:v>-9.6964126142148324</c:v>
                </c:pt>
                <c:pt idx="422">
                  <c:v>-9.7426716671945375</c:v>
                </c:pt>
                <c:pt idx="423">
                  <c:v>-9.7889678478921383</c:v>
                </c:pt>
                <c:pt idx="424">
                  <c:v>-9.8353002076808238</c:v>
                </c:pt>
                <c:pt idx="425">
                  <c:v>-9.8828091897259274</c:v>
                </c:pt>
                <c:pt idx="426">
                  <c:v>-9.9303542004475283</c:v>
                </c:pt>
                <c:pt idx="427">
                  <c:v>-9.9779342826833535</c:v>
                </c:pt>
                <c:pt idx="428">
                  <c:v>-10.025548499417782</c:v>
                </c:pt>
                <c:pt idx="429">
                  <c:v>-10.074294817683336</c:v>
                </c:pt>
                <c:pt idx="430">
                  <c:v>-10.123074940616595</c:v>
                </c:pt>
                <c:pt idx="431">
                  <c:v>-10.171887926726425</c:v>
                </c:pt>
                <c:pt idx="432">
                  <c:v>-10.220732854211203</c:v>
                </c:pt>
                <c:pt idx="433">
                  <c:v>-10.270710601342955</c:v>
                </c:pt>
                <c:pt idx="434">
                  <c:v>-10.320719856984685</c:v>
                </c:pt>
                <c:pt idx="435">
                  <c:v>-10.370759695934622</c:v>
                </c:pt>
                <c:pt idx="436">
                  <c:v>-10.420829212198697</c:v>
                </c:pt>
                <c:pt idx="437">
                  <c:v>-10.472123965950553</c:v>
                </c:pt>
                <c:pt idx="438">
                  <c:v>-10.523447968210338</c:v>
                </c:pt>
                <c:pt idx="439">
                  <c:v>-10.574800305663249</c:v>
                </c:pt>
                <c:pt idx="440">
                  <c:v>-10.626180083833622</c:v>
                </c:pt>
                <c:pt idx="441">
                  <c:v>-10.678785449485165</c:v>
                </c:pt>
                <c:pt idx="442">
                  <c:v>-10.731417713493876</c:v>
                </c:pt>
                <c:pt idx="443">
                  <c:v>-10.784075975232261</c:v>
                </c:pt>
                <c:pt idx="444">
                  <c:v>-10.836759352512971</c:v>
                </c:pt>
                <c:pt idx="445">
                  <c:v>-10.890668307247806</c:v>
                </c:pt>
                <c:pt idx="446">
                  <c:v>-10.944601725309445</c:v>
                </c:pt>
                <c:pt idx="447">
                  <c:v>-10.998558719387429</c:v>
                </c:pt>
                <c:pt idx="448">
                  <c:v>-11.052538420187638</c:v>
                </c:pt>
                <c:pt idx="449">
                  <c:v>-11.107835904601009</c:v>
                </c:pt>
                <c:pt idx="450">
                  <c:v>-11.163155409275248</c:v>
                </c:pt>
                <c:pt idx="451">
                  <c:v>-11.218496056335155</c:v>
                </c:pt>
                <c:pt idx="452">
                  <c:v>-11.27385698559466</c:v>
                </c:pt>
                <c:pt idx="453">
                  <c:v>-11.330488844090262</c:v>
                </c:pt>
                <c:pt idx="454">
                  <c:v>-11.387140146861473</c:v>
                </c:pt>
                <c:pt idx="455">
                  <c:v>-11.443810028331038</c:v>
                </c:pt>
                <c:pt idx="456">
                  <c:v>-11.500497640199475</c:v>
                </c:pt>
                <c:pt idx="457">
                  <c:v>-11.558548037594459</c:v>
                </c:pt>
                <c:pt idx="458">
                  <c:v>-11.61661527116417</c:v>
                </c:pt>
                <c:pt idx="459">
                  <c:v>-11.674698483965017</c:v>
                </c:pt>
                <c:pt idx="460">
                  <c:v>-11.732796836009658</c:v>
                </c:pt>
                <c:pt idx="461">
                  <c:v>-11.792256803269707</c:v>
                </c:pt>
                <c:pt idx="462">
                  <c:v>-11.851730893014249</c:v>
                </c:pt>
                <c:pt idx="463">
                  <c:v>-11.91121825758939</c:v>
                </c:pt>
                <c:pt idx="464">
                  <c:v>-11.970718065951344</c:v>
                </c:pt>
                <c:pt idx="465">
                  <c:v>-12.031624435494392</c:v>
                </c:pt>
                <c:pt idx="466">
                  <c:v>-12.092542128981773</c:v>
                </c:pt>
                <c:pt idx="467">
                  <c:v>-12.153470306661315</c:v>
                </c:pt>
                <c:pt idx="468">
                  <c:v>-12.214408145074067</c:v>
                </c:pt>
                <c:pt idx="469">
                  <c:v>-12.276750659774542</c:v>
                </c:pt>
                <c:pt idx="470">
                  <c:v>-12.339101590089474</c:v>
                </c:pt>
                <c:pt idx="471">
                  <c:v>-12.401460104728811</c:v>
                </c:pt>
                <c:pt idx="472">
                  <c:v>-12.463825388358339</c:v>
                </c:pt>
                <c:pt idx="473">
                  <c:v>-12.527686170390874</c:v>
                </c:pt>
                <c:pt idx="474">
                  <c:v>-12.591552368061731</c:v>
                </c:pt>
                <c:pt idx="475">
                  <c:v>-12.655423155405652</c:v>
                </c:pt>
                <c:pt idx="476">
                  <c:v>-12.719297722149729</c:v>
                </c:pt>
                <c:pt idx="477">
                  <c:v>-12.784665158013336</c:v>
                </c:pt>
                <c:pt idx="478">
                  <c:v>-12.850034883320761</c:v>
                </c:pt>
                <c:pt idx="479">
                  <c:v>-12.915406078064768</c:v>
                </c:pt>
                <c:pt idx="480">
                  <c:v>-12.980777937645273</c:v>
                </c:pt>
                <c:pt idx="481">
                  <c:v>-13.047639618948525</c:v>
                </c:pt>
                <c:pt idx="482">
                  <c:v>-13.114500340722307</c:v>
                </c:pt>
                <c:pt idx="483">
                  <c:v>-13.18135928943115</c:v>
                </c:pt>
                <c:pt idx="484">
                  <c:v>-13.24821566664434</c:v>
                </c:pt>
                <c:pt idx="485">
                  <c:v>-13.316604959029659</c:v>
                </c:pt>
                <c:pt idx="486">
                  <c:v>-13.384989916732223</c:v>
                </c:pt>
                <c:pt idx="487">
                  <c:v>-13.453369731461617</c:v>
                </c:pt>
                <c:pt idx="488">
                  <c:v>-13.521743609756907</c:v>
                </c:pt>
                <c:pt idx="489">
                  <c:v>-13.591739582046138</c:v>
                </c:pt>
                <c:pt idx="490">
                  <c:v>-13.661727694322007</c:v>
                </c:pt>
                <c:pt idx="491">
                  <c:v>-13.731707140808318</c:v>
                </c:pt>
                <c:pt idx="492">
                  <c:v>-13.801677130346338</c:v>
                </c:pt>
                <c:pt idx="493">
                  <c:v>-13.873264810827751</c:v>
                </c:pt>
                <c:pt idx="494">
                  <c:v>-13.944840958203692</c:v>
                </c:pt>
                <c:pt idx="495">
                  <c:v>-14.016404769824467</c:v>
                </c:pt>
                <c:pt idx="496">
                  <c:v>-14.087955457428887</c:v>
                </c:pt>
                <c:pt idx="497">
                  <c:v>-14.16116544943152</c:v>
                </c:pt>
                <c:pt idx="498">
                  <c:v>-14.234360070326941</c:v>
                </c:pt>
                <c:pt idx="499">
                  <c:v>-14.307538519602771</c:v>
                </c:pt>
                <c:pt idx="500">
                  <c:v>-14.380700010928626</c:v>
                </c:pt>
                <c:pt idx="501">
                  <c:v>-14.455561850322544</c:v>
                </c:pt>
                <c:pt idx="502">
                  <c:v>-14.53040430280214</c:v>
                </c:pt>
                <c:pt idx="503">
                  <c:v>-14.605226569075324</c:v>
                </c:pt>
                <c:pt idx="504">
                  <c:v>-14.680027863847162</c:v>
                </c:pt>
                <c:pt idx="505">
                  <c:v>-14.756523558267091</c:v>
                </c:pt>
                <c:pt idx="506">
                  <c:v>-14.832995688342205</c:v>
                </c:pt>
                <c:pt idx="507">
                  <c:v>-14.909443456592893</c:v>
                </c:pt>
                <c:pt idx="508">
                  <c:v>-14.985866079339948</c:v>
                </c:pt>
                <c:pt idx="509">
                  <c:v>-15.064022981108003</c:v>
                </c:pt>
                <c:pt idx="510">
                  <c:v>-15.142151948483965</c:v>
                </c:pt>
                <c:pt idx="511">
                  <c:v>-15.220252184924387</c:v>
                </c:pt>
                <c:pt idx="512">
                  <c:v>-15.298322907513267</c:v>
                </c:pt>
                <c:pt idx="513">
                  <c:v>-15.378213368572732</c:v>
                </c:pt>
                <c:pt idx="514">
                  <c:v>-15.458071281452721</c:v>
                </c:pt>
                <c:pt idx="515">
                  <c:v>-15.537895848376028</c:v>
                </c:pt>
                <c:pt idx="516">
                  <c:v>-15.61768628507402</c:v>
                </c:pt>
                <c:pt idx="517">
                  <c:v>-15.699288662784808</c:v>
                </c:pt>
                <c:pt idx="518">
                  <c:v>-15.780853691748478</c:v>
                </c:pt>
                <c:pt idx="519">
                  <c:v>-15.862380573671576</c:v>
                </c:pt>
                <c:pt idx="520">
                  <c:v>-15.94386852364093</c:v>
                </c:pt>
                <c:pt idx="521">
                  <c:v>-16.02720614981407</c:v>
                </c:pt>
                <c:pt idx="522">
                  <c:v>-16.110501395281936</c:v>
                </c:pt>
                <c:pt idx="523">
                  <c:v>-16.193753460597641</c:v>
                </c:pt>
                <c:pt idx="524">
                  <c:v>-16.276961559589392</c:v>
                </c:pt>
                <c:pt idx="525">
                  <c:v>-16.362056273393755</c:v>
                </c:pt>
                <c:pt idx="526">
                  <c:v>-16.447103330286357</c:v>
                </c:pt>
                <c:pt idx="527">
                  <c:v>-16.532101929116347</c:v>
                </c:pt>
                <c:pt idx="528">
                  <c:v>-16.617051281926255</c:v>
                </c:pt>
                <c:pt idx="529">
                  <c:v>-16.703923348477083</c:v>
                </c:pt>
                <c:pt idx="530">
                  <c:v>-16.790742224883346</c:v>
                </c:pt>
                <c:pt idx="531">
                  <c:v>-16.877507107831338</c:v>
                </c:pt>
                <c:pt idx="532">
                  <c:v>-16.964217207142415</c:v>
                </c:pt>
                <c:pt idx="533">
                  <c:v>-17.052930996628866</c:v>
                </c:pt>
                <c:pt idx="534">
                  <c:v>-17.141585731696921</c:v>
                </c:pt>
                <c:pt idx="535">
                  <c:v>-17.230180605270231</c:v>
                </c:pt>
                <c:pt idx="536">
                  <c:v>-17.318714823400136</c:v>
                </c:pt>
                <c:pt idx="537">
                  <c:v>-17.409195555630632</c:v>
                </c:pt>
                <c:pt idx="538">
                  <c:v>-17.499611207999756</c:v>
                </c:pt>
                <c:pt idx="539">
                  <c:v>-17.589960971915708</c:v>
                </c:pt>
                <c:pt idx="540">
                  <c:v>-17.680244051877747</c:v>
                </c:pt>
                <c:pt idx="541">
                  <c:v>-17.772598160748505</c:v>
                </c:pt>
                <c:pt idx="542">
                  <c:v>-17.864880739205706</c:v>
                </c:pt>
                <c:pt idx="543">
                  <c:v>-17.957090974542194</c:v>
                </c:pt>
                <c:pt idx="544">
                  <c:v>-18.049228067183392</c:v>
                </c:pt>
                <c:pt idx="545">
                  <c:v>-18.143422910281437</c:v>
                </c:pt>
                <c:pt idx="546">
                  <c:v>-18.237539530246185</c:v>
                </c:pt>
                <c:pt idx="547">
                  <c:v>-18.331577111474861</c:v>
                </c:pt>
                <c:pt idx="548">
                  <c:v>-18.425534851538302</c:v>
                </c:pt>
                <c:pt idx="549">
                  <c:v>-18.521581569979794</c:v>
                </c:pt>
                <c:pt idx="550">
                  <c:v>-18.617543054161828</c:v>
                </c:pt>
                <c:pt idx="551">
                  <c:v>-18.713418485698213</c:v>
                </c:pt>
                <c:pt idx="552">
                  <c:v>-18.809207059444638</c:v>
                </c:pt>
                <c:pt idx="553">
                  <c:v>-18.907159767519897</c:v>
                </c:pt>
                <c:pt idx="554">
                  <c:v>-19.005019814779846</c:v>
                </c:pt>
                <c:pt idx="555">
                  <c:v>-19.102786379187918</c:v>
                </c:pt>
                <c:pt idx="556">
                  <c:v>-19.200458652069898</c:v>
                </c:pt>
                <c:pt idx="557">
                  <c:v>-19.400088426649205</c:v>
                </c:pt>
                <c:pt idx="558">
                  <c:v>-19.599313155185463</c:v>
                </c:pt>
                <c:pt idx="559">
                  <c:v>-19.80267859045593</c:v>
                </c:pt>
                <c:pt idx="560">
                  <c:v>-20.005606790192314</c:v>
                </c:pt>
                <c:pt idx="561">
                  <c:v>-20.212889978010899</c:v>
                </c:pt>
                <c:pt idx="562">
                  <c:v>-20.41970148461424</c:v>
                </c:pt>
                <c:pt idx="563">
                  <c:v>-20.630457307260244</c:v>
                </c:pt>
                <c:pt idx="564">
                  <c:v>-20.840707572725758</c:v>
                </c:pt>
                <c:pt idx="565">
                  <c:v>-21.055726688880622</c:v>
                </c:pt>
                <c:pt idx="566">
                  <c:v>-21.270200964689174</c:v>
                </c:pt>
                <c:pt idx="567">
                  <c:v>-21.489377329608214</c:v>
                </c:pt>
                <c:pt idx="568">
                  <c:v>-21.707968216170766</c:v>
                </c:pt>
                <c:pt idx="569">
                  <c:v>-21.930321039451137</c:v>
                </c:pt>
                <c:pt idx="570">
                  <c:v>-22.152051354552704</c:v>
                </c:pt>
                <c:pt idx="571">
                  <c:v>-22.379213290396105</c:v>
                </c:pt>
                <c:pt idx="572">
                  <c:v>-22.605704644363637</c:v>
                </c:pt>
                <c:pt idx="573">
                  <c:v>-22.835821796961085</c:v>
                </c:pt>
                <c:pt idx="574">
                  <c:v>-23.065229306768508</c:v>
                </c:pt>
                <c:pt idx="575">
                  <c:v>-23.299906853988237</c:v>
                </c:pt>
                <c:pt idx="576">
                  <c:v>-23.533823903065812</c:v>
                </c:pt>
                <c:pt idx="577">
                  <c:v>-24.515564981263907</c:v>
                </c:pt>
                <c:pt idx="578">
                  <c:v>-25.483142504780215</c:v>
                </c:pt>
                <c:pt idx="579">
                  <c:v>-27.552310061143217</c:v>
                </c:pt>
                <c:pt idx="580">
                  <c:v>-29.740047680407237</c:v>
                </c:pt>
                <c:pt idx="581">
                  <c:v>-32.035696687029187</c:v>
                </c:pt>
                <c:pt idx="582">
                  <c:v>-34.430021852762764</c:v>
                </c:pt>
                <c:pt idx="583">
                  <c:v>-36.907446649805543</c:v>
                </c:pt>
                <c:pt idx="584">
                  <c:v>-39.453117555328078</c:v>
                </c:pt>
                <c:pt idx="585">
                  <c:v>-42.046376770343052</c:v>
                </c:pt>
                <c:pt idx="586">
                  <c:v>-44.666505194085019</c:v>
                </c:pt>
                <c:pt idx="587">
                  <c:v>-47.292759032951992</c:v>
                </c:pt>
                <c:pt idx="588">
                  <c:v>-49.900325621736378</c:v>
                </c:pt>
                <c:pt idx="589">
                  <c:v>-52.469763251901711</c:v>
                </c:pt>
                <c:pt idx="590">
                  <c:v>-54.980159377990311</c:v>
                </c:pt>
                <c:pt idx="591">
                  <c:v>-57.414121024695632</c:v>
                </c:pt>
                <c:pt idx="592">
                  <c:v>-59.756517632658216</c:v>
                </c:pt>
                <c:pt idx="593">
                  <c:v>-61.996285037005322</c:v>
                </c:pt>
                <c:pt idx="594">
                  <c:v>-64.124181822985278</c:v>
                </c:pt>
                <c:pt idx="595">
                  <c:v>-66.134976452460364</c:v>
                </c:pt>
                <c:pt idx="596">
                  <c:v>-68.025309979192954</c:v>
                </c:pt>
                <c:pt idx="597">
                  <c:v>-69.794987693926046</c:v>
                </c:pt>
                <c:pt idx="598">
                  <c:v>-71.444938943992042</c:v>
                </c:pt>
                <c:pt idx="599">
                  <c:v>-72.978514130365198</c:v>
                </c:pt>
                <c:pt idx="600">
                  <c:v>-74.399581031728431</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62.5988738366229</c:v>
                </c:pt>
                <c:pt idx="1">
                  <c:v>62.598873123144941</c:v>
                </c:pt>
                <c:pt idx="2">
                  <c:v>62.598872265425712</c:v>
                </c:pt>
                <c:pt idx="3">
                  <c:v>62.598871234279791</c:v>
                </c:pt>
                <c:pt idx="4">
                  <c:v>62.59886999549876</c:v>
                </c:pt>
                <c:pt idx="5">
                  <c:v>62.598868504704228</c:v>
                </c:pt>
                <c:pt idx="6">
                  <c:v>62.598866713040934</c:v>
                </c:pt>
                <c:pt idx="7">
                  <c:v>62.598864558347017</c:v>
                </c:pt>
                <c:pt idx="8">
                  <c:v>62.598861968954495</c:v>
                </c:pt>
                <c:pt idx="9">
                  <c:v>62.59885885479018</c:v>
                </c:pt>
                <c:pt idx="10">
                  <c:v>62.598855111586296</c:v>
                </c:pt>
                <c:pt idx="11">
                  <c:v>62.598850611728366</c:v>
                </c:pt>
                <c:pt idx="12">
                  <c:v>62.59884519917015</c:v>
                </c:pt>
                <c:pt idx="13">
                  <c:v>62.598838695050027</c:v>
                </c:pt>
                <c:pt idx="14">
                  <c:v>62.598830873079471</c:v>
                </c:pt>
                <c:pt idx="15">
                  <c:v>62.598821469638906</c:v>
                </c:pt>
                <c:pt idx="16">
                  <c:v>62.598810164111747</c:v>
                </c:pt>
                <c:pt idx="17">
                  <c:v>62.598796573820024</c:v>
                </c:pt>
                <c:pt idx="18">
                  <c:v>62.598780232201435</c:v>
                </c:pt>
                <c:pt idx="19">
                  <c:v>62.598760587419761</c:v>
                </c:pt>
                <c:pt idx="20">
                  <c:v>62.598736967061058</c:v>
                </c:pt>
                <c:pt idx="21">
                  <c:v>62.598708572362497</c:v>
                </c:pt>
                <c:pt idx="22">
                  <c:v>62.59867443091472</c:v>
                </c:pt>
                <c:pt idx="23">
                  <c:v>62.598633389866613</c:v>
                </c:pt>
                <c:pt idx="24">
                  <c:v>62.598584042304495</c:v>
                </c:pt>
                <c:pt idx="25">
                  <c:v>62.598524715711051</c:v>
                </c:pt>
                <c:pt idx="26">
                  <c:v>62.59845337433682</c:v>
                </c:pt>
                <c:pt idx="27">
                  <c:v>62.598367611693348</c:v>
                </c:pt>
                <c:pt idx="28">
                  <c:v>62.598264510516813</c:v>
                </c:pt>
                <c:pt idx="29">
                  <c:v>62.598140651790473</c:v>
                </c:pt>
                <c:pt idx="30">
                  <c:v>62.597991600370392</c:v>
                </c:pt>
                <c:pt idx="31">
                  <c:v>62.597812474540468</c:v>
                </c:pt>
                <c:pt idx="32">
                  <c:v>62.597597063709962</c:v>
                </c:pt>
                <c:pt idx="33">
                  <c:v>62.597338209058591</c:v>
                </c:pt>
                <c:pt idx="34">
                  <c:v>62.597026914947719</c:v>
                </c:pt>
                <c:pt idx="35">
                  <c:v>62.596652771313032</c:v>
                </c:pt>
                <c:pt idx="36">
                  <c:v>62.596203040947671</c:v>
                </c:pt>
                <c:pt idx="37">
                  <c:v>62.595662154466289</c:v>
                </c:pt>
                <c:pt idx="38">
                  <c:v>62.595012275979059</c:v>
                </c:pt>
                <c:pt idx="39">
                  <c:v>62.594230850195501</c:v>
                </c:pt>
                <c:pt idx="40">
                  <c:v>62.593291620676574</c:v>
                </c:pt>
                <c:pt idx="41">
                  <c:v>62.592162678591599</c:v>
                </c:pt>
                <c:pt idx="42">
                  <c:v>62.590805976463784</c:v>
                </c:pt>
                <c:pt idx="43">
                  <c:v>62.589175177540497</c:v>
                </c:pt>
                <c:pt idx="44">
                  <c:v>62.587215557721969</c:v>
                </c:pt>
                <c:pt idx="45">
                  <c:v>62.584860541414436</c:v>
                </c:pt>
                <c:pt idx="46">
                  <c:v>62.582031210615312</c:v>
                </c:pt>
                <c:pt idx="47">
                  <c:v>62.578631712114394</c:v>
                </c:pt>
                <c:pt idx="48">
                  <c:v>62.574548755998904</c:v>
                </c:pt>
                <c:pt idx="49">
                  <c:v>62.569644540205339</c:v>
                </c:pt>
                <c:pt idx="50">
                  <c:v>62.563755968299859</c:v>
                </c:pt>
                <c:pt idx="51">
                  <c:v>62.556685475450081</c:v>
                </c:pt>
                <c:pt idx="52">
                  <c:v>62.548201032502703</c:v>
                </c:pt>
                <c:pt idx="53">
                  <c:v>62.538023340163093</c:v>
                </c:pt>
                <c:pt idx="54">
                  <c:v>62.525828222258653</c:v>
                </c:pt>
                <c:pt idx="55">
                  <c:v>62.51119819855365</c:v>
                </c:pt>
                <c:pt idx="56">
                  <c:v>62.493681643790005</c:v>
                </c:pt>
                <c:pt idx="57">
                  <c:v>62.472710589901084</c:v>
                </c:pt>
                <c:pt idx="58">
                  <c:v>62.447644261781186</c:v>
                </c:pt>
                <c:pt idx="59">
                  <c:v>62.417691608426367</c:v>
                </c:pt>
                <c:pt idx="60">
                  <c:v>62.381964703193972</c:v>
                </c:pt>
                <c:pt idx="61">
                  <c:v>62.339408106143878</c:v>
                </c:pt>
                <c:pt idx="62">
                  <c:v>62.288775839063184</c:v>
                </c:pt>
                <c:pt idx="63">
                  <c:v>62.228716873361307</c:v>
                </c:pt>
                <c:pt idx="64">
                  <c:v>62.157591471585064</c:v>
                </c:pt>
                <c:pt idx="65">
                  <c:v>62.073627199773249</c:v>
                </c:pt>
                <c:pt idx="66">
                  <c:v>61.97482108184694</c:v>
                </c:pt>
                <c:pt idx="67">
                  <c:v>61.859002459132668</c:v>
                </c:pt>
                <c:pt idx="68">
                  <c:v>61.723783582824936</c:v>
                </c:pt>
                <c:pt idx="69">
                  <c:v>61.566722756642314</c:v>
                </c:pt>
                <c:pt idx="70">
                  <c:v>61.385250499470693</c:v>
                </c:pt>
                <c:pt idx="71">
                  <c:v>61.176886026982366</c:v>
                </c:pt>
                <c:pt idx="72">
                  <c:v>60.939185978749521</c:v>
                </c:pt>
                <c:pt idx="73">
                  <c:v>60.670045096376342</c:v>
                </c:pt>
                <c:pt idx="74">
                  <c:v>60.367581587827097</c:v>
                </c:pt>
                <c:pt idx="75">
                  <c:v>60.030488350063287</c:v>
                </c:pt>
                <c:pt idx="76">
                  <c:v>59.657888191182707</c:v>
                </c:pt>
                <c:pt idx="77">
                  <c:v>59.24973237837019</c:v>
                </c:pt>
                <c:pt idx="78">
                  <c:v>58.806509656300079</c:v>
                </c:pt>
                <c:pt idx="79">
                  <c:v>58.329676254014693</c:v>
                </c:pt>
                <c:pt idx="80">
                  <c:v>57.820152841530401</c:v>
                </c:pt>
                <c:pt idx="81">
                  <c:v>57.280888532219606</c:v>
                </c:pt>
                <c:pt idx="82">
                  <c:v>56.714218781931734</c:v>
                </c:pt>
                <c:pt idx="83">
                  <c:v>56.123574258711379</c:v>
                </c:pt>
                <c:pt idx="84">
                  <c:v>55.511754183678875</c:v>
                </c:pt>
                <c:pt idx="85">
                  <c:v>54.882495563433444</c:v>
                </c:pt>
                <c:pt idx="86">
                  <c:v>54.239186382922981</c:v>
                </c:pt>
                <c:pt idx="87">
                  <c:v>53.584987837152809</c:v>
                </c:pt>
                <c:pt idx="88">
                  <c:v>52.924050319269156</c:v>
                </c:pt>
                <c:pt idx="89">
                  <c:v>52.259377536606749</c:v>
                </c:pt>
                <c:pt idx="90">
                  <c:v>51.594766166745174</c:v>
                </c:pt>
                <c:pt idx="91">
                  <c:v>50.933732399360451</c:v>
                </c:pt>
                <c:pt idx="92">
                  <c:v>50.279982539926067</c:v>
                </c:pt>
                <c:pt idx="93">
                  <c:v>49.63699893747912</c:v>
                </c:pt>
                <c:pt idx="94">
                  <c:v>49.478453310766454</c:v>
                </c:pt>
                <c:pt idx="95">
                  <c:v>49.399053174031749</c:v>
                </c:pt>
                <c:pt idx="96">
                  <c:v>49.320810931302603</c:v>
                </c:pt>
                <c:pt idx="97">
                  <c:v>49.24193060439319</c:v>
                </c:pt>
                <c:pt idx="98">
                  <c:v>49.16421682447762</c:v>
                </c:pt>
                <c:pt idx="99">
                  <c:v>49.085866363100891</c:v>
                </c:pt>
                <c:pt idx="100">
                  <c:v>49.008691392800266</c:v>
                </c:pt>
                <c:pt idx="101">
                  <c:v>48.930941750526017</c:v>
                </c:pt>
                <c:pt idx="102">
                  <c:v>48.854375012692643</c:v>
                </c:pt>
                <c:pt idx="103">
                  <c:v>48.77718157927066</c:v>
                </c:pt>
                <c:pt idx="104">
                  <c:v>48.701180421092147</c:v>
                </c:pt>
                <c:pt idx="105">
                  <c:v>48.624616736993652</c:v>
                </c:pt>
                <c:pt idx="106">
                  <c:v>48.549253081660986</c:v>
                </c:pt>
                <c:pt idx="107">
                  <c:v>48.473388563468433</c:v>
                </c:pt>
                <c:pt idx="108">
                  <c:v>48.398730259859477</c:v>
                </c:pt>
                <c:pt idx="109">
                  <c:v>48.323579528907601</c:v>
                </c:pt>
                <c:pt idx="110">
                  <c:v>48.249641316149322</c:v>
                </c:pt>
                <c:pt idx="111">
                  <c:v>48.175172457769165</c:v>
                </c:pt>
                <c:pt idx="112">
                  <c:v>48.101924076446664</c:v>
                </c:pt>
                <c:pt idx="113">
                  <c:v>48.028208960832316</c:v>
                </c:pt>
                <c:pt idx="114">
                  <c:v>47.95572059645734</c:v>
                </c:pt>
                <c:pt idx="115">
                  <c:v>47.882780828076825</c:v>
                </c:pt>
                <c:pt idx="116">
                  <c:v>47.811074003799455</c:v>
                </c:pt>
                <c:pt idx="117">
                  <c:v>47.738933123970249</c:v>
                </c:pt>
                <c:pt idx="118">
                  <c:v>47.668031237068966</c:v>
                </c:pt>
                <c:pt idx="119">
                  <c:v>47.596757361947965</c:v>
                </c:pt>
                <c:pt idx="120">
                  <c:v>47.526726831329881</c:v>
                </c:pt>
                <c:pt idx="121">
                  <c:v>47.456342281999824</c:v>
                </c:pt>
                <c:pt idx="122">
                  <c:v>47.387205254209249</c:v>
                </c:pt>
                <c:pt idx="123">
                  <c:v>47.317693973517635</c:v>
                </c:pt>
                <c:pt idx="124">
                  <c:v>47.249435594861438</c:v>
                </c:pt>
                <c:pt idx="125">
                  <c:v>47.180865481455413</c:v>
                </c:pt>
                <c:pt idx="126">
                  <c:v>47.113551870239888</c:v>
                </c:pt>
                <c:pt idx="127">
                  <c:v>47.045949103882521</c:v>
                </c:pt>
                <c:pt idx="128">
                  <c:v>46.979606103278314</c:v>
                </c:pt>
                <c:pt idx="129">
                  <c:v>46.912997807456811</c:v>
                </c:pt>
                <c:pt idx="130">
                  <c:v>46.847652156084585</c:v>
                </c:pt>
                <c:pt idx="131">
                  <c:v>46.782066222184568</c:v>
                </c:pt>
                <c:pt idx="132">
                  <c:v>46.749749406396674</c:v>
                </c:pt>
                <c:pt idx="133">
                  <c:v>46.717745381676366</c:v>
                </c:pt>
                <c:pt idx="134">
                  <c:v>46.68530102702541</c:v>
                </c:pt>
                <c:pt idx="135">
                  <c:v>46.653177312719826</c:v>
                </c:pt>
                <c:pt idx="136">
                  <c:v>46.621370676718222</c:v>
                </c:pt>
                <c:pt idx="137">
                  <c:v>46.58987760918103</c:v>
                </c:pt>
                <c:pt idx="138">
                  <c:v>46.557990252773934</c:v>
                </c:pt>
                <c:pt idx="139">
                  <c:v>46.526423602414212</c:v>
                </c:pt>
                <c:pt idx="140">
                  <c:v>46.495174066843667</c:v>
                </c:pt>
                <c:pt idx="141">
                  <c:v>46.464238107736477</c:v>
                </c:pt>
                <c:pt idx="142">
                  <c:v>46.432889730193367</c:v>
                </c:pt>
                <c:pt idx="143">
                  <c:v>46.401862638894293</c:v>
                </c:pt>
                <c:pt idx="144">
                  <c:v>46.371153203748236</c:v>
                </c:pt>
                <c:pt idx="145">
                  <c:v>46.340757848550844</c:v>
                </c:pt>
                <c:pt idx="146">
                  <c:v>46.309979814443778</c:v>
                </c:pt>
                <c:pt idx="147">
                  <c:v>46.279523173675727</c:v>
                </c:pt>
                <c:pt idx="148">
                  <c:v>46.249384264365162</c:v>
                </c:pt>
                <c:pt idx="149">
                  <c:v>46.219559479371469</c:v>
                </c:pt>
                <c:pt idx="150">
                  <c:v>46.18936650110038</c:v>
                </c:pt>
                <c:pt idx="151">
                  <c:v>46.159494873075666</c:v>
                </c:pt>
                <c:pt idx="152">
                  <c:v>46.129940903414735</c:v>
                </c:pt>
                <c:pt idx="153">
                  <c:v>46.100700955836189</c:v>
                </c:pt>
                <c:pt idx="154">
                  <c:v>46.071094145053792</c:v>
                </c:pt>
                <c:pt idx="155">
                  <c:v>46.041808780133657</c:v>
                </c:pt>
                <c:pt idx="156">
                  <c:v>46.012841136140459</c:v>
                </c:pt>
                <c:pt idx="157">
                  <c:v>45.984187544707503</c:v>
                </c:pt>
                <c:pt idx="158">
                  <c:v>45.955183187049435</c:v>
                </c:pt>
                <c:pt idx="159">
                  <c:v>45.926500191353966</c:v>
                </c:pt>
                <c:pt idx="160">
                  <c:v>45.898134802201909</c:v>
                </c:pt>
                <c:pt idx="161">
                  <c:v>45.870083321709032</c:v>
                </c:pt>
                <c:pt idx="162">
                  <c:v>45.841709851360008</c:v>
                </c:pt>
                <c:pt idx="163">
                  <c:v>45.81365719732689</c:v>
                </c:pt>
                <c:pt idx="164">
                  <c:v>45.785921581487436</c:v>
                </c:pt>
                <c:pt idx="165">
                  <c:v>45.758499284114656</c:v>
                </c:pt>
                <c:pt idx="166">
                  <c:v>45.730747103659716</c:v>
                </c:pt>
                <c:pt idx="167">
                  <c:v>45.703315579184789</c:v>
                </c:pt>
                <c:pt idx="168">
                  <c:v>45.67620090298184</c:v>
                </c:pt>
                <c:pt idx="169">
                  <c:v>45.649399326797521</c:v>
                </c:pt>
                <c:pt idx="170">
                  <c:v>45.622342023464874</c:v>
                </c:pt>
                <c:pt idx="171">
                  <c:v>45.595603681410012</c:v>
                </c:pt>
                <c:pt idx="172">
                  <c:v>45.569180490852538</c:v>
                </c:pt>
                <c:pt idx="173">
                  <c:v>45.54306870201296</c:v>
                </c:pt>
                <c:pt idx="174">
                  <c:v>45.516618045689256</c:v>
                </c:pt>
                <c:pt idx="175">
                  <c:v>45.490486896730779</c:v>
                </c:pt>
                <c:pt idx="176">
                  <c:v>45.464671403655444</c:v>
                </c:pt>
                <c:pt idx="177">
                  <c:v>45.439167776424661</c:v>
                </c:pt>
                <c:pt idx="178">
                  <c:v>45.413356574426544</c:v>
                </c:pt>
                <c:pt idx="179">
                  <c:v>45.387864902033385</c:v>
                </c:pt>
                <c:pt idx="180">
                  <c:v>45.362688875904659</c:v>
                </c:pt>
                <c:pt idx="181">
                  <c:v>45.33782467545705</c:v>
                </c:pt>
                <c:pt idx="182">
                  <c:v>45.31278053578756</c:v>
                </c:pt>
                <c:pt idx="183">
                  <c:v>45.288052984567166</c:v>
                </c:pt>
                <c:pt idx="184">
                  <c:v>45.263638161632016</c:v>
                </c:pt>
                <c:pt idx="185">
                  <c:v>45.239532269776284</c:v>
                </c:pt>
                <c:pt idx="186">
                  <c:v>45.215082489915304</c:v>
                </c:pt>
                <c:pt idx="187">
                  <c:v>45.190950906890066</c:v>
                </c:pt>
                <c:pt idx="188">
                  <c:v>45.167133602039826</c:v>
                </c:pt>
                <c:pt idx="189">
                  <c:v>45.143626721720445</c:v>
                </c:pt>
                <c:pt idx="190">
                  <c:v>45.119986680546695</c:v>
                </c:pt>
                <c:pt idx="191">
                  <c:v>45.096661145415531</c:v>
                </c:pt>
                <c:pt idx="192">
                  <c:v>45.073646238421325</c:v>
                </c:pt>
                <c:pt idx="193">
                  <c:v>45.050938146632198</c:v>
                </c:pt>
                <c:pt idx="194">
                  <c:v>45.027949766486593</c:v>
                </c:pt>
                <c:pt idx="195">
                  <c:v>45.005276568689247</c:v>
                </c:pt>
                <c:pt idx="196">
                  <c:v>44.982914637915002</c:v>
                </c:pt>
                <c:pt idx="197">
                  <c:v>44.960860125601215</c:v>
                </c:pt>
                <c:pt idx="198">
                  <c:v>44.938636321224685</c:v>
                </c:pt>
                <c:pt idx="199">
                  <c:v>44.916725628245082</c:v>
                </c:pt>
                <c:pt idx="200">
                  <c:v>44.895124147661733</c:v>
                </c:pt>
                <c:pt idx="201">
                  <c:v>44.87382804791239</c:v>
                </c:pt>
                <c:pt idx="202">
                  <c:v>44.852386955229669</c:v>
                </c:pt>
                <c:pt idx="203">
                  <c:v>44.831256600321808</c:v>
                </c:pt>
                <c:pt idx="204">
                  <c:v>44.810433109724372</c:v>
                </c:pt>
                <c:pt idx="205">
                  <c:v>44.789912677967109</c:v>
                </c:pt>
                <c:pt idx="206">
                  <c:v>44.769200365424012</c:v>
                </c:pt>
                <c:pt idx="207">
                  <c:v>44.748798255741846</c:v>
                </c:pt>
                <c:pt idx="208">
                  <c:v>44.728702470796208</c:v>
                </c:pt>
                <c:pt idx="209">
                  <c:v>44.70890920182989</c:v>
                </c:pt>
                <c:pt idx="210">
                  <c:v>44.688886590509384</c:v>
                </c:pt>
                <c:pt idx="211">
                  <c:v>44.669175310691756</c:v>
                </c:pt>
                <c:pt idx="212">
                  <c:v>44.649771453101401</c:v>
                </c:pt>
                <c:pt idx="213">
                  <c:v>44.630671179989314</c:v>
                </c:pt>
                <c:pt idx="214">
                  <c:v>44.611498986187158</c:v>
                </c:pt>
                <c:pt idx="215">
                  <c:v>44.592634757809563</c:v>
                </c:pt>
                <c:pt idx="216">
                  <c:v>44.57407464423558</c:v>
                </c:pt>
                <c:pt idx="217">
                  <c:v>44.555814866494046</c:v>
                </c:pt>
                <c:pt idx="218">
                  <c:v>44.537445562763516</c:v>
                </c:pt>
                <c:pt idx="219">
                  <c:v>44.519382674043548</c:v>
                </c:pt>
                <c:pt idx="220">
                  <c:v>44.50162238074072</c:v>
                </c:pt>
                <c:pt idx="221">
                  <c:v>44.484160935849019</c:v>
                </c:pt>
                <c:pt idx="222">
                  <c:v>44.466615311628544</c:v>
                </c:pt>
                <c:pt idx="223">
                  <c:v>44.449374315840586</c:v>
                </c:pt>
                <c:pt idx="224">
                  <c:v>44.432434171602907</c:v>
                </c:pt>
                <c:pt idx="225">
                  <c:v>44.415791175426762</c:v>
                </c:pt>
                <c:pt idx="226">
                  <c:v>44.399037949990081</c:v>
                </c:pt>
                <c:pt idx="227">
                  <c:v>44.382589220995939</c:v>
                </c:pt>
                <c:pt idx="228">
                  <c:v>44.366441232029892</c:v>
                </c:pt>
                <c:pt idx="229">
                  <c:v>44.35059030165155</c:v>
                </c:pt>
                <c:pt idx="230">
                  <c:v>44.31903009350215</c:v>
                </c:pt>
                <c:pt idx="231">
                  <c:v>44.303702413172914</c:v>
                </c:pt>
                <c:pt idx="232">
                  <c:v>44.288671463532424</c:v>
                </c:pt>
                <c:pt idx="233">
                  <c:v>44.273587349751161</c:v>
                </c:pt>
                <c:pt idx="234">
                  <c:v>44.258806730708642</c:v>
                </c:pt>
                <c:pt idx="235">
                  <c:v>44.244325935344023</c:v>
                </c:pt>
                <c:pt idx="236">
                  <c:v>44.230141370310619</c:v>
                </c:pt>
                <c:pt idx="237">
                  <c:v>44.215970660529322</c:v>
                </c:pt>
                <c:pt idx="238">
                  <c:v>44.202101007645105</c:v>
                </c:pt>
                <c:pt idx="239">
                  <c:v>44.188528835864261</c:v>
                </c:pt>
                <c:pt idx="240">
                  <c:v>44.17525064741352</c:v>
                </c:pt>
                <c:pt idx="241">
                  <c:v>44.161934730850909</c:v>
                </c:pt>
                <c:pt idx="242">
                  <c:v>44.148920816636014</c:v>
                </c:pt>
                <c:pt idx="243">
                  <c:v>44.136205377965361</c:v>
                </c:pt>
                <c:pt idx="244">
                  <c:v>44.123784968046884</c:v>
                </c:pt>
                <c:pt idx="245">
                  <c:v>44.111390715504413</c:v>
                </c:pt>
                <c:pt idx="246">
                  <c:v>44.099297679768917</c:v>
                </c:pt>
                <c:pt idx="247">
                  <c:v>44.087502429414215</c:v>
                </c:pt>
                <c:pt idx="248">
                  <c:v>44.076001614049076</c:v>
                </c:pt>
                <c:pt idx="249">
                  <c:v>44.064522167017543</c:v>
                </c:pt>
                <c:pt idx="250">
                  <c:v>44.053344829717112</c:v>
                </c:pt>
                <c:pt idx="251">
                  <c:v>44.042466255479908</c:v>
                </c:pt>
                <c:pt idx="252">
                  <c:v>44.031883180523977</c:v>
                </c:pt>
                <c:pt idx="253">
                  <c:v>44.021377764677553</c:v>
                </c:pt>
                <c:pt idx="254">
                  <c:v>44.011173867410626</c:v>
                </c:pt>
                <c:pt idx="255">
                  <c:v>44.001268271342475</c:v>
                </c:pt>
                <c:pt idx="256">
                  <c:v>43.991657842937705</c:v>
                </c:pt>
                <c:pt idx="257">
                  <c:v>43.982101979081143</c:v>
                </c:pt>
                <c:pt idx="258">
                  <c:v>43.972850357743908</c:v>
                </c:pt>
                <c:pt idx="259">
                  <c:v>43.96389986103771</c:v>
                </c:pt>
                <c:pt idx="260">
                  <c:v>43.955247457643729</c:v>
                </c:pt>
                <c:pt idx="261">
                  <c:v>43.94670367127403</c:v>
                </c:pt>
                <c:pt idx="262">
                  <c:v>43.938465539350126</c:v>
                </c:pt>
                <c:pt idx="263">
                  <c:v>43.930530090653022</c:v>
                </c:pt>
                <c:pt idx="264">
                  <c:v>43.922894442453867</c:v>
                </c:pt>
                <c:pt idx="265">
                  <c:v>43.915396070582695</c:v>
                </c:pt>
                <c:pt idx="266">
                  <c:v>43.908205156985247</c:v>
                </c:pt>
                <c:pt idx="267">
                  <c:v>43.901318899914273</c:v>
                </c:pt>
                <c:pt idx="268">
                  <c:v>43.894734588176789</c:v>
                </c:pt>
                <c:pt idx="269">
                  <c:v>43.888301469424427</c:v>
                </c:pt>
                <c:pt idx="270">
                  <c:v>43.882179587809382</c:v>
                </c:pt>
                <c:pt idx="271">
                  <c:v>43.876366317230392</c:v>
                </c:pt>
                <c:pt idx="272">
                  <c:v>43.870859125304989</c:v>
                </c:pt>
                <c:pt idx="273">
                  <c:v>43.86553649248966</c:v>
                </c:pt>
                <c:pt idx="274">
                  <c:v>43.860529472190976</c:v>
                </c:pt>
                <c:pt idx="275">
                  <c:v>43.855835644993384</c:v>
                </c:pt>
                <c:pt idx="276">
                  <c:v>43.851452688694735</c:v>
                </c:pt>
                <c:pt idx="277">
                  <c:v>43.847297137921863</c:v>
                </c:pt>
                <c:pt idx="278">
                  <c:v>43.843460899849461</c:v>
                </c:pt>
                <c:pt idx="279">
                  <c:v>43.839941810053702</c:v>
                </c:pt>
                <c:pt idx="280">
                  <c:v>43.836737804374607</c:v>
                </c:pt>
                <c:pt idx="281">
                  <c:v>43.83377294729307</c:v>
                </c:pt>
                <c:pt idx="282">
                  <c:v>43.831136381487816</c:v>
                </c:pt>
                <c:pt idx="283">
                  <c:v>43.828826193221111</c:v>
                </c:pt>
                <c:pt idx="284">
                  <c:v>43.826840575433401</c:v>
                </c:pt>
                <c:pt idx="285">
                  <c:v>43.825148182490629</c:v>
                </c:pt>
                <c:pt idx="286">
                  <c:v>43.823789865685612</c:v>
                </c:pt>
                <c:pt idx="287">
                  <c:v>43.822764044689919</c:v>
                </c:pt>
                <c:pt idx="288">
                  <c:v>43.822069250295328</c:v>
                </c:pt>
                <c:pt idx="289">
                  <c:v>43.821699042346225</c:v>
                </c:pt>
                <c:pt idx="290">
                  <c:v>43.821674427246876</c:v>
                </c:pt>
                <c:pt idx="291">
                  <c:v>43.821994177766939</c:v>
                </c:pt>
                <c:pt idx="292">
                  <c:v>43.822657186212794</c:v>
                </c:pt>
                <c:pt idx="293">
                  <c:v>43.82368973394739</c:v>
                </c:pt>
                <c:pt idx="294">
                  <c:v>43.825079622246584</c:v>
                </c:pt>
                <c:pt idx="295">
                  <c:v>43.826826049113158</c:v>
                </c:pt>
                <c:pt idx="296">
                  <c:v>43.82892834097472</c:v>
                </c:pt>
                <c:pt idx="297">
                  <c:v>43.831445562977848</c:v>
                </c:pt>
                <c:pt idx="298">
                  <c:v>43.834333892253774</c:v>
                </c:pt>
                <c:pt idx="299">
                  <c:v>43.837593022796838</c:v>
                </c:pt>
                <c:pt idx="300">
                  <c:v>43.841222787750226</c:v>
                </c:pt>
                <c:pt idx="301">
                  <c:v>43.845315704994299</c:v>
                </c:pt>
                <c:pt idx="302">
                  <c:v>43.849795902904553</c:v>
                </c:pt>
                <c:pt idx="303">
                  <c:v>43.854663653927858</c:v>
                </c:pt>
                <c:pt idx="304">
                  <c:v>43.859919382714914</c:v>
                </c:pt>
                <c:pt idx="305">
                  <c:v>43.865712917807741</c:v>
                </c:pt>
                <c:pt idx="306">
                  <c:v>43.871915899445106</c:v>
                </c:pt>
                <c:pt idx="307">
                  <c:v>43.87852928742501</c:v>
                </c:pt>
                <c:pt idx="308">
                  <c:v>43.885554212363104</c:v>
                </c:pt>
                <c:pt idx="309">
                  <c:v>43.893153163036168</c:v>
                </c:pt>
                <c:pt idx="310">
                  <c:v>43.901184108847815</c:v>
                </c:pt>
                <c:pt idx="311">
                  <c:v>43.909648811546688</c:v>
                </c:pt>
                <c:pt idx="312">
                  <c:v>43.918549223702612</c:v>
                </c:pt>
                <c:pt idx="313">
                  <c:v>43.928120742249178</c:v>
                </c:pt>
                <c:pt idx="314">
                  <c:v>43.938154252834124</c:v>
                </c:pt>
                <c:pt idx="315">
                  <c:v>43.948652489216983</c:v>
                </c:pt>
                <c:pt idx="316">
                  <c:v>43.959618403974488</c:v>
                </c:pt>
                <c:pt idx="317">
                  <c:v>43.971333241501597</c:v>
                </c:pt>
                <c:pt idx="318">
                  <c:v>43.983545270834163</c:v>
                </c:pt>
                <c:pt idx="319">
                  <c:v>43.996258391927221</c:v>
                </c:pt>
                <c:pt idx="320">
                  <c:v>44.009476758473625</c:v>
                </c:pt>
                <c:pt idx="321">
                  <c:v>44.023530139280219</c:v>
                </c:pt>
                <c:pt idx="322">
                  <c:v>44.038122168979292</c:v>
                </c:pt>
                <c:pt idx="323">
                  <c:v>44.053258150130922</c:v>
                </c:pt>
                <c:pt idx="324">
                  <c:v>44.068943682851007</c:v>
                </c:pt>
                <c:pt idx="325">
                  <c:v>44.085560287351967</c:v>
                </c:pt>
                <c:pt idx="326">
                  <c:v>44.102764532508274</c:v>
                </c:pt>
                <c:pt idx="327">
                  <c:v>44.120563413342573</c:v>
                </c:pt>
                <c:pt idx="328">
                  <c:v>44.138964277716035</c:v>
                </c:pt>
                <c:pt idx="329">
                  <c:v>44.158437323762016</c:v>
                </c:pt>
                <c:pt idx="330">
                  <c:v>44.178558270881965</c:v>
                </c:pt>
                <c:pt idx="331">
                  <c:v>44.199336210910715</c:v>
                </c:pt>
                <c:pt idx="332">
                  <c:v>44.220780661507192</c:v>
                </c:pt>
                <c:pt idx="333">
                  <c:v>44.243389240501926</c:v>
                </c:pt>
                <c:pt idx="334">
                  <c:v>44.26671506716248</c:v>
                </c:pt>
                <c:pt idx="335">
                  <c:v>44.290769743222967</c:v>
                </c:pt>
                <c:pt idx="336">
                  <c:v>44.315565386269064</c:v>
                </c:pt>
                <c:pt idx="337">
                  <c:v>44.341750424333995</c:v>
                </c:pt>
                <c:pt idx="338">
                  <c:v>44.368740670634594</c:v>
                </c:pt>
                <c:pt idx="339">
                  <c:v>44.396550941355393</c:v>
                </c:pt>
                <c:pt idx="340">
                  <c:v>44.425196692233719</c:v>
                </c:pt>
                <c:pt idx="341">
                  <c:v>44.455410284699994</c:v>
                </c:pt>
                <c:pt idx="342">
                  <c:v>44.486534749991748</c:v>
                </c:pt>
                <c:pt idx="343">
                  <c:v>44.518588902786192</c:v>
                </c:pt>
                <c:pt idx="344">
                  <c:v>44.551592358474196</c:v>
                </c:pt>
                <c:pt idx="345">
                  <c:v>44.586317372236444</c:v>
                </c:pt>
                <c:pt idx="346">
                  <c:v>44.622077628271001</c:v>
                </c:pt>
                <c:pt idx="347">
                  <c:v>44.658896833005272</c:v>
                </c:pt>
                <c:pt idx="348">
                  <c:v>44.696799698901813</c:v>
                </c:pt>
                <c:pt idx="349">
                  <c:v>44.736777585181187</c:v>
                </c:pt>
                <c:pt idx="350">
                  <c:v>44.777948539903221</c:v>
                </c:pt>
                <c:pt idx="351">
                  <c:v>44.820342672952229</c:v>
                </c:pt>
                <c:pt idx="352">
                  <c:v>44.863991386430222</c:v>
                </c:pt>
                <c:pt idx="353">
                  <c:v>44.910013301667576</c:v>
                </c:pt>
                <c:pt idx="354">
                  <c:v>44.957421247137617</c:v>
                </c:pt>
                <c:pt idx="355">
                  <c:v>45.006253494650096</c:v>
                </c:pt>
                <c:pt idx="356">
                  <c:v>45.056549993014684</c:v>
                </c:pt>
                <c:pt idx="357">
                  <c:v>45.109498954421213</c:v>
                </c:pt>
                <c:pt idx="358">
                  <c:v>45.164066719614283</c:v>
                </c:pt>
                <c:pt idx="359">
                  <c:v>45.220301840729306</c:v>
                </c:pt>
                <c:pt idx="360">
                  <c:v>45.27825505797022</c:v>
                </c:pt>
                <c:pt idx="361">
                  <c:v>45.33944605443051</c:v>
                </c:pt>
                <c:pt idx="362">
                  <c:v>45.402554477197256</c:v>
                </c:pt>
                <c:pt idx="363">
                  <c:v>45.467642698552659</c:v>
                </c:pt>
                <c:pt idx="364">
                  <c:v>45.53477601483317</c:v>
                </c:pt>
                <c:pt idx="365">
                  <c:v>45.605586163647786</c:v>
                </c:pt>
                <c:pt idx="366">
                  <c:v>45.678681304425822</c:v>
                </c:pt>
                <c:pt idx="367">
                  <c:v>45.754141706281601</c:v>
                </c:pt>
                <c:pt idx="368">
                  <c:v>45.832051581625464</c:v>
                </c:pt>
                <c:pt idx="369">
                  <c:v>45.914499350532211</c:v>
                </c:pt>
                <c:pt idx="370">
                  <c:v>45.999710473997212</c:v>
                </c:pt>
                <c:pt idx="371">
                  <c:v>46.087789934213454</c:v>
                </c:pt>
                <c:pt idx="372">
                  <c:v>46.178848185236738</c:v>
                </c:pt>
                <c:pt idx="373">
                  <c:v>46.275160935505014</c:v>
                </c:pt>
                <c:pt idx="374">
                  <c:v>46.374840923481095</c:v>
                </c:pt>
                <c:pt idx="375">
                  <c:v>46.478026386014307</c:v>
                </c:pt>
                <c:pt idx="376">
                  <c:v>46.58486328027869</c:v>
                </c:pt>
                <c:pt idx="377">
                  <c:v>46.698281843947257</c:v>
                </c:pt>
                <c:pt idx="378">
                  <c:v>46.81587153645998</c:v>
                </c:pt>
                <c:pt idx="379">
                  <c:v>46.937818419185781</c:v>
                </c:pt>
                <c:pt idx="380">
                  <c:v>47.064319869794396</c:v>
                </c:pt>
                <c:pt idx="381">
                  <c:v>47.198464174172294</c:v>
                </c:pt>
                <c:pt idx="382">
                  <c:v>47.337817607846461</c:v>
                </c:pt>
                <c:pt idx="383">
                  <c:v>47.482633470721268</c:v>
                </c:pt>
                <c:pt idx="384">
                  <c:v>47.633182075466792</c:v>
                </c:pt>
                <c:pt idx="385">
                  <c:v>47.79371167399934</c:v>
                </c:pt>
                <c:pt idx="386">
                  <c:v>47.960898195979411</c:v>
                </c:pt>
                <c:pt idx="387">
                  <c:v>48.135099323352399</c:v>
                </c:pt>
                <c:pt idx="388">
                  <c:v>48.316699909881187</c:v>
                </c:pt>
                <c:pt idx="389">
                  <c:v>48.51056192273353</c:v>
                </c:pt>
                <c:pt idx="390">
                  <c:v>48.713082015241511</c:v>
                </c:pt>
                <c:pt idx="391">
                  <c:v>48.924781408484975</c:v>
                </c:pt>
                <c:pt idx="392">
                  <c:v>49.146227134533092</c:v>
                </c:pt>
                <c:pt idx="393">
                  <c:v>49.383368097672211</c:v>
                </c:pt>
                <c:pt idx="394">
                  <c:v>49.632069481336103</c:v>
                </c:pt>
                <c:pt idx="395">
                  <c:v>49.893128450925701</c:v>
                </c:pt>
                <c:pt idx="396">
                  <c:v>50.167425511407529</c:v>
                </c:pt>
                <c:pt idx="397">
                  <c:v>50.46312713886401</c:v>
                </c:pt>
                <c:pt idx="398">
                  <c:v>50.774913124797436</c:v>
                </c:pt>
                <c:pt idx="399">
                  <c:v>51.104097635549728</c:v>
                </c:pt>
                <c:pt idx="400">
                  <c:v>51.452164023282442</c:v>
                </c:pt>
                <c:pt idx="401">
                  <c:v>51.829369785269101</c:v>
                </c:pt>
                <c:pt idx="402">
                  <c:v>52.230143818850593</c:v>
                </c:pt>
                <c:pt idx="403">
                  <c:v>52.656868080150531</c:v>
                </c:pt>
                <c:pt idx="404">
                  <c:v>53.112316955214197</c:v>
                </c:pt>
                <c:pt idx="405">
                  <c:v>53.611458798429865</c:v>
                </c:pt>
                <c:pt idx="406">
                  <c:v>54.148247332151257</c:v>
                </c:pt>
                <c:pt idx="407">
                  <c:v>54.727700764951486</c:v>
                </c:pt>
                <c:pt idx="408">
                  <c:v>55.355957939618612</c:v>
                </c:pt>
                <c:pt idx="409">
                  <c:v>56.057655135374688</c:v>
                </c:pt>
                <c:pt idx="410">
                  <c:v>56.828888212050131</c:v>
                </c:pt>
                <c:pt idx="411">
                  <c:v>57.683163298531468</c:v>
                </c:pt>
                <c:pt idx="412">
                  <c:v>58.638510027485431</c:v>
                </c:pt>
                <c:pt idx="413">
                  <c:v>59.746591735516851</c:v>
                </c:pt>
                <c:pt idx="414">
                  <c:v>61.02491323678268</c:v>
                </c:pt>
                <c:pt idx="415">
                  <c:v>62.532009079351496</c:v>
                </c:pt>
                <c:pt idx="416">
                  <c:v>64.363802188133135</c:v>
                </c:pt>
                <c:pt idx="417">
                  <c:v>66.757959674304118</c:v>
                </c:pt>
                <c:pt idx="418">
                  <c:v>70.079045034675843</c:v>
                </c:pt>
                <c:pt idx="419">
                  <c:v>75.523466191339722</c:v>
                </c:pt>
                <c:pt idx="420">
                  <c:v>93.278582689052826</c:v>
                </c:pt>
                <c:pt idx="421">
                  <c:v>77.930215323080191</c:v>
                </c:pt>
                <c:pt idx="422">
                  <c:v>71.21597045569969</c:v>
                </c:pt>
                <c:pt idx="423">
                  <c:v>67.490558424878273</c:v>
                </c:pt>
                <c:pt idx="424">
                  <c:v>64.906382018836581</c:v>
                </c:pt>
                <c:pt idx="425">
                  <c:v>62.888053688306385</c:v>
                </c:pt>
                <c:pt idx="426">
                  <c:v>61.26536785646109</c:v>
                </c:pt>
                <c:pt idx="427">
                  <c:v>59.912157884200177</c:v>
                </c:pt>
                <c:pt idx="428">
                  <c:v>58.754784946696866</c:v>
                </c:pt>
                <c:pt idx="429">
                  <c:v>57.724725137282</c:v>
                </c:pt>
                <c:pt idx="430">
                  <c:v>56.817051221417131</c:v>
                </c:pt>
                <c:pt idx="431">
                  <c:v>56.008094207128927</c:v>
                </c:pt>
                <c:pt idx="432">
                  <c:v>55.280579783420372</c:v>
                </c:pt>
                <c:pt idx="433">
                  <c:v>54.607356665829023</c:v>
                </c:pt>
                <c:pt idx="434">
                  <c:v>53.994987224327588</c:v>
                </c:pt>
                <c:pt idx="435">
                  <c:v>53.435055714122583</c:v>
                </c:pt>
                <c:pt idx="436">
                  <c:v>52.920823625521194</c:v>
                </c:pt>
                <c:pt idx="437">
                  <c:v>52.435940129930643</c:v>
                </c:pt>
                <c:pt idx="438">
                  <c:v>51.988362221288554</c:v>
                </c:pt>
                <c:pt idx="439">
                  <c:v>51.574044149641196</c:v>
                </c:pt>
                <c:pt idx="440">
                  <c:v>51.189574269886876</c:v>
                </c:pt>
                <c:pt idx="441">
                  <c:v>50.824008807614561</c:v>
                </c:pt>
                <c:pt idx="442">
                  <c:v>50.483980860462488</c:v>
                </c:pt>
                <c:pt idx="443">
                  <c:v>50.167176165907094</c:v>
                </c:pt>
                <c:pt idx="444">
                  <c:v>49.871577438193704</c:v>
                </c:pt>
                <c:pt idx="445">
                  <c:v>49.589334596868909</c:v>
                </c:pt>
                <c:pt idx="446">
                  <c:v>49.325751421382058</c:v>
                </c:pt>
                <c:pt idx="447">
                  <c:v>49.079345963322197</c:v>
                </c:pt>
                <c:pt idx="448">
                  <c:v>48.848797593550458</c:v>
                </c:pt>
                <c:pt idx="449">
                  <c:v>48.627915441732263</c:v>
                </c:pt>
                <c:pt idx="450">
                  <c:v>48.421280146965017</c:v>
                </c:pt>
                <c:pt idx="451">
                  <c:v>48.227864091461555</c:v>
                </c:pt>
                <c:pt idx="452">
                  <c:v>48.046738136939965</c:v>
                </c:pt>
                <c:pt idx="453">
                  <c:v>47.873351782436522</c:v>
                </c:pt>
                <c:pt idx="454">
                  <c:v>47.711116776840598</c:v>
                </c:pt>
                <c:pt idx="455">
                  <c:v>47.559287180085562</c:v>
                </c:pt>
                <c:pt idx="456">
                  <c:v>47.417182134542742</c:v>
                </c:pt>
                <c:pt idx="457">
                  <c:v>47.281128202914999</c:v>
                </c:pt>
                <c:pt idx="458">
                  <c:v>47.154001381045461</c:v>
                </c:pt>
                <c:pt idx="459">
                  <c:v>47.035240869133659</c:v>
                </c:pt>
                <c:pt idx="460">
                  <c:v>46.924331879198753</c:v>
                </c:pt>
                <c:pt idx="461">
                  <c:v>46.818485122088234</c:v>
                </c:pt>
                <c:pt idx="462">
                  <c:v>46.719896640643384</c:v>
                </c:pt>
                <c:pt idx="463">
                  <c:v>46.628137619804761</c:v>
                </c:pt>
                <c:pt idx="464">
                  <c:v>46.542813225437278</c:v>
                </c:pt>
                <c:pt idx="465">
                  <c:v>46.461772128721194</c:v>
                </c:pt>
                <c:pt idx="466">
                  <c:v>46.386730420306357</c:v>
                </c:pt>
                <c:pt idx="467">
                  <c:v>46.317357082919564</c:v>
                </c:pt>
                <c:pt idx="468">
                  <c:v>46.253347094688458</c:v>
                </c:pt>
                <c:pt idx="469">
                  <c:v>46.193127248430329</c:v>
                </c:pt>
                <c:pt idx="470">
                  <c:v>46.137947960707208</c:v>
                </c:pt>
                <c:pt idx="471">
                  <c:v>46.087554200241399</c:v>
                </c:pt>
                <c:pt idx="472">
                  <c:v>46.041711350391438</c:v>
                </c:pt>
                <c:pt idx="473">
                  <c:v>45.999263769053911</c:v>
                </c:pt>
                <c:pt idx="474">
                  <c:v>45.961148355544871</c:v>
                </c:pt>
                <c:pt idx="475">
                  <c:v>45.92717032664369</c:v>
                </c:pt>
                <c:pt idx="476">
                  <c:v>45.897151452563392</c:v>
                </c:pt>
                <c:pt idx="477">
                  <c:v>45.870361403784791</c:v>
                </c:pt>
                <c:pt idx="478">
                  <c:v>45.847388051096573</c:v>
                </c:pt>
                <c:pt idx="479">
                  <c:v>45.828087306076533</c:v>
                </c:pt>
                <c:pt idx="480">
                  <c:v>45.812328942711282</c:v>
                </c:pt>
                <c:pt idx="481">
                  <c:v>45.799753762852013</c:v>
                </c:pt>
                <c:pt idx="482">
                  <c:v>45.790649709555566</c:v>
                </c:pt>
                <c:pt idx="483">
                  <c:v>45.784917517909037</c:v>
                </c:pt>
                <c:pt idx="484">
                  <c:v>45.782470074728458</c:v>
                </c:pt>
                <c:pt idx="485">
                  <c:v>45.783286573545382</c:v>
                </c:pt>
                <c:pt idx="486">
                  <c:v>45.787392787535957</c:v>
                </c:pt>
                <c:pt idx="487">
                  <c:v>45.794731711224969</c:v>
                </c:pt>
                <c:pt idx="488">
                  <c:v>45.805257741002698</c:v>
                </c:pt>
                <c:pt idx="489">
                  <c:v>45.819300527662335</c:v>
                </c:pt>
                <c:pt idx="490">
                  <c:v>45.836622815850596</c:v>
                </c:pt>
                <c:pt idx="491">
                  <c:v>45.857211241788029</c:v>
                </c:pt>
                <c:pt idx="492">
                  <c:v>45.881064172284852</c:v>
                </c:pt>
                <c:pt idx="493">
                  <c:v>45.908862132160813</c:v>
                </c:pt>
                <c:pt idx="494">
                  <c:v>45.940112518643737</c:v>
                </c:pt>
                <c:pt idx="495">
                  <c:v>45.974852036473223</c:v>
                </c:pt>
                <c:pt idx="496">
                  <c:v>46.01313075621556</c:v>
                </c:pt>
                <c:pt idx="497">
                  <c:v>46.056035887065782</c:v>
                </c:pt>
                <c:pt idx="498">
                  <c:v>46.102798360176166</c:v>
                </c:pt>
                <c:pt idx="499">
                  <c:v>46.153518113399869</c:v>
                </c:pt>
                <c:pt idx="500">
                  <c:v>46.208312021940458</c:v>
                </c:pt>
                <c:pt idx="501">
                  <c:v>46.268752691534047</c:v>
                </c:pt>
                <c:pt idx="502">
                  <c:v>46.333767271730707</c:v>
                </c:pt>
                <c:pt idx="503">
                  <c:v>46.403542712742116</c:v>
                </c:pt>
                <c:pt idx="504">
                  <c:v>46.478289560092549</c:v>
                </c:pt>
                <c:pt idx="505">
                  <c:v>46.560142060037855</c:v>
                </c:pt>
                <c:pt idx="506">
                  <c:v>46.647725971216865</c:v>
                </c:pt>
                <c:pt idx="507">
                  <c:v>46.741356037196041</c:v>
                </c:pt>
                <c:pt idx="508">
                  <c:v>46.841382469864861</c:v>
                </c:pt>
                <c:pt idx="509">
                  <c:v>46.950739000290653</c:v>
                </c:pt>
                <c:pt idx="510">
                  <c:v>47.067660092793545</c:v>
                </c:pt>
                <c:pt idx="511">
                  <c:v>47.192659914496893</c:v>
                </c:pt>
                <c:pt idx="512">
                  <c:v>47.326309650329407</c:v>
                </c:pt>
                <c:pt idx="513">
                  <c:v>47.472751234854854</c:v>
                </c:pt>
                <c:pt idx="514">
                  <c:v>47.629680700964727</c:v>
                </c:pt>
                <c:pt idx="515">
                  <c:v>47.797942822360248</c:v>
                </c:pt>
                <c:pt idx="516">
                  <c:v>47.978480624337998</c:v>
                </c:pt>
                <c:pt idx="517">
                  <c:v>48.177005767766786</c:v>
                </c:pt>
                <c:pt idx="518">
                  <c:v>48.390752592343588</c:v>
                </c:pt>
                <c:pt idx="519">
                  <c:v>48.621146843904626</c:v>
                </c:pt>
                <c:pt idx="520">
                  <c:v>48.86979802031172</c:v>
                </c:pt>
                <c:pt idx="521">
                  <c:v>49.1450190704427</c:v>
                </c:pt>
                <c:pt idx="522">
                  <c:v>49.443488555953586</c:v>
                </c:pt>
                <c:pt idx="523">
                  <c:v>49.767756810065379</c:v>
                </c:pt>
                <c:pt idx="524">
                  <c:v>50.120764592330588</c:v>
                </c:pt>
                <c:pt idx="525">
                  <c:v>50.515286586980508</c:v>
                </c:pt>
                <c:pt idx="526">
                  <c:v>50.947767069786551</c:v>
                </c:pt>
                <c:pt idx="527">
                  <c:v>51.423298458231741</c:v>
                </c:pt>
                <c:pt idx="528">
                  <c:v>51.947996929058853</c:v>
                </c:pt>
                <c:pt idx="529">
                  <c:v>52.543567558095752</c:v>
                </c:pt>
                <c:pt idx="530">
                  <c:v>53.208342397084692</c:v>
                </c:pt>
                <c:pt idx="531">
                  <c:v>53.954929253724714</c:v>
                </c:pt>
                <c:pt idx="532">
                  <c:v>54.799764716628935</c:v>
                </c:pt>
                <c:pt idx="533">
                  <c:v>55.789578128873536</c:v>
                </c:pt>
                <c:pt idx="534">
                  <c:v>56.938803660067634</c:v>
                </c:pt>
                <c:pt idx="535">
                  <c:v>58.296585055453392</c:v>
                </c:pt>
                <c:pt idx="536">
                  <c:v>59.940414673775592</c:v>
                </c:pt>
                <c:pt idx="537">
                  <c:v>62.057182338301743</c:v>
                </c:pt>
                <c:pt idx="538">
                  <c:v>64.897482633870766</c:v>
                </c:pt>
                <c:pt idx="539">
                  <c:v>69.178572926865414</c:v>
                </c:pt>
                <c:pt idx="540">
                  <c:v>77.99984010873338</c:v>
                </c:pt>
                <c:pt idx="541">
                  <c:v>79.980956270546784</c:v>
                </c:pt>
                <c:pt idx="542">
                  <c:v>69.780105898424523</c:v>
                </c:pt>
                <c:pt idx="543">
                  <c:v>65.266885752846392</c:v>
                </c:pt>
                <c:pt idx="544">
                  <c:v>62.359591187112542</c:v>
                </c:pt>
                <c:pt idx="545">
                  <c:v>60.188415899805385</c:v>
                </c:pt>
                <c:pt idx="546">
                  <c:v>58.499500713497923</c:v>
                </c:pt>
                <c:pt idx="547">
                  <c:v>57.131156438050013</c:v>
                </c:pt>
                <c:pt idx="548">
                  <c:v>55.9926349338823</c:v>
                </c:pt>
                <c:pt idx="549">
                  <c:v>55.007098971773544</c:v>
                </c:pt>
                <c:pt idx="550">
                  <c:v>54.163350608623674</c:v>
                </c:pt>
                <c:pt idx="551">
                  <c:v>53.433516115182769</c:v>
                </c:pt>
                <c:pt idx="552">
                  <c:v>52.797286995637911</c:v>
                </c:pt>
                <c:pt idx="553">
                  <c:v>52.227045743420476</c:v>
                </c:pt>
                <c:pt idx="554">
                  <c:v>51.726102717376889</c:v>
                </c:pt>
                <c:pt idx="555">
                  <c:v>51.28439737759485</c:v>
                </c:pt>
                <c:pt idx="556">
                  <c:v>50.893816977248783</c:v>
                </c:pt>
                <c:pt idx="557">
                  <c:v>50.227025096670829</c:v>
                </c:pt>
                <c:pt idx="558">
                  <c:v>49.703955444148342</c:v>
                </c:pt>
                <c:pt idx="559">
                  <c:v>49.285167604588338</c:v>
                </c:pt>
                <c:pt idx="560">
                  <c:v>48.959887268075839</c:v>
                </c:pt>
                <c:pt idx="561">
                  <c:v>48.70499704130404</c:v>
                </c:pt>
                <c:pt idx="562">
                  <c:v>48.514855911646592</c:v>
                </c:pt>
                <c:pt idx="563">
                  <c:v>48.376297899276317</c:v>
                </c:pt>
                <c:pt idx="564">
                  <c:v>48.285535352265512</c:v>
                </c:pt>
                <c:pt idx="565">
                  <c:v>48.235593305743016</c:v>
                </c:pt>
                <c:pt idx="566">
                  <c:v>48.224629694126328</c:v>
                </c:pt>
                <c:pt idx="567">
                  <c:v>48.250647930364167</c:v>
                </c:pt>
                <c:pt idx="568">
                  <c:v>48.312691048107155</c:v>
                </c:pt>
                <c:pt idx="569">
                  <c:v>48.412854614749968</c:v>
                </c:pt>
                <c:pt idx="570">
                  <c:v>48.551573619779219</c:v>
                </c:pt>
                <c:pt idx="571">
                  <c:v>48.737411305620135</c:v>
                </c:pt>
                <c:pt idx="572">
                  <c:v>48.972461743878661</c:v>
                </c:pt>
                <c:pt idx="573">
                  <c:v>49.270870326673311</c:v>
                </c:pt>
                <c:pt idx="574">
                  <c:v>49.640618497530198</c:v>
                </c:pt>
                <c:pt idx="575">
                  <c:v>50.111856567383867</c:v>
                </c:pt>
                <c:pt idx="576">
                  <c:v>50.701368625442996</c:v>
                </c:pt>
                <c:pt idx="577">
                  <c:v>55.760232247013839</c:v>
                </c:pt>
                <c:pt idx="578">
                  <c:v>71.782327358487578</c:v>
                </c:pt>
                <c:pt idx="579">
                  <c:v>51.042329062772993</c:v>
                </c:pt>
                <c:pt idx="580">
                  <c:v>51.150142621780688</c:v>
                </c:pt>
                <c:pt idx="581">
                  <c:v>71.642001434909005</c:v>
                </c:pt>
                <c:pt idx="582">
                  <c:v>52.637826148786004</c:v>
                </c:pt>
                <c:pt idx="583">
                  <c:v>55.404628901513476</c:v>
                </c:pt>
                <c:pt idx="584">
                  <c:v>55.618595375504995</c:v>
                </c:pt>
                <c:pt idx="585">
                  <c:v>56.290738118848864</c:v>
                </c:pt>
                <c:pt idx="586">
                  <c:v>56.323788795653698</c:v>
                </c:pt>
                <c:pt idx="587">
                  <c:v>64.89192697540139</c:v>
                </c:pt>
                <c:pt idx="588">
                  <c:v>57.214296001433446</c:v>
                </c:pt>
                <c:pt idx="589">
                  <c:v>58.896517828722963</c:v>
                </c:pt>
                <c:pt idx="590">
                  <c:v>65.699245905035099</c:v>
                </c:pt>
                <c:pt idx="591">
                  <c:v>88.475193788094444</c:v>
                </c:pt>
                <c:pt idx="592">
                  <c:v>75.15554310076925</c:v>
                </c:pt>
                <c:pt idx="593">
                  <c:v>87.214503238463905</c:v>
                </c:pt>
                <c:pt idx="594">
                  <c:v>66.878725733245915</c:v>
                </c:pt>
                <c:pt idx="595">
                  <c:v>64.207143850609</c:v>
                </c:pt>
                <c:pt idx="596">
                  <c:v>69.394474132355896</c:v>
                </c:pt>
                <c:pt idx="597">
                  <c:v>66.918970747568324</c:v>
                </c:pt>
                <c:pt idx="598">
                  <c:v>83.280143159176546</c:v>
                </c:pt>
                <c:pt idx="599">
                  <c:v>74.967314728937112</c:v>
                </c:pt>
                <c:pt idx="600">
                  <c:v>77.145270845467138</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1.4924022931493747E-6</c:v>
                </c:pt>
                <c:pt idx="1">
                  <c:v>48.651397765384175</c:v>
                </c:pt>
                <c:pt idx="2">
                  <c:v>64.578371528676229</c:v>
                </c:pt>
                <c:pt idx="3">
                  <c:v>72.488428604122745</c:v>
                </c:pt>
                <c:pt idx="4">
                  <c:v>77.105407098675428</c:v>
                </c:pt>
                <c:pt idx="5">
                  <c:v>79.807492097455807</c:v>
                </c:pt>
                <c:pt idx="6">
                  <c:v>81.704149817636846</c:v>
                </c:pt>
                <c:pt idx="7">
                  <c:v>83.102985592044533</c:v>
                </c:pt>
                <c:pt idx="8">
                  <c:v>84.172284957324223</c:v>
                </c:pt>
                <c:pt idx="9">
                  <c:v>85.011891350262829</c:v>
                </c:pt>
                <c:pt idx="10">
                  <c:v>85.684806013743639</c:v>
                </c:pt>
                <c:pt idx="11">
                  <c:v>86.232757948337593</c:v>
                </c:pt>
                <c:pt idx="12">
                  <c:v>86.684491773818877</c:v>
                </c:pt>
                <c:pt idx="13">
                  <c:v>87.060459934807184</c:v>
                </c:pt>
                <c:pt idx="14">
                  <c:v>87.375616655115849</c:v>
                </c:pt>
                <c:pt idx="15">
                  <c:v>87.641153093391338</c:v>
                </c:pt>
                <c:pt idx="16">
                  <c:v>87.865614078999641</c:v>
                </c:pt>
                <c:pt idx="17">
                  <c:v>88.055639201970607</c:v>
                </c:pt>
                <c:pt idx="18">
                  <c:v>88.216467883942627</c:v>
                </c:pt>
                <c:pt idx="19">
                  <c:v>88.352291728076466</c:v>
                </c:pt>
                <c:pt idx="20">
                  <c:v>88.466505456186468</c:v>
                </c:pt>
                <c:pt idx="21">
                  <c:v>88.561888940474745</c:v>
                </c:pt>
                <c:pt idx="22">
                  <c:v>88.640741447916156</c:v>
                </c:pt>
                <c:pt idx="23">
                  <c:v>88.704982127255377</c:v>
                </c:pt>
                <c:pt idx="24">
                  <c:v>88.756226249448673</c:v>
                </c:pt>
                <c:pt idx="25">
                  <c:v>88.79584376766617</c:v>
                </c:pt>
                <c:pt idx="26">
                  <c:v>88.825004805880809</c:v>
                </c:pt>
                <c:pt idx="27">
                  <c:v>88.844715360758968</c:v>
                </c:pt>
                <c:pt idx="28">
                  <c:v>88.855845590567924</c:v>
                </c:pt>
                <c:pt idx="29">
                  <c:v>88.859152428592921</c:v>
                </c:pt>
                <c:pt idx="30">
                  <c:v>88.85529780799888</c:v>
                </c:pt>
                <c:pt idx="31">
                  <c:v>88.844863461859404</c:v>
                </c:pt>
                <c:pt idx="32">
                  <c:v>88.828363027430797</c:v>
                </c:pt>
                <c:pt idx="33">
                  <c:v>88.806252011495559</c:v>
                </c:pt>
                <c:pt idx="34">
                  <c:v>88.778936045832552</c:v>
                </c:pt>
                <c:pt idx="35">
                  <c:v>88.746777766177757</c:v>
                </c:pt>
                <c:pt idx="36">
                  <c:v>88.710102575713989</c:v>
                </c:pt>
                <c:pt idx="37">
                  <c:v>88.669203498997135</c:v>
                </c:pt>
                <c:pt idx="38">
                  <c:v>88.624345289863484</c:v>
                </c:pt>
                <c:pt idx="39">
                  <c:v>88.575767924063555</c:v>
                </c:pt>
                <c:pt idx="40">
                  <c:v>88.523689581792013</c:v>
                </c:pt>
                <c:pt idx="41">
                  <c:v>88.305790850344437</c:v>
                </c:pt>
                <c:pt idx="42">
                  <c:v>88.688342642629806</c:v>
                </c:pt>
                <c:pt idx="43">
                  <c:v>88.955948586420902</c:v>
                </c:pt>
                <c:pt idx="44">
                  <c:v>88.996774663969305</c:v>
                </c:pt>
                <c:pt idx="45">
                  <c:v>89.032740834332003</c:v>
                </c:pt>
                <c:pt idx="46">
                  <c:v>89.064089660976094</c:v>
                </c:pt>
                <c:pt idx="47">
                  <c:v>89.091041907153155</c:v>
                </c:pt>
                <c:pt idx="48">
                  <c:v>89.113798590739592</c:v>
                </c:pt>
                <c:pt idx="49">
                  <c:v>89.132542795973208</c:v>
                </c:pt>
                <c:pt idx="50">
                  <c:v>89.147441274024544</c:v>
                </c:pt>
                <c:pt idx="51">
                  <c:v>89.158645859566505</c:v>
                </c:pt>
                <c:pt idx="52">
                  <c:v>89.166294726511893</c:v>
                </c:pt>
                <c:pt idx="53">
                  <c:v>89.170513502739539</c:v>
                </c:pt>
                <c:pt idx="54">
                  <c:v>89.171416260807732</c:v>
                </c:pt>
                <c:pt idx="55">
                  <c:v>89.169106399272607</c:v>
                </c:pt>
                <c:pt idx="56">
                  <c:v>89.16367742720584</c:v>
                </c:pt>
                <c:pt idx="57">
                  <c:v>89.155213662789848</c:v>
                </c:pt>
                <c:pt idx="58">
                  <c:v>89.143790855399473</c:v>
                </c:pt>
                <c:pt idx="59">
                  <c:v>89.129476739324033</c:v>
                </c:pt>
                <c:pt idx="60">
                  <c:v>89.112331526203377</c:v>
                </c:pt>
                <c:pt idx="61">
                  <c:v>89.092408342320951</c:v>
                </c:pt>
                <c:pt idx="62">
                  <c:v>89.069753616091376</c:v>
                </c:pt>
                <c:pt idx="63">
                  <c:v>89.044407420380082</c:v>
                </c:pt>
                <c:pt idx="64">
                  <c:v>89.016403773683294</c:v>
                </c:pt>
                <c:pt idx="65">
                  <c:v>88.98577090366166</c:v>
                </c:pt>
                <c:pt idx="66">
                  <c:v>88.952531476051789</c:v>
                </c:pt>
                <c:pt idx="67">
                  <c:v>88.916702791564006</c:v>
                </c:pt>
                <c:pt idx="68">
                  <c:v>88.878296953006128</c:v>
                </c:pt>
                <c:pt idx="69">
                  <c:v>88.83732100454209</c:v>
                </c:pt>
                <c:pt idx="70">
                  <c:v>88.793777044697748</c:v>
                </c:pt>
                <c:pt idx="71">
                  <c:v>88.747662314455468</c:v>
                </c:pt>
                <c:pt idx="72">
                  <c:v>88.698969261532866</c:v>
                </c:pt>
                <c:pt idx="73">
                  <c:v>88.647685581711841</c:v>
                </c:pt>
                <c:pt idx="74">
                  <c:v>88.593794237871464</c:v>
                </c:pt>
                <c:pt idx="75">
                  <c:v>88.537273457176298</c:v>
                </c:pt>
                <c:pt idx="76">
                  <c:v>88.478096706678798</c:v>
                </c:pt>
                <c:pt idx="77">
                  <c:v>88.416232647407838</c:v>
                </c:pt>
                <c:pt idx="78">
                  <c:v>88.351645066831239</c:v>
                </c:pt>
                <c:pt idx="79">
                  <c:v>88.284292789397526</c:v>
                </c:pt>
                <c:pt idx="80">
                  <c:v>88.214129564677151</c:v>
                </c:pt>
                <c:pt idx="81">
                  <c:v>88.141103932434163</c:v>
                </c:pt>
                <c:pt idx="82">
                  <c:v>88.065159063763673</c:v>
                </c:pt>
                <c:pt idx="83">
                  <c:v>87.986232577224342</c:v>
                </c:pt>
                <c:pt idx="84">
                  <c:v>87.904256328677221</c:v>
                </c:pt>
                <c:pt idx="85">
                  <c:v>87.819156173309025</c:v>
                </c:pt>
                <c:pt idx="86">
                  <c:v>87.730851698065095</c:v>
                </c:pt>
                <c:pt idx="87">
                  <c:v>87.639255922442374</c:v>
                </c:pt>
                <c:pt idx="88">
                  <c:v>87.544274965291692</c:v>
                </c:pt>
                <c:pt idx="89">
                  <c:v>87.445807674944717</c:v>
                </c:pt>
                <c:pt idx="90">
                  <c:v>87.343745219612188</c:v>
                </c:pt>
                <c:pt idx="91">
                  <c:v>87.237970634586802</c:v>
                </c:pt>
                <c:pt idx="92">
                  <c:v>87.128358322323237</c:v>
                </c:pt>
                <c:pt idx="93">
                  <c:v>87.014773500946703</c:v>
                </c:pt>
                <c:pt idx="94">
                  <c:v>86.897071596155655</c:v>
                </c:pt>
                <c:pt idx="95">
                  <c:v>86.775097570819128</c:v>
                </c:pt>
                <c:pt idx="96">
                  <c:v>86.648685185813846</c:v>
                </c:pt>
                <c:pt idx="97">
                  <c:v>86.517656184785565</c:v>
                </c:pt>
                <c:pt idx="98">
                  <c:v>86.381819394535</c:v>
                </c:pt>
                <c:pt idx="99">
                  <c:v>86.240969731601652</c:v>
                </c:pt>
                <c:pt idx="100">
                  <c:v>86.038678359453343</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186.73285063304527</c:v>
                </c:pt>
                <c:pt idx="1">
                  <c:v>186.62698080358589</c:v>
                </c:pt>
                <c:pt idx="2">
                  <c:v>186.58315311862344</c:v>
                </c:pt>
                <c:pt idx="3">
                  <c:v>186.54953709916745</c:v>
                </c:pt>
                <c:pt idx="4">
                  <c:v>197.10750192962828</c:v>
                </c:pt>
                <c:pt idx="5">
                  <c:v>246.55745887134722</c:v>
                </c:pt>
                <c:pt idx="6">
                  <c:v>296.07694041125541</c:v>
                </c:pt>
                <c:pt idx="7">
                  <c:v>345.66609327557126</c:v>
                </c:pt>
                <c:pt idx="8">
                  <c:v>395.32506460367523</c:v>
                </c:pt>
                <c:pt idx="9">
                  <c:v>445.05400194956701</c:v>
                </c:pt>
                <c:pt idx="10">
                  <c:v>494.85305328332555</c:v>
                </c:pt>
                <c:pt idx="11">
                  <c:v>544.72236699257701</c:v>
                </c:pt>
                <c:pt idx="12">
                  <c:v>594.66209188396863</c:v>
                </c:pt>
                <c:pt idx="13">
                  <c:v>644.67237718464912</c:v>
                </c:pt>
                <c:pt idx="14">
                  <c:v>694.75337254375461</c:v>
                </c:pt>
                <c:pt idx="15">
                  <c:v>744.90522803390093</c:v>
                </c:pt>
                <c:pt idx="16">
                  <c:v>795.12809415268498</c:v>
                </c:pt>
                <c:pt idx="17">
                  <c:v>845.42212182418666</c:v>
                </c:pt>
                <c:pt idx="18">
                  <c:v>895.78746240048281</c:v>
                </c:pt>
                <c:pt idx="19">
                  <c:v>946.22426766316596</c:v>
                </c:pt>
                <c:pt idx="20">
                  <c:v>996.73268982486638</c:v>
                </c:pt>
                <c:pt idx="21">
                  <c:v>1047.3128815307871</c:v>
                </c:pt>
                <c:pt idx="22">
                  <c:v>1097.9649958602379</c:v>
                </c:pt>
                <c:pt idx="23">
                  <c:v>1148.6891863281819</c:v>
                </c:pt>
                <c:pt idx="24">
                  <c:v>1199.4856068867857</c:v>
                </c:pt>
                <c:pt idx="25">
                  <c:v>1250.3544119269777</c:v>
                </c:pt>
                <c:pt idx="26">
                  <c:v>1301.2957562800102</c:v>
                </c:pt>
                <c:pt idx="27">
                  <c:v>1352.3097952190333</c:v>
                </c:pt>
                <c:pt idx="28">
                  <c:v>1403.3966844606703</c:v>
                </c:pt>
                <c:pt idx="29">
                  <c:v>1454.5565801666019</c:v>
                </c:pt>
                <c:pt idx="30">
                  <c:v>1505.7896389451594</c:v>
                </c:pt>
                <c:pt idx="31">
                  <c:v>1557.0960178529222</c:v>
                </c:pt>
                <c:pt idx="32">
                  <c:v>1608.4758743963187</c:v>
                </c:pt>
                <c:pt idx="33">
                  <c:v>1659.9293665332455</c:v>
                </c:pt>
                <c:pt idx="34">
                  <c:v>1711.4566526746783</c:v>
                </c:pt>
                <c:pt idx="35">
                  <c:v>1763.0578916863044</c:v>
                </c:pt>
                <c:pt idx="36">
                  <c:v>1814.7332428901498</c:v>
                </c:pt>
                <c:pt idx="37">
                  <c:v>1866.482866066224</c:v>
                </c:pt>
                <c:pt idx="38">
                  <c:v>1918.3069214541606</c:v>
                </c:pt>
                <c:pt idx="39">
                  <c:v>1970.2055697548783</c:v>
                </c:pt>
                <c:pt idx="40">
                  <c:v>2022.1789721322345</c:v>
                </c:pt>
                <c:pt idx="41">
                  <c:v>2111.3486750056531</c:v>
                </c:pt>
                <c:pt idx="42">
                  <c:v>2061.3938620032482</c:v>
                </c:pt>
                <c:pt idx="43">
                  <c:v>2029.8478488974808</c:v>
                </c:pt>
                <c:pt idx="44">
                  <c:v>2039.3739508626632</c:v>
                </c:pt>
                <c:pt idx="45">
                  <c:v>2049.2079836848802</c:v>
                </c:pt>
                <c:pt idx="46">
                  <c:v>2059.3494015773153</c:v>
                </c:pt>
                <c:pt idx="47">
                  <c:v>2069.7979461699606</c:v>
                </c:pt>
                <c:pt idx="48">
                  <c:v>2080.5536248436306</c:v>
                </c:pt>
                <c:pt idx="49">
                  <c:v>2091.6166918498943</c:v>
                </c:pt>
                <c:pt idx="50">
                  <c:v>2102.9876318408865</c:v>
                </c:pt>
                <c:pt idx="51">
                  <c:v>2114.6671454911157</c:v>
                </c:pt>
                <c:pt idx="52">
                  <c:v>2126.6561369417527</c:v>
                </c:pt>
                <c:pt idx="53">
                  <c:v>2138.9557028380591</c:v>
                </c:pt>
                <c:pt idx="54">
                  <c:v>2151.5671227643934</c:v>
                </c:pt>
                <c:pt idx="55">
                  <c:v>2164.4918509094082</c:v>
                </c:pt>
                <c:pt idx="56">
                  <c:v>2177.7315088178902</c:v>
                </c:pt>
                <c:pt idx="57">
                  <c:v>2191.2878791058401</c:v>
                </c:pt>
                <c:pt idx="58">
                  <c:v>2205.1629000324174</c:v>
                </c:pt>
                <c:pt idx="59">
                  <c:v>2219.3586608368832</c:v>
                </c:pt>
                <c:pt idx="60">
                  <c:v>2233.8773977610967</c:v>
                </c:pt>
                <c:pt idx="61">
                  <c:v>2248.7214906886657</c:v>
                </c:pt>
                <c:pt idx="62">
                  <c:v>2263.8934603409957</c:v>
                </c:pt>
                <c:pt idx="63">
                  <c:v>2279.3959659782695</c:v>
                </c:pt>
                <c:pt idx="64">
                  <c:v>2295.2318035601938</c:v>
                </c:pt>
                <c:pt idx="65">
                  <c:v>2311.403904327165</c:v>
                </c:pt>
                <c:pt idx="66">
                  <c:v>2327.9153337676403</c:v>
                </c:pt>
                <c:pt idx="67">
                  <c:v>2344.7692909418711</c:v>
                </c:pt>
                <c:pt idx="68">
                  <c:v>2361.969108136082</c:v>
                </c:pt>
                <c:pt idx="69">
                  <c:v>2379.5182508245457</c:v>
                </c:pt>
                <c:pt idx="70">
                  <c:v>2397.4203179199822</c:v>
                </c:pt>
                <c:pt idx="71">
                  <c:v>2415.6790422953572</c:v>
                </c:pt>
                <c:pt idx="72">
                  <c:v>2434.2982915624793</c:v>
                </c:pt>
                <c:pt idx="73">
                  <c:v>2453.282069094847</c:v>
                </c:pt>
                <c:pt idx="74">
                  <c:v>2472.6345152840736</c:v>
                </c:pt>
                <c:pt idx="75">
                  <c:v>2492.3599090208386</c:v>
                </c:pt>
                <c:pt idx="76">
                  <c:v>2512.4626693928167</c:v>
                </c:pt>
                <c:pt idx="77">
                  <c:v>2532.9473575933625</c:v>
                </c:pt>
                <c:pt idx="78">
                  <c:v>2553.8186790359555</c:v>
                </c:pt>
                <c:pt idx="79">
                  <c:v>2575.0814856705188</c:v>
                </c:pt>
                <c:pt idx="80">
                  <c:v>2596.7407784987249</c:v>
                </c:pt>
                <c:pt idx="81">
                  <c:v>2618.8017102863737</c:v>
                </c:pt>
                <c:pt idx="82">
                  <c:v>2641.2695884717523</c:v>
                </c:pt>
                <c:pt idx="83">
                  <c:v>2664.1498782697349</c:v>
                </c:pt>
                <c:pt idx="84">
                  <c:v>2687.4482059721386</c:v>
                </c:pt>
                <c:pt idx="85">
                  <c:v>2711.1703624455436</c:v>
                </c:pt>
                <c:pt idx="86">
                  <c:v>2735.3223068285238</c:v>
                </c:pt>
                <c:pt idx="87">
                  <c:v>2759.9101704308509</c:v>
                </c:pt>
                <c:pt idx="88">
                  <c:v>2784.9402608378905</c:v>
                </c:pt>
                <c:pt idx="89">
                  <c:v>2810.4190662240467</c:v>
                </c:pt>
                <c:pt idx="90">
                  <c:v>2836.3532598796724</c:v>
                </c:pt>
                <c:pt idx="91">
                  <c:v>2862.7497049565345</c:v>
                </c:pt>
                <c:pt idx="92">
                  <c:v>2889.615459437457</c:v>
                </c:pt>
                <c:pt idx="93">
                  <c:v>2916.9577813363862</c:v>
                </c:pt>
                <c:pt idx="94">
                  <c:v>2944.7841341357348</c:v>
                </c:pt>
                <c:pt idx="95">
                  <c:v>2973.1021924684615</c:v>
                </c:pt>
                <c:pt idx="96">
                  <c:v>3001.9198480529158</c:v>
                </c:pt>
                <c:pt idx="97">
                  <c:v>3031.2452158892193</c:v>
                </c:pt>
                <c:pt idx="98">
                  <c:v>3061.0866407264516</c:v>
                </c:pt>
                <c:pt idx="99">
                  <c:v>3091.4527038107053</c:v>
                </c:pt>
                <c:pt idx="100">
                  <c:v>3122.3522299246952</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1354.4065423061827</c:v>
                </c:pt>
                <c:pt idx="1">
                  <c:v>1354.4065374438539</c:v>
                </c:pt>
                <c:pt idx="2">
                  <c:v>1354.4065354238828</c:v>
                </c:pt>
                <c:pt idx="3">
                  <c:v>1354.4065338716666</c:v>
                </c:pt>
                <c:pt idx="4">
                  <c:v>1355.2645097874133</c:v>
                </c:pt>
                <c:pt idx="5">
                  <c:v>1360.1861221354213</c:v>
                </c:pt>
                <c:pt idx="6">
                  <c:v>1366.7405403977473</c:v>
                </c:pt>
                <c:pt idx="7">
                  <c:v>1375.0840675045351</c:v>
                </c:pt>
                <c:pt idx="8">
                  <c:v>1385.3603515299519</c:v>
                </c:pt>
                <c:pt idx="9">
                  <c:v>1397.70304634429</c:v>
                </c:pt>
                <c:pt idx="10">
                  <c:v>1412.2376508974487</c:v>
                </c:pt>
                <c:pt idx="11">
                  <c:v>1429.0828442298609</c:v>
                </c:pt>
                <c:pt idx="12">
                  <c:v>1448.351491139782</c:v>
                </c:pt>
                <c:pt idx="13">
                  <c:v>1470.1514222831047</c:v>
                </c:pt>
                <c:pt idx="14">
                  <c:v>1494.5860538346774</c:v>
                </c:pt>
                <c:pt idx="15">
                  <c:v>1521.7548894669758</c:v>
                </c:pt>
                <c:pt idx="16">
                  <c:v>1551.7539337689295</c:v>
                </c:pt>
                <c:pt idx="17">
                  <c:v>1584.6760375624647</c:v>
                </c:pt>
                <c:pt idx="18">
                  <c:v>1620.6111898681611</c:v>
                </c:pt>
                <c:pt idx="19">
                  <c:v>1659.6467673988302</c:v>
                </c:pt>
                <c:pt idx="20">
                  <c:v>1701.8677497623596</c:v>
                </c:pt>
                <c:pt idx="21">
                  <c:v>1747.3569066330865</c:v>
                </c:pt>
                <c:pt idx="22">
                  <c:v>1796.1949617538319</c:v>
                </c:pt>
                <c:pt idx="23">
                  <c:v>1848.4607375969031</c:v>
                </c:pt>
                <c:pt idx="24">
                  <c:v>1904.2312837353386</c:v>
                </c:pt>
                <c:pt idx="25">
                  <c:v>1963.5819913830858</c:v>
                </c:pt>
                <c:pt idx="26">
                  <c:v>2026.5866961051918</c:v>
                </c:pt>
                <c:pt idx="27">
                  <c:v>2093.3177703414799</c:v>
                </c:pt>
                <c:pt idx="28">
                  <c:v>2163.8462071046574</c:v>
                </c:pt>
                <c:pt idx="29">
                  <c:v>2238.2416959886145</c:v>
                </c:pt>
                <c:pt idx="30">
                  <c:v>2316.5726924413025</c:v>
                </c:pt>
                <c:pt idx="31">
                  <c:v>2398.906481109419</c:v>
                </c:pt>
                <c:pt idx="32">
                  <c:v>2485.309233941924</c:v>
                </c:pt>
                <c:pt idx="33">
                  <c:v>2575.8460636401819</c:v>
                </c:pt>
                <c:pt idx="34">
                  <c:v>2670.5810729604395</c:v>
                </c:pt>
                <c:pt idx="35">
                  <c:v>2769.5774003058109</c:v>
                </c:pt>
                <c:pt idx="36">
                  <c:v>2872.8972619873457</c:v>
                </c:pt>
                <c:pt idx="37">
                  <c:v>2980.6019914853205</c:v>
                </c:pt>
                <c:pt idx="38">
                  <c:v>3092.7520760006696</c:v>
                </c:pt>
                <c:pt idx="39">
                  <c:v>3209.4071905514102</c:v>
                </c:pt>
                <c:pt idx="40">
                  <c:v>3330.6262298389729</c:v>
                </c:pt>
                <c:pt idx="41">
                  <c:v>3548.9901110230444</c:v>
                </c:pt>
                <c:pt idx="42">
                  <c:v>3425.1651455312472</c:v>
                </c:pt>
                <c:pt idx="43">
                  <c:v>3365.6432242518945</c:v>
                </c:pt>
                <c:pt idx="44">
                  <c:v>3447.1043368068972</c:v>
                </c:pt>
                <c:pt idx="45">
                  <c:v>3530.9155172002734</c:v>
                </c:pt>
                <c:pt idx="46">
                  <c:v>3617.1347883453409</c:v>
                </c:pt>
                <c:pt idx="47">
                  <c:v>3705.8219875786858</c:v>
                </c:pt>
                <c:pt idx="48">
                  <c:v>3797.0389133508447</c:v>
                </c:pt>
                <c:pt idx="49">
                  <c:v>3890.8494722665873</c:v>
                </c:pt>
                <c:pt idx="50">
                  <c:v>3987.3198276254316</c:v>
                </c:pt>
                <c:pt idx="51">
                  <c:v>4086.5185505285685</c:v>
                </c:pt>
                <c:pt idx="52">
                  <c:v>4188.5167745557073</c:v>
                </c:pt>
                <c:pt idx="53">
                  <c:v>4293.388354972245</c:v>
                </c:pt>
                <c:pt idx="54">
                  <c:v>4401.2100333992694</c:v>
                </c:pt>
                <c:pt idx="55">
                  <c:v>4512.0616088660872</c:v>
                </c:pt>
                <c:pt idx="56">
                  <c:v>4626.0261161645367</c:v>
                </c:pt>
                <c:pt idx="57">
                  <c:v>4743.1900124357489</c:v>
                </c:pt>
                <c:pt idx="58">
                  <c:v>4863.6433729425007</c:v>
                </c:pt>
                <c:pt idx="59">
                  <c:v>4987.4800970127426</c:v>
                </c:pt>
                <c:pt idx="60">
                  <c:v>5114.7981251832962</c:v>
                </c:pt>
                <c:pt idx="61">
                  <c:v>5245.6996686254379</c:v>
                </c:pt>
                <c:pt idx="62">
                  <c:v>5380.2914519978258</c:v>
                </c:pt>
                <c:pt idx="63">
                  <c:v>5518.6849709461503</c:v>
                </c:pt>
                <c:pt idx="64">
                  <c:v>5660.9967655541059</c:v>
                </c:pt>
                <c:pt idx="65">
                  <c:v>5807.3487111473869</c:v>
                </c:pt>
                <c:pt idx="66">
                  <c:v>5957.8683279623383</c:v>
                </c:pt>
                <c:pt idx="67">
                  <c:v>6112.6891113140537</c:v>
                </c:pt>
                <c:pt idx="68">
                  <c:v>6271.9508840377184</c:v>
                </c:pt>
                <c:pt idx="69">
                  <c:v>6435.8001731317545</c:v>
                </c:pt>
                <c:pt idx="70">
                  <c:v>6604.3906127046193</c:v>
                </c:pt>
                <c:pt idx="71">
                  <c:v>6777.8833755206642</c:v>
                </c:pt>
                <c:pt idx="72">
                  <c:v>6956.4476356562745</c:v>
                </c:pt>
                <c:pt idx="73">
                  <c:v>7140.2610650183988</c:v>
                </c:pt>
                <c:pt idx="74">
                  <c:v>7329.510366746782</c:v>
                </c:pt>
                <c:pt idx="75">
                  <c:v>7524.3918488216823</c:v>
                </c:pt>
                <c:pt idx="76">
                  <c:v>7725.1120415347614</c:v>
                </c:pt>
                <c:pt idx="77">
                  <c:v>7931.8883628571102</c:v>
                </c:pt>
                <c:pt idx="78">
                  <c:v>8144.9498361590922</c:v>
                </c:pt>
                <c:pt idx="79">
                  <c:v>8364.5378652093223</c:v>
                </c:pt>
                <c:pt idx="80">
                  <c:v>8590.9070719101292</c:v>
                </c:pt>
                <c:pt idx="81">
                  <c:v>8824.3262028231948</c:v>
                </c:pt>
                <c:pt idx="82">
                  <c:v>9065.0791112097613</c:v>
                </c:pt>
                <c:pt idx="83">
                  <c:v>9313.4658220672845</c:v>
                </c:pt>
                <c:pt idx="84">
                  <c:v>9569.8036884979429</c:v>
                </c:pt>
                <c:pt idx="85">
                  <c:v>9834.4286487115005</c:v>
                </c:pt>
                <c:pt idx="86">
                  <c:v>10107.696594059737</c:v>
                </c:pt>
                <c:pt idx="87">
                  <c:v>10389.984859741426</c:v>
                </c:pt>
                <c:pt idx="88">
                  <c:v>10681.693851229995</c:v>
                </c:pt>
                <c:pt idx="89">
                  <c:v>10983.248821083916</c:v>
                </c:pt>
                <c:pt idx="90">
                  <c:v>11295.101812635105</c:v>
                </c:pt>
                <c:pt idx="91">
                  <c:v>11617.733789149333</c:v>
                </c:pt>
                <c:pt idx="92">
                  <c:v>11951.656969455564</c:v>
                </c:pt>
                <c:pt idx="93">
                  <c:v>12297.41739380063</c:v>
                </c:pt>
                <c:pt idx="94">
                  <c:v>12655.597746859856</c:v>
                </c:pt>
                <c:pt idx="95">
                  <c:v>13026.820468493299</c:v>
                </c:pt>
                <c:pt idx="96">
                  <c:v>13411.75118706634</c:v>
                </c:pt>
                <c:pt idx="97">
                  <c:v>13811.102515051891</c:v>
                </c:pt>
                <c:pt idx="98">
                  <c:v>14225.638252318115</c:v>
                </c:pt>
                <c:pt idx="99">
                  <c:v>14656.1780491274</c:v>
                </c:pt>
                <c:pt idx="100">
                  <c:v>15103.6025885982</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19</c:v>
                </c:pt>
                <c:pt idx="1">
                  <c:v>19.66</c:v>
                </c:pt>
                <c:pt idx="2">
                  <c:v>20.32</c:v>
                </c:pt>
                <c:pt idx="3">
                  <c:v>20.98</c:v>
                </c:pt>
                <c:pt idx="4">
                  <c:v>21.64</c:v>
                </c:pt>
                <c:pt idx="5">
                  <c:v>22.3</c:v>
                </c:pt>
                <c:pt idx="6">
                  <c:v>22.96</c:v>
                </c:pt>
                <c:pt idx="7">
                  <c:v>23.62</c:v>
                </c:pt>
                <c:pt idx="8">
                  <c:v>24.28</c:v>
                </c:pt>
                <c:pt idx="9">
                  <c:v>24.939999999999998</c:v>
                </c:pt>
                <c:pt idx="10">
                  <c:v>25.6</c:v>
                </c:pt>
                <c:pt idx="11">
                  <c:v>26.259999999999998</c:v>
                </c:pt>
                <c:pt idx="12">
                  <c:v>26.92</c:v>
                </c:pt>
                <c:pt idx="13">
                  <c:v>27.58</c:v>
                </c:pt>
                <c:pt idx="14">
                  <c:v>28.240000000000002</c:v>
                </c:pt>
                <c:pt idx="15">
                  <c:v>28.9</c:v>
                </c:pt>
                <c:pt idx="16">
                  <c:v>29.560000000000002</c:v>
                </c:pt>
                <c:pt idx="17">
                  <c:v>30.22</c:v>
                </c:pt>
                <c:pt idx="18">
                  <c:v>30.88</c:v>
                </c:pt>
                <c:pt idx="19">
                  <c:v>31.54</c:v>
                </c:pt>
                <c:pt idx="20">
                  <c:v>32.200000000000003</c:v>
                </c:pt>
                <c:pt idx="21">
                  <c:v>32.86</c:v>
                </c:pt>
                <c:pt idx="22">
                  <c:v>33.519999999999996</c:v>
                </c:pt>
                <c:pt idx="23">
                  <c:v>34.18</c:v>
                </c:pt>
                <c:pt idx="24">
                  <c:v>34.840000000000003</c:v>
                </c:pt>
                <c:pt idx="25">
                  <c:v>35.5</c:v>
                </c:pt>
                <c:pt idx="26">
                  <c:v>36.159999999999997</c:v>
                </c:pt>
                <c:pt idx="27">
                  <c:v>36.82</c:v>
                </c:pt>
                <c:pt idx="28">
                  <c:v>37.480000000000004</c:v>
                </c:pt>
                <c:pt idx="29">
                  <c:v>38.14</c:v>
                </c:pt>
                <c:pt idx="30">
                  <c:v>38.799999999999997</c:v>
                </c:pt>
                <c:pt idx="31">
                  <c:v>39.46</c:v>
                </c:pt>
                <c:pt idx="32">
                  <c:v>40.120000000000005</c:v>
                </c:pt>
                <c:pt idx="33">
                  <c:v>40.78</c:v>
                </c:pt>
                <c:pt idx="34">
                  <c:v>41.44</c:v>
                </c:pt>
                <c:pt idx="35">
                  <c:v>42.099999999999994</c:v>
                </c:pt>
                <c:pt idx="36">
                  <c:v>42.76</c:v>
                </c:pt>
                <c:pt idx="37">
                  <c:v>43.42</c:v>
                </c:pt>
                <c:pt idx="38">
                  <c:v>44.08</c:v>
                </c:pt>
                <c:pt idx="39">
                  <c:v>44.74</c:v>
                </c:pt>
                <c:pt idx="40">
                  <c:v>45.400000000000006</c:v>
                </c:pt>
                <c:pt idx="41">
                  <c:v>46.06</c:v>
                </c:pt>
                <c:pt idx="42">
                  <c:v>46.72</c:v>
                </c:pt>
                <c:pt idx="43">
                  <c:v>47.379999999999995</c:v>
                </c:pt>
                <c:pt idx="44">
                  <c:v>48.04</c:v>
                </c:pt>
                <c:pt idx="45">
                  <c:v>48.7</c:v>
                </c:pt>
                <c:pt idx="46">
                  <c:v>49.36</c:v>
                </c:pt>
                <c:pt idx="47">
                  <c:v>50.019999999999996</c:v>
                </c:pt>
                <c:pt idx="48">
                  <c:v>50.68</c:v>
                </c:pt>
                <c:pt idx="49">
                  <c:v>51.339999999999996</c:v>
                </c:pt>
                <c:pt idx="50">
                  <c:v>52</c:v>
                </c:pt>
                <c:pt idx="51">
                  <c:v>52.660000000000004</c:v>
                </c:pt>
                <c:pt idx="52">
                  <c:v>53.32</c:v>
                </c:pt>
                <c:pt idx="53">
                  <c:v>53.980000000000004</c:v>
                </c:pt>
                <c:pt idx="54">
                  <c:v>54.64</c:v>
                </c:pt>
                <c:pt idx="55">
                  <c:v>55.300000000000004</c:v>
                </c:pt>
                <c:pt idx="56">
                  <c:v>55.96</c:v>
                </c:pt>
                <c:pt idx="57">
                  <c:v>56.62</c:v>
                </c:pt>
                <c:pt idx="58">
                  <c:v>57.279999999999994</c:v>
                </c:pt>
                <c:pt idx="59">
                  <c:v>57.94</c:v>
                </c:pt>
                <c:pt idx="60">
                  <c:v>58.6</c:v>
                </c:pt>
                <c:pt idx="61">
                  <c:v>59.26</c:v>
                </c:pt>
                <c:pt idx="62">
                  <c:v>59.92</c:v>
                </c:pt>
                <c:pt idx="63">
                  <c:v>60.58</c:v>
                </c:pt>
                <c:pt idx="64">
                  <c:v>61.24</c:v>
                </c:pt>
                <c:pt idx="65">
                  <c:v>61.9</c:v>
                </c:pt>
                <c:pt idx="66">
                  <c:v>62.56</c:v>
                </c:pt>
                <c:pt idx="67">
                  <c:v>63.220000000000006</c:v>
                </c:pt>
                <c:pt idx="68">
                  <c:v>63.88</c:v>
                </c:pt>
                <c:pt idx="69">
                  <c:v>64.539999999999992</c:v>
                </c:pt>
                <c:pt idx="70">
                  <c:v>65.199999999999989</c:v>
                </c:pt>
                <c:pt idx="71">
                  <c:v>65.86</c:v>
                </c:pt>
                <c:pt idx="72">
                  <c:v>66.52</c:v>
                </c:pt>
                <c:pt idx="73">
                  <c:v>67.180000000000007</c:v>
                </c:pt>
                <c:pt idx="74">
                  <c:v>67.84</c:v>
                </c:pt>
                <c:pt idx="75">
                  <c:v>68.5</c:v>
                </c:pt>
                <c:pt idx="76">
                  <c:v>69.16</c:v>
                </c:pt>
                <c:pt idx="77">
                  <c:v>69.819999999999993</c:v>
                </c:pt>
                <c:pt idx="78">
                  <c:v>70.48</c:v>
                </c:pt>
                <c:pt idx="79">
                  <c:v>71.14</c:v>
                </c:pt>
                <c:pt idx="80">
                  <c:v>71.800000000000011</c:v>
                </c:pt>
                <c:pt idx="81">
                  <c:v>72.460000000000008</c:v>
                </c:pt>
                <c:pt idx="82">
                  <c:v>73.12</c:v>
                </c:pt>
                <c:pt idx="83">
                  <c:v>73.78</c:v>
                </c:pt>
                <c:pt idx="84">
                  <c:v>74.44</c:v>
                </c:pt>
                <c:pt idx="85">
                  <c:v>75.099999999999994</c:v>
                </c:pt>
                <c:pt idx="86">
                  <c:v>75.759999999999991</c:v>
                </c:pt>
                <c:pt idx="87">
                  <c:v>76.42</c:v>
                </c:pt>
                <c:pt idx="88">
                  <c:v>77.08</c:v>
                </c:pt>
                <c:pt idx="89">
                  <c:v>77.740000000000009</c:v>
                </c:pt>
                <c:pt idx="90">
                  <c:v>78.400000000000006</c:v>
                </c:pt>
                <c:pt idx="91">
                  <c:v>79.06</c:v>
                </c:pt>
                <c:pt idx="92">
                  <c:v>79.72</c:v>
                </c:pt>
                <c:pt idx="93">
                  <c:v>80.38</c:v>
                </c:pt>
                <c:pt idx="94">
                  <c:v>81.039999999999992</c:v>
                </c:pt>
                <c:pt idx="95">
                  <c:v>81.699999999999989</c:v>
                </c:pt>
                <c:pt idx="96">
                  <c:v>82.36</c:v>
                </c:pt>
                <c:pt idx="97">
                  <c:v>83.02</c:v>
                </c:pt>
                <c:pt idx="98">
                  <c:v>83.679999999999993</c:v>
                </c:pt>
                <c:pt idx="99">
                  <c:v>84.34</c:v>
                </c:pt>
                <c:pt idx="100">
                  <c:v>85</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9.2223478170230953E-7</c:v>
                </c:pt>
                <c:pt idx="1">
                  <c:v>46.682771598688575</c:v>
                </c:pt>
                <c:pt idx="2">
                  <c:v>62.50254503981413</c:v>
                </c:pt>
                <c:pt idx="3">
                  <c:v>70.461994678890107</c:v>
                </c:pt>
                <c:pt idx="4">
                  <c:v>75.253671123169369</c:v>
                </c:pt>
                <c:pt idx="5">
                  <c:v>78.293371314677387</c:v>
                </c:pt>
                <c:pt idx="6">
                  <c:v>80.218171865610643</c:v>
                </c:pt>
                <c:pt idx="7">
                  <c:v>81.651582822287864</c:v>
                </c:pt>
                <c:pt idx="8">
                  <c:v>82.760332238661789</c:v>
                </c:pt>
                <c:pt idx="9">
                  <c:v>83.643384318286579</c:v>
                </c:pt>
                <c:pt idx="10">
                  <c:v>84.363190869927706</c:v>
                </c:pt>
                <c:pt idx="11">
                  <c:v>84.96110816522318</c:v>
                </c:pt>
                <c:pt idx="12">
                  <c:v>85.465610617147149</c:v>
                </c:pt>
                <c:pt idx="13">
                  <c:v>85.896944055386953</c:v>
                </c:pt>
                <c:pt idx="14">
                  <c:v>86.269897840434155</c:v>
                </c:pt>
                <c:pt idx="15">
                  <c:v>86.595527047874427</c:v>
                </c:pt>
                <c:pt idx="16">
                  <c:v>86.882261110163398</c:v>
                </c:pt>
                <c:pt idx="17">
                  <c:v>87.1366396325772</c:v>
                </c:pt>
                <c:pt idx="18">
                  <c:v>87.363813894153424</c:v>
                </c:pt>
                <c:pt idx="19">
                  <c:v>87.567896698120066</c:v>
                </c:pt>
                <c:pt idx="20">
                  <c:v>87.752211505901812</c:v>
                </c:pt>
                <c:pt idx="21">
                  <c:v>87.919473133080103</c:v>
                </c:pt>
                <c:pt idx="22">
                  <c:v>88.071920980618032</c:v>
                </c:pt>
                <c:pt idx="23">
                  <c:v>88.211418737143276</c:v>
                </c:pt>
                <c:pt idx="24">
                  <c:v>88.33953000021269</c:v>
                </c:pt>
                <c:pt idx="25">
                  <c:v>88.457576339622406</c:v>
                </c:pt>
                <c:pt idx="26">
                  <c:v>88.566682381669736</c:v>
                </c:pt>
                <c:pt idx="27">
                  <c:v>88.667811177576482</c:v>
                </c:pt>
                <c:pt idx="28">
                  <c:v>88.761792214146922</c:v>
                </c:pt>
                <c:pt idx="29">
                  <c:v>88.849343792578907</c:v>
                </c:pt>
                <c:pt idx="30">
                  <c:v>88.931091053662243</c:v>
                </c:pt>
                <c:pt idx="31">
                  <c:v>89.00758060645127</c:v>
                </c:pt>
                <c:pt idx="32">
                  <c:v>89.079292484359456</c:v>
                </c:pt>
                <c:pt idx="33">
                  <c:v>89.146649981486206</c:v>
                </c:pt>
                <c:pt idx="34">
                  <c:v>89.210027795055581</c:v>
                </c:pt>
                <c:pt idx="35">
                  <c:v>89.269758804788509</c:v>
                </c:pt>
                <c:pt idx="36">
                  <c:v>89.326139748194151</c:v>
                </c:pt>
                <c:pt idx="37">
                  <c:v>89.379435996014024</c:v>
                </c:pt>
                <c:pt idx="38">
                  <c:v>89.429885589988785</c:v>
                </c:pt>
                <c:pt idx="39">
                  <c:v>89.477702672553363</c:v>
                </c:pt>
                <c:pt idx="40">
                  <c:v>89.523080412680443</c:v>
                </c:pt>
                <c:pt idx="41">
                  <c:v>89.565733110278387</c:v>
                </c:pt>
                <c:pt idx="42">
                  <c:v>89.636861202191255</c:v>
                </c:pt>
                <c:pt idx="43">
                  <c:v>89.63816034271872</c:v>
                </c:pt>
                <c:pt idx="44">
                  <c:v>89.635258604219132</c:v>
                </c:pt>
                <c:pt idx="45">
                  <c:v>89.628413592216802</c:v>
                </c:pt>
                <c:pt idx="46">
                  <c:v>89.617807408235592</c:v>
                </c:pt>
                <c:pt idx="47">
                  <c:v>89.603602349265458</c:v>
                </c:pt>
                <c:pt idx="48">
                  <c:v>89.585942884274189</c:v>
                </c:pt>
                <c:pt idx="49">
                  <c:v>89.564957371982231</c:v>
                </c:pt>
                <c:pt idx="50">
                  <c:v>89.540759556376699</c:v>
                </c:pt>
                <c:pt idx="51">
                  <c:v>89.513449870554851</c:v>
                </c:pt>
                <c:pt idx="52">
                  <c:v>89.483116574632504</c:v>
                </c:pt>
                <c:pt idx="53">
                  <c:v>89.44983674942948</c:v>
                </c:pt>
                <c:pt idx="54">
                  <c:v>89.413677164299202</c:v>
                </c:pt>
                <c:pt idx="55">
                  <c:v>89.374695034674161</c:v>
                </c:pt>
                <c:pt idx="56">
                  <c:v>89.332938682555536</c:v>
                </c:pt>
                <c:pt idx="57">
                  <c:v>89.288448111201092</c:v>
                </c:pt>
                <c:pt idx="58">
                  <c:v>89.24125550359625</c:v>
                </c:pt>
                <c:pt idx="59">
                  <c:v>89.191385652874999</c:v>
                </c:pt>
                <c:pt idx="60">
                  <c:v>89.138856331647602</c:v>
                </c:pt>
                <c:pt idx="61">
                  <c:v>89.083678606153867</c:v>
                </c:pt>
                <c:pt idx="62">
                  <c:v>89.025857100266805</c:v>
                </c:pt>
                <c:pt idx="63">
                  <c:v>88.96539021359456</c:v>
                </c:pt>
                <c:pt idx="64">
                  <c:v>88.902270297252713</c:v>
                </c:pt>
                <c:pt idx="65">
                  <c:v>88.836483790282358</c:v>
                </c:pt>
                <c:pt idx="66">
                  <c:v>88.768011319162014</c:v>
                </c:pt>
                <c:pt idx="67">
                  <c:v>88.696827762389063</c:v>
                </c:pt>
                <c:pt idx="68">
                  <c:v>88.622902281678805</c:v>
                </c:pt>
                <c:pt idx="69">
                  <c:v>88.546198320938501</c:v>
                </c:pt>
                <c:pt idx="70">
                  <c:v>88.466673573810809</c:v>
                </c:pt>
                <c:pt idx="71">
                  <c:v>88.384279920240644</c:v>
                </c:pt>
                <c:pt idx="72">
                  <c:v>88.298963332192997</c:v>
                </c:pt>
                <c:pt idx="73">
                  <c:v>88.210663748333801</c:v>
                </c:pt>
                <c:pt idx="74">
                  <c:v>88.11931491717317</c:v>
                </c:pt>
                <c:pt idx="75">
                  <c:v>88.024844207858848</c:v>
                </c:pt>
                <c:pt idx="76">
                  <c:v>87.927172387486792</c:v>
                </c:pt>
                <c:pt idx="77">
                  <c:v>87.826213363467915</c:v>
                </c:pt>
                <c:pt idx="78">
                  <c:v>87.721873889141989</c:v>
                </c:pt>
                <c:pt idx="79">
                  <c:v>87.614053230462474</c:v>
                </c:pt>
                <c:pt idx="80">
                  <c:v>87.502642791179341</c:v>
                </c:pt>
                <c:pt idx="81">
                  <c:v>87.38752569351675</c:v>
                </c:pt>
                <c:pt idx="82">
                  <c:v>87.268576310870799</c:v>
                </c:pt>
                <c:pt idx="83">
                  <c:v>87.145659748530406</c:v>
                </c:pt>
                <c:pt idx="84">
                  <c:v>87.018631267845038</c:v>
                </c:pt>
                <c:pt idx="85">
                  <c:v>86.887335648613075</c:v>
                </c:pt>
                <c:pt idx="86">
                  <c:v>86.751606483734307</c:v>
                </c:pt>
                <c:pt idx="87">
                  <c:v>86.611265399344319</c:v>
                </c:pt>
                <c:pt idx="88">
                  <c:v>86.466121192711171</c:v>
                </c:pt>
                <c:pt idx="89">
                  <c:v>86.31596887910726</c:v>
                </c:pt>
                <c:pt idx="90">
                  <c:v>86.160588637648019</c:v>
                </c:pt>
                <c:pt idx="91">
                  <c:v>85.999744644688931</c:v>
                </c:pt>
                <c:pt idx="92">
                  <c:v>85.833183781760852</c:v>
                </c:pt>
                <c:pt idx="93">
                  <c:v>85.66063420316398</c:v>
                </c:pt>
                <c:pt idx="94">
                  <c:v>85.481803746187239</c:v>
                </c:pt>
                <c:pt idx="95">
                  <c:v>85.296378164421412</c:v>
                </c:pt>
                <c:pt idx="96">
                  <c:v>85.10401916172377</c:v>
                </c:pt>
                <c:pt idx="97">
                  <c:v>84.904362200993148</c:v>
                </c:pt>
                <c:pt idx="98">
                  <c:v>84.697014057935547</c:v>
                </c:pt>
                <c:pt idx="99">
                  <c:v>84.481550085323704</c:v>
                </c:pt>
                <c:pt idx="100">
                  <c:v>84.257511147744523</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223.45777921457599</c:v>
                </c:pt>
                <c:pt idx="1">
                  <c:v>223.65480164537664</c:v>
                </c:pt>
                <c:pt idx="2">
                  <c:v>223.73644919595486</c:v>
                </c:pt>
                <c:pt idx="3">
                  <c:v>223.79911152139482</c:v>
                </c:pt>
                <c:pt idx="4">
                  <c:v>223.85194638260833</c:v>
                </c:pt>
                <c:pt idx="5">
                  <c:v>241.79455176947897</c:v>
                </c:pt>
                <c:pt idx="6">
                  <c:v>290.35346642343643</c:v>
                </c:pt>
                <c:pt idx="7">
                  <c:v>338.97937108199687</c:v>
                </c:pt>
                <c:pt idx="8">
                  <c:v>387.67240446608469</c:v>
                </c:pt>
                <c:pt idx="9">
                  <c:v>436.43270567990135</c:v>
                </c:pt>
                <c:pt idx="10">
                  <c:v>485.26041421224949</c:v>
                </c:pt>
                <c:pt idx="11">
                  <c:v>534.15566993786365</c:v>
                </c:pt>
                <c:pt idx="12">
                  <c:v>583.11861311874497</c:v>
                </c:pt>
                <c:pt idx="13">
                  <c:v>632.14938440550372</c:v>
                </c:pt>
                <c:pt idx="14">
                  <c:v>681.24812483870517</c:v>
                </c:pt>
                <c:pt idx="15">
                  <c:v>730.41497585022137</c:v>
                </c:pt>
                <c:pt idx="16">
                  <c:v>779.65007926459145</c:v>
                </c:pt>
                <c:pt idx="17">
                  <c:v>828.95357730038256</c:v>
                </c:pt>
                <c:pt idx="18">
                  <c:v>878.32561257156078</c:v>
                </c:pt>
                <c:pt idx="19">
                  <c:v>927.76632808886643</c:v>
                </c:pt>
                <c:pt idx="20">
                  <c:v>977.27586726119307</c:v>
                </c:pt>
                <c:pt idx="21">
                  <c:v>1026.8543738969772</c:v>
                </c:pt>
                <c:pt idx="22">
                  <c:v>1076.5019922055872</c:v>
                </c:pt>
                <c:pt idx="23">
                  <c:v>1126.2188667987236</c:v>
                </c:pt>
                <c:pt idx="24">
                  <c:v>1176.0051426918228</c:v>
                </c:pt>
                <c:pt idx="25">
                  <c:v>1225.8609653054671</c:v>
                </c:pt>
                <c:pt idx="26">
                  <c:v>1275.7864804668002</c:v>
                </c:pt>
                <c:pt idx="27">
                  <c:v>1325.7818344109492</c:v>
                </c:pt>
                <c:pt idx="28">
                  <c:v>1375.8471737824518</c:v>
                </c:pt>
                <c:pt idx="29">
                  <c:v>1425.9826456366916</c:v>
                </c:pt>
                <c:pt idx="30">
                  <c:v>1476.1883974413363</c:v>
                </c:pt>
                <c:pt idx="31">
                  <c:v>1526.464577077785</c:v>
                </c:pt>
                <c:pt idx="32">
                  <c:v>1576.811332842618</c:v>
                </c:pt>
                <c:pt idx="33">
                  <c:v>1627.2288134490573</c:v>
                </c:pt>
                <c:pt idx="34">
                  <c:v>1677.7171680284296</c:v>
                </c:pt>
                <c:pt idx="35">
                  <c:v>1728.2765461316362</c:v>
                </c:pt>
                <c:pt idx="36">
                  <c:v>1778.9070977306312</c:v>
                </c:pt>
                <c:pt idx="37">
                  <c:v>1829.6089732199027</c:v>
                </c:pt>
                <c:pt idx="38">
                  <c:v>1880.382323417964</c:v>
                </c:pt>
                <c:pt idx="39">
                  <c:v>1931.2272995688456</c:v>
                </c:pt>
                <c:pt idx="40">
                  <c:v>1982.1440533435996</c:v>
                </c:pt>
                <c:pt idx="41">
                  <c:v>2033.4695491442685</c:v>
                </c:pt>
                <c:pt idx="42">
                  <c:v>2003.5324395346611</c:v>
                </c:pt>
                <c:pt idx="43">
                  <c:v>2013.6419724900518</c:v>
                </c:pt>
                <c:pt idx="44">
                  <c:v>2024.1182681550333</c:v>
                </c:pt>
                <c:pt idx="45">
                  <c:v>2034.9313489800145</c:v>
                </c:pt>
                <c:pt idx="46">
                  <c:v>2046.0815548933904</c:v>
                </c:pt>
                <c:pt idx="47">
                  <c:v>2057.5695258026972</c:v>
                </c:pt>
                <c:pt idx="48">
                  <c:v>2069.3961814401882</c:v>
                </c:pt>
                <c:pt idx="49">
                  <c:v>2081.5627039254296</c:v>
                </c:pt>
                <c:pt idx="50">
                  <c:v>2094.0705226826835</c:v>
                </c:pt>
                <c:pt idx="51">
                  <c:v>2106.9213014071665</c:v>
                </c:pt>
                <c:pt idx="52">
                  <c:v>2120.1169268210087</c:v>
                </c:pt>
                <c:pt idx="53">
                  <c:v>2133.6594989988098</c:v>
                </c:pt>
                <c:pt idx="54">
                  <c:v>2147.5513230751935</c:v>
                </c:pt>
                <c:pt idx="55">
                  <c:v>2161.7949021742356</c:v>
                </c:pt>
                <c:pt idx="56">
                  <c:v>2176.3929314236602</c:v>
                </c:pt>
                <c:pt idx="57">
                  <c:v>2191.3482929362549</c:v>
                </c:pt>
                <c:pt idx="58">
                  <c:v>2206.6640516574935</c:v>
                </c:pt>
                <c:pt idx="59">
                  <c:v>2222.3434519924585</c:v>
                </c:pt>
                <c:pt idx="60">
                  <c:v>2238.3899151372229</c:v>
                </c:pt>
                <c:pt idx="61">
                  <c:v>2254.807037050145</c:v>
                </c:pt>
                <c:pt idx="62">
                  <c:v>2271.5985870074419</c:v>
                </c:pt>
                <c:pt idx="63">
                  <c:v>2288.7685066950571</c:v>
                </c:pt>
                <c:pt idx="64">
                  <c:v>2306.3209097954787</c:v>
                </c:pt>
                <c:pt idx="65">
                  <c:v>2324.260082033933</c:v>
                </c:pt>
                <c:pt idx="66">
                  <c:v>2342.5904816534103</c:v>
                </c:pt>
                <c:pt idx="67">
                  <c:v>2361.3167402923805</c:v>
                </c:pt>
                <c:pt idx="68">
                  <c:v>2380.4436642429446</c:v>
                </c:pt>
                <c:pt idx="69">
                  <c:v>2399.9762360705536</c:v>
                </c:pt>
                <c:pt idx="70">
                  <c:v>2419.919616579497</c:v>
                </c:pt>
                <c:pt idx="71">
                  <c:v>2440.2791471110281</c:v>
                </c:pt>
                <c:pt idx="72">
                  <c:v>2461.0603521634362</c:v>
                </c:pt>
                <c:pt idx="73">
                  <c:v>2482.2689423255306</c:v>
                </c:pt>
                <c:pt idx="74">
                  <c:v>2503.910817516994</c:v>
                </c:pt>
                <c:pt idx="75">
                  <c:v>2525.9920705308391</c:v>
                </c:pt>
                <c:pt idx="76">
                  <c:v>2548.518990874848</c:v>
                </c:pt>
                <c:pt idx="77">
                  <c:v>2571.4980689104295</c:v>
                </c:pt>
                <c:pt idx="78">
                  <c:v>2594.9360002886892</c:v>
                </c:pt>
                <c:pt idx="79">
                  <c:v>2618.8396906848657</c:v>
                </c:pt>
                <c:pt idx="80">
                  <c:v>2643.2162608335607</c:v>
                </c:pt>
                <c:pt idx="81">
                  <c:v>2668.0730518683263</c:v>
                </c:pt>
                <c:pt idx="82">
                  <c:v>2693.4176309703712</c:v>
                </c:pt>
                <c:pt idx="83">
                  <c:v>2719.2577973322414</c:v>
                </c:pt>
                <c:pt idx="84">
                  <c:v>2745.6015884433882</c:v>
                </c:pt>
                <c:pt idx="85">
                  <c:v>2772.4572867056763</c:v>
                </c:pt>
                <c:pt idx="86">
                  <c:v>2799.8334263878378</c:v>
                </c:pt>
                <c:pt idx="87">
                  <c:v>2827.7388009290289</c:v>
                </c:pt>
                <c:pt idx="88">
                  <c:v>2856.18247060266</c:v>
                </c:pt>
                <c:pt idx="89">
                  <c:v>2885.1737705527526</c:v>
                </c:pt>
                <c:pt idx="90">
                  <c:v>2914.7223192161723</c:v>
                </c:pt>
                <c:pt idx="91">
                  <c:v>2944.8380271452288</c:v>
                </c:pt>
                <c:pt idx="92">
                  <c:v>2975.531106246231</c:v>
                </c:pt>
                <c:pt idx="93">
                  <c:v>3006.8120794508691</c:v>
                </c:pt>
                <c:pt idx="94">
                  <c:v>3038.6917908384189</c:v>
                </c:pt>
                <c:pt idx="95">
                  <c:v>3071.181416228163</c:v>
                </c:pt>
                <c:pt idx="96">
                  <c:v>3104.2924742626742</c:v>
                </c:pt>
                <c:pt idx="97">
                  <c:v>3138.0368380041041</c:v>
                </c:pt>
                <c:pt idx="98">
                  <c:v>3172.4267470670029</c:v>
                </c:pt>
                <c:pt idx="99">
                  <c:v>3207.4748203128779</c:v>
                </c:pt>
                <c:pt idx="100">
                  <c:v>3243.1940691332125</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1349.0260872010872</c:v>
                </c:pt>
                <c:pt idx="1">
                  <c:v>1373.4826086956523</c:v>
                </c:pt>
                <c:pt idx="2">
                  <c:v>1397.9391304347823</c:v>
                </c:pt>
                <c:pt idx="3">
                  <c:v>1422.3956521739133</c:v>
                </c:pt>
                <c:pt idx="4">
                  <c:v>1446.8521739130433</c:v>
                </c:pt>
                <c:pt idx="5">
                  <c:v>1471.4043655797877</c:v>
                </c:pt>
                <c:pt idx="6">
                  <c:v>1496.1200213044413</c:v>
                </c:pt>
                <c:pt idx="7">
                  <c:v>1520.8356770290939</c:v>
                </c:pt>
                <c:pt idx="8">
                  <c:v>1545.5513327537471</c:v>
                </c:pt>
                <c:pt idx="9">
                  <c:v>1570.2669884784</c:v>
                </c:pt>
                <c:pt idx="10">
                  <c:v>1594.9826442030537</c:v>
                </c:pt>
                <c:pt idx="11">
                  <c:v>1619.6982999277068</c:v>
                </c:pt>
                <c:pt idx="12">
                  <c:v>1644.4139556523598</c:v>
                </c:pt>
                <c:pt idx="13">
                  <c:v>1669.1296113770134</c:v>
                </c:pt>
                <c:pt idx="14">
                  <c:v>1693.8452671016662</c:v>
                </c:pt>
                <c:pt idx="15">
                  <c:v>1718.5609228263193</c:v>
                </c:pt>
                <c:pt idx="16">
                  <c:v>1743.2765785509732</c:v>
                </c:pt>
                <c:pt idx="17">
                  <c:v>1767.9922342756258</c:v>
                </c:pt>
                <c:pt idx="18">
                  <c:v>1792.7078900002793</c:v>
                </c:pt>
                <c:pt idx="19">
                  <c:v>1817.4235457249326</c:v>
                </c:pt>
                <c:pt idx="20">
                  <c:v>1842.1392014495855</c:v>
                </c:pt>
                <c:pt idx="21">
                  <c:v>1866.854857174239</c:v>
                </c:pt>
                <c:pt idx="22">
                  <c:v>1891.570512898892</c:v>
                </c:pt>
                <c:pt idx="23">
                  <c:v>1916.2861686235451</c:v>
                </c:pt>
                <c:pt idx="24">
                  <c:v>1941.0018243481984</c:v>
                </c:pt>
                <c:pt idx="25">
                  <c:v>1965.7174800728515</c:v>
                </c:pt>
                <c:pt idx="26">
                  <c:v>1990.4331357975047</c:v>
                </c:pt>
                <c:pt idx="27">
                  <c:v>2015.1487915221585</c:v>
                </c:pt>
                <c:pt idx="28">
                  <c:v>2039.8644472468109</c:v>
                </c:pt>
                <c:pt idx="29">
                  <c:v>2064.5801029714639</c:v>
                </c:pt>
                <c:pt idx="30">
                  <c:v>2089.295758696117</c:v>
                </c:pt>
                <c:pt idx="31">
                  <c:v>2114.0114144207705</c:v>
                </c:pt>
                <c:pt idx="32">
                  <c:v>2138.727070145424</c:v>
                </c:pt>
                <c:pt idx="33">
                  <c:v>2163.4427258700766</c:v>
                </c:pt>
                <c:pt idx="34">
                  <c:v>2188.1583815947301</c:v>
                </c:pt>
                <c:pt idx="35">
                  <c:v>2212.8740373193837</c:v>
                </c:pt>
                <c:pt idx="36">
                  <c:v>2237.5896930440358</c:v>
                </c:pt>
                <c:pt idx="37">
                  <c:v>2262.3053487686898</c:v>
                </c:pt>
                <c:pt idx="38">
                  <c:v>2287.0210044933438</c:v>
                </c:pt>
                <c:pt idx="39">
                  <c:v>2311.7366602179964</c:v>
                </c:pt>
                <c:pt idx="40">
                  <c:v>2336.4523159426508</c:v>
                </c:pt>
                <c:pt idx="41">
                  <c:v>2361.1693929782136</c:v>
                </c:pt>
                <c:pt idx="42">
                  <c:v>2455.4093220810919</c:v>
                </c:pt>
                <c:pt idx="43">
                  <c:v>2559.7209438316031</c:v>
                </c:pt>
                <c:pt idx="44">
                  <c:v>2666.8820618210489</c:v>
                </c:pt>
                <c:pt idx="45">
                  <c:v>2776.9545262758265</c:v>
                </c:pt>
                <c:pt idx="46">
                  <c:v>2890.015102164873</c:v>
                </c:pt>
                <c:pt idx="47">
                  <c:v>3006.1439553109431</c:v>
                </c:pt>
                <c:pt idx="48">
                  <c:v>3125.424822251669</c:v>
                </c:pt>
                <c:pt idx="49">
                  <c:v>3247.945190980472</c:v>
                </c:pt>
                <c:pt idx="50">
                  <c:v>3373.7964933665676</c:v>
                </c:pt>
                <c:pt idx="51">
                  <c:v>3503.0743101220487</c:v>
                </c:pt>
                <c:pt idx="52">
                  <c:v>3635.8785892593482</c:v>
                </c:pt>
                <c:pt idx="53">
                  <c:v>3772.3138790653384</c:v>
                </c:pt>
                <c:pt idx="54">
                  <c:v>3912.4895767092698</c:v>
                </c:pt>
                <c:pt idx="55">
                  <c:v>4056.520193701991</c:v>
                </c:pt>
                <c:pt idx="56">
                  <c:v>4204.5256395343085</c:v>
                </c:pt>
                <c:pt idx="57">
                  <c:v>4356.6315249439422</c:v>
                </c:pt>
                <c:pt idx="58">
                  <c:v>4512.9694863951891</c:v>
                </c:pt>
                <c:pt idx="59">
                  <c:v>4673.6775335036373</c:v>
                </c:pt>
                <c:pt idx="60">
                  <c:v>4838.9004213029111</c:v>
                </c:pt>
                <c:pt idx="61">
                  <c:v>5008.7900494323576</c:v>
                </c:pt>
                <c:pt idx="62">
                  <c:v>5183.5058905266242</c:v>
                </c:pt>
                <c:pt idx="63">
                  <c:v>5363.2154503123038</c:v>
                </c:pt>
                <c:pt idx="64">
                  <c:v>5548.0947621662408</c:v>
                </c:pt>
                <c:pt idx="65">
                  <c:v>5738.3289191675913</c:v>
                </c:pt>
                <c:pt idx="66">
                  <c:v>5934.1126469853416</c:v>
                </c:pt>
                <c:pt idx="67">
                  <c:v>6135.6509212882038</c:v>
                </c:pt>
                <c:pt idx="68">
                  <c:v>6343.1596337500823</c:v>
                </c:pt>
                <c:pt idx="69">
                  <c:v>6556.8663111562164</c:v>
                </c:pt>
                <c:pt idx="70">
                  <c:v>6777.0108925997001</c:v>
                </c:pt>
                <c:pt idx="71">
                  <c:v>7003.8465703015718</c:v>
                </c:pt>
                <c:pt idx="72">
                  <c:v>7237.640700199192</c:v>
                </c:pt>
                <c:pt idx="73">
                  <c:v>7478.6757891356738</c:v>
                </c:pt>
                <c:pt idx="74">
                  <c:v>7727.2505662595586</c:v>
                </c:pt>
                <c:pt idx="75">
                  <c:v>7983.681147120602</c:v>
                </c:pt>
                <c:pt idx="76">
                  <c:v>8248.3022999398472</c:v>
                </c:pt>
                <c:pt idx="77">
                  <c:v>8521.4688246565747</c:v>
                </c:pt>
                <c:pt idx="78">
                  <c:v>8803.5570566316528</c:v>
                </c:pt>
                <c:pt idx="79">
                  <c:v>9094.9665083394757</c:v>
                </c:pt>
                <c:pt idx="80">
                  <c:v>9396.1216640358107</c:v>
                </c:pt>
                <c:pt idx="81">
                  <c:v>9707.4739442794253</c:v>
                </c:pt>
                <c:pt idx="82">
                  <c:v>10029.503859347826</c:v>
                </c:pt>
                <c:pt idx="83">
                  <c:v>10362.723373067343</c:v>
                </c:pt>
                <c:pt idx="84">
                  <c:v>10707.678501426253</c:v>
                </c:pt>
                <c:pt idx="85">
                  <c:v>11064.952173620246</c:v>
                </c:pt>
                <c:pt idx="86">
                  <c:v>11435.167386964657</c:v>
                </c:pt>
                <c:pt idx="87">
                  <c:v>11818.990691486753</c:v>
                </c:pt>
                <c:pt idx="88">
                  <c:v>12217.136045088047</c:v>
                </c:pt>
                <c:pt idx="89">
                  <c:v>12630.369086068009</c:v>
                </c:pt>
                <c:pt idx="90">
                  <c:v>13059.511876677239</c:v>
                </c:pt>
                <c:pt idx="91">
                  <c:v>13505.448179403202</c:v>
                </c:pt>
                <c:pt idx="92">
                  <c:v>13969.12933710632</c:v>
                </c:pt>
                <c:pt idx="93">
                  <c:v>14451.580839185173</c:v>
                </c:pt>
                <c:pt idx="94">
                  <c:v>14953.909668985822</c:v>
                </c:pt>
                <c:pt idx="95">
                  <c:v>15477.312543078619</c:v>
                </c:pt>
                <c:pt idx="96">
                  <c:v>16023.085171297818</c:v>
                </c:pt>
                <c:pt idx="97">
                  <c:v>16592.632688179059</c:v>
                </c:pt>
                <c:pt idx="98">
                  <c:v>17187.481432380991</c:v>
                </c:pt>
                <c:pt idx="99">
                  <c:v>17809.292281771712</c:v>
                </c:pt>
                <c:pt idx="100">
                  <c:v>18459.875789251419</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1.4924022931493747E-6</c:v>
                </c:pt>
                <c:pt idx="1">
                  <c:v>48.651397765384175</c:v>
                </c:pt>
                <c:pt idx="2">
                  <c:v>64.578371528676229</c:v>
                </c:pt>
                <c:pt idx="3">
                  <c:v>72.488428604122745</c:v>
                </c:pt>
                <c:pt idx="4">
                  <c:v>77.105407098675428</c:v>
                </c:pt>
                <c:pt idx="5">
                  <c:v>79.807492097455807</c:v>
                </c:pt>
                <c:pt idx="6">
                  <c:v>81.704149817636846</c:v>
                </c:pt>
                <c:pt idx="7">
                  <c:v>83.102985592044533</c:v>
                </c:pt>
                <c:pt idx="8">
                  <c:v>84.172284957324223</c:v>
                </c:pt>
                <c:pt idx="9">
                  <c:v>85.011891350262829</c:v>
                </c:pt>
                <c:pt idx="10">
                  <c:v>85.684806013743639</c:v>
                </c:pt>
                <c:pt idx="11">
                  <c:v>86.232757948337593</c:v>
                </c:pt>
                <c:pt idx="12">
                  <c:v>86.684491773818877</c:v>
                </c:pt>
                <c:pt idx="13">
                  <c:v>87.060459934807184</c:v>
                </c:pt>
                <c:pt idx="14">
                  <c:v>87.375616655115849</c:v>
                </c:pt>
                <c:pt idx="15">
                  <c:v>87.641153093391338</c:v>
                </c:pt>
                <c:pt idx="16">
                  <c:v>87.865614078999641</c:v>
                </c:pt>
                <c:pt idx="17">
                  <c:v>88.055639201970607</c:v>
                </c:pt>
                <c:pt idx="18">
                  <c:v>88.216467883942627</c:v>
                </c:pt>
                <c:pt idx="19">
                  <c:v>88.352291728076466</c:v>
                </c:pt>
                <c:pt idx="20">
                  <c:v>88.466505456186468</c:v>
                </c:pt>
                <c:pt idx="21">
                  <c:v>88.561888940474745</c:v>
                </c:pt>
                <c:pt idx="22">
                  <c:v>88.640741447916156</c:v>
                </c:pt>
                <c:pt idx="23">
                  <c:v>88.704982127255377</c:v>
                </c:pt>
                <c:pt idx="24">
                  <c:v>88.756226249448673</c:v>
                </c:pt>
                <c:pt idx="25">
                  <c:v>88.79584376766617</c:v>
                </c:pt>
                <c:pt idx="26">
                  <c:v>88.825004805880809</c:v>
                </c:pt>
                <c:pt idx="27">
                  <c:v>88.844715360758968</c:v>
                </c:pt>
                <c:pt idx="28">
                  <c:v>88.855845590567924</c:v>
                </c:pt>
                <c:pt idx="29">
                  <c:v>88.859152428592921</c:v>
                </c:pt>
                <c:pt idx="30">
                  <c:v>88.85529780799888</c:v>
                </c:pt>
                <c:pt idx="31">
                  <c:v>88.844863461859404</c:v>
                </c:pt>
                <c:pt idx="32">
                  <c:v>88.828363027430797</c:v>
                </c:pt>
                <c:pt idx="33">
                  <c:v>88.806252011495559</c:v>
                </c:pt>
                <c:pt idx="34">
                  <c:v>88.778936045832552</c:v>
                </c:pt>
                <c:pt idx="35">
                  <c:v>88.746777766177757</c:v>
                </c:pt>
                <c:pt idx="36">
                  <c:v>88.710102575713989</c:v>
                </c:pt>
                <c:pt idx="37">
                  <c:v>88.669203498997135</c:v>
                </c:pt>
                <c:pt idx="38">
                  <c:v>88.624345289863484</c:v>
                </c:pt>
                <c:pt idx="39">
                  <c:v>88.575767924063555</c:v>
                </c:pt>
                <c:pt idx="40">
                  <c:v>88.523689581792013</c:v>
                </c:pt>
                <c:pt idx="41">
                  <c:v>88.305790850344437</c:v>
                </c:pt>
                <c:pt idx="42">
                  <c:v>88.688342642629806</c:v>
                </c:pt>
                <c:pt idx="43">
                  <c:v>88.955948586420902</c:v>
                </c:pt>
                <c:pt idx="44">
                  <c:v>88.996774663969305</c:v>
                </c:pt>
                <c:pt idx="45">
                  <c:v>89.032740834332003</c:v>
                </c:pt>
                <c:pt idx="46">
                  <c:v>89.064089660976094</c:v>
                </c:pt>
                <c:pt idx="47">
                  <c:v>89.091041907153155</c:v>
                </c:pt>
                <c:pt idx="48">
                  <c:v>89.113798590739592</c:v>
                </c:pt>
                <c:pt idx="49">
                  <c:v>89.132542795973208</c:v>
                </c:pt>
                <c:pt idx="50">
                  <c:v>89.147441274024544</c:v>
                </c:pt>
                <c:pt idx="51">
                  <c:v>89.158645859566505</c:v>
                </c:pt>
                <c:pt idx="52">
                  <c:v>89.166294726511893</c:v>
                </c:pt>
                <c:pt idx="53">
                  <c:v>89.170513502739539</c:v>
                </c:pt>
                <c:pt idx="54">
                  <c:v>89.171416260807732</c:v>
                </c:pt>
                <c:pt idx="55">
                  <c:v>89.169106399272607</c:v>
                </c:pt>
                <c:pt idx="56">
                  <c:v>89.16367742720584</c:v>
                </c:pt>
                <c:pt idx="57">
                  <c:v>89.155213662789848</c:v>
                </c:pt>
                <c:pt idx="58">
                  <c:v>89.143790855399473</c:v>
                </c:pt>
                <c:pt idx="59">
                  <c:v>89.129476739324033</c:v>
                </c:pt>
                <c:pt idx="60">
                  <c:v>89.112331526203377</c:v>
                </c:pt>
                <c:pt idx="61">
                  <c:v>89.092408342320951</c:v>
                </c:pt>
                <c:pt idx="62">
                  <c:v>89.069753616091376</c:v>
                </c:pt>
                <c:pt idx="63">
                  <c:v>89.044407420380082</c:v>
                </c:pt>
                <c:pt idx="64">
                  <c:v>89.016403773683294</c:v>
                </c:pt>
                <c:pt idx="65">
                  <c:v>88.98577090366166</c:v>
                </c:pt>
                <c:pt idx="66">
                  <c:v>88.952531476051789</c:v>
                </c:pt>
                <c:pt idx="67">
                  <c:v>88.916702791564006</c:v>
                </c:pt>
                <c:pt idx="68">
                  <c:v>88.878296953006128</c:v>
                </c:pt>
                <c:pt idx="69">
                  <c:v>88.83732100454209</c:v>
                </c:pt>
                <c:pt idx="70">
                  <c:v>88.793777044697748</c:v>
                </c:pt>
                <c:pt idx="71">
                  <c:v>88.747662314455468</c:v>
                </c:pt>
                <c:pt idx="72">
                  <c:v>88.698969261532866</c:v>
                </c:pt>
                <c:pt idx="73">
                  <c:v>88.647685581711841</c:v>
                </c:pt>
                <c:pt idx="74">
                  <c:v>88.593794237871464</c:v>
                </c:pt>
                <c:pt idx="75">
                  <c:v>88.537273457176298</c:v>
                </c:pt>
                <c:pt idx="76">
                  <c:v>88.478096706678798</c:v>
                </c:pt>
                <c:pt idx="77">
                  <c:v>88.416232647407838</c:v>
                </c:pt>
                <c:pt idx="78">
                  <c:v>88.351645066831239</c:v>
                </c:pt>
                <c:pt idx="79">
                  <c:v>88.284292789397526</c:v>
                </c:pt>
                <c:pt idx="80">
                  <c:v>88.214129564677151</c:v>
                </c:pt>
                <c:pt idx="81">
                  <c:v>88.141103932434163</c:v>
                </c:pt>
                <c:pt idx="82">
                  <c:v>88.065159063763673</c:v>
                </c:pt>
                <c:pt idx="83">
                  <c:v>87.986232577224342</c:v>
                </c:pt>
                <c:pt idx="84">
                  <c:v>87.904256328677221</c:v>
                </c:pt>
                <c:pt idx="85">
                  <c:v>87.819156173309025</c:v>
                </c:pt>
                <c:pt idx="86">
                  <c:v>87.730851698065095</c:v>
                </c:pt>
                <c:pt idx="87">
                  <c:v>87.639255922442374</c:v>
                </c:pt>
                <c:pt idx="88">
                  <c:v>87.544274965291692</c:v>
                </c:pt>
                <c:pt idx="89">
                  <c:v>87.445807674944717</c:v>
                </c:pt>
                <c:pt idx="90">
                  <c:v>87.343745219612188</c:v>
                </c:pt>
                <c:pt idx="91">
                  <c:v>87.237970634586802</c:v>
                </c:pt>
                <c:pt idx="92">
                  <c:v>87.128358322323237</c:v>
                </c:pt>
                <c:pt idx="93">
                  <c:v>87.014773500946703</c:v>
                </c:pt>
                <c:pt idx="94">
                  <c:v>86.897071596155655</c:v>
                </c:pt>
                <c:pt idx="95">
                  <c:v>86.775097570819128</c:v>
                </c:pt>
                <c:pt idx="96">
                  <c:v>86.648685185813846</c:v>
                </c:pt>
                <c:pt idx="97">
                  <c:v>86.517656184785565</c:v>
                </c:pt>
                <c:pt idx="98">
                  <c:v>86.381819394535</c:v>
                </c:pt>
                <c:pt idx="99">
                  <c:v>86.240969731601652</c:v>
                </c:pt>
                <c:pt idx="100">
                  <c:v>86.038678359453343</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186.73285063304527</c:v>
                </c:pt>
                <c:pt idx="1">
                  <c:v>186.62698080358589</c:v>
                </c:pt>
                <c:pt idx="2">
                  <c:v>186.58315311862344</c:v>
                </c:pt>
                <c:pt idx="3">
                  <c:v>186.54953709916745</c:v>
                </c:pt>
                <c:pt idx="4">
                  <c:v>197.10750192962828</c:v>
                </c:pt>
                <c:pt idx="5">
                  <c:v>246.55745887134722</c:v>
                </c:pt>
                <c:pt idx="6">
                  <c:v>296.07694041125541</c:v>
                </c:pt>
                <c:pt idx="7">
                  <c:v>345.66609327557126</c:v>
                </c:pt>
                <c:pt idx="8">
                  <c:v>395.32506460367523</c:v>
                </c:pt>
                <c:pt idx="9">
                  <c:v>445.05400194956701</c:v>
                </c:pt>
                <c:pt idx="10">
                  <c:v>494.85305328332555</c:v>
                </c:pt>
                <c:pt idx="11">
                  <c:v>544.72236699257701</c:v>
                </c:pt>
                <c:pt idx="12">
                  <c:v>594.66209188396863</c:v>
                </c:pt>
                <c:pt idx="13">
                  <c:v>644.67237718464912</c:v>
                </c:pt>
                <c:pt idx="14">
                  <c:v>694.75337254375461</c:v>
                </c:pt>
                <c:pt idx="15">
                  <c:v>744.90522803390093</c:v>
                </c:pt>
                <c:pt idx="16">
                  <c:v>795.12809415268498</c:v>
                </c:pt>
                <c:pt idx="17">
                  <c:v>845.42212182418666</c:v>
                </c:pt>
                <c:pt idx="18">
                  <c:v>895.78746240048281</c:v>
                </c:pt>
                <c:pt idx="19">
                  <c:v>946.22426766316596</c:v>
                </c:pt>
                <c:pt idx="20">
                  <c:v>996.73268982486638</c:v>
                </c:pt>
                <c:pt idx="21">
                  <c:v>1047.3128815307871</c:v>
                </c:pt>
                <c:pt idx="22">
                  <c:v>1097.9649958602379</c:v>
                </c:pt>
                <c:pt idx="23">
                  <c:v>1148.6891863281819</c:v>
                </c:pt>
                <c:pt idx="24">
                  <c:v>1199.4856068867857</c:v>
                </c:pt>
                <c:pt idx="25">
                  <c:v>1250.3544119269777</c:v>
                </c:pt>
                <c:pt idx="26">
                  <c:v>1301.2957562800102</c:v>
                </c:pt>
                <c:pt idx="27">
                  <c:v>1352.3097952190333</c:v>
                </c:pt>
                <c:pt idx="28">
                  <c:v>1403.3966844606703</c:v>
                </c:pt>
                <c:pt idx="29">
                  <c:v>1454.5565801666019</c:v>
                </c:pt>
                <c:pt idx="30">
                  <c:v>1505.7896389451594</c:v>
                </c:pt>
                <c:pt idx="31">
                  <c:v>1557.0960178529222</c:v>
                </c:pt>
                <c:pt idx="32">
                  <c:v>1608.4758743963187</c:v>
                </c:pt>
                <c:pt idx="33">
                  <c:v>1659.9293665332455</c:v>
                </c:pt>
                <c:pt idx="34">
                  <c:v>1711.4566526746783</c:v>
                </c:pt>
                <c:pt idx="35">
                  <c:v>1763.0578916863044</c:v>
                </c:pt>
                <c:pt idx="36">
                  <c:v>1814.7332428901498</c:v>
                </c:pt>
                <c:pt idx="37">
                  <c:v>1866.482866066224</c:v>
                </c:pt>
                <c:pt idx="38">
                  <c:v>1918.3069214541606</c:v>
                </c:pt>
                <c:pt idx="39">
                  <c:v>1970.2055697548783</c:v>
                </c:pt>
                <c:pt idx="40">
                  <c:v>2022.1789721322345</c:v>
                </c:pt>
                <c:pt idx="41">
                  <c:v>2111.3486750056531</c:v>
                </c:pt>
                <c:pt idx="42">
                  <c:v>2061.3938620032482</c:v>
                </c:pt>
                <c:pt idx="43">
                  <c:v>2029.8478488974808</c:v>
                </c:pt>
                <c:pt idx="44">
                  <c:v>2039.3739508626632</c:v>
                </c:pt>
                <c:pt idx="45">
                  <c:v>2049.2079836848802</c:v>
                </c:pt>
                <c:pt idx="46">
                  <c:v>2059.3494015773153</c:v>
                </c:pt>
                <c:pt idx="47">
                  <c:v>2069.7979461699606</c:v>
                </c:pt>
                <c:pt idx="48">
                  <c:v>2080.5536248436306</c:v>
                </c:pt>
                <c:pt idx="49">
                  <c:v>2091.6166918498943</c:v>
                </c:pt>
                <c:pt idx="50">
                  <c:v>2102.9876318408865</c:v>
                </c:pt>
                <c:pt idx="51">
                  <c:v>2114.6671454911157</c:v>
                </c:pt>
                <c:pt idx="52">
                  <c:v>2126.6561369417527</c:v>
                </c:pt>
                <c:pt idx="53">
                  <c:v>2138.9557028380591</c:v>
                </c:pt>
                <c:pt idx="54">
                  <c:v>2151.5671227643934</c:v>
                </c:pt>
                <c:pt idx="55">
                  <c:v>2164.4918509094082</c:v>
                </c:pt>
                <c:pt idx="56">
                  <c:v>2177.7315088178902</c:v>
                </c:pt>
                <c:pt idx="57">
                  <c:v>2191.2878791058401</c:v>
                </c:pt>
                <c:pt idx="58">
                  <c:v>2205.1629000324174</c:v>
                </c:pt>
                <c:pt idx="59">
                  <c:v>2219.3586608368832</c:v>
                </c:pt>
                <c:pt idx="60">
                  <c:v>2233.8773977610967</c:v>
                </c:pt>
                <c:pt idx="61">
                  <c:v>2248.7214906886657</c:v>
                </c:pt>
                <c:pt idx="62">
                  <c:v>2263.8934603409957</c:v>
                </c:pt>
                <c:pt idx="63">
                  <c:v>2279.3959659782695</c:v>
                </c:pt>
                <c:pt idx="64">
                  <c:v>2295.2318035601938</c:v>
                </c:pt>
                <c:pt idx="65">
                  <c:v>2311.403904327165</c:v>
                </c:pt>
                <c:pt idx="66">
                  <c:v>2327.9153337676403</c:v>
                </c:pt>
                <c:pt idx="67">
                  <c:v>2344.7692909418711</c:v>
                </c:pt>
                <c:pt idx="68">
                  <c:v>2361.969108136082</c:v>
                </c:pt>
                <c:pt idx="69">
                  <c:v>2379.5182508245457</c:v>
                </c:pt>
                <c:pt idx="70">
                  <c:v>2397.4203179199822</c:v>
                </c:pt>
                <c:pt idx="71">
                  <c:v>2415.6790422953572</c:v>
                </c:pt>
                <c:pt idx="72">
                  <c:v>2434.2982915624793</c:v>
                </c:pt>
                <c:pt idx="73">
                  <c:v>2453.282069094847</c:v>
                </c:pt>
                <c:pt idx="74">
                  <c:v>2472.6345152840736</c:v>
                </c:pt>
                <c:pt idx="75">
                  <c:v>2492.3599090208386</c:v>
                </c:pt>
                <c:pt idx="76">
                  <c:v>2512.4626693928167</c:v>
                </c:pt>
                <c:pt idx="77">
                  <c:v>2532.9473575933625</c:v>
                </c:pt>
                <c:pt idx="78">
                  <c:v>2553.8186790359555</c:v>
                </c:pt>
                <c:pt idx="79">
                  <c:v>2575.0814856705188</c:v>
                </c:pt>
                <c:pt idx="80">
                  <c:v>2596.7407784987249</c:v>
                </c:pt>
                <c:pt idx="81">
                  <c:v>2618.8017102863737</c:v>
                </c:pt>
                <c:pt idx="82">
                  <c:v>2641.2695884717523</c:v>
                </c:pt>
                <c:pt idx="83">
                  <c:v>2664.1498782697349</c:v>
                </c:pt>
                <c:pt idx="84">
                  <c:v>2687.4482059721386</c:v>
                </c:pt>
                <c:pt idx="85">
                  <c:v>2711.1703624455436</c:v>
                </c:pt>
                <c:pt idx="86">
                  <c:v>2735.3223068285238</c:v>
                </c:pt>
                <c:pt idx="87">
                  <c:v>2759.9101704308509</c:v>
                </c:pt>
                <c:pt idx="88">
                  <c:v>2784.9402608378905</c:v>
                </c:pt>
                <c:pt idx="89">
                  <c:v>2810.4190662240467</c:v>
                </c:pt>
                <c:pt idx="90">
                  <c:v>2836.3532598796724</c:v>
                </c:pt>
                <c:pt idx="91">
                  <c:v>2862.7497049565345</c:v>
                </c:pt>
                <c:pt idx="92">
                  <c:v>2889.615459437457</c:v>
                </c:pt>
                <c:pt idx="93">
                  <c:v>2916.9577813363862</c:v>
                </c:pt>
                <c:pt idx="94">
                  <c:v>2944.7841341357348</c:v>
                </c:pt>
                <c:pt idx="95">
                  <c:v>2973.1021924684615</c:v>
                </c:pt>
                <c:pt idx="96">
                  <c:v>3001.9198480529158</c:v>
                </c:pt>
                <c:pt idx="97">
                  <c:v>3031.2452158892193</c:v>
                </c:pt>
                <c:pt idx="98">
                  <c:v>3061.0866407264516</c:v>
                </c:pt>
                <c:pt idx="99">
                  <c:v>3091.4527038107053</c:v>
                </c:pt>
                <c:pt idx="100">
                  <c:v>3122.3522299246952</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1354.4065423061827</c:v>
                </c:pt>
                <c:pt idx="1">
                  <c:v>1354.4065374438539</c:v>
                </c:pt>
                <c:pt idx="2">
                  <c:v>1354.4065354238828</c:v>
                </c:pt>
                <c:pt idx="3">
                  <c:v>1354.4065338716666</c:v>
                </c:pt>
                <c:pt idx="4">
                  <c:v>1355.2645097874133</c:v>
                </c:pt>
                <c:pt idx="5">
                  <c:v>1360.1861221354213</c:v>
                </c:pt>
                <c:pt idx="6">
                  <c:v>1366.7405403977473</c:v>
                </c:pt>
                <c:pt idx="7">
                  <c:v>1375.0840675045351</c:v>
                </c:pt>
                <c:pt idx="8">
                  <c:v>1385.3603515299519</c:v>
                </c:pt>
                <c:pt idx="9">
                  <c:v>1397.70304634429</c:v>
                </c:pt>
                <c:pt idx="10">
                  <c:v>1412.2376508974487</c:v>
                </c:pt>
                <c:pt idx="11">
                  <c:v>1429.0828442298609</c:v>
                </c:pt>
                <c:pt idx="12">
                  <c:v>1448.351491139782</c:v>
                </c:pt>
                <c:pt idx="13">
                  <c:v>1470.1514222831047</c:v>
                </c:pt>
                <c:pt idx="14">
                  <c:v>1494.5860538346774</c:v>
                </c:pt>
                <c:pt idx="15">
                  <c:v>1521.7548894669758</c:v>
                </c:pt>
                <c:pt idx="16">
                  <c:v>1551.7539337689295</c:v>
                </c:pt>
                <c:pt idx="17">
                  <c:v>1584.6760375624647</c:v>
                </c:pt>
                <c:pt idx="18">
                  <c:v>1620.6111898681611</c:v>
                </c:pt>
                <c:pt idx="19">
                  <c:v>1659.6467673988302</c:v>
                </c:pt>
                <c:pt idx="20">
                  <c:v>1701.8677497623596</c:v>
                </c:pt>
                <c:pt idx="21">
                  <c:v>1747.3569066330865</c:v>
                </c:pt>
                <c:pt idx="22">
                  <c:v>1796.1949617538319</c:v>
                </c:pt>
                <c:pt idx="23">
                  <c:v>1848.4607375969031</c:v>
                </c:pt>
                <c:pt idx="24">
                  <c:v>1904.2312837353386</c:v>
                </c:pt>
                <c:pt idx="25">
                  <c:v>1963.5819913830858</c:v>
                </c:pt>
                <c:pt idx="26">
                  <c:v>2026.5866961051918</c:v>
                </c:pt>
                <c:pt idx="27">
                  <c:v>2093.3177703414799</c:v>
                </c:pt>
                <c:pt idx="28">
                  <c:v>2163.8462071046574</c:v>
                </c:pt>
                <c:pt idx="29">
                  <c:v>2238.2416959886145</c:v>
                </c:pt>
                <c:pt idx="30">
                  <c:v>2316.5726924413025</c:v>
                </c:pt>
                <c:pt idx="31">
                  <c:v>2398.906481109419</c:v>
                </c:pt>
                <c:pt idx="32">
                  <c:v>2485.309233941924</c:v>
                </c:pt>
                <c:pt idx="33">
                  <c:v>2575.8460636401819</c:v>
                </c:pt>
                <c:pt idx="34">
                  <c:v>2670.5810729604395</c:v>
                </c:pt>
                <c:pt idx="35">
                  <c:v>2769.5774003058109</c:v>
                </c:pt>
                <c:pt idx="36">
                  <c:v>2872.8972619873457</c:v>
                </c:pt>
                <c:pt idx="37">
                  <c:v>2980.6019914853205</c:v>
                </c:pt>
                <c:pt idx="38">
                  <c:v>3092.7520760006696</c:v>
                </c:pt>
                <c:pt idx="39">
                  <c:v>3209.4071905514102</c:v>
                </c:pt>
                <c:pt idx="40">
                  <c:v>3330.6262298389729</c:v>
                </c:pt>
                <c:pt idx="41">
                  <c:v>3548.9901110230444</c:v>
                </c:pt>
                <c:pt idx="42">
                  <c:v>3425.1651455312472</c:v>
                </c:pt>
                <c:pt idx="43">
                  <c:v>3365.6432242518945</c:v>
                </c:pt>
                <c:pt idx="44">
                  <c:v>3447.1043368068972</c:v>
                </c:pt>
                <c:pt idx="45">
                  <c:v>3530.9155172002734</c:v>
                </c:pt>
                <c:pt idx="46">
                  <c:v>3617.1347883453409</c:v>
                </c:pt>
                <c:pt idx="47">
                  <c:v>3705.8219875786858</c:v>
                </c:pt>
                <c:pt idx="48">
                  <c:v>3797.0389133508447</c:v>
                </c:pt>
                <c:pt idx="49">
                  <c:v>3890.8494722665873</c:v>
                </c:pt>
                <c:pt idx="50">
                  <c:v>3987.3198276254316</c:v>
                </c:pt>
                <c:pt idx="51">
                  <c:v>4086.5185505285685</c:v>
                </c:pt>
                <c:pt idx="52">
                  <c:v>4188.5167745557073</c:v>
                </c:pt>
                <c:pt idx="53">
                  <c:v>4293.388354972245</c:v>
                </c:pt>
                <c:pt idx="54">
                  <c:v>4401.2100333992694</c:v>
                </c:pt>
                <c:pt idx="55">
                  <c:v>4512.0616088660872</c:v>
                </c:pt>
                <c:pt idx="56">
                  <c:v>4626.0261161645367</c:v>
                </c:pt>
                <c:pt idx="57">
                  <c:v>4743.1900124357489</c:v>
                </c:pt>
                <c:pt idx="58">
                  <c:v>4863.6433729425007</c:v>
                </c:pt>
                <c:pt idx="59">
                  <c:v>4987.4800970127426</c:v>
                </c:pt>
                <c:pt idx="60">
                  <c:v>5114.7981251832962</c:v>
                </c:pt>
                <c:pt idx="61">
                  <c:v>5245.6996686254379</c:v>
                </c:pt>
                <c:pt idx="62">
                  <c:v>5380.2914519978258</c:v>
                </c:pt>
                <c:pt idx="63">
                  <c:v>5518.6849709461503</c:v>
                </c:pt>
                <c:pt idx="64">
                  <c:v>5660.9967655541059</c:v>
                </c:pt>
                <c:pt idx="65">
                  <c:v>5807.3487111473869</c:v>
                </c:pt>
                <c:pt idx="66">
                  <c:v>5957.8683279623383</c:v>
                </c:pt>
                <c:pt idx="67">
                  <c:v>6112.6891113140537</c:v>
                </c:pt>
                <c:pt idx="68">
                  <c:v>6271.9508840377184</c:v>
                </c:pt>
                <c:pt idx="69">
                  <c:v>6435.8001731317545</c:v>
                </c:pt>
                <c:pt idx="70">
                  <c:v>6604.3906127046193</c:v>
                </c:pt>
                <c:pt idx="71">
                  <c:v>6777.8833755206642</c:v>
                </c:pt>
                <c:pt idx="72">
                  <c:v>6956.4476356562745</c:v>
                </c:pt>
                <c:pt idx="73">
                  <c:v>7140.2610650183988</c:v>
                </c:pt>
                <c:pt idx="74">
                  <c:v>7329.510366746782</c:v>
                </c:pt>
                <c:pt idx="75">
                  <c:v>7524.3918488216823</c:v>
                </c:pt>
                <c:pt idx="76">
                  <c:v>7725.1120415347614</c:v>
                </c:pt>
                <c:pt idx="77">
                  <c:v>7931.8883628571102</c:v>
                </c:pt>
                <c:pt idx="78">
                  <c:v>8144.9498361590922</c:v>
                </c:pt>
                <c:pt idx="79">
                  <c:v>8364.5378652093223</c:v>
                </c:pt>
                <c:pt idx="80">
                  <c:v>8590.9070719101292</c:v>
                </c:pt>
                <c:pt idx="81">
                  <c:v>8824.3262028231948</c:v>
                </c:pt>
                <c:pt idx="82">
                  <c:v>9065.0791112097613</c:v>
                </c:pt>
                <c:pt idx="83">
                  <c:v>9313.4658220672845</c:v>
                </c:pt>
                <c:pt idx="84">
                  <c:v>9569.8036884979429</c:v>
                </c:pt>
                <c:pt idx="85">
                  <c:v>9834.4286487115005</c:v>
                </c:pt>
                <c:pt idx="86">
                  <c:v>10107.696594059737</c:v>
                </c:pt>
                <c:pt idx="87">
                  <c:v>10389.984859741426</c:v>
                </c:pt>
                <c:pt idx="88">
                  <c:v>10681.693851229995</c:v>
                </c:pt>
                <c:pt idx="89">
                  <c:v>10983.248821083916</c:v>
                </c:pt>
                <c:pt idx="90">
                  <c:v>11295.101812635105</c:v>
                </c:pt>
                <c:pt idx="91">
                  <c:v>11617.733789149333</c:v>
                </c:pt>
                <c:pt idx="92">
                  <c:v>11951.656969455564</c:v>
                </c:pt>
                <c:pt idx="93">
                  <c:v>12297.41739380063</c:v>
                </c:pt>
                <c:pt idx="94">
                  <c:v>12655.597746859856</c:v>
                </c:pt>
                <c:pt idx="95">
                  <c:v>13026.820468493299</c:v>
                </c:pt>
                <c:pt idx="96">
                  <c:v>13411.75118706634</c:v>
                </c:pt>
                <c:pt idx="97">
                  <c:v>13811.102515051891</c:v>
                </c:pt>
                <c:pt idx="98">
                  <c:v>14225.638252318115</c:v>
                </c:pt>
                <c:pt idx="99">
                  <c:v>14656.1780491274</c:v>
                </c:pt>
                <c:pt idx="100">
                  <c:v>15103.6025885982</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106.25914717344631</c:v>
                </c:pt>
                <c:pt idx="42">
                  <c:v>102.0917831431796</c:v>
                </c:pt>
                <c:pt idx="43">
                  <c:v>99.775971510877127</c:v>
                </c:pt>
                <c:pt idx="44">
                  <c:v>97.564099797175928</c:v>
                </c:pt>
                <c:pt idx="45">
                  <c:v>95.448662100497046</c:v>
                </c:pt>
                <c:pt idx="46">
                  <c:v>93.423486098620884</c:v>
                </c:pt>
                <c:pt idx="47">
                  <c:v>91.482915217094217</c:v>
                </c:pt>
                <c:pt idx="48">
                  <c:v>89.621755862840004</c:v>
                </c:pt>
                <c:pt idx="49">
                  <c:v>87.835231006131082</c:v>
                </c:pt>
                <c:pt idx="50">
                  <c:v>86.118939237370896</c:v>
                </c:pt>
                <c:pt idx="51">
                  <c:v>84.468818559853403</c:v>
                </c:pt>
                <c:pt idx="52">
                  <c:v>82.881114291468194</c:v>
                </c:pt>
                <c:pt idx="53">
                  <c:v>81.352350541432074</c:v>
                </c:pt>
                <c:pt idx="54">
                  <c:v>79.879304805973447</c:v>
                </c:pt>
                <c:pt idx="55">
                  <c:v>78.458985292199102</c:v>
                </c:pt>
                <c:pt idx="56">
                  <c:v>77.088610634342245</c:v>
                </c:pt>
                <c:pt idx="57">
                  <c:v>75.765591713012839</c:v>
                </c:pt>
                <c:pt idx="58">
                  <c:v>74.487515327392856</c:v>
                </c:pt>
                <c:pt idx="59">
                  <c:v>73.252129503734309</c:v>
                </c:pt>
                <c:pt idx="60">
                  <c:v>72.057330251988617</c:v>
                </c:pt>
                <c:pt idx="61">
                  <c:v>70.901149606727614</c:v>
                </c:pt>
                <c:pt idx="62">
                  <c:v>69.781744809363957</c:v>
                </c:pt>
                <c:pt idx="63">
                  <c:v>68.69738850658895</c:v>
                </c:pt>
                <c:pt idx="64">
                  <c:v>67.646459855370935</c:v>
                </c:pt>
                <c:pt idx="65">
                  <c:v>66.627436438175764</c:v>
                </c:pt>
                <c:pt idx="66">
                  <c:v>65.638886903595377</c:v>
                </c:pt>
                <c:pt idx="67">
                  <c:v>64.67946425756837</c:v>
                </c:pt>
                <c:pt idx="68">
                  <c:v>63.747899739066554</c:v>
                </c:pt>
                <c:pt idx="69">
                  <c:v>62.842997221692691</c:v>
                </c:pt>
                <c:pt idx="70">
                  <c:v>61.963628089245148</c:v>
                </c:pt>
                <c:pt idx="71">
                  <c:v>61.108726539085779</c:v>
                </c:pt>
                <c:pt idx="72">
                  <c:v>60.277285272216623</c:v>
                </c:pt>
                <c:pt idx="73">
                  <c:v>59.468351533420744</c:v>
                </c:pt>
                <c:pt idx="74">
                  <c:v>58.681023468738196</c:v>
                </c:pt>
                <c:pt idx="75">
                  <c:v>57.914446770999191</c:v>
                </c:pt>
                <c:pt idx="76">
                  <c:v>57.167811587183323</c:v>
                </c:pt>
                <c:pt idx="77">
                  <c:v>56.440349664068798</c:v>
                </c:pt>
                <c:pt idx="78">
                  <c:v>55.731331711022904</c:v>
                </c:pt>
                <c:pt idx="79">
                  <c:v>55.040064960902697</c:v>
                </c:pt>
                <c:pt idx="80">
                  <c:v>54.365890911918534</c:v>
                </c:pt>
                <c:pt idx="81">
                  <c:v>53.708183234987466</c:v>
                </c:pt>
                <c:pt idx="82">
                  <c:v>53.066345832598273</c:v>
                </c:pt>
                <c:pt idx="83">
                  <c:v>52.439811036542267</c:v>
                </c:pt>
                <c:pt idx="84">
                  <c:v>51.828037933056784</c:v>
                </c:pt>
                <c:pt idx="85">
                  <c:v>51.230510804994942</c:v>
                </c:pt>
                <c:pt idx="86">
                  <c:v>50.646737681591496</c:v>
                </c:pt>
                <c:pt idx="87">
                  <c:v>50.076248987253706</c:v>
                </c:pt>
                <c:pt idx="88">
                  <c:v>49.518596281577331</c:v>
                </c:pt>
                <c:pt idx="89">
                  <c:v>48.973351083482363</c:v>
                </c:pt>
                <c:pt idx="90">
                  <c:v>48.440103772988103</c:v>
                </c:pt>
                <c:pt idx="91">
                  <c:v>47.918462564712819</c:v>
                </c:pt>
                <c:pt idx="92">
                  <c:v>47.408052547690708</c:v>
                </c:pt>
                <c:pt idx="93">
                  <c:v>46.908514786562051</c:v>
                </c:pt>
                <c:pt idx="94">
                  <c:v>46.419505479607139</c:v>
                </c:pt>
                <c:pt idx="95">
                  <c:v>45.940695169474054</c:v>
                </c:pt>
                <c:pt idx="96">
                  <c:v>45.471768002792807</c:v>
                </c:pt>
                <c:pt idx="97">
                  <c:v>45.012421035178505</c:v>
                </c:pt>
                <c:pt idx="98">
                  <c:v>44.562363578411052</c:v>
                </c:pt>
                <c:pt idx="99">
                  <c:v>44.121316586834382</c:v>
                </c:pt>
                <c:pt idx="100">
                  <c:v>43.689012080254045</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105.65706644440553</c:v>
                </c:pt>
                <c:pt idx="41">
                  <c:v>110.18069956718168</c:v>
                </c:pt>
                <c:pt idx="42">
                  <c:v>107.65050108607865</c:v>
                </c:pt>
                <c:pt idx="43">
                  <c:v>105.23502271416928</c:v>
                </c:pt>
                <c:pt idx="44">
                  <c:v>102.92711236957703</c:v>
                </c:pt>
                <c:pt idx="45">
                  <c:v>100.71974107352555</c:v>
                </c:pt>
                <c:pt idx="46">
                  <c:v>98.606479198914286</c:v>
                </c:pt>
                <c:pt idx="47">
                  <c:v>96.581433921285921</c:v>
                </c:pt>
                <c:pt idx="48">
                  <c:v>94.639194342866645</c:v>
                </c:pt>
                <c:pt idx="49">
                  <c:v>92.774783213524302</c:v>
                </c:pt>
                <c:pt idx="50">
                  <c:v>90.983614341592968</c:v>
                </c:pt>
                <c:pt idx="51">
                  <c:v>89.261454927301713</c:v>
                </c:pt>
                <c:pt idx="52">
                  <c:v>87.604392167552703</c:v>
                </c:pt>
                <c:pt idx="53">
                  <c:v>86.008803577436041</c:v>
                </c:pt>
                <c:pt idx="54">
                  <c:v>84.471330554672193</c:v>
                </c:pt>
                <c:pt idx="55">
                  <c:v>82.988854780966989</c:v>
                </c:pt>
                <c:pt idx="56">
                  <c:v>81.558477111339158</c:v>
                </c:pt>
                <c:pt idx="57">
                  <c:v>80.177498650683901</c:v>
                </c:pt>
                <c:pt idx="58">
                  <c:v>78.843403757675347</c:v>
                </c:pt>
                <c:pt idx="59">
                  <c:v>77.553844750817532</c:v>
                </c:pt>
                <c:pt idx="60">
                  <c:v>76.306628121026279</c:v>
                </c:pt>
                <c:pt idx="61">
                  <c:v>75.099702080405962</c:v>
                </c:pt>
                <c:pt idx="62">
                  <c:v>73.931145298543044</c:v>
                </c:pt>
                <c:pt idx="63">
                  <c:v>72.79915669624971</c:v>
                </c:pt>
                <c:pt idx="64">
                  <c:v>71.702046182722498</c:v>
                </c:pt>
                <c:pt idx="65">
                  <c:v>70.638226235919433</c:v>
                </c:pt>
                <c:pt idx="66">
                  <c:v>69.606204237942123</c:v>
                </c:pt>
                <c:pt idx="67">
                  <c:v>68.604575487597714</c:v>
                </c:pt>
                <c:pt idx="68">
                  <c:v>67.632016821353432</c:v>
                </c:pt>
                <c:pt idx="69">
                  <c:v>66.687280781765736</c:v>
                </c:pt>
                <c:pt idx="70">
                  <c:v>65.769190279340222</c:v>
                </c:pt>
                <c:pt idx="71">
                  <c:v>64.876633699789579</c:v>
                </c:pt>
                <c:pt idx="72">
                  <c:v>64.008560413928393</c:v>
                </c:pt>
                <c:pt idx="73">
                  <c:v>63.163976652071021</c:v>
                </c:pt>
                <c:pt idx="74">
                  <c:v>62.341941708871687</c:v>
                </c:pt>
                <c:pt idx="75">
                  <c:v>61.541564448135759</c:v>
                </c:pt>
                <c:pt idx="76">
                  <c:v>60.76200008029992</c:v>
                </c:pt>
                <c:pt idx="77">
                  <c:v>60.002447188083245</c:v>
                </c:pt>
                <c:pt idx="78">
                  <c:v>59.262144978294124</c:v>
                </c:pt>
                <c:pt idx="79">
                  <c:v>58.540370739982698</c:v>
                </c:pt>
                <c:pt idx="80">
                  <c:v>57.836437491086038</c:v>
                </c:pt>
                <c:pt idx="81">
                  <c:v>57.149691797458289</c:v>
                </c:pt>
                <c:pt idx="82">
                  <c:v>56.479511749731707</c:v>
                </c:pt>
                <c:pt idx="83">
                  <c:v>55.825305084840828</c:v>
                </c:pt>
                <c:pt idx="84">
                  <c:v>55.18650744028561</c:v>
                </c:pt>
                <c:pt idx="85">
                  <c:v>54.562580730316348</c:v>
                </c:pt>
                <c:pt idx="86">
                  <c:v>53.953011634221198</c:v>
                </c:pt>
                <c:pt idx="87">
                  <c:v>53.357310187790091</c:v>
                </c:pt>
                <c:pt idx="88">
                  <c:v>52.775008469831569</c:v>
                </c:pt>
                <c:pt idx="89">
                  <c:v>52.205659376342069</c:v>
                </c:pt>
                <c:pt idx="90">
                  <c:v>51.648835475579141</c:v>
                </c:pt>
                <c:pt idx="91">
                  <c:v>51.104127937876221</c:v>
                </c:pt>
                <c:pt idx="92">
                  <c:v>50.571145534567961</c:v>
                </c:pt>
                <c:pt idx="93">
                  <c:v>50.049513700875274</c:v>
                </c:pt>
                <c:pt idx="94">
                  <c:v>49.538873658031775</c:v>
                </c:pt>
                <c:pt idx="95">
                  <c:v>49.038881590329062</c:v>
                </c:pt>
                <c:pt idx="96">
                  <c:v>48.549207873112927</c:v>
                </c:pt>
                <c:pt idx="97">
                  <c:v>48.069536348088562</c:v>
                </c:pt>
                <c:pt idx="98">
                  <c:v>47.599563642586325</c:v>
                </c:pt>
                <c:pt idx="99">
                  <c:v>47.138998529708125</c:v>
                </c:pt>
                <c:pt idx="100">
                  <c:v>46.687561326518541</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4" val="1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72"/>
</file>

<file path=xl/ctrlProps/ctrlProp8.xml><?xml version="1.0" encoding="utf-8"?>
<formControlPr xmlns="http://schemas.microsoft.com/office/spreadsheetml/2009/9/main" objectType="Spin" dx="16" fmlaLink="$E$7" max="65" min="3" page="10" val="65"/>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906"/>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907"/>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72V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10A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196kΩ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16.9kΩ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19V...85V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84.3%</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908"/>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47pF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2mΩ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84.3%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84.3%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86"/>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09"/>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99"/>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72V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15V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10A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196kΩ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19V...85V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12.1kΩ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47pF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2mΩ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I92"/>
  <sheetViews>
    <sheetView tabSelected="1" zoomScale="85" zoomScaleNormal="85" zoomScaleSheetLayoutView="70" zoomScalePageLayoutView="10" workbookViewId="0">
      <selection activeCell="L9" sqref="L9"/>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19</v>
      </c>
      <c r="F6" s="789" t="s">
        <v>0</v>
      </c>
      <c r="G6" s="90"/>
      <c r="H6" s="454"/>
      <c r="I6" s="508"/>
      <c r="J6" s="206"/>
      <c r="K6" s="509" t="s">
        <v>835</v>
      </c>
      <c r="L6" s="785">
        <f>Lmin</f>
        <v>7.9443832353588961</v>
      </c>
      <c r="M6" s="624" t="s">
        <v>96</v>
      </c>
      <c r="N6" s="49"/>
      <c r="O6" s="49"/>
      <c r="P6" s="49"/>
      <c r="Q6" s="49"/>
      <c r="R6" s="82"/>
      <c r="S6" s="82"/>
      <c r="T6" s="75"/>
      <c r="U6" s="75"/>
      <c r="V6" s="75"/>
      <c r="W6" s="75"/>
      <c r="X6" s="75"/>
      <c r="Y6" s="75"/>
      <c r="Z6" s="506"/>
      <c r="AA6" s="500"/>
    </row>
    <row r="7" spans="1:27" ht="14.25" customHeight="1">
      <c r="A7" s="134"/>
      <c r="B7" s="133"/>
      <c r="C7" s="845"/>
      <c r="D7" s="846" t="s">
        <v>882</v>
      </c>
      <c r="E7" s="143">
        <v>72</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85</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15</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10</v>
      </c>
      <c r="F11" s="730" t="s">
        <v>1</v>
      </c>
      <c r="G11" s="90"/>
      <c r="H11" s="88"/>
      <c r="I11" s="75"/>
      <c r="J11" s="75"/>
      <c r="K11" s="100" t="s">
        <v>663</v>
      </c>
      <c r="L11" s="143">
        <v>2</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8</v>
      </c>
      <c r="F12" s="427" t="str">
        <f>CHOOSE(MODE, "", "V", "V")</f>
        <v/>
      </c>
      <c r="G12" s="90"/>
      <c r="H12" s="134"/>
      <c r="I12" s="133"/>
      <c r="J12" s="600"/>
      <c r="K12" s="135" t="s">
        <v>843</v>
      </c>
      <c r="L12" s="780" t="str">
        <f>"1 : "&amp;(ROUND(1/ktr_rcmd*100,0)/100)</f>
        <v>1 : 0.43</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100</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47.724025821239522</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2.3627260981912155</v>
      </c>
      <c r="F16" s="729" t="s">
        <v>20</v>
      </c>
      <c r="G16" s="90"/>
      <c r="H16" s="601"/>
      <c r="I16" s="504"/>
      <c r="J16" s="104"/>
      <c r="K16" s="507" t="s">
        <v>605</v>
      </c>
      <c r="L16" s="628">
        <f>CHOOSE(MODE, 'Calculations - Single'!N212,'Calculations - Dual'!O212+'Calculations - Dual'!P212)</f>
        <v>211.53595381051431</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2</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50</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532.88266086336341</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18.48</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115</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3.3082563351827972</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10.963611249558964</v>
      </c>
      <c r="F29" s="428" t="s">
        <v>97</v>
      </c>
      <c r="G29" s="90"/>
      <c r="H29" s="566"/>
      <c r="I29" s="501"/>
      <c r="J29" s="501"/>
      <c r="K29" s="837" t="str">
        <f>CHOOSE(MODE, "Min Diode Voltage Rating","Min Diode Voltage Rating, Output #1")</f>
        <v>Min Diode Voltage Rating</v>
      </c>
      <c r="L29" s="859">
        <f>(VIN_max/Nps+Vout)*1.3</f>
        <v>130</v>
      </c>
      <c r="M29" s="860" t="s">
        <v>0</v>
      </c>
      <c r="N29" s="49"/>
      <c r="O29" s="566"/>
      <c r="P29" s="501"/>
      <c r="Q29" s="501"/>
      <c r="R29" s="837" t="s">
        <v>877</v>
      </c>
      <c r="S29" s="859">
        <f>(VIN_max/Npri_sec2+Vout2)*1.3</f>
        <v>70.224840764331219</v>
      </c>
      <c r="T29" s="860" t="s">
        <v>0</v>
      </c>
      <c r="U29" s="75"/>
      <c r="V29" s="75"/>
      <c r="W29" s="75"/>
      <c r="X29" s="75"/>
      <c r="Y29" s="75"/>
      <c r="Z29" s="506"/>
      <c r="AA29" s="500"/>
    </row>
    <row r="30" spans="1:27" ht="15.75" customHeight="1" thickBot="1">
      <c r="A30" s="97"/>
      <c r="B30" s="89"/>
      <c r="C30" s="96"/>
      <c r="D30" s="100" t="s">
        <v>141</v>
      </c>
      <c r="E30" s="98">
        <v>22</v>
      </c>
      <c r="F30" s="429" t="s">
        <v>97</v>
      </c>
      <c r="G30" s="90"/>
      <c r="H30" s="425"/>
      <c r="I30" s="82"/>
      <c r="J30" s="82"/>
      <c r="K30" s="836" t="str">
        <f>CHOOSE(MODE, "Min Diode DC Current Rating","Min Diode DC Current Rating, Output #1")</f>
        <v>Min Diode DC Current Rating</v>
      </c>
      <c r="L30" s="861">
        <f>MAX(E11*3,0.5)</f>
        <v>30</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1852.1297062724559</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1485.0523437781055</v>
      </c>
      <c r="F33" s="428" t="s">
        <v>97</v>
      </c>
      <c r="G33" s="585"/>
      <c r="H33" s="575"/>
      <c r="I33" s="584"/>
      <c r="J33" s="501"/>
      <c r="K33" s="424" t="str">
        <f>CHOOSE(MODE, "", "Minimum Output Capacitance, Output #2")</f>
        <v/>
      </c>
      <c r="L33" s="621">
        <f>'Variable Mgmt'!B136</f>
        <v>12.190572572366374</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393.09708894855288</v>
      </c>
      <c r="F36" s="105" t="s">
        <v>103</v>
      </c>
      <c r="G36" s="585"/>
      <c r="H36" s="104"/>
      <c r="I36" s="504"/>
      <c r="J36" s="503"/>
      <c r="K36" s="208" t="str">
        <f>CHOOSE(MODE, "", "Resulting Output Voltage Ripple, Output #2")</f>
        <v/>
      </c>
      <c r="L36" s="209">
        <f>Vripple2_actual</f>
        <v>99.359005617471098</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154</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357</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18.8</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17.2</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196</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16.900000000000002</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1.1050664864106563</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78.66697424972854</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2.0096908614265976</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1.3950944730586261</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12.1</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51.643817086035071</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344.29211390690051</v>
      </c>
      <c r="F63" s="868" t="s">
        <v>15</v>
      </c>
      <c r="G63" s="89"/>
      <c r="H63" s="89"/>
      <c r="I63" s="49"/>
      <c r="J63" s="49"/>
      <c r="K63" s="49"/>
      <c r="L63" s="49"/>
      <c r="M63" s="49"/>
      <c r="N63" s="49"/>
      <c r="O63" s="49"/>
      <c r="P63" s="49"/>
      <c r="Q63" s="49"/>
      <c r="R63" s="82"/>
      <c r="S63" s="82"/>
      <c r="T63" s="75"/>
      <c r="U63" s="75"/>
      <c r="V63" s="812" t="s">
        <v>863</v>
      </c>
      <c r="W63" s="813">
        <f>Vin</f>
        <v>72</v>
      </c>
      <c r="X63" s="734" t="s">
        <v>0</v>
      </c>
      <c r="Y63" s="75"/>
      <c r="Z63" s="506"/>
      <c r="AA63" s="500"/>
    </row>
    <row r="64" spans="1:27" ht="15.75" customHeight="1" thickBot="1">
      <c r="A64" s="787"/>
      <c r="B64" s="151"/>
      <c r="C64" s="151"/>
      <c r="D64" s="510" t="s">
        <v>820</v>
      </c>
      <c r="E64" s="810">
        <v>47</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130</v>
      </c>
      <c r="F68" s="867" t="s">
        <v>0</v>
      </c>
      <c r="G68" s="881"/>
      <c r="H68" s="876"/>
      <c r="I68" s="211"/>
      <c r="J68" s="213"/>
      <c r="K68" s="135" t="s">
        <v>890</v>
      </c>
      <c r="L68" s="865">
        <f>E8/Nps*Nsec1sec2+Vout</f>
        <v>61.019108280254777</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0.39039000000000001</v>
      </c>
      <c r="F70" s="871" t="s">
        <v>45</v>
      </c>
      <c r="G70" s="89"/>
      <c r="H70" s="853"/>
      <c r="I70" s="504"/>
      <c r="J70" s="878"/>
      <c r="K70" s="507" t="s">
        <v>891</v>
      </c>
      <c r="L70" s="879">
        <f>L68*L68*L67*0.000000000001*350000*3</f>
        <v>8.6008959389833259E-2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5.0000000000000001E-4</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18</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Dz</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17.14</v>
      </c>
      <c r="F76" s="867" t="str">
        <f>IF(OR(E75="DZ", E75="DZ1"), "V", IF(OR(E75="Rdmy", E75="Rdmy1"),"Ohm", ""))</f>
        <v>V</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1.0034722222222219</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110.10162979499408</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90.813366053175685</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Sk+SkT6Lk/8Q0+YFQX3UcaCptwzFF7tlQ+F707yXLSKW4rcu2tVjAJdyknIe/5s49J+/wLoSSRxN4R5P9KvPOA==" saltValue="ggJkC+AbmD1efsCHBmxP4Q==" spinCount="100000" sheet="1"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notBetween">
      <formula>100</formula>
      <formula>4.5</formula>
    </cfRule>
    <cfRule type="cellIs" dxfId="73" priority="3" operator="greaterThanOrEqual">
      <formula>$E$6</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100</formula>
    </cfRule>
  </conditionalFormatting>
  <conditionalFormatting sqref="E8">
    <cfRule type="cellIs" dxfId="50" priority="41" operator="notBetween">
      <formula>$E$7</formula>
      <formula>100</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100</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notBetween">
      <formula>4.5</formula>
      <formula>100</formula>
    </cfRule>
  </conditionalFormatting>
  <hyperlinks>
    <hyperlink ref="C3" r:id="rId1"/>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110</v>
      </c>
      <c r="D3">
        <f>Cin</f>
        <v>22</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358400</v>
      </c>
      <c r="J9" s="3">
        <f t="shared" si="0"/>
        <v>357000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194.66666666666725</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196</v>
      </c>
      <c r="K16" s="17" t="s">
        <v>113</v>
      </c>
    </row>
    <row r="17" spans="1:11" ht="13">
      <c r="A17">
        <v>3.9</v>
      </c>
      <c r="B17">
        <f t="shared" si="1"/>
        <v>0</v>
      </c>
      <c r="C17">
        <f t="shared" si="2"/>
        <v>0</v>
      </c>
      <c r="D17">
        <f t="shared" si="3"/>
        <v>0</v>
      </c>
      <c r="E17">
        <f t="shared" si="4"/>
        <v>0</v>
      </c>
      <c r="H17" s="76" t="s">
        <v>131</v>
      </c>
      <c r="I17" s="173">
        <f>Ruvlo2</f>
        <v>16.99421965317919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16.900000000000002</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1284.0043134435662</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1270</v>
      </c>
      <c r="K23" s="17" t="s">
        <v>136</v>
      </c>
    </row>
    <row r="24" spans="1:11" ht="13">
      <c r="A24">
        <v>15</v>
      </c>
      <c r="B24">
        <f t="shared" si="1"/>
        <v>0</v>
      </c>
      <c r="C24">
        <f t="shared" si="2"/>
        <v>0</v>
      </c>
      <c r="D24">
        <f t="shared" si="3"/>
        <v>0</v>
      </c>
      <c r="E24">
        <f t="shared" si="4"/>
        <v>0</v>
      </c>
      <c r="H24" t="s">
        <v>899</v>
      </c>
      <c r="I24">
        <f>'Calculations - Dual'!H329</f>
        <v>1284.0043134435662</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1270</v>
      </c>
    </row>
    <row r="25" spans="1:11" ht="13">
      <c r="A25">
        <v>18</v>
      </c>
      <c r="B25">
        <f t="shared" si="1"/>
        <v>0</v>
      </c>
      <c r="C25">
        <f t="shared" si="2"/>
        <v>0</v>
      </c>
      <c r="D25">
        <f t="shared" si="3"/>
        <v>0</v>
      </c>
      <c r="E25">
        <f t="shared" si="4"/>
        <v>0</v>
      </c>
      <c r="H25" s="76" t="s">
        <v>900</v>
      </c>
      <c r="I25">
        <f>'Calculations - Dual'!O329</f>
        <v>358.72899308007356</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357</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0.2006944444444444</v>
      </c>
    </row>
    <row r="28" spans="1:11" ht="13">
      <c r="A28">
        <v>33</v>
      </c>
      <c r="B28">
        <f t="shared" si="1"/>
        <v>0</v>
      </c>
      <c r="C28">
        <f t="shared" si="2"/>
        <v>0</v>
      </c>
      <c r="D28">
        <f t="shared" si="3"/>
        <v>0</v>
      </c>
      <c r="E28">
        <f t="shared" si="4"/>
        <v>0</v>
      </c>
      <c r="H28" s="76" t="s">
        <v>902</v>
      </c>
      <c r="I28">
        <f>'Calculations - Dual'!G327</f>
        <v>0.2006944444444444</v>
      </c>
      <c r="K28" s="17"/>
    </row>
    <row r="29" spans="1:11">
      <c r="A29">
        <v>39</v>
      </c>
      <c r="B29">
        <f t="shared" si="1"/>
        <v>0</v>
      </c>
      <c r="C29">
        <f t="shared" si="2"/>
        <v>0</v>
      </c>
      <c r="D29">
        <f t="shared" si="3"/>
        <v>0</v>
      </c>
      <c r="E29">
        <f t="shared" si="4"/>
        <v>0</v>
      </c>
      <c r="H29" s="76" t="s">
        <v>903</v>
      </c>
      <c r="I29">
        <f>'Calculations - Dual'!N327</f>
        <v>0.2006944444444444</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6.4935064935064929E-2</v>
      </c>
      <c r="J3" s="639" t="s">
        <v>686</v>
      </c>
      <c r="K3" s="640" t="s">
        <v>687</v>
      </c>
      <c r="L3" s="269">
        <f>1/Rcs_gain</f>
        <v>50</v>
      </c>
      <c r="M3" s="639" t="s">
        <v>688</v>
      </c>
      <c r="N3" s="194" t="s">
        <v>689</v>
      </c>
      <c r="O3" s="641">
        <f>gmEA</f>
        <v>5.9999999999999995E-4</v>
      </c>
      <c r="P3" s="642" t="s">
        <v>690</v>
      </c>
      <c r="Q3" s="643">
        <f>1/(2*Pi*D25*D26)</f>
        <v>723431.56033525639</v>
      </c>
      <c r="R3" s="639" t="s">
        <v>8</v>
      </c>
      <c r="S3" s="642"/>
      <c r="T3" s="643"/>
      <c r="U3" s="639"/>
      <c r="V3" s="644" t="s">
        <v>692</v>
      </c>
      <c r="W3" s="643">
        <f>Am*Afb*Aea</f>
        <v>315175.09727626451</v>
      </c>
      <c r="X3" s="645" t="s">
        <v>686</v>
      </c>
      <c r="AA3" s="170">
        <f>MIN(z_RHP/10,'Calculations - Single'!Y212/10)</f>
        <v>1.3577018868451494</v>
      </c>
      <c r="AB3" s="170" t="s">
        <v>2</v>
      </c>
    </row>
    <row r="4" spans="1:44" ht="13">
      <c r="B4" s="170">
        <f>BODE_TYPE*0+IF('Variable Mgmt'!Y17="BCM",2, 1)</f>
        <v>2</v>
      </c>
      <c r="H4" s="646" t="s">
        <v>693</v>
      </c>
      <c r="I4" s="643">
        <f>1/(2*Pi*Rcomp*Ccomp)</f>
        <v>597.87732259112101</v>
      </c>
      <c r="J4" s="639" t="s">
        <v>8</v>
      </c>
      <c r="K4" s="642" t="s">
        <v>694</v>
      </c>
      <c r="L4" s="269">
        <f>CHOOSE(BODE_TYPE, Rload_pri/Rcs_gain*(Lmag/(2*Vout_eff*Npri_sec)*Fsw_DCM)*SQRT(Iout_eff/(Lmag/(2*Vout_eff*Npri_sec)*Fsw_DCM*Npri_sec)), Rload_pri/(Rcs_gain*2*(2*M+1)))</f>
        <v>26.964980544747082</v>
      </c>
      <c r="M4" s="639" t="s">
        <v>686</v>
      </c>
      <c r="N4" s="647" t="s">
        <v>755</v>
      </c>
      <c r="O4" s="713">
        <f>REAout</f>
        <v>300000000</v>
      </c>
      <c r="P4" s="642" t="s">
        <v>695</v>
      </c>
      <c r="Q4" s="643">
        <f>CHOOSE(BODE_TYPE, 2/(2*Pi*D25*Rload_sec), 1/(2*Pi*D25*[0]!Rload_sec)*(2*M+1)/(M+1))</f>
        <v>1105.0664864106564</v>
      </c>
      <c r="R4" s="639" t="s">
        <v>8</v>
      </c>
      <c r="S4" s="648"/>
      <c r="T4" s="649"/>
      <c r="U4" s="645"/>
      <c r="V4" s="719" t="s">
        <v>696</v>
      </c>
      <c r="W4" s="720">
        <f>AK7</f>
        <v>10.532</v>
      </c>
      <c r="X4" s="721" t="s">
        <v>2</v>
      </c>
    </row>
    <row r="5" spans="1:44" ht="13">
      <c r="H5" s="638" t="s">
        <v>697</v>
      </c>
      <c r="I5" s="190">
        <f>1/(2*Pi*REAout*Ccomp)</f>
        <v>2.4114385344508542E-2</v>
      </c>
      <c r="J5" s="639" t="s">
        <v>8</v>
      </c>
      <c r="K5" s="642"/>
      <c r="L5" s="190"/>
      <c r="M5" s="639"/>
      <c r="N5" s="647"/>
      <c r="O5" s="647"/>
      <c r="P5" s="648" t="s">
        <v>712</v>
      </c>
      <c r="Q5" s="650">
        <f>Rload_pri/(2*Pi*Lmag*M*(M+1))</f>
        <v>78666.974249728533</v>
      </c>
      <c r="R5" s="645" t="s">
        <v>8</v>
      </c>
      <c r="S5" s="648"/>
      <c r="T5" s="188"/>
      <c r="U5" s="645"/>
      <c r="V5" s="719" t="s">
        <v>698</v>
      </c>
      <c r="W5" s="722">
        <f>AK9</f>
        <v>30.866914428816273</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279857.47014903533</v>
      </c>
      <c r="J7" s="656" t="s">
        <v>8</v>
      </c>
      <c r="K7" s="657"/>
      <c r="L7" s="658"/>
      <c r="M7" s="658"/>
      <c r="N7" s="659"/>
      <c r="O7" s="656"/>
      <c r="P7" s="657"/>
      <c r="Q7" s="657"/>
      <c r="R7" s="656"/>
      <c r="S7" s="657"/>
      <c r="T7" s="657"/>
      <c r="U7" s="656"/>
      <c r="V7" s="657"/>
      <c r="W7" s="657"/>
      <c r="X7" s="656"/>
      <c r="AJ7" s="170" t="s">
        <v>704</v>
      </c>
      <c r="AK7" s="170">
        <f>SUM(AJ12:AJ613)/1000</f>
        <v>10.532</v>
      </c>
      <c r="AL7" s="197">
        <f>AK7*1000</f>
        <v>10532</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30.866914428816273</v>
      </c>
      <c r="AL9" s="443">
        <f>AK9</f>
        <v>30.866914428816273</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1.0000004094426687</v>
      </c>
      <c r="J13" s="678">
        <f t="shared" ref="J13:J76" si="1">ATAN(G13/pole1)</f>
        <v>9.0492268052248847E-4</v>
      </c>
      <c r="K13" s="678">
        <f t="shared" ref="K13:K76" si="2">SQRT(1+(G13/Zero1)^2)</f>
        <v>1.0000000000009552</v>
      </c>
      <c r="L13" s="679">
        <f t="shared" ref="L13:L76" si="3">ATAN(G13/Zero1)</f>
        <v>1.3823007659991194E-6</v>
      </c>
      <c r="M13" s="678">
        <f t="shared" ref="M13:M76" si="4">SQRT(1+(G13/z_RHP)^2)</f>
        <v>1.0000000000807951</v>
      </c>
      <c r="N13" s="679">
        <f t="shared" ref="N13:N76" si="5">-ATAN(G13/z_RHP)</f>
        <v>-1.2711814703481968E-5</v>
      </c>
      <c r="O13" s="677">
        <f t="shared" ref="O13:O76" si="6">SQRT(1+(G13/Pole2)^2)</f>
        <v>41.481078420356532</v>
      </c>
      <c r="P13" s="680">
        <f t="shared" ref="P13:P76" si="7">ATAN(G13/Pole2)</f>
        <v>1.5466866140207001</v>
      </c>
      <c r="Q13" s="678">
        <f t="shared" ref="Q13:Q76" si="8">SQRT(1+(G13/Zero2)^2)</f>
        <v>1.0000013987675178</v>
      </c>
      <c r="R13" s="679">
        <f t="shared" ref="R13:R76" si="9">ATAN(G13/Zero2)</f>
        <v>1.6725823671574814E-3</v>
      </c>
      <c r="S13" s="677">
        <f t="shared" ref="S13:S76" si="10">SQRT(1+(G13/pole4)^2)</f>
        <v>1.000000000006384</v>
      </c>
      <c r="T13" s="680">
        <f t="shared" ref="T13:T76" si="11">ATAN(G13/pole4)</f>
        <v>3.5732474800947917E-6</v>
      </c>
      <c r="U13" s="681">
        <f>IMABS(IMPRODUCT(AO13, AR13))</f>
        <v>0.99959999665757371</v>
      </c>
      <c r="V13" s="682">
        <f>IMARGUMENT(IMPRODUCT(AO13, AR13))</f>
        <v>-1.0067130264688893E-4</v>
      </c>
      <c r="W13" s="683">
        <f t="shared" ref="W13:W76" si="12">20*LOG10(((K13*Q13*M13*U13)/(I13*O13*S13))*Adc)</f>
        <v>77.610570652759208</v>
      </c>
      <c r="X13" s="684">
        <f t="shared" ref="X13:X76" si="13">((L13+R13+N13+V13)-(J13+P13+T13))*radconv</f>
        <v>-88.581253559930275</v>
      </c>
      <c r="Y13" s="685">
        <f t="shared" ref="Y13:Y76" si="14">IF(X13&gt;0,X13,X13+180)</f>
        <v>91.418746440069725</v>
      </c>
      <c r="AA13" s="170">
        <f t="shared" ref="AA13:AA76" si="15">IF(W13&lt;0,G13,1000000000)</f>
        <v>1000000000</v>
      </c>
      <c r="AB13" s="170">
        <f t="shared" ref="AB13:AB76" si="16">G13^2</f>
        <v>1</v>
      </c>
      <c r="AD13" s="686">
        <f t="shared" ref="AD13:AD76" si="17">20*LOG10((Q13/(O13*S13))*Aea)</f>
        <v>72.748461479496569</v>
      </c>
      <c r="AE13" s="687">
        <f t="shared" ref="AE13:AE76" si="18">(R13-(P13+T13))*radconv</f>
        <v>-88.522988135391785</v>
      </c>
      <c r="AG13" s="686">
        <f t="shared" ref="AG13:AG76" si="19">20*LOG10((K13*M13/(I13*U13))*Acs*Am)</f>
        <v>62.5988738366229</v>
      </c>
      <c r="AH13" s="687">
        <f t="shared" ref="AH13:AH76" si="20">(L13+N13-(J13+V13))*radconv</f>
        <v>-4.672934300580147E-2</v>
      </c>
      <c r="AJ13" s="170">
        <f t="shared" ref="AJ13:AJ76" si="21">SUM((W14&lt;0)*(W13&gt;0))*G13</f>
        <v>0</v>
      </c>
      <c r="AK13" s="170">
        <f t="shared" ref="AK13:AK44" si="22">IF(AJ13&gt;0,Y11,0)</f>
        <v>0</v>
      </c>
      <c r="AM13" s="170" t="str">
        <f>IMSUB(1,IMEXP(COMPLEX(0,-2*Pi*G13*Tsw)))</f>
        <v>1.03415419561159E-08+0.00014381614459029i</v>
      </c>
      <c r="AN13" s="170" t="str">
        <f>COMPLEX(0, 2*Pi*G13*Tsw)</f>
        <v>0.00014381614508605i</v>
      </c>
      <c r="AO13" s="170" t="str">
        <f>IMDIV(AM13, AN13)</f>
        <v>0.999999996552821-0.0000719080736723141i</v>
      </c>
      <c r="AP13" s="170" t="str">
        <f>IMDIV(IMEXP(COMPLEX(0,-2*Pi*G13*Tsw)),6)</f>
        <v>0.166666664943076-0.000023969357431715i</v>
      </c>
      <c r="AQ13" s="170" t="str">
        <f>IMSUB(1, AP13)</f>
        <v>0.833333335056924+0.000023969357431715i</v>
      </c>
      <c r="AR13" s="170" t="str">
        <f>IMDIV(0.833, AQ13)</f>
        <v>0.999599997105526-0.0000287517234837689i</v>
      </c>
    </row>
    <row r="14" spans="1:44" ht="13">
      <c r="A14" s="333" t="s">
        <v>736</v>
      </c>
      <c r="B14" s="711">
        <f>Vout+Vfwd1</f>
        <v>15.4</v>
      </c>
      <c r="C14" s="170" t="s">
        <v>0</v>
      </c>
      <c r="D14" s="170" t="s">
        <v>763</v>
      </c>
      <c r="G14" s="688">
        <v>1.0965</v>
      </c>
      <c r="H14" s="676">
        <f t="shared" ref="H14:H77" si="23">G14/1000</f>
        <v>1.0965E-3</v>
      </c>
      <c r="I14" s="677">
        <f t="shared" si="0"/>
        <v>1.0000004922779158</v>
      </c>
      <c r="J14" s="678">
        <f t="shared" si="1"/>
        <v>9.9224766439753821E-4</v>
      </c>
      <c r="K14" s="678">
        <f t="shared" si="2"/>
        <v>1.0000000000011486</v>
      </c>
      <c r="L14" s="679">
        <f t="shared" si="3"/>
        <v>1.5156927899178391E-6</v>
      </c>
      <c r="M14" s="678">
        <f t="shared" si="4"/>
        <v>1.000000000097141</v>
      </c>
      <c r="N14" s="679">
        <f t="shared" si="5"/>
        <v>-1.3938504822216088E-5</v>
      </c>
      <c r="O14" s="677">
        <f t="shared" si="6"/>
        <v>45.481778440065405</v>
      </c>
      <c r="P14" s="680">
        <f t="shared" si="7"/>
        <v>1.5488077278014645</v>
      </c>
      <c r="Q14" s="689">
        <f t="shared" si="8"/>
        <v>1.0000016817550836</v>
      </c>
      <c r="R14" s="690">
        <f t="shared" si="9"/>
        <v>1.8339862195916727E-3</v>
      </c>
      <c r="S14" s="677">
        <f t="shared" si="10"/>
        <v>1.0000000000076756</v>
      </c>
      <c r="T14" s="680">
        <f t="shared" si="11"/>
        <v>3.9180658619205659E-6</v>
      </c>
      <c r="U14" s="681">
        <f t="shared" ref="U14:U77" si="24">IMABS(IMPRODUCT(AO14, AR14))</f>
        <v>0.99959999598135929</v>
      </c>
      <c r="V14" s="682">
        <f t="shared" ref="V14:V77" si="25">IMARGUMENT(IMPRODUCT(AO14, AR14))</f>
        <v>-1.1038607980597605E-4</v>
      </c>
      <c r="W14" s="683">
        <f t="shared" si="12"/>
        <v>76.810824392739505</v>
      </c>
      <c r="X14" s="684">
        <f t="shared" si="13"/>
        <v>-88.699179034785004</v>
      </c>
      <c r="Y14" s="687">
        <f t="shared" si="14"/>
        <v>91.300820965214996</v>
      </c>
      <c r="AA14" s="170">
        <f t="shared" si="15"/>
        <v>1000000000</v>
      </c>
      <c r="AB14" s="170">
        <f t="shared" si="16"/>
        <v>1.2023122500000001</v>
      </c>
      <c r="AD14" s="686">
        <f t="shared" si="17"/>
        <v>71.948715944706578</v>
      </c>
      <c r="AE14" s="687">
        <f t="shared" si="18"/>
        <v>-88.635291000121299</v>
      </c>
      <c r="AG14" s="686">
        <f t="shared" si="19"/>
        <v>62.598873123144941</v>
      </c>
      <c r="AH14" s="687">
        <f t="shared" si="20"/>
        <v>-5.1238721669499339E-2</v>
      </c>
      <c r="AJ14" s="170">
        <f t="shared" si="21"/>
        <v>0</v>
      </c>
      <c r="AK14" s="170">
        <f t="shared" si="22"/>
        <v>0</v>
      </c>
      <c r="AM14" s="170" t="str">
        <f t="shared" ref="AM14:AM77" si="26">IMSUB(1,IMEXP(COMPLEX(0,-2*Pi*G14*Tsw)))</f>
        <v>1.2433762019981E-08+0.000157694402433276i</v>
      </c>
      <c r="AN14" s="170" t="str">
        <f t="shared" ref="AN14:AN77" si="27">COMPLEX(0, 2*Pi*G14*Tsw)</f>
        <v>0.000157694403086854i</v>
      </c>
      <c r="AO14" s="170" t="str">
        <f t="shared" ref="AO14:AO77" si="28">IMDIV(AM14, AN14)</f>
        <v>0.999999995855414-0.0000788471992448128i</v>
      </c>
      <c r="AP14" s="170" t="str">
        <f t="shared" ref="AP14:AP77" si="29">IMDIV(IMEXP(COMPLEX(0,-2*Pi*G14*Tsw)),6)</f>
        <v>0.166666664594373-0.000026282400405546i</v>
      </c>
      <c r="AQ14" s="170" t="str">
        <f t="shared" ref="AQ14:AQ77" si="30">IMSUB(1, AP14)</f>
        <v>0.833333335405627+0.000026282400405546i</v>
      </c>
      <c r="AR14" s="170" t="str">
        <f t="shared" ref="AR14:AR77" si="31">IMDIV(0.833, AQ14)</f>
        <v>0.999599996519939-0.0000315262647463053i</v>
      </c>
    </row>
    <row r="15" spans="1:44" ht="13">
      <c r="A15" s="333" t="s">
        <v>735</v>
      </c>
      <c r="B15" s="711">
        <f>'Design Converter'!E11+IF(MODE=2,ABS('Design Converter'!E13*'Design Converter'!L14),0)</f>
        <v>10</v>
      </c>
      <c r="C15" s="170" t="s">
        <v>1</v>
      </c>
      <c r="G15" s="688">
        <v>1.2022999999999999</v>
      </c>
      <c r="H15" s="676">
        <f t="shared" si="23"/>
        <v>1.2022999999999999E-3</v>
      </c>
      <c r="I15" s="677">
        <f>SQRT(1+(G15/pole1)^2)</f>
        <v>1.0000005918596782</v>
      </c>
      <c r="J15" s="678">
        <f t="shared" si="1"/>
        <v>1.0879884064805005E-3</v>
      </c>
      <c r="K15" s="678">
        <f t="shared" si="2"/>
        <v>1.0000000000013811</v>
      </c>
      <c r="L15" s="679">
        <f t="shared" si="3"/>
        <v>1.6619402109602695E-6</v>
      </c>
      <c r="M15" s="678">
        <f t="shared" si="4"/>
        <v>1.0000000001167915</v>
      </c>
      <c r="N15" s="679">
        <f t="shared" si="5"/>
        <v>-1.5283414817629606E-5</v>
      </c>
      <c r="O15" s="677">
        <f t="shared" si="6"/>
        <v>49.868233759885435</v>
      </c>
      <c r="P15" s="680">
        <f t="shared" si="7"/>
        <v>1.5507421368594212</v>
      </c>
      <c r="Q15" s="689">
        <f t="shared" si="8"/>
        <v>1.000002021953192</v>
      </c>
      <c r="R15" s="690">
        <f t="shared" si="9"/>
        <v>2.0109449445729274E-3</v>
      </c>
      <c r="S15" s="677">
        <f t="shared" si="10"/>
        <v>1.0000000000092282</v>
      </c>
      <c r="T15" s="680">
        <f t="shared" si="11"/>
        <v>4.2961154453098221E-6</v>
      </c>
      <c r="U15" s="681">
        <f t="shared" si="24"/>
        <v>0.99959999516843534</v>
      </c>
      <c r="V15" s="682">
        <f t="shared" si="25"/>
        <v>-1.2103710439451406E-4</v>
      </c>
      <c r="W15" s="683">
        <f t="shared" si="12"/>
        <v>76.011095508861885</v>
      </c>
      <c r="X15" s="684">
        <f t="shared" si="13"/>
        <v>-88.806059659847861</v>
      </c>
      <c r="Y15" s="687">
        <f t="shared" si="14"/>
        <v>91.193940340152139</v>
      </c>
      <c r="AA15" s="170">
        <f t="shared" si="15"/>
        <v>1000000000</v>
      </c>
      <c r="AB15" s="170">
        <f t="shared" si="16"/>
        <v>1.4455252899999997</v>
      </c>
      <c r="AD15" s="686">
        <f t="shared" si="17"/>
        <v>71.148987932675766</v>
      </c>
      <c r="AE15" s="687">
        <f t="shared" si="18"/>
        <v>-88.736007147665319</v>
      </c>
      <c r="AG15" s="686">
        <f t="shared" si="19"/>
        <v>62.598872265425712</v>
      </c>
      <c r="AH15" s="687">
        <f t="shared" si="20"/>
        <v>-5.6182681674111383E-2</v>
      </c>
      <c r="AJ15" s="170">
        <f t="shared" si="21"/>
        <v>0</v>
      </c>
      <c r="AK15" s="170">
        <f t="shared" si="22"/>
        <v>0</v>
      </c>
      <c r="AM15" s="170" t="str">
        <f t="shared" si="26"/>
        <v>1.49489599587938E-08+0.000172910150375349i</v>
      </c>
      <c r="AN15" s="170" t="str">
        <f t="shared" si="27"/>
        <v>0.000172910151236958i</v>
      </c>
      <c r="AO15" s="170" t="str">
        <f t="shared" si="28"/>
        <v>0.999999995017013-0.0000864550742212213i</v>
      </c>
      <c r="AP15" s="170" t="str">
        <f t="shared" si="29"/>
        <v>0.166666664175173-0.0000288183583958915i</v>
      </c>
      <c r="AQ15" s="170" t="str">
        <f t="shared" si="30"/>
        <v>0.833333335824827+0.0000288183583958915i</v>
      </c>
      <c r="AR15" s="170" t="str">
        <f t="shared" si="31"/>
        <v>0.999599995815965-0.0000345681970149956i</v>
      </c>
    </row>
    <row r="16" spans="1:44" ht="13">
      <c r="A16" s="333" t="s">
        <v>3</v>
      </c>
      <c r="B16" s="711">
        <f>VIN_nom</f>
        <v>72</v>
      </c>
      <c r="C16" s="170" t="s">
        <v>0</v>
      </c>
      <c r="G16" s="688">
        <v>1.3183</v>
      </c>
      <c r="H16" s="676">
        <f t="shared" si="23"/>
        <v>1.3183000000000001E-3</v>
      </c>
      <c r="I16" s="677">
        <f t="shared" si="0"/>
        <v>1.0000007115764027</v>
      </c>
      <c r="J16" s="678">
        <f t="shared" si="1"/>
        <v>1.192959329444033E-3</v>
      </c>
      <c r="K16" s="678">
        <f t="shared" si="2"/>
        <v>1.0000000000016604</v>
      </c>
      <c r="L16" s="679">
        <f t="shared" si="3"/>
        <v>1.8222870998157825E-6</v>
      </c>
      <c r="M16" s="678">
        <f t="shared" si="4"/>
        <v>1.000000000140415</v>
      </c>
      <c r="N16" s="679">
        <f t="shared" si="5"/>
        <v>-1.6757985322934208E-5</v>
      </c>
      <c r="O16" s="677">
        <f t="shared" si="6"/>
        <v>54.677758245434056</v>
      </c>
      <c r="P16" s="680">
        <f t="shared" si="7"/>
        <v>1.5525063348816508</v>
      </c>
      <c r="Q16" s="689">
        <f t="shared" si="8"/>
        <v>1.0000024309376425</v>
      </c>
      <c r="R16" s="690">
        <f t="shared" si="9"/>
        <v>2.2049638173601313E-3</v>
      </c>
      <c r="S16" s="677">
        <f t="shared" si="10"/>
        <v>1.0000000000110949</v>
      </c>
      <c r="T16" s="680">
        <f t="shared" si="11"/>
        <v>4.7106121529941705E-6</v>
      </c>
      <c r="U16" s="681">
        <f t="shared" si="24"/>
        <v>0.99959999419114454</v>
      </c>
      <c r="V16" s="682">
        <f t="shared" si="25"/>
        <v>-1.3271497416945271E-4</v>
      </c>
      <c r="W16" s="683">
        <f t="shared" si="12"/>
        <v>75.211363735790485</v>
      </c>
      <c r="X16" s="684">
        <f t="shared" si="13"/>
        <v>-88.902806830188638</v>
      </c>
      <c r="Y16" s="687">
        <f t="shared" si="14"/>
        <v>91.097193169811362</v>
      </c>
      <c r="AA16" s="170">
        <f t="shared" si="15"/>
        <v>1000000000</v>
      </c>
      <c r="AB16" s="170">
        <f t="shared" si="16"/>
        <v>1.7379148900000001</v>
      </c>
      <c r="AD16" s="686">
        <f t="shared" si="17"/>
        <v>70.349257207734368</v>
      </c>
      <c r="AE16" s="687">
        <f t="shared" si="18"/>
        <v>-88.825995535022599</v>
      </c>
      <c r="AG16" s="686">
        <f t="shared" si="19"/>
        <v>62.598871234279791</v>
      </c>
      <c r="AH16" s="687">
        <f t="shared" si="20"/>
        <v>-6.1603279352460204E-2</v>
      </c>
      <c r="AJ16" s="170">
        <f t="shared" si="21"/>
        <v>0</v>
      </c>
      <c r="AK16" s="170">
        <f t="shared" si="22"/>
        <v>0</v>
      </c>
      <c r="AM16" s="170" t="str">
        <f t="shared" si="26"/>
        <v>1.79727189797418E-08+0.000189592822931107i</v>
      </c>
      <c r="AN16" s="170" t="str">
        <f t="shared" si="27"/>
        <v>0.00018959282406694i</v>
      </c>
      <c r="AO16" s="170" t="str">
        <f t="shared" si="28"/>
        <v>0.999999994009093-0.0000947964094537467i</v>
      </c>
      <c r="AP16" s="170" t="str">
        <f t="shared" si="29"/>
        <v>0.166666663671213-0.0000315988038218512i</v>
      </c>
      <c r="AQ16" s="170" t="str">
        <f t="shared" si="30"/>
        <v>0.833333336328787+0.0000315988038218512i</v>
      </c>
      <c r="AR16" s="170" t="str">
        <f t="shared" si="31"/>
        <v>0.999599994969651-0.0000379033968333979i</v>
      </c>
    </row>
    <row r="17" spans="1:44">
      <c r="G17" s="688">
        <v>1.4454</v>
      </c>
      <c r="H17" s="676">
        <f t="shared" si="23"/>
        <v>1.4454000000000001E-3</v>
      </c>
      <c r="I17" s="677">
        <f t="shared" si="0"/>
        <v>1.0000008553997186</v>
      </c>
      <c r="J17" s="678">
        <f t="shared" si="1"/>
        <v>1.3079748535602558E-3</v>
      </c>
      <c r="K17" s="678">
        <f t="shared" si="2"/>
        <v>1.000000000001996</v>
      </c>
      <c r="L17" s="679">
        <f t="shared" si="3"/>
        <v>1.9979775271737414E-6</v>
      </c>
      <c r="M17" s="678">
        <f t="shared" si="4"/>
        <v>1.0000000001687956</v>
      </c>
      <c r="N17" s="679">
        <f t="shared" si="5"/>
        <v>-1.8373656971334913E-5</v>
      </c>
      <c r="O17" s="677">
        <f t="shared" si="6"/>
        <v>59.947667003743611</v>
      </c>
      <c r="P17" s="680">
        <f t="shared" si="7"/>
        <v>1.5541143367700194</v>
      </c>
      <c r="Q17" s="689">
        <f t="shared" si="8"/>
        <v>1.0000029222765197</v>
      </c>
      <c r="R17" s="690">
        <f t="shared" si="9"/>
        <v>2.4175480980545413E-3</v>
      </c>
      <c r="S17" s="677">
        <f t="shared" si="10"/>
        <v>1.0000000000133373</v>
      </c>
      <c r="T17" s="680">
        <f t="shared" si="11"/>
        <v>5.1647719077050702E-6</v>
      </c>
      <c r="U17" s="681">
        <f t="shared" si="24"/>
        <v>0.99959999301706448</v>
      </c>
      <c r="V17" s="682">
        <f t="shared" si="25"/>
        <v>-1.4551029755690995E-4</v>
      </c>
      <c r="W17" s="683">
        <f t="shared" si="12"/>
        <v>74.412135028716875</v>
      </c>
      <c r="X17" s="684">
        <f t="shared" si="13"/>
        <v>-88.990189918288124</v>
      </c>
      <c r="Y17" s="687">
        <f t="shared" si="14"/>
        <v>91.009810081711876</v>
      </c>
      <c r="AA17" s="170">
        <f t="shared" si="15"/>
        <v>1000000000</v>
      </c>
      <c r="AB17" s="170">
        <f t="shared" si="16"/>
        <v>2.0891811599999999</v>
      </c>
      <c r="AD17" s="686">
        <f t="shared" si="17"/>
        <v>69.550029759845827</v>
      </c>
      <c r="AE17" s="687">
        <f t="shared" si="18"/>
        <v>-88.905973096129131</v>
      </c>
      <c r="AG17" s="686">
        <f t="shared" si="19"/>
        <v>62.59886999549876</v>
      </c>
      <c r="AH17" s="687">
        <f t="shared" si="20"/>
        <v>-6.7542570288529058E-2</v>
      </c>
      <c r="AJ17" s="170">
        <f t="shared" si="21"/>
        <v>0</v>
      </c>
      <c r="AK17" s="170">
        <f t="shared" si="22"/>
        <v>0</v>
      </c>
      <c r="AM17" s="170" t="str">
        <f t="shared" si="26"/>
        <v>2.16053539503491E-08+0.000207871854610328i</v>
      </c>
      <c r="AN17" s="170" t="str">
        <f t="shared" si="27"/>
        <v>0.000207871856107376i</v>
      </c>
      <c r="AO17" s="170" t="str">
        <f t="shared" si="28"/>
        <v>0.999999992798217-0.000103935926464181i</v>
      </c>
      <c r="AP17" s="170" t="str">
        <f t="shared" si="29"/>
        <v>0.166666663065774-0.0000346453091017213i</v>
      </c>
      <c r="AQ17" s="170" t="str">
        <f t="shared" si="30"/>
        <v>0.833333336934226+0.0000346453091017213i</v>
      </c>
      <c r="AR17" s="170" t="str">
        <f t="shared" si="31"/>
        <v>0.99959999395292-0.0000415577407427192i</v>
      </c>
    </row>
    <row r="18" spans="1:44">
      <c r="A18" s="170" t="s">
        <v>742</v>
      </c>
      <c r="B18" s="715">
        <f>Vout_eff*Npri_sec/Vin_eff</f>
        <v>0.21388888888888891</v>
      </c>
      <c r="C18" s="170" t="s">
        <v>686</v>
      </c>
      <c r="G18" s="688">
        <v>1.5849</v>
      </c>
      <c r="H18" s="676">
        <f t="shared" si="23"/>
        <v>1.5849E-3</v>
      </c>
      <c r="I18" s="677">
        <f t="shared" si="0"/>
        <v>1.0000010284820005</v>
      </c>
      <c r="J18" s="678">
        <f t="shared" si="1"/>
        <v>1.4342113644714518E-3</v>
      </c>
      <c r="K18" s="678">
        <f t="shared" si="2"/>
        <v>1.0000000000023999</v>
      </c>
      <c r="L18" s="679">
        <f t="shared" si="3"/>
        <v>2.1908084840298945E-6</v>
      </c>
      <c r="M18" s="678">
        <f t="shared" si="4"/>
        <v>1.0000000002029499</v>
      </c>
      <c r="N18" s="679">
        <f t="shared" si="5"/>
        <v>-2.0146955121907874E-5</v>
      </c>
      <c r="O18" s="677">
        <f t="shared" si="6"/>
        <v>65.731861622362814</v>
      </c>
      <c r="P18" s="680">
        <f t="shared" si="7"/>
        <v>1.5555824175348851</v>
      </c>
      <c r="Q18" s="689">
        <f t="shared" si="8"/>
        <v>1.0000035135716172</v>
      </c>
      <c r="R18" s="690">
        <f t="shared" si="9"/>
        <v>2.6508720563285957E-3</v>
      </c>
      <c r="S18" s="677">
        <f t="shared" si="10"/>
        <v>1.0000000000160361</v>
      </c>
      <c r="T18" s="680">
        <f t="shared" si="11"/>
        <v>5.6632399311657944E-6</v>
      </c>
      <c r="U18" s="681">
        <f t="shared" si="24"/>
        <v>0.99959999160413138</v>
      </c>
      <c r="V18" s="682">
        <f t="shared" si="25"/>
        <v>-1.5955394710575458E-4</v>
      </c>
      <c r="W18" s="683">
        <f t="shared" si="12"/>
        <v>73.612065727713542</v>
      </c>
      <c r="X18" s="684">
        <f t="shared" si="13"/>
        <v>-89.069092847478643</v>
      </c>
      <c r="Y18" s="687">
        <f t="shared" si="14"/>
        <v>90.930907152521357</v>
      </c>
      <c r="AA18" s="170">
        <f t="shared" si="15"/>
        <v>1000000000</v>
      </c>
      <c r="AB18" s="170">
        <f t="shared" si="16"/>
        <v>2.51190801</v>
      </c>
      <c r="AD18" s="686">
        <f t="shared" si="17"/>
        <v>68.74996197419199</v>
      </c>
      <c r="AE18" s="687">
        <f t="shared" si="18"/>
        <v>-88.976748010066729</v>
      </c>
      <c r="AG18" s="686">
        <f t="shared" si="19"/>
        <v>62.598868504704228</v>
      </c>
      <c r="AH18" s="687">
        <f t="shared" si="20"/>
        <v>-7.4061301843395752E-2</v>
      </c>
      <c r="AJ18" s="170">
        <f t="shared" si="21"/>
        <v>0</v>
      </c>
      <c r="AK18" s="170">
        <f t="shared" si="22"/>
        <v>0</v>
      </c>
      <c r="AM18" s="170" t="str">
        <f t="shared" si="26"/>
        <v>2.59770019939154E-08+0.000227934206373198i</v>
      </c>
      <c r="AN18" s="170" t="str">
        <f t="shared" si="27"/>
        <v>0.00022793420834688i</v>
      </c>
      <c r="AO18" s="170" t="str">
        <f t="shared" si="28"/>
        <v>0.999999991341001-0.000113967105606116i</v>
      </c>
      <c r="AP18" s="170" t="str">
        <f t="shared" si="29"/>
        <v>0.166666662337166-0.000037989034395533i</v>
      </c>
      <c r="AQ18" s="170" t="str">
        <f t="shared" si="30"/>
        <v>0.833333337662834+0.000037989034395533i</v>
      </c>
      <c r="AR18" s="170" t="str">
        <f t="shared" si="31"/>
        <v>0.999599992729349-0.0000455686059699365i</v>
      </c>
    </row>
    <row r="19" spans="1:44">
      <c r="A19" s="170" t="s">
        <v>759</v>
      </c>
      <c r="B19" s="170">
        <f>1/'Calculations - Single'!AQ105/1000*0+1/CHOOSE(MODE, 'Calculations - Single'!AQ105,'Calculations - Dual'!AP105)/1000</f>
        <v>2.2889050413020581E-5</v>
      </c>
      <c r="C19" s="170" t="s">
        <v>51</v>
      </c>
      <c r="G19" s="688">
        <v>1.7378</v>
      </c>
      <c r="H19" s="676">
        <f t="shared" si="23"/>
        <v>1.7378000000000001E-3</v>
      </c>
      <c r="I19" s="677">
        <f t="shared" si="0"/>
        <v>1.0000012364954007</v>
      </c>
      <c r="J19" s="678">
        <f t="shared" si="1"/>
        <v>1.5725737671446443E-3</v>
      </c>
      <c r="K19" s="678">
        <f t="shared" si="2"/>
        <v>1.0000000000028852</v>
      </c>
      <c r="L19" s="679">
        <f t="shared" si="3"/>
        <v>2.402162271150179E-6</v>
      </c>
      <c r="M19" s="678">
        <f t="shared" si="4"/>
        <v>1.0000000002439973</v>
      </c>
      <c r="N19" s="679">
        <f t="shared" si="5"/>
        <v>-2.2090591589307479E-5</v>
      </c>
      <c r="O19" s="677">
        <f t="shared" si="6"/>
        <v>72.071805994186306</v>
      </c>
      <c r="P19" s="680">
        <f t="shared" si="7"/>
        <v>1.5569208303346704</v>
      </c>
      <c r="Q19" s="689">
        <f t="shared" si="8"/>
        <v>1.0000042242003755</v>
      </c>
      <c r="R19" s="690">
        <f t="shared" si="9"/>
        <v>2.906608162701598E-3</v>
      </c>
      <c r="S19" s="677">
        <f t="shared" si="10"/>
        <v>1.0000000000192795</v>
      </c>
      <c r="T19" s="680">
        <f t="shared" si="11"/>
        <v>6.2095894708553457E-6</v>
      </c>
      <c r="U19" s="681">
        <f t="shared" si="24"/>
        <v>0.9995999899060396</v>
      </c>
      <c r="V19" s="682">
        <f t="shared" si="25"/>
        <v>-1.7494658687522655E-4</v>
      </c>
      <c r="W19" s="683">
        <f t="shared" si="12"/>
        <v>72.812280627894197</v>
      </c>
      <c r="X19" s="684">
        <f t="shared" si="13"/>
        <v>-89.140065723689531</v>
      </c>
      <c r="Y19" s="687">
        <f t="shared" si="14"/>
        <v>90.859934276310469</v>
      </c>
      <c r="AA19" s="170">
        <f t="shared" si="15"/>
        <v>1000000000</v>
      </c>
      <c r="AB19" s="170">
        <f t="shared" si="16"/>
        <v>3.0199488400000001</v>
      </c>
      <c r="AD19" s="686">
        <f t="shared" si="17"/>
        <v>67.950178695546626</v>
      </c>
      <c r="AE19" s="687">
        <f t="shared" si="18"/>
        <v>-89.03881211877011</v>
      </c>
      <c r="AG19" s="686">
        <f t="shared" si="19"/>
        <v>62.598866713040934</v>
      </c>
      <c r="AH19" s="687">
        <f t="shared" si="20"/>
        <v>-8.1206202760171167E-2</v>
      </c>
      <c r="AJ19" s="170">
        <f t="shared" si="21"/>
        <v>0</v>
      </c>
      <c r="AK19" s="170">
        <f t="shared" si="22"/>
        <v>0</v>
      </c>
      <c r="AM19" s="170" t="str">
        <f t="shared" si="26"/>
        <v>3.12309269556721E-08+0.000249923694328754i</v>
      </c>
      <c r="AN19" s="170" t="str">
        <f t="shared" si="27"/>
        <v>0.000249923696930537i</v>
      </c>
      <c r="AO19" s="170" t="str">
        <f t="shared" si="28"/>
        <v>0.999999989589691-0.000124961847712873i</v>
      </c>
      <c r="AP19" s="170" t="str">
        <f t="shared" si="29"/>
        <v>0.166666661461512-0.0000416539490547923i</v>
      </c>
      <c r="AQ19" s="170" t="str">
        <f t="shared" si="30"/>
        <v>0.833333338538488+0.0000416539490547923i</v>
      </c>
      <c r="AR19" s="170" t="str">
        <f t="shared" si="31"/>
        <v>0.999599991258838-0.0000499647442211907i</v>
      </c>
    </row>
    <row r="20" spans="1:44">
      <c r="G20" s="688">
        <v>1.9055</v>
      </c>
      <c r="H20" s="676">
        <f t="shared" si="23"/>
        <v>1.9055000000000001E-3</v>
      </c>
      <c r="I20" s="677">
        <f t="shared" si="0"/>
        <v>1.0000014866569702</v>
      </c>
      <c r="J20" s="678">
        <f t="shared" si="1"/>
        <v>1.7243289294214957E-3</v>
      </c>
      <c r="K20" s="678">
        <f t="shared" si="2"/>
        <v>1.0000000000034688</v>
      </c>
      <c r="L20" s="679">
        <f t="shared" si="3"/>
        <v>2.6339741096069081E-6</v>
      </c>
      <c r="M20" s="678">
        <f t="shared" si="4"/>
        <v>1.0000000002933613</v>
      </c>
      <c r="N20" s="679">
        <f t="shared" si="5"/>
        <v>-2.4222362914052318E-5</v>
      </c>
      <c r="O20" s="677">
        <f t="shared" si="6"/>
        <v>79.02555060928357</v>
      </c>
      <c r="P20" s="680">
        <f t="shared" si="7"/>
        <v>1.5581418538798804</v>
      </c>
      <c r="Q20" s="689">
        <f t="shared" si="8"/>
        <v>1.0000050788179484</v>
      </c>
      <c r="R20" s="690">
        <f t="shared" si="9"/>
        <v>3.1870978815069406E-3</v>
      </c>
      <c r="S20" s="677">
        <f t="shared" si="10"/>
        <v>1.0000000000231801</v>
      </c>
      <c r="T20" s="680">
        <f t="shared" si="11"/>
        <v>6.8088230732443852E-6</v>
      </c>
      <c r="U20" s="681">
        <f t="shared" si="24"/>
        <v>0.99959998786387938</v>
      </c>
      <c r="V20" s="682">
        <f t="shared" si="25"/>
        <v>-1.918291651555875E-4</v>
      </c>
      <c r="W20" s="683">
        <f t="shared" si="12"/>
        <v>72.012243348725548</v>
      </c>
      <c r="X20" s="684">
        <f t="shared" si="13"/>
        <v>-89.203759766521301</v>
      </c>
      <c r="Y20" s="687">
        <f t="shared" si="14"/>
        <v>90.796240233478699</v>
      </c>
      <c r="AA20" s="170">
        <f t="shared" si="15"/>
        <v>1000000000</v>
      </c>
      <c r="AB20" s="170">
        <f t="shared" si="16"/>
        <v>3.63093025</v>
      </c>
      <c r="AD20" s="686">
        <f t="shared" si="17"/>
        <v>67.15014360656204</v>
      </c>
      <c r="AE20" s="687">
        <f t="shared" si="18"/>
        <v>-89.092735071130349</v>
      </c>
      <c r="AG20" s="686">
        <f t="shared" si="19"/>
        <v>62.598864558347017</v>
      </c>
      <c r="AH20" s="687">
        <f t="shared" si="20"/>
        <v>-8.9042692263958417E-2</v>
      </c>
      <c r="AJ20" s="170">
        <f t="shared" si="21"/>
        <v>0</v>
      </c>
      <c r="AK20" s="170">
        <f t="shared" si="22"/>
        <v>0</v>
      </c>
      <c r="AM20" s="170" t="str">
        <f t="shared" si="26"/>
        <v>3.75494170201662E-08+0.000274041661031433i</v>
      </c>
      <c r="AN20" s="170" t="str">
        <f t="shared" si="27"/>
        <v>0.000274041664461468i</v>
      </c>
      <c r="AO20" s="170" t="str">
        <f t="shared" si="28"/>
        <v>0.999999987483527-0.000137020832558277i</v>
      </c>
      <c r="AP20" s="170" t="str">
        <f t="shared" si="29"/>
        <v>0.166666660408431-0.0000456736101719055i</v>
      </c>
      <c r="AQ20" s="170" t="str">
        <f t="shared" si="30"/>
        <v>0.833333339591569+0.0000456736101719055i</v>
      </c>
      <c r="AR20" s="170" t="str">
        <f t="shared" si="31"/>
        <v>0.99959998949037-0.0000547864078859493i</v>
      </c>
    </row>
    <row r="21" spans="1:44" ht="13">
      <c r="A21" s="333" t="s">
        <v>738</v>
      </c>
      <c r="B21" s="718">
        <f>Vout_eff/Iout_eff</f>
        <v>1.54</v>
      </c>
      <c r="C21" s="706" t="s">
        <v>45</v>
      </c>
      <c r="D21" s="706"/>
      <c r="E21" s="706"/>
      <c r="G21" s="688">
        <v>2.0893000000000002</v>
      </c>
      <c r="H21" s="676">
        <f t="shared" si="23"/>
        <v>2.0893000000000001E-3</v>
      </c>
      <c r="I21" s="677">
        <f t="shared" si="0"/>
        <v>1.0000017872874607</v>
      </c>
      <c r="J21" s="678">
        <f t="shared" si="1"/>
        <v>1.8906532197317748E-3</v>
      </c>
      <c r="K21" s="678">
        <f t="shared" si="2"/>
        <v>1.0000000000041704</v>
      </c>
      <c r="L21" s="679">
        <f t="shared" si="3"/>
        <v>2.8880409903957706E-6</v>
      </c>
      <c r="M21" s="678">
        <f t="shared" si="4"/>
        <v>1.0000000003526848</v>
      </c>
      <c r="N21" s="679">
        <f t="shared" si="5"/>
        <v>-2.6558794455170838E-5</v>
      </c>
      <c r="O21" s="677">
        <f t="shared" si="6"/>
        <v>86.64700044448918</v>
      </c>
      <c r="P21" s="680">
        <f t="shared" si="7"/>
        <v>1.5592549901574646</v>
      </c>
      <c r="Q21" s="689">
        <f t="shared" si="8"/>
        <v>1.0000061058499163</v>
      </c>
      <c r="R21" s="690">
        <f t="shared" si="9"/>
        <v>3.4945153737338912E-3</v>
      </c>
      <c r="S21" s="677">
        <f t="shared" si="10"/>
        <v>1.0000000000278675</v>
      </c>
      <c r="T21" s="680">
        <f t="shared" si="11"/>
        <v>7.4655859600551249E-6</v>
      </c>
      <c r="U21" s="681">
        <f t="shared" si="24"/>
        <v>0.99959998540971995</v>
      </c>
      <c r="V21" s="682">
        <f t="shared" si="25"/>
        <v>-2.1033254842710056E-4</v>
      </c>
      <c r="W21" s="683">
        <f t="shared" si="12"/>
        <v>71.212529589413023</v>
      </c>
      <c r="X21" s="684">
        <f t="shared" si="13"/>
        <v>-89.260670838543177</v>
      </c>
      <c r="Y21" s="687">
        <f t="shared" si="14"/>
        <v>90.739329161456823</v>
      </c>
      <c r="AA21" s="170">
        <f t="shared" si="15"/>
        <v>1000000000</v>
      </c>
      <c r="AB21" s="170">
        <f t="shared" si="16"/>
        <v>4.3651744900000002</v>
      </c>
      <c r="AD21" s="686">
        <f t="shared" si="17"/>
        <v>66.350432479292223</v>
      </c>
      <c r="AE21" s="687">
        <f t="shared" si="18"/>
        <v>-89.13893698680009</v>
      </c>
      <c r="AG21" s="686">
        <f t="shared" si="19"/>
        <v>62.598861968954495</v>
      </c>
      <c r="AH21" s="687">
        <f t="shared" si="20"/>
        <v>-9.763151707733364E-2</v>
      </c>
      <c r="AJ21" s="170">
        <f t="shared" si="21"/>
        <v>0</v>
      </c>
      <c r="AK21" s="170">
        <f t="shared" si="22"/>
        <v>0</v>
      </c>
      <c r="AM21" s="170" t="str">
        <f t="shared" si="26"/>
        <v>4.5142633964268E-08+0.000300475067406872i</v>
      </c>
      <c r="AN21" s="170" t="str">
        <f t="shared" si="27"/>
        <v>0.000300475071928284i</v>
      </c>
      <c r="AO21" s="170" t="str">
        <f t="shared" si="28"/>
        <v>0.999999984952456-0.000150237534430285i</v>
      </c>
      <c r="AP21" s="170" t="str">
        <f t="shared" si="29"/>
        <v>0.166666659142894-0.0000500791779011453i</v>
      </c>
      <c r="AQ21" s="170" t="str">
        <f t="shared" si="30"/>
        <v>0.833333340857106+0.0000500791779011453i</v>
      </c>
      <c r="AR21" s="170" t="str">
        <f t="shared" si="31"/>
        <v>0.999599987365118-0.000060070974174336i</v>
      </c>
    </row>
    <row r="22" spans="1:44">
      <c r="A22" s="170" t="s">
        <v>737</v>
      </c>
      <c r="B22" s="718">
        <f>Rload_sec*(Npri_sec^2)</f>
        <v>1.54</v>
      </c>
      <c r="C22" s="706" t="s">
        <v>45</v>
      </c>
      <c r="D22" s="706"/>
      <c r="E22" s="706"/>
      <c r="G22" s="688">
        <v>2.2909000000000002</v>
      </c>
      <c r="H22" s="676">
        <f t="shared" si="23"/>
        <v>2.2909000000000002E-3</v>
      </c>
      <c r="I22" s="677">
        <f t="shared" si="0"/>
        <v>1.0000021488444837</v>
      </c>
      <c r="J22" s="678">
        <f t="shared" si="1"/>
        <v>2.0730849648579962E-3</v>
      </c>
      <c r="K22" s="678">
        <f t="shared" si="2"/>
        <v>1.000000000005014</v>
      </c>
      <c r="L22" s="679">
        <f t="shared" si="3"/>
        <v>3.1667128248188145E-6</v>
      </c>
      <c r="M22" s="678">
        <f t="shared" si="4"/>
        <v>1.0000000004240308</v>
      </c>
      <c r="N22" s="679">
        <f t="shared" si="5"/>
        <v>-2.9121496297543153E-5</v>
      </c>
      <c r="O22" s="677">
        <f t="shared" si="6"/>
        <v>95.006647680281318</v>
      </c>
      <c r="P22" s="680">
        <f>ATAN(G22/Pole2)</f>
        <v>1.5602705531782721</v>
      </c>
      <c r="Q22" s="689">
        <f t="shared" si="8"/>
        <v>1.0000073410217825</v>
      </c>
      <c r="R22" s="690">
        <f t="shared" si="9"/>
        <v>3.8317037656342909E-3</v>
      </c>
      <c r="S22" s="677">
        <f t="shared" si="10"/>
        <v>1.0000000000335048</v>
      </c>
      <c r="T22" s="680">
        <f t="shared" si="11"/>
        <v>8.1859526520011543E-6</v>
      </c>
      <c r="U22" s="681">
        <f t="shared" si="24"/>
        <v>0.9995999824581957</v>
      </c>
      <c r="V22" s="682">
        <f t="shared" si="25"/>
        <v>-2.3062788244786669E-4</v>
      </c>
      <c r="W22" s="683">
        <f t="shared" si="12"/>
        <v>70.41252792481464</v>
      </c>
      <c r="X22" s="684">
        <f t="shared" si="13"/>
        <v>-89.311326387045213</v>
      </c>
      <c r="Y22" s="687">
        <f t="shared" si="14"/>
        <v>90.688673612954787</v>
      </c>
      <c r="AA22" s="170">
        <f t="shared" si="15"/>
        <v>1000000000</v>
      </c>
      <c r="AB22" s="170">
        <f t="shared" si="16"/>
        <v>5.2482228100000006</v>
      </c>
      <c r="AD22" s="686">
        <f t="shared" si="17"/>
        <v>65.550433980151908</v>
      </c>
      <c r="AE22" s="687">
        <f t="shared" si="18"/>
        <v>-89.177846263980825</v>
      </c>
      <c r="AG22" s="686">
        <f t="shared" si="19"/>
        <v>62.59885885479018</v>
      </c>
      <c r="AH22" s="687">
        <f t="shared" si="20"/>
        <v>-0.1070521144295756</v>
      </c>
      <c r="AJ22" s="170">
        <f t="shared" si="21"/>
        <v>0</v>
      </c>
      <c r="AK22" s="170">
        <f t="shared" si="22"/>
        <v>0</v>
      </c>
      <c r="AM22" s="170" t="str">
        <f t="shared" si="26"/>
        <v>5.42747149445688E-08+0.000329468400817031i</v>
      </c>
      <c r="AN22" s="170" t="str">
        <f t="shared" si="27"/>
        <v>0.000329468406777632i</v>
      </c>
      <c r="AO22" s="170" t="str">
        <f t="shared" si="28"/>
        <v>0.999999981908429-0.000164734201604952i</v>
      </c>
      <c r="AP22" s="170" t="str">
        <f t="shared" si="29"/>
        <v>0.166666657620881-0.0000549114001361718i</v>
      </c>
      <c r="AQ22" s="170" t="str">
        <f t="shared" si="30"/>
        <v>0.833333342379119+0.0000549114001361718i</v>
      </c>
      <c r="AR22" s="170" t="str">
        <f t="shared" si="31"/>
        <v>0.999599984809159-0.0000658673209753744i</v>
      </c>
    </row>
    <row r="23" spans="1:44">
      <c r="B23" s="633"/>
      <c r="G23" s="688">
        <v>2.5118999999999998</v>
      </c>
      <c r="H23" s="676">
        <f t="shared" si="23"/>
        <v>2.5118999999999996E-3</v>
      </c>
      <c r="I23" s="677">
        <f t="shared" si="0"/>
        <v>1.0000025834336903</v>
      </c>
      <c r="J23" s="678">
        <f t="shared" si="1"/>
        <v>2.2730719867802723E-3</v>
      </c>
      <c r="K23" s="678">
        <f t="shared" si="2"/>
        <v>1.0000000000060281</v>
      </c>
      <c r="L23" s="679">
        <f t="shared" si="3"/>
        <v>3.4722012941014451E-6</v>
      </c>
      <c r="M23" s="678">
        <f t="shared" si="4"/>
        <v>1.0000000005097882</v>
      </c>
      <c r="N23" s="679">
        <f t="shared" si="5"/>
        <v>-3.1930807344544287E-5</v>
      </c>
      <c r="O23" s="677">
        <f t="shared" si="6"/>
        <v>104.17083874180429</v>
      </c>
      <c r="P23" s="680">
        <f t="shared" si="7"/>
        <v>1.5611965638335439</v>
      </c>
      <c r="Q23" s="689">
        <f t="shared" si="8"/>
        <v>1.0000088256889601</v>
      </c>
      <c r="R23" s="690">
        <f t="shared" si="9"/>
        <v>4.2013388460803245E-3</v>
      </c>
      <c r="S23" s="677">
        <f t="shared" si="10"/>
        <v>1.0000000000402811</v>
      </c>
      <c r="T23" s="680">
        <f t="shared" si="11"/>
        <v>8.9756403450472757E-6</v>
      </c>
      <c r="U23" s="681">
        <f t="shared" si="24"/>
        <v>0.99959997891048147</v>
      </c>
      <c r="V23" s="682">
        <f t="shared" si="25"/>
        <v>-2.5287624068994326E-4</v>
      </c>
      <c r="W23" s="683">
        <f t="shared" si="12"/>
        <v>69.612693681331891</v>
      </c>
      <c r="X23" s="684">
        <f t="shared" si="13"/>
        <v>-89.356126212938278</v>
      </c>
      <c r="Y23" s="687">
        <f t="shared" si="14"/>
        <v>90.643873787061722</v>
      </c>
      <c r="AA23" s="170">
        <f t="shared" si="15"/>
        <v>1000000000</v>
      </c>
      <c r="AB23" s="170">
        <f t="shared" si="16"/>
        <v>6.309641609999999</v>
      </c>
      <c r="AD23" s="686">
        <f t="shared" si="17"/>
        <v>64.750603541527809</v>
      </c>
      <c r="AE23" s="687">
        <f t="shared" si="18"/>
        <v>-89.209769482050916</v>
      </c>
      <c r="AG23" s="686">
        <f t="shared" si="19"/>
        <v>62.598855111586296</v>
      </c>
      <c r="AH23" s="687">
        <f t="shared" si="20"/>
        <v>-0.11737924819289951</v>
      </c>
      <c r="AJ23" s="170">
        <f t="shared" si="21"/>
        <v>0</v>
      </c>
      <c r="AK23" s="170">
        <f t="shared" si="22"/>
        <v>0</v>
      </c>
      <c r="AM23" s="170" t="str">
        <f t="shared" si="26"/>
        <v>6.52514220433886E-08+0.000361251766984252i</v>
      </c>
      <c r="AN23" s="170" t="str">
        <f t="shared" si="27"/>
        <v>0.000361251774841649i</v>
      </c>
      <c r="AO23" s="170" t="str">
        <f t="shared" si="28"/>
        <v>0.999999978249527-0.00018062588639735i</v>
      </c>
      <c r="AP23" s="170" t="str">
        <f t="shared" si="29"/>
        <v>0.16666665579143-0.0000602086278307087i</v>
      </c>
      <c r="AQ23" s="170" t="str">
        <f t="shared" si="30"/>
        <v>0.83333334420857+0.0000602086278307087i</v>
      </c>
      <c r="AR23" s="170" t="str">
        <f t="shared" si="31"/>
        <v>0.999599981736911-0.0000722214509934666i</v>
      </c>
    </row>
    <row r="24" spans="1:44">
      <c r="D24" s="712"/>
      <c r="E24" s="189"/>
      <c r="G24" s="688">
        <v>2.7542</v>
      </c>
      <c r="H24" s="676">
        <f t="shared" si="23"/>
        <v>2.7542000000000001E-3</v>
      </c>
      <c r="I24" s="677">
        <f t="shared" si="0"/>
        <v>1.0000031058713419</v>
      </c>
      <c r="J24" s="678">
        <f t="shared" si="1"/>
        <v>2.4923335664303243E-3</v>
      </c>
      <c r="K24" s="678">
        <f t="shared" si="2"/>
        <v>1.0000000000072471</v>
      </c>
      <c r="L24" s="679">
        <f t="shared" si="3"/>
        <v>3.8071327696988057E-6</v>
      </c>
      <c r="M24" s="678">
        <f t="shared" si="4"/>
        <v>1.0000000006128809</v>
      </c>
      <c r="N24" s="679">
        <f t="shared" si="5"/>
        <v>-3.5010880043910844E-5</v>
      </c>
      <c r="O24" s="677">
        <f t="shared" si="6"/>
        <v>114.21836075530548</v>
      </c>
      <c r="P24" s="680">
        <f t="shared" si="7"/>
        <v>1.5620410551441892</v>
      </c>
      <c r="Q24" s="689">
        <f t="shared" si="8"/>
        <v>1.0000106104666879</v>
      </c>
      <c r="R24" s="690">
        <f t="shared" si="9"/>
        <v>4.606598065932453E-3</v>
      </c>
      <c r="S24" s="677">
        <f t="shared" si="10"/>
        <v>1.000000000048427</v>
      </c>
      <c r="T24" s="680">
        <f t="shared" si="11"/>
        <v>9.8414382094012348E-6</v>
      </c>
      <c r="U24" s="681">
        <f t="shared" si="24"/>
        <v>0.99959997464562345</v>
      </c>
      <c r="V24" s="682">
        <f t="shared" si="25"/>
        <v>-2.7726889576364951E-4</v>
      </c>
      <c r="W24" s="683">
        <f t="shared" si="12"/>
        <v>68.812909369436596</v>
      </c>
      <c r="X24" s="684">
        <f t="shared" si="13"/>
        <v>-89.395459608892381</v>
      </c>
      <c r="Y24" s="687">
        <f t="shared" si="14"/>
        <v>90.604540391107619</v>
      </c>
      <c r="AA24" s="170">
        <f t="shared" si="15"/>
        <v>1000000000</v>
      </c>
      <c r="AB24" s="170">
        <f t="shared" si="16"/>
        <v>7.5856176399999997</v>
      </c>
      <c r="AD24" s="686">
        <f t="shared" si="17"/>
        <v>63.950823803608266</v>
      </c>
      <c r="AE24" s="687">
        <f t="shared" si="18"/>
        <v>-89.234985233672447</v>
      </c>
      <c r="AG24" s="686">
        <f t="shared" si="19"/>
        <v>62.598850611728366</v>
      </c>
      <c r="AH24" s="687">
        <f t="shared" si="20"/>
        <v>-0.12870170014860444</v>
      </c>
      <c r="AJ24" s="170">
        <f t="shared" si="21"/>
        <v>0</v>
      </c>
      <c r="AK24" s="170">
        <f t="shared" si="22"/>
        <v>0</v>
      </c>
      <c r="AM24" s="170" t="str">
        <f t="shared" si="26"/>
        <v>7.84469810222177E-08+0.000396098416438424i</v>
      </c>
      <c r="AN24" s="170" t="str">
        <f t="shared" si="27"/>
        <v>0.000396098426795999i</v>
      </c>
      <c r="AO24" s="170" t="str">
        <f t="shared" si="28"/>
        <v>0.999999973851007-0.000198049211295201i</v>
      </c>
      <c r="AP24" s="170" t="str">
        <f t="shared" si="29"/>
        <v>0.16666665359217-0.0000660164027397373i</v>
      </c>
      <c r="AQ24" s="170" t="str">
        <f t="shared" si="30"/>
        <v>0.83333334640783+0.0000660164027397373i</v>
      </c>
      <c r="AR24" s="170" t="str">
        <f t="shared" si="31"/>
        <v>0.999599978043632-0.0000791879924325814i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1.0000037342747066</v>
      </c>
      <c r="J25" s="678">
        <f t="shared" si="1"/>
        <v>2.73286043764578E-3</v>
      </c>
      <c r="K25" s="678">
        <f t="shared" si="2"/>
        <v>1.0000000000087135</v>
      </c>
      <c r="L25" s="679">
        <f t="shared" si="3"/>
        <v>4.1745483132957498E-6</v>
      </c>
      <c r="M25" s="678">
        <f t="shared" si="4"/>
        <v>1.0000000007368837</v>
      </c>
      <c r="N25" s="679">
        <f t="shared" si="5"/>
        <v>-3.838968038772419E-5</v>
      </c>
      <c r="O25" s="677">
        <f t="shared" si="6"/>
        <v>125.24044178386858</v>
      </c>
      <c r="P25" s="680">
        <f t="shared" si="7"/>
        <v>1.5628116006807875</v>
      </c>
      <c r="Q25" s="689">
        <f t="shared" si="8"/>
        <v>1.0000127572468192</v>
      </c>
      <c r="R25" s="690">
        <f t="shared" si="9"/>
        <v>5.0511604998679871E-3</v>
      </c>
      <c r="S25" s="677">
        <f t="shared" si="10"/>
        <v>1.000000000058225</v>
      </c>
      <c r="T25" s="680">
        <f t="shared" si="11"/>
        <v>1.079120738951332E-5</v>
      </c>
      <c r="U25" s="681">
        <f t="shared" si="24"/>
        <v>0.99959996951572394</v>
      </c>
      <c r="V25" s="682">
        <f t="shared" si="25"/>
        <v>-3.0402732532757473E-4</v>
      </c>
      <c r="W25" s="683">
        <f t="shared" si="12"/>
        <v>68.01274915470735</v>
      </c>
      <c r="X25" s="684">
        <f t="shared" si="13"/>
        <v>-89.429678341972249</v>
      </c>
      <c r="Y25" s="687">
        <f t="shared" si="14"/>
        <v>90.570321658027751</v>
      </c>
      <c r="AA25" s="170">
        <f t="shared" si="15"/>
        <v>1000000000</v>
      </c>
      <c r="AB25" s="170">
        <f t="shared" si="16"/>
        <v>9.1204000000000001</v>
      </c>
      <c r="AD25" s="686">
        <f t="shared" si="17"/>
        <v>63.150669090588387</v>
      </c>
      <c r="AE25" s="687">
        <f t="shared" si="18"/>
        <v>-89.253717107434525</v>
      </c>
      <c r="AG25" s="686">
        <f t="shared" si="19"/>
        <v>62.59884519917015</v>
      </c>
      <c r="AH25" s="687">
        <f t="shared" si="20"/>
        <v>-0.14112226930206054</v>
      </c>
      <c r="AJ25" s="170">
        <f t="shared" si="21"/>
        <v>0</v>
      </c>
      <c r="AK25" s="170">
        <f t="shared" si="22"/>
        <v>0</v>
      </c>
      <c r="AM25" s="170" t="str">
        <f t="shared" si="26"/>
        <v>9.43189959468071E-08+0.000434324744504846i</v>
      </c>
      <c r="AN25" s="170" t="str">
        <f t="shared" si="27"/>
        <v>0.000434324758159871i</v>
      </c>
      <c r="AO25" s="170" t="str">
        <f t="shared" si="28"/>
        <v>0.999999968560335-0.000217162374869933i</v>
      </c>
      <c r="AP25" s="170" t="str">
        <f t="shared" si="29"/>
        <v>0.166666650946834-0.0000723874574174743i</v>
      </c>
      <c r="AQ25" s="170" t="str">
        <f t="shared" si="30"/>
        <v>0.833333349053166+0.0000723874574174743i</v>
      </c>
      <c r="AR25" s="170" t="str">
        <f t="shared" si="31"/>
        <v>0.999599973601246-0.0000868301989903349i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1.0000044894100182</v>
      </c>
      <c r="J26" s="678">
        <f t="shared" si="1"/>
        <v>2.9964623217053803E-3</v>
      </c>
      <c r="K26" s="678">
        <f t="shared" si="2"/>
        <v>1.0000000000104754</v>
      </c>
      <c r="L26" s="679">
        <f t="shared" si="3"/>
        <v>4.577212526423834E-6</v>
      </c>
      <c r="M26" s="678">
        <f t="shared" si="4"/>
        <v>1.0000000008858947</v>
      </c>
      <c r="N26" s="679">
        <f t="shared" si="5"/>
        <v>-4.2092632005047332E-5</v>
      </c>
      <c r="O26" s="677">
        <f t="shared" si="6"/>
        <v>137.32001697170557</v>
      </c>
      <c r="P26" s="680">
        <f t="shared" si="7"/>
        <v>1.5635140029151406</v>
      </c>
      <c r="Q26" s="689">
        <f t="shared" si="8"/>
        <v>1.0000153369700755</v>
      </c>
      <c r="R26" s="690">
        <f t="shared" si="9"/>
        <v>5.5383705291584184E-3</v>
      </c>
      <c r="S26" s="677">
        <f t="shared" si="10"/>
        <v>1.0000000000699991</v>
      </c>
      <c r="T26" s="680">
        <f t="shared" si="11"/>
        <v>1.1832094380336084E-5</v>
      </c>
      <c r="U26" s="681">
        <f t="shared" si="24"/>
        <v>0.99959996335125856</v>
      </c>
      <c r="V26" s="682">
        <f t="shared" si="25"/>
        <v>-3.3335287551835012E-4</v>
      </c>
      <c r="W26" s="683">
        <f t="shared" si="12"/>
        <v>67.212979799950332</v>
      </c>
      <c r="X26" s="684">
        <f t="shared" si="13"/>
        <v>-89.4590401837971</v>
      </c>
      <c r="Y26" s="687">
        <f t="shared" si="14"/>
        <v>90.5409598162029</v>
      </c>
      <c r="AA26" s="170">
        <f t="shared" si="15"/>
        <v>1000000000</v>
      </c>
      <c r="AB26" s="170">
        <f t="shared" si="16"/>
        <v>10.964707690000001</v>
      </c>
      <c r="AD26" s="686">
        <f t="shared" si="17"/>
        <v>62.350906347082073</v>
      </c>
      <c r="AE26" s="687">
        <f t="shared" si="18"/>
        <v>-89.266106351014415</v>
      </c>
      <c r="AG26" s="686">
        <f t="shared" si="19"/>
        <v>62.598838695050027</v>
      </c>
      <c r="AH26" s="687">
        <f t="shared" si="20"/>
        <v>-0.15473440702753669</v>
      </c>
      <c r="AJ26" s="170">
        <f t="shared" si="21"/>
        <v>0</v>
      </c>
      <c r="AK26" s="170">
        <f t="shared" si="22"/>
        <v>0</v>
      </c>
      <c r="AM26" s="170" t="str">
        <f t="shared" si="26"/>
        <v>0.000000113391981027+0.000476218383223654i</v>
      </c>
      <c r="AN26" s="170" t="str">
        <f t="shared" si="27"/>
        <v>0.000476218401223437i</v>
      </c>
      <c r="AO26" s="170" t="str">
        <f t="shared" si="28"/>
        <v>0.999999962202672-0.000238109196821644i</v>
      </c>
      <c r="AP26" s="170" t="str">
        <f t="shared" si="29"/>
        <v>0.166666647768003-0.0000793697305372757i</v>
      </c>
      <c r="AQ26" s="170" t="str">
        <f t="shared" si="30"/>
        <v>0.833333352231997+0.0000793697305372757i</v>
      </c>
      <c r="AR26" s="170" t="str">
        <f t="shared" si="31"/>
        <v>0.999599968262947-0.0000952055739922096i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1.0000053975499428</v>
      </c>
      <c r="J27" s="678">
        <f t="shared" si="1"/>
        <v>3.2855823425546929E-3</v>
      </c>
      <c r="K27" s="678">
        <f t="shared" si="2"/>
        <v>1.0000000000125944</v>
      </c>
      <c r="L27" s="679">
        <f t="shared" si="3"/>
        <v>5.018857621150659E-6</v>
      </c>
      <c r="M27" s="678">
        <f t="shared" si="4"/>
        <v>1.0000000010650985</v>
      </c>
      <c r="N27" s="679">
        <f t="shared" si="5"/>
        <v>-4.6154056795115939E-5</v>
      </c>
      <c r="O27" s="677">
        <f t="shared" si="6"/>
        <v>150.56904940798606</v>
      </c>
      <c r="P27" s="680">
        <f t="shared" si="7"/>
        <v>1.5641548068038957</v>
      </c>
      <c r="Q27" s="689">
        <f t="shared" si="8"/>
        <v>1.0000184393875347</v>
      </c>
      <c r="R27" s="690">
        <f t="shared" si="9"/>
        <v>6.0727430699139273E-3</v>
      </c>
      <c r="S27" s="677">
        <f t="shared" si="10"/>
        <v>1.0000000000841589</v>
      </c>
      <c r="T27" s="680">
        <f t="shared" si="11"/>
        <v>1.2973746950055481E-5</v>
      </c>
      <c r="U27" s="681">
        <f t="shared" si="24"/>
        <v>0.99959995593775353</v>
      </c>
      <c r="V27" s="682">
        <f t="shared" si="25"/>
        <v>-3.6551735323774064E-4</v>
      </c>
      <c r="W27" s="683">
        <f t="shared" si="12"/>
        <v>66.412961593079373</v>
      </c>
      <c r="X27" s="684">
        <f t="shared" si="13"/>
        <v>-89.483819306637869</v>
      </c>
      <c r="Y27" s="687">
        <f t="shared" si="14"/>
        <v>90.516180693362131</v>
      </c>
      <c r="AA27" s="170">
        <f t="shared" si="15"/>
        <v>1000000000</v>
      </c>
      <c r="AB27" s="170">
        <f t="shared" si="16"/>
        <v>13.182708639999998</v>
      </c>
      <c r="AD27" s="686">
        <f t="shared" si="17"/>
        <v>61.550896091018984</v>
      </c>
      <c r="AE27" s="687">
        <f t="shared" si="18"/>
        <v>-89.272269829943653</v>
      </c>
      <c r="AG27" s="686">
        <f t="shared" si="19"/>
        <v>62.598830873079471</v>
      </c>
      <c r="AH27" s="687">
        <f t="shared" si="20"/>
        <v>-0.16966427328774311</v>
      </c>
      <c r="AJ27" s="170">
        <f t="shared" si="21"/>
        <v>0</v>
      </c>
      <c r="AK27" s="170">
        <f t="shared" si="22"/>
        <v>0</v>
      </c>
      <c r="AM27" s="170" t="str">
        <f t="shared" si="26"/>
        <v>1.36329528999113E-07+0.000522167635849473i</v>
      </c>
      <c r="AN27" s="170" t="str">
        <f t="shared" si="27"/>
        <v>0.00052216765957843i</v>
      </c>
      <c r="AO27" s="170" t="str">
        <f t="shared" si="28"/>
        <v>0.999999954556824-0.000261083823362745i</v>
      </c>
      <c r="AP27" s="170" t="str">
        <f t="shared" si="29"/>
        <v>0.166666643945078-0.0000870279393082455i</v>
      </c>
      <c r="AQ27" s="170" t="str">
        <f t="shared" si="30"/>
        <v>0.833333356054922+0.0000870279393082455i</v>
      </c>
      <c r="AR27" s="170" t="str">
        <f t="shared" si="31"/>
        <v>0.999599961843003-0.000104391746927821i</v>
      </c>
    </row>
    <row r="28" spans="1:44">
      <c r="B28" s="633"/>
      <c r="D28" s="189"/>
      <c r="G28" s="688">
        <v>3.9811000000000001</v>
      </c>
      <c r="H28" s="676">
        <f t="shared" si="23"/>
        <v>3.9811000000000004E-3</v>
      </c>
      <c r="I28" s="677">
        <f t="shared" si="0"/>
        <v>1.0000064893014955</v>
      </c>
      <c r="J28" s="678">
        <f t="shared" si="1"/>
        <v>3.6025730813449234E-3</v>
      </c>
      <c r="K28" s="678">
        <f t="shared" si="2"/>
        <v>1.0000000000151419</v>
      </c>
      <c r="L28" s="679">
        <f t="shared" si="3"/>
        <v>5.503077579467048E-6</v>
      </c>
      <c r="M28" s="678">
        <f t="shared" si="4"/>
        <v>1.0000000012805343</v>
      </c>
      <c r="N28" s="679">
        <f t="shared" si="5"/>
        <v>-5.0607005475555256E-5</v>
      </c>
      <c r="O28" s="677">
        <f t="shared" si="6"/>
        <v>165.09535596624119</v>
      </c>
      <c r="P28" s="680">
        <f t="shared" si="7"/>
        <v>1.5647391841878078</v>
      </c>
      <c r="Q28" s="689">
        <f t="shared" si="8"/>
        <v>1.0000221690560631</v>
      </c>
      <c r="R28" s="690">
        <f t="shared" si="9"/>
        <v>6.658625461000967E-3</v>
      </c>
      <c r="S28" s="677">
        <f t="shared" si="10"/>
        <v>1.0000000001011817</v>
      </c>
      <c r="T28" s="680">
        <f t="shared" si="11"/>
        <v>1.422545554210635E-5</v>
      </c>
      <c r="U28" s="681">
        <f t="shared" si="24"/>
        <v>0.99959994702534261</v>
      </c>
      <c r="V28" s="682">
        <f t="shared" si="25"/>
        <v>-4.0078250781004247E-4</v>
      </c>
      <c r="W28" s="683">
        <f t="shared" si="12"/>
        <v>65.613001460956241</v>
      </c>
      <c r="X28" s="684">
        <f t="shared" si="13"/>
        <v>-89.504214961125527</v>
      </c>
      <c r="Y28" s="687">
        <f t="shared" si="14"/>
        <v>90.495785038874473</v>
      </c>
      <c r="AA28" s="170">
        <f t="shared" si="15"/>
        <v>1000000000</v>
      </c>
      <c r="AB28" s="170">
        <f t="shared" si="16"/>
        <v>15.849157210000001</v>
      </c>
      <c r="AD28" s="686">
        <f t="shared" si="17"/>
        <v>60.75094551722281</v>
      </c>
      <c r="AE28" s="687">
        <f t="shared" si="18"/>
        <v>-89.272255317003868</v>
      </c>
      <c r="AG28" s="686">
        <f t="shared" si="19"/>
        <v>62.598821469638906</v>
      </c>
      <c r="AH28" s="687">
        <f t="shared" si="20"/>
        <v>-0.18603335166880225</v>
      </c>
      <c r="AJ28" s="170">
        <f t="shared" si="21"/>
        <v>0</v>
      </c>
      <c r="AK28" s="170">
        <f t="shared" si="22"/>
        <v>0</v>
      </c>
      <c r="AM28" s="170" t="str">
        <f t="shared" si="26"/>
        <v>1.63904717020991E-07+0.000572546423921051i</v>
      </c>
      <c r="AN28" s="170" t="str">
        <f t="shared" si="27"/>
        <v>0.000572546455202073i</v>
      </c>
      <c r="AO28" s="170" t="str">
        <f t="shared" si="28"/>
        <v>0.999999945365094-0.000286273219459795i</v>
      </c>
      <c r="AP28" s="170" t="str">
        <f t="shared" si="29"/>
        <v>0.166666639349214-0.0000954244039868418i</v>
      </c>
      <c r="AQ28" s="170" t="str">
        <f t="shared" si="30"/>
        <v>0.833333360650786+0.0000954244039868418i</v>
      </c>
      <c r="AR28" s="170" t="str">
        <f t="shared" si="31"/>
        <v>0.99959995412504-0.000114463472064967i</v>
      </c>
    </row>
    <row r="29" spans="1:44">
      <c r="B29" s="633"/>
      <c r="D29" s="189"/>
      <c r="G29" s="688">
        <v>4.3651999999999997</v>
      </c>
      <c r="H29" s="676">
        <f t="shared" si="23"/>
        <v>4.3651999999999996E-3</v>
      </c>
      <c r="I29" s="677">
        <f t="shared" si="0"/>
        <v>1.0000078018893546</v>
      </c>
      <c r="J29" s="678">
        <f t="shared" si="1"/>
        <v>3.9501490175167329E-3</v>
      </c>
      <c r="K29" s="678">
        <f t="shared" si="2"/>
        <v>1.0000000000182045</v>
      </c>
      <c r="L29" s="679">
        <f t="shared" si="3"/>
        <v>6.0340193036699671E-6</v>
      </c>
      <c r="M29" s="678">
        <f t="shared" si="4"/>
        <v>1.0000000015395485</v>
      </c>
      <c r="N29" s="679">
        <f t="shared" si="5"/>
        <v>-5.548961348967571E-5</v>
      </c>
      <c r="O29" s="677">
        <f t="shared" si="6"/>
        <v>181.02334120811881</v>
      </c>
      <c r="P29" s="680">
        <f t="shared" si="7"/>
        <v>1.5652721491974999</v>
      </c>
      <c r="Q29" s="689">
        <f t="shared" si="8"/>
        <v>1.0000266531379918</v>
      </c>
      <c r="R29" s="690">
        <f t="shared" si="9"/>
        <v>7.3010336273400239E-3</v>
      </c>
      <c r="S29" s="677">
        <f t="shared" si="10"/>
        <v>1.000000000121648</v>
      </c>
      <c r="T29" s="680">
        <f t="shared" si="11"/>
        <v>1.55979398989112E-5</v>
      </c>
      <c r="U29" s="681">
        <f t="shared" si="24"/>
        <v>0.99959993631014299</v>
      </c>
      <c r="V29" s="682">
        <f t="shared" si="25"/>
        <v>-4.3945035183008029E-4</v>
      </c>
      <c r="W29" s="683">
        <f t="shared" si="12"/>
        <v>64.813034525118127</v>
      </c>
      <c r="X29" s="684">
        <f t="shared" si="13"/>
        <v>-89.52040243831307</v>
      </c>
      <c r="Y29" s="687">
        <f t="shared" si="14"/>
        <v>90.47959756168693</v>
      </c>
      <c r="AA29" s="170">
        <f t="shared" si="15"/>
        <v>1000000000</v>
      </c>
      <c r="AB29" s="170">
        <f t="shared" si="16"/>
        <v>19.054971039999998</v>
      </c>
      <c r="AD29" s="686">
        <f t="shared" si="17"/>
        <v>59.950990073128438</v>
      </c>
      <c r="AE29" s="687">
        <f t="shared" si="18"/>
        <v>-89.266063323585414</v>
      </c>
      <c r="AG29" s="686">
        <f t="shared" si="19"/>
        <v>62.598810164111747</v>
      </c>
      <c r="AH29" s="687">
        <f t="shared" si="20"/>
        <v>-0.20398181373930782</v>
      </c>
      <c r="AJ29" s="170">
        <f t="shared" si="21"/>
        <v>0</v>
      </c>
      <c r="AK29" s="170">
        <f t="shared" si="22"/>
        <v>0</v>
      </c>
      <c r="AM29" s="170" t="str">
        <f t="shared" si="26"/>
        <v>1.97057772988174E-07+0.000627786195292905i</v>
      </c>
      <c r="AN29" s="170" t="str">
        <f t="shared" si="27"/>
        <v>0.000627786236529625i</v>
      </c>
      <c r="AO29" s="170" t="str">
        <f t="shared" si="28"/>
        <v>0.999999934314074-0.000313893108070513i</v>
      </c>
      <c r="AP29" s="170" t="str">
        <f t="shared" si="29"/>
        <v>0.166666633823705-0.000104631032548817i</v>
      </c>
      <c r="AQ29" s="170" t="str">
        <f t="shared" si="30"/>
        <v>0.833333366176295+0.000104631032548817i</v>
      </c>
      <c r="AR29" s="170" t="str">
        <f t="shared" si="31"/>
        <v>0.9995999448459-0.000125507004291534i</v>
      </c>
    </row>
    <row r="30" spans="1:44">
      <c r="A30" s="170" t="s">
        <v>18</v>
      </c>
      <c r="B30" s="714">
        <f>Vref</f>
        <v>1</v>
      </c>
      <c r="C30" s="170" t="s">
        <v>0</v>
      </c>
      <c r="D30" s="189"/>
      <c r="G30" s="688">
        <v>4.7862999999999998</v>
      </c>
      <c r="H30" s="676">
        <f t="shared" si="23"/>
        <v>4.7862999999999994E-3</v>
      </c>
      <c r="I30" s="677">
        <f t="shared" si="0"/>
        <v>1.0000093797439626</v>
      </c>
      <c r="J30" s="678">
        <f t="shared" si="1"/>
        <v>4.331205524321295E-3</v>
      </c>
      <c r="K30" s="678">
        <f t="shared" si="2"/>
        <v>1.0000000000218865</v>
      </c>
      <c r="L30" s="679">
        <f t="shared" si="3"/>
        <v>6.6161061562092637E-6</v>
      </c>
      <c r="M30" s="678">
        <f t="shared" si="4"/>
        <v>1.0000000018509083</v>
      </c>
      <c r="N30" s="679">
        <f t="shared" si="5"/>
        <v>-6.0842558643476928E-5</v>
      </c>
      <c r="O30" s="677">
        <f t="shared" si="6"/>
        <v>198.48570377827409</v>
      </c>
      <c r="P30" s="680">
        <f t="shared" si="7"/>
        <v>1.5657581592518495</v>
      </c>
      <c r="Q30" s="689">
        <f t="shared" si="8"/>
        <v>1.0000320434092644</v>
      </c>
      <c r="R30" s="690">
        <f t="shared" si="9"/>
        <v>8.0053174375373758E-3</v>
      </c>
      <c r="S30" s="677">
        <f t="shared" si="10"/>
        <v>1.0000000001462501</v>
      </c>
      <c r="T30" s="680">
        <f t="shared" si="11"/>
        <v>1.7102634412382985E-5</v>
      </c>
      <c r="U30" s="681">
        <f t="shared" si="24"/>
        <v>0.99959992342944326</v>
      </c>
      <c r="V30" s="682">
        <f t="shared" si="25"/>
        <v>-4.8184303236569842E-4</v>
      </c>
      <c r="W30" s="683">
        <f t="shared" si="12"/>
        <v>64.013174429033086</v>
      </c>
      <c r="X30" s="684">
        <f t="shared" si="13"/>
        <v>-89.53251768730162</v>
      </c>
      <c r="Y30" s="687">
        <f t="shared" si="14"/>
        <v>90.46748231269838</v>
      </c>
      <c r="AA30" s="170">
        <f t="shared" si="15"/>
        <v>1000000000</v>
      </c>
      <c r="AB30" s="170">
        <f t="shared" si="16"/>
        <v>22.908667689999998</v>
      </c>
      <c r="AD30" s="686">
        <f t="shared" si="17"/>
        <v>59.151143791185348</v>
      </c>
      <c r="AE30" s="687">
        <f t="shared" si="18"/>
        <v>-89.253643371227767</v>
      </c>
      <c r="AG30" s="686">
        <f t="shared" si="19"/>
        <v>62.598796573820024</v>
      </c>
      <c r="AH30" s="687">
        <f t="shared" si="20"/>
        <v>-0.22365917172607197</v>
      </c>
      <c r="AJ30" s="170">
        <f t="shared" si="21"/>
        <v>0</v>
      </c>
      <c r="AK30" s="170">
        <f t="shared" si="22"/>
        <v>0</v>
      </c>
      <c r="AM30" s="170" t="str">
        <f t="shared" si="26"/>
        <v>2.36910934980905E-07+0.000688347160866365i</v>
      </c>
      <c r="AN30" s="170" t="str">
        <f t="shared" si="27"/>
        <v>0.00068834721522536i</v>
      </c>
      <c r="AO30" s="170" t="str">
        <f t="shared" si="28"/>
        <v>0.999999921029687-0.000344173593995498i</v>
      </c>
      <c r="AP30" s="170" t="str">
        <f t="shared" si="29"/>
        <v>0.166666627181511-0.000114724526811061i</v>
      </c>
      <c r="AQ30" s="170" t="str">
        <f t="shared" si="30"/>
        <v>0.833333372818489+0.000114724526811061i</v>
      </c>
      <c r="AR30" s="170" t="str">
        <f t="shared" si="31"/>
        <v>0.99959993369148-0.000137614348751279i</v>
      </c>
    </row>
    <row r="31" spans="1:44">
      <c r="A31" s="170" t="s">
        <v>745</v>
      </c>
      <c r="B31" s="714">
        <v>600</v>
      </c>
      <c r="C31" s="170" t="s">
        <v>753</v>
      </c>
      <c r="D31" s="708">
        <f>B31*0.000001</f>
        <v>5.9999999999999995E-4</v>
      </c>
      <c r="E31" s="170" t="s">
        <v>754</v>
      </c>
      <c r="G31" s="688">
        <v>5.2481</v>
      </c>
      <c r="H31" s="676">
        <f t="shared" si="23"/>
        <v>5.2481000000000003E-3</v>
      </c>
      <c r="I31" s="677">
        <f t="shared" si="0"/>
        <v>1.0000112770353722</v>
      </c>
      <c r="J31" s="678">
        <f t="shared" si="1"/>
        <v>4.7490903122200494E-3</v>
      </c>
      <c r="K31" s="678">
        <f t="shared" si="2"/>
        <v>1.0000000000263136</v>
      </c>
      <c r="L31" s="679">
        <f t="shared" si="3"/>
        <v>7.2544526499173395E-6</v>
      </c>
      <c r="M31" s="678">
        <f t="shared" si="4"/>
        <v>1.0000000022253037</v>
      </c>
      <c r="N31" s="679">
        <f t="shared" si="5"/>
        <v>-6.671287464996615E-5</v>
      </c>
      <c r="O31" s="677">
        <f t="shared" si="6"/>
        <v>217.63587692879409</v>
      </c>
      <c r="P31" s="680">
        <f t="shared" si="7"/>
        <v>1.5662014799668371</v>
      </c>
      <c r="Q31" s="689">
        <f t="shared" si="8"/>
        <v>1.0000385249142099</v>
      </c>
      <c r="R31" s="690">
        <f t="shared" si="9"/>
        <v>8.7776622677195725E-3</v>
      </c>
      <c r="S31" s="677">
        <f t="shared" si="10"/>
        <v>1.0000000001758331</v>
      </c>
      <c r="T31" s="680">
        <f t="shared" si="11"/>
        <v>1.8752760098167055E-5</v>
      </c>
      <c r="U31" s="681">
        <f t="shared" si="24"/>
        <v>0.99959990794101916</v>
      </c>
      <c r="V31" s="682">
        <f t="shared" si="25"/>
        <v>-5.2833303392259485E-4</v>
      </c>
      <c r="W31" s="683">
        <f t="shared" si="12"/>
        <v>63.213188950633977</v>
      </c>
      <c r="X31" s="684">
        <f t="shared" si="13"/>
        <v>-89.540667024709421</v>
      </c>
      <c r="Y31" s="687">
        <f t="shared" si="14"/>
        <v>90.459332975290579</v>
      </c>
      <c r="AA31" s="170">
        <f t="shared" si="15"/>
        <v>1000000000</v>
      </c>
      <c r="AB31" s="170">
        <f t="shared" si="16"/>
        <v>27.542553609999999</v>
      </c>
      <c r="AD31" s="686">
        <f t="shared" si="17"/>
        <v>58.351174923573993</v>
      </c>
      <c r="AE31" s="687">
        <f t="shared" si="18"/>
        <v>-89.234886223285116</v>
      </c>
      <c r="AG31" s="686">
        <f t="shared" si="19"/>
        <v>62.598780232201435</v>
      </c>
      <c r="AH31" s="687">
        <f t="shared" si="20"/>
        <v>-0.24523829531290461</v>
      </c>
      <c r="AJ31" s="170">
        <f t="shared" si="21"/>
        <v>0</v>
      </c>
      <c r="AK31" s="170">
        <f t="shared" si="22"/>
        <v>0</v>
      </c>
      <c r="AM31" s="170" t="str">
        <f t="shared" si="26"/>
        <v>2.84832455954565E-07+0.000754761439365905i</v>
      </c>
      <c r="AN31" s="170" t="str">
        <f t="shared" si="27"/>
        <v>0.000754761511026098i</v>
      </c>
      <c r="AO31" s="170" t="str">
        <f t="shared" si="28"/>
        <v>0.999999905055846-0.000377380737880149i</v>
      </c>
      <c r="AP31" s="170" t="str">
        <f t="shared" si="29"/>
        <v>0.166666619194591-0.000125793573227651i</v>
      </c>
      <c r="AQ31" s="170" t="str">
        <f t="shared" si="30"/>
        <v>0.833333380805409+0.000125793573227651i</v>
      </c>
      <c r="AR31" s="170" t="str">
        <f t="shared" si="31"/>
        <v>0.999599920278825-0.000150891886328157i</v>
      </c>
    </row>
    <row r="32" spans="1:44">
      <c r="A32" s="170" t="s">
        <v>741</v>
      </c>
      <c r="B32" s="714">
        <v>300</v>
      </c>
      <c r="C32" s="706" t="s">
        <v>747</v>
      </c>
      <c r="D32" s="708">
        <f>B32*1000000</f>
        <v>300000000</v>
      </c>
      <c r="E32" s="706" t="s">
        <v>45</v>
      </c>
      <c r="G32" s="688">
        <v>5.7544000000000004</v>
      </c>
      <c r="H32" s="676">
        <f t="shared" si="23"/>
        <v>5.7544000000000007E-3</v>
      </c>
      <c r="I32" s="677">
        <f t="shared" si="0"/>
        <v>1.0000135578348235</v>
      </c>
      <c r="J32" s="678">
        <f t="shared" si="1"/>
        <v>5.2072414282640887E-3</v>
      </c>
      <c r="K32" s="678">
        <f t="shared" si="2"/>
        <v>1.0000000000316356</v>
      </c>
      <c r="L32" s="679">
        <f t="shared" si="3"/>
        <v>7.9543115277026403E-6</v>
      </c>
      <c r="M32" s="678">
        <f t="shared" si="4"/>
        <v>1.0000000026753784</v>
      </c>
      <c r="N32" s="679">
        <f t="shared" si="5"/>
        <v>-7.3148866403189425E-5</v>
      </c>
      <c r="O32" s="677">
        <f t="shared" si="6"/>
        <v>238.63144112662681</v>
      </c>
      <c r="P32" s="680">
        <f t="shared" si="7"/>
        <v>1.5666057518978735</v>
      </c>
      <c r="Q32" s="689">
        <f t="shared" si="8"/>
        <v>1.0000463165155618</v>
      </c>
      <c r="R32" s="690">
        <f t="shared" si="9"/>
        <v>9.624419769456629E-3</v>
      </c>
      <c r="S32" s="677">
        <f t="shared" si="10"/>
        <v>1.0000000002113958</v>
      </c>
      <c r="T32" s="680">
        <f t="shared" si="11"/>
        <v>2.0561895296647188E-5</v>
      </c>
      <c r="U32" s="681">
        <f t="shared" si="24"/>
        <v>0.99959988932181076</v>
      </c>
      <c r="V32" s="682">
        <f t="shared" si="25"/>
        <v>-5.7930290570536538E-4</v>
      </c>
      <c r="W32" s="683">
        <f t="shared" si="12"/>
        <v>62.413293169506204</v>
      </c>
      <c r="X32" s="684">
        <f t="shared" si="13"/>
        <v>-89.54491726489762</v>
      </c>
      <c r="Y32" s="687">
        <f t="shared" si="14"/>
        <v>90.45508273510238</v>
      </c>
      <c r="AA32" s="170">
        <f t="shared" si="15"/>
        <v>1000000000</v>
      </c>
      <c r="AB32" s="170">
        <f t="shared" si="16"/>
        <v>33.113119360000006</v>
      </c>
      <c r="AD32" s="686">
        <f t="shared" si="17"/>
        <v>57.551299110806148</v>
      </c>
      <c r="AE32" s="687">
        <f t="shared" si="18"/>
        <v>-89.209637323371126</v>
      </c>
      <c r="AG32" s="686">
        <f t="shared" si="19"/>
        <v>62.598760587419761</v>
      </c>
      <c r="AH32" s="687">
        <f t="shared" si="20"/>
        <v>-0.2688967183374833</v>
      </c>
      <c r="AJ32" s="170">
        <f t="shared" si="21"/>
        <v>0</v>
      </c>
      <c r="AK32" s="170">
        <f t="shared" si="22"/>
        <v>0</v>
      </c>
      <c r="AM32" s="170" t="str">
        <f t="shared" si="26"/>
        <v>3.42440688028134E-07+0.000827575530817974i</v>
      </c>
      <c r="AN32" s="170" t="str">
        <f t="shared" si="27"/>
        <v>0.000827575625283165i</v>
      </c>
      <c r="AO32" s="170" t="str">
        <f t="shared" si="28"/>
        <v>0.999999885853101-0.000413787788772735i</v>
      </c>
      <c r="AP32" s="170" t="str">
        <f t="shared" si="29"/>
        <v>0.166666609593219-0.000137929255136329i</v>
      </c>
      <c r="AQ32" s="170" t="str">
        <f t="shared" si="30"/>
        <v>0.833333390406781+0.000137929255136329i</v>
      </c>
      <c r="AR32" s="170" t="str">
        <f t="shared" si="31"/>
        <v>0.999599904154977-0.000165448872926045i</v>
      </c>
    </row>
    <row r="33" spans="1:44">
      <c r="A33" s="170" t="s">
        <v>771</v>
      </c>
      <c r="B33" s="633">
        <f>RCS/1000</f>
        <v>2E-3</v>
      </c>
      <c r="C33" s="706" t="s">
        <v>45</v>
      </c>
      <c r="D33" s="189"/>
      <c r="G33" s="688">
        <v>6.3095999999999997</v>
      </c>
      <c r="H33" s="676">
        <f t="shared" si="23"/>
        <v>6.3095999999999994E-3</v>
      </c>
      <c r="I33" s="677">
        <f t="shared" si="0"/>
        <v>1.0000163002139233</v>
      </c>
      <c r="J33" s="678">
        <f t="shared" si="1"/>
        <v>5.7096396580230586E-3</v>
      </c>
      <c r="K33" s="678">
        <f t="shared" si="2"/>
        <v>1.0000000000380345</v>
      </c>
      <c r="L33" s="679">
        <f t="shared" si="3"/>
        <v>8.7217649129324459E-6</v>
      </c>
      <c r="M33" s="678">
        <f t="shared" si="4"/>
        <v>1.0000000032165386</v>
      </c>
      <c r="N33" s="679">
        <f t="shared" si="5"/>
        <v>-8.0206465885418552E-5</v>
      </c>
      <c r="O33" s="677">
        <f t="shared" si="6"/>
        <v>261.65485831584613</v>
      </c>
      <c r="P33" s="680">
        <f t="shared" si="7"/>
        <v>1.5669744889706418</v>
      </c>
      <c r="Q33" s="689">
        <f t="shared" si="8"/>
        <v>1.0000556848951581</v>
      </c>
      <c r="R33" s="690">
        <f t="shared" si="9"/>
        <v>1.0552943785930774E-2</v>
      </c>
      <c r="S33" s="677">
        <f t="shared" si="10"/>
        <v>1.0000000002541558</v>
      </c>
      <c r="T33" s="680">
        <f t="shared" si="11"/>
        <v>2.2545762296681966E-5</v>
      </c>
      <c r="U33" s="681">
        <f t="shared" si="24"/>
        <v>0.99959986693446368</v>
      </c>
      <c r="V33" s="682">
        <f t="shared" si="25"/>
        <v>-6.3519560300332476E-4</v>
      </c>
      <c r="W33" s="683">
        <f t="shared" si="12"/>
        <v>61.613327748953665</v>
      </c>
      <c r="X33" s="684">
        <f t="shared" si="13"/>
        <v>-89.545305615488104</v>
      </c>
      <c r="Y33" s="687">
        <f t="shared" si="14"/>
        <v>90.454694384511896</v>
      </c>
      <c r="AA33" s="170">
        <f t="shared" si="15"/>
        <v>1000000000</v>
      </c>
      <c r="AB33" s="170">
        <f t="shared" si="16"/>
        <v>39.811052159999996</v>
      </c>
      <c r="AD33" s="686">
        <f t="shared" si="17"/>
        <v>56.751357699676028</v>
      </c>
      <c r="AE33" s="687">
        <f t="shared" si="18"/>
        <v>-89.177677561239946</v>
      </c>
      <c r="AG33" s="686">
        <f t="shared" si="19"/>
        <v>62.598736967061058</v>
      </c>
      <c r="AH33" s="687">
        <f t="shared" si="20"/>
        <v>-0.29483999973026404</v>
      </c>
      <c r="AJ33" s="170">
        <f t="shared" si="21"/>
        <v>0</v>
      </c>
      <c r="AK33" s="170">
        <f t="shared" si="22"/>
        <v>0</v>
      </c>
      <c r="AM33" s="170" t="str">
        <f t="shared" si="26"/>
        <v>4.11707631986502E-07+0.000907422224504035i</v>
      </c>
      <c r="AN33" s="170" t="str">
        <f t="shared" si="27"/>
        <v>0.00090742234903494i</v>
      </c>
      <c r="AO33" s="170" t="str">
        <f t="shared" si="28"/>
        <v>0.99999986276412-0.000453711143905989i</v>
      </c>
      <c r="AP33" s="170" t="str">
        <f t="shared" si="29"/>
        <v>0.166666598048728-0.000151237037417339i</v>
      </c>
      <c r="AQ33" s="170" t="str">
        <f t="shared" si="30"/>
        <v>0.833333401951272+0.000151237037417339i</v>
      </c>
      <c r="AR33" s="170" t="str">
        <f t="shared" si="31"/>
        <v>0.999599884767997-0.000181411815272305i</v>
      </c>
    </row>
    <row r="34" spans="1:44">
      <c r="A34" s="170" t="s">
        <v>752</v>
      </c>
      <c r="B34" s="715">
        <f>10*B33</f>
        <v>0.02</v>
      </c>
      <c r="C34" s="706" t="s">
        <v>45</v>
      </c>
      <c r="D34" s="189"/>
      <c r="E34" s="706"/>
      <c r="G34" s="688">
        <v>6.9183000000000003</v>
      </c>
      <c r="H34" s="676">
        <f t="shared" si="23"/>
        <v>6.9183000000000005E-3</v>
      </c>
      <c r="I34" s="677">
        <f t="shared" si="0"/>
        <v>1.0000195969152126</v>
      </c>
      <c r="J34" s="678">
        <f t="shared" si="1"/>
        <v>6.2604464993037826E-3</v>
      </c>
      <c r="K34" s="678">
        <f t="shared" si="2"/>
        <v>1.000000000045727</v>
      </c>
      <c r="L34" s="679">
        <f t="shared" si="3"/>
        <v>9.5631713891262694E-6</v>
      </c>
      <c r="M34" s="678">
        <f t="shared" si="4"/>
        <v>1.0000000038670864</v>
      </c>
      <c r="N34" s="679">
        <f t="shared" si="5"/>
        <v>-8.7944147441111183E-5</v>
      </c>
      <c r="O34" s="677">
        <f t="shared" si="6"/>
        <v>286.89688447426761</v>
      </c>
      <c r="P34" s="680">
        <f t="shared" si="7"/>
        <v>1.5673107468566088</v>
      </c>
      <c r="Q34" s="689">
        <f t="shared" si="8"/>
        <v>1.0000669468405938</v>
      </c>
      <c r="R34" s="690">
        <f t="shared" si="9"/>
        <v>1.1570920957947315E-2</v>
      </c>
      <c r="S34" s="677">
        <f t="shared" si="10"/>
        <v>1.0000000003055589</v>
      </c>
      <c r="T34" s="680">
        <f t="shared" si="11"/>
        <v>2.4720798036609238E-5</v>
      </c>
      <c r="U34" s="681">
        <f t="shared" si="24"/>
        <v>0.99959984002183988</v>
      </c>
      <c r="V34" s="682">
        <f t="shared" si="25"/>
        <v>-6.9647421016642678E-4</v>
      </c>
      <c r="W34" s="683">
        <f t="shared" si="12"/>
        <v>60.813456117737495</v>
      </c>
      <c r="X34" s="684">
        <f t="shared" si="13"/>
        <v>-89.541835638302629</v>
      </c>
      <c r="Y34" s="687">
        <f t="shared" si="14"/>
        <v>90.458164361697371</v>
      </c>
      <c r="AA34" s="170">
        <f t="shared" si="15"/>
        <v>1000000000</v>
      </c>
      <c r="AB34" s="170">
        <f t="shared" si="16"/>
        <v>47.862874890000008</v>
      </c>
      <c r="AD34" s="686">
        <f t="shared" si="17"/>
        <v>55.951514930865748</v>
      </c>
      <c r="AE34" s="687">
        <f t="shared" si="18"/>
        <v>-89.138742543660342</v>
      </c>
      <c r="AG34" s="686">
        <f t="shared" si="19"/>
        <v>62.598708572362497</v>
      </c>
      <c r="AH34" s="687">
        <f t="shared" si="20"/>
        <v>-0.32328302898661332</v>
      </c>
      <c r="AJ34" s="170">
        <f t="shared" si="21"/>
        <v>0</v>
      </c>
      <c r="AK34" s="170">
        <f t="shared" si="22"/>
        <v>0</v>
      </c>
      <c r="AM34" s="170" t="str">
        <f t="shared" si="26"/>
        <v>4.94975879949955E-07+0.000994963072387879i</v>
      </c>
      <c r="AN34" s="170" t="str">
        <f t="shared" si="27"/>
        <v>0.000994963236548819i</v>
      </c>
      <c r="AO34" s="170" t="str">
        <f t="shared" si="28"/>
        <v>0.999999835008035-0.000497481576974496i</v>
      </c>
      <c r="AP34" s="170" t="str">
        <f t="shared" si="29"/>
        <v>0.166666584170687-0.000165827178731313i</v>
      </c>
      <c r="AQ34" s="170" t="str">
        <f t="shared" si="30"/>
        <v>0.833333415829313+0.000165827178731313i</v>
      </c>
      <c r="AR34" s="170" t="str">
        <f t="shared" si="31"/>
        <v>0.999599861462224-0.000198912970172366i</v>
      </c>
    </row>
    <row r="35" spans="1:44">
      <c r="B35" s="633"/>
      <c r="D35" s="189"/>
      <c r="G35" s="688">
        <v>7.5857999999999999</v>
      </c>
      <c r="H35" s="676">
        <f t="shared" si="23"/>
        <v>7.5858000000000002E-3</v>
      </c>
      <c r="I35" s="677">
        <f t="shared" si="0"/>
        <v>1.0000235608442576</v>
      </c>
      <c r="J35" s="678">
        <f t="shared" si="1"/>
        <v>6.8644565221613078E-3</v>
      </c>
      <c r="K35" s="678">
        <f t="shared" si="2"/>
        <v>1.0000000000549765</v>
      </c>
      <c r="L35" s="679">
        <f t="shared" si="3"/>
        <v>1.0485857150338482E-5</v>
      </c>
      <c r="M35" s="678">
        <f t="shared" si="4"/>
        <v>1.0000000046493034</v>
      </c>
      <c r="N35" s="679">
        <f t="shared" si="5"/>
        <v>-9.6429283683981533E-5</v>
      </c>
      <c r="O35" s="677">
        <f t="shared" si="6"/>
        <v>314.57730396013636</v>
      </c>
      <c r="P35" s="680">
        <f t="shared" si="7"/>
        <v>1.5676174525670992</v>
      </c>
      <c r="Q35" s="689">
        <f t="shared" si="8"/>
        <v>1.0000804880010365</v>
      </c>
      <c r="R35" s="690">
        <f t="shared" si="9"/>
        <v>1.268720637561435E-2</v>
      </c>
      <c r="S35" s="677">
        <f t="shared" si="10"/>
        <v>1.0000000003673659</v>
      </c>
      <c r="T35" s="680">
        <f t="shared" si="11"/>
        <v>2.7105940727979902E-5</v>
      </c>
      <c r="U35" s="681">
        <f t="shared" si="24"/>
        <v>0.99959980766218559</v>
      </c>
      <c r="V35" s="682">
        <f t="shared" si="25"/>
        <v>-7.6367228683288987E-4</v>
      </c>
      <c r="W35" s="683">
        <f t="shared" si="12"/>
        <v>60.013507942600626</v>
      </c>
      <c r="X35" s="684">
        <f t="shared" si="13"/>
        <v>-89.534477484276422</v>
      </c>
      <c r="Y35" s="687">
        <f t="shared" si="14"/>
        <v>90.465522515723578</v>
      </c>
      <c r="AA35" s="170">
        <f t="shared" si="15"/>
        <v>1000000000</v>
      </c>
      <c r="AB35" s="170">
        <f t="shared" si="16"/>
        <v>57.544361639999998</v>
      </c>
      <c r="AD35" s="686">
        <f t="shared" si="17"/>
        <v>55.151601459546455</v>
      </c>
      <c r="AE35" s="687">
        <f t="shared" si="18"/>
        <v>-89.092493701816593</v>
      </c>
      <c r="AG35" s="686">
        <f t="shared" si="19"/>
        <v>62.59867443091472</v>
      </c>
      <c r="AH35" s="687">
        <f t="shared" si="20"/>
        <v>-0.35447338442658083</v>
      </c>
      <c r="AJ35" s="170">
        <f t="shared" si="21"/>
        <v>0</v>
      </c>
      <c r="AK35" s="170">
        <f t="shared" si="22"/>
        <v>0</v>
      </c>
      <c r="AM35" s="170" t="str">
        <f t="shared" si="26"/>
        <v>5.95097362054986E-07+0.00109096029698451i</v>
      </c>
      <c r="AN35" s="170" t="str">
        <f t="shared" si="27"/>
        <v>0.00109096051339376i</v>
      </c>
      <c r="AO35" s="170" t="str">
        <f t="shared" si="28"/>
        <v>0.999999801634205-0.00054548020276532i</v>
      </c>
      <c r="AP35" s="170" t="str">
        <f t="shared" si="29"/>
        <v>0.166666567483773-0.000181826716164085i</v>
      </c>
      <c r="AQ35" s="170" t="str">
        <f t="shared" si="30"/>
        <v>0.833333432516227+0.000181826716164085i</v>
      </c>
      <c r="AR35" s="170" t="str">
        <f t="shared" si="31"/>
        <v>0.999599833439437-0.000218104720272242i</v>
      </c>
    </row>
    <row r="36" spans="1:44">
      <c r="B36" s="633"/>
      <c r="D36" s="189"/>
      <c r="G36" s="688">
        <v>8.3176000000000005</v>
      </c>
      <c r="H36" s="676">
        <f t="shared" si="23"/>
        <v>8.3176000000000014E-3</v>
      </c>
      <c r="I36" s="677">
        <f t="shared" si="0"/>
        <v>1.0000283258596583</v>
      </c>
      <c r="J36" s="678">
        <f t="shared" si="1"/>
        <v>7.5266448097162288E-3</v>
      </c>
      <c r="K36" s="678">
        <f t="shared" si="2"/>
        <v>1.0000000000660954</v>
      </c>
      <c r="L36" s="679">
        <f t="shared" si="3"/>
        <v>1.1497424850774981E-5</v>
      </c>
      <c r="M36" s="678">
        <f t="shared" si="4"/>
        <v>1.0000000055896057</v>
      </c>
      <c r="N36" s="679">
        <f t="shared" si="5"/>
        <v>-1.0573178958937737E-4</v>
      </c>
      <c r="O36" s="677">
        <f t="shared" si="6"/>
        <v>344.92419513536737</v>
      </c>
      <c r="P36" s="680">
        <f t="shared" si="7"/>
        <v>1.5678971349869852</v>
      </c>
      <c r="Q36" s="689">
        <f t="shared" si="8"/>
        <v>1.0000967655774009</v>
      </c>
      <c r="R36" s="690">
        <f t="shared" si="9"/>
        <v>1.391098666984023E-2</v>
      </c>
      <c r="S36" s="677">
        <f t="shared" si="10"/>
        <v>1.0000000004416643</v>
      </c>
      <c r="T36" s="680">
        <f t="shared" si="11"/>
        <v>2.9720843231811846E-5</v>
      </c>
      <c r="U36" s="681">
        <f t="shared" si="24"/>
        <v>0.99959976876267653</v>
      </c>
      <c r="V36" s="682">
        <f t="shared" si="25"/>
        <v>-8.3734352194812442E-4</v>
      </c>
      <c r="W36" s="683">
        <f t="shared" si="12"/>
        <v>59.213682127457623</v>
      </c>
      <c r="X36" s="684">
        <f t="shared" si="13"/>
        <v>-89.523171164224721</v>
      </c>
      <c r="Y36" s="687">
        <f t="shared" si="14"/>
        <v>90.476828835775279</v>
      </c>
      <c r="AA36" s="170">
        <f t="shared" si="15"/>
        <v>1000000000</v>
      </c>
      <c r="AB36" s="170">
        <f t="shared" si="16"/>
        <v>69.182469760000004</v>
      </c>
      <c r="AD36" s="686">
        <f t="shared" si="17"/>
        <v>54.35181736147581</v>
      </c>
      <c r="AE36" s="687">
        <f t="shared" si="18"/>
        <v>-89.038550700985311</v>
      </c>
      <c r="AG36" s="686">
        <f t="shared" si="19"/>
        <v>62.598633389866613</v>
      </c>
      <c r="AH36" s="687">
        <f t="shared" si="20"/>
        <v>-0.38866796350927518</v>
      </c>
      <c r="AJ36" s="170">
        <f t="shared" si="21"/>
        <v>0</v>
      </c>
      <c r="AK36" s="170">
        <f t="shared" si="22"/>
        <v>0</v>
      </c>
      <c r="AM36" s="170" t="str">
        <f t="shared" si="26"/>
        <v>7.15453317035042E-07+0.0011962048830914i</v>
      </c>
      <c r="AN36" s="170" t="str">
        <f t="shared" si="27"/>
        <v>0.00119620516836773i</v>
      </c>
      <c r="AO36" s="170" t="str">
        <f t="shared" si="28"/>
        <v>0.999999761515551-0.000598102512808323i</v>
      </c>
      <c r="AP36" s="170" t="str">
        <f t="shared" si="29"/>
        <v>0.166666547424447-0.000199367480515233i</v>
      </c>
      <c r="AQ36" s="170" t="str">
        <f t="shared" si="30"/>
        <v>0.833333452575553+0.000199367480515233i</v>
      </c>
      <c r="AR36" s="170" t="str">
        <f t="shared" si="31"/>
        <v>0.999599799753271-0.000239145198100964i</v>
      </c>
    </row>
    <row r="37" spans="1:44">
      <c r="A37" s="189" t="s">
        <v>743</v>
      </c>
      <c r="B37" s="714">
        <f>'Design Converter'!E60*0.001</f>
        <v>1.21E-2</v>
      </c>
      <c r="C37" s="706" t="s">
        <v>747</v>
      </c>
      <c r="D37" s="189">
        <f>B37*1000000</f>
        <v>12100</v>
      </c>
      <c r="E37" s="706" t="s">
        <v>45</v>
      </c>
      <c r="G37" s="688">
        <v>9.1201000000000008</v>
      </c>
      <c r="H37" s="676">
        <f t="shared" si="23"/>
        <v>9.1201000000000008E-3</v>
      </c>
      <c r="I37" s="677">
        <f t="shared" si="0"/>
        <v>1.0000340553222091</v>
      </c>
      <c r="J37" s="678">
        <f t="shared" si="1"/>
        <v>8.2528002237482016E-3</v>
      </c>
      <c r="K37" s="678">
        <f t="shared" si="2"/>
        <v>1.0000000000794647</v>
      </c>
      <c r="L37" s="679">
        <f t="shared" si="3"/>
        <v>1.260672121532874E-5</v>
      </c>
      <c r="M37" s="678">
        <f t="shared" si="4"/>
        <v>1.0000000067202326</v>
      </c>
      <c r="N37" s="679">
        <f t="shared" si="5"/>
        <v>-1.1593302076407254E-4</v>
      </c>
      <c r="O37" s="677">
        <f t="shared" si="6"/>
        <v>378.20295852369134</v>
      </c>
      <c r="P37" s="680">
        <f t="shared" si="7"/>
        <v>1.5681522407488675</v>
      </c>
      <c r="Q37" s="689">
        <f t="shared" si="8"/>
        <v>1.000116337514569</v>
      </c>
      <c r="R37" s="690">
        <f t="shared" si="9"/>
        <v>1.5252949682439095E-2</v>
      </c>
      <c r="S37" s="677">
        <f t="shared" si="10"/>
        <v>1.000000000531001</v>
      </c>
      <c r="T37" s="680">
        <f t="shared" si="11"/>
        <v>3.2588374331814901E-5</v>
      </c>
      <c r="U37" s="681">
        <f t="shared" si="24"/>
        <v>0.99959972198959557</v>
      </c>
      <c r="V37" s="682">
        <f t="shared" si="25"/>
        <v>-9.1813221136697568E-4</v>
      </c>
      <c r="W37" s="683">
        <f t="shared" si="12"/>
        <v>58.413776702523336</v>
      </c>
      <c r="X37" s="684">
        <f t="shared" si="13"/>
        <v>-89.507818549160504</v>
      </c>
      <c r="Y37" s="687">
        <f t="shared" si="14"/>
        <v>90.492181450839496</v>
      </c>
      <c r="AA37" s="170">
        <f t="shared" si="15"/>
        <v>1000000000</v>
      </c>
      <c r="AB37" s="170">
        <f t="shared" si="16"/>
        <v>83.176224010000013</v>
      </c>
      <c r="AD37" s="686">
        <f t="shared" si="17"/>
        <v>53.551962096960615</v>
      </c>
      <c r="AE37" s="687">
        <f t="shared" si="18"/>
        <v>-88.976442664944727</v>
      </c>
      <c r="AG37" s="686">
        <f t="shared" si="19"/>
        <v>62.598584042304495</v>
      </c>
      <c r="AH37" s="687">
        <f t="shared" si="20"/>
        <v>-0.42616568260286525</v>
      </c>
      <c r="AJ37" s="170">
        <f t="shared" si="21"/>
        <v>0</v>
      </c>
      <c r="AK37" s="170">
        <f t="shared" si="22"/>
        <v>0</v>
      </c>
      <c r="AM37" s="170" t="str">
        <f t="shared" si="26"/>
        <v>8.60170274008532E-07+0.00131161724872776i</v>
      </c>
      <c r="AN37" s="170" t="str">
        <f t="shared" si="27"/>
        <v>0.00131161762479928i</v>
      </c>
      <c r="AO37" s="170" t="str">
        <f t="shared" si="28"/>
        <v>0.999999713276558-0.000655808718749236i</v>
      </c>
      <c r="AP37" s="170" t="str">
        <f t="shared" si="29"/>
        <v>0.166666523304954-0.00021860287478796i</v>
      </c>
      <c r="AQ37" s="170" t="str">
        <f t="shared" si="30"/>
        <v>0.833333476695046+0.00021860287478796i</v>
      </c>
      <c r="AR37" s="170" t="str">
        <f t="shared" si="31"/>
        <v>0.999599759248761-0.000262218412100462i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1.0000409434370561</v>
      </c>
      <c r="J38" s="678">
        <f t="shared" si="1"/>
        <v>9.0489822780307691E-3</v>
      </c>
      <c r="K38" s="678">
        <f t="shared" si="2"/>
        <v>1.0000000000955378</v>
      </c>
      <c r="L38" s="679">
        <f t="shared" si="3"/>
        <v>1.3823007659119586E-5</v>
      </c>
      <c r="M38" s="678">
        <f t="shared" si="4"/>
        <v>1.0000000080795115</v>
      </c>
      <c r="N38" s="679">
        <f t="shared" si="5"/>
        <v>-1.27118146356965E-4</v>
      </c>
      <c r="O38" s="677">
        <f t="shared" si="6"/>
        <v>414.69143551751449</v>
      </c>
      <c r="P38" s="680">
        <f t="shared" si="7"/>
        <v>1.56838489293463</v>
      </c>
      <c r="Q38" s="689">
        <f t="shared" si="8"/>
        <v>1.0001398670682211</v>
      </c>
      <c r="R38" s="690">
        <f t="shared" si="9"/>
        <v>1.6724279825211574E-2</v>
      </c>
      <c r="S38" s="677">
        <f t="shared" si="10"/>
        <v>1.0000000006384049</v>
      </c>
      <c r="T38" s="680">
        <f t="shared" si="11"/>
        <v>3.5732474785892137E-5</v>
      </c>
      <c r="U38" s="681">
        <f t="shared" si="24"/>
        <v>0.9995996657573939</v>
      </c>
      <c r="V38" s="682">
        <f t="shared" si="25"/>
        <v>-1.0067128489329084E-3</v>
      </c>
      <c r="W38" s="683">
        <f t="shared" si="12"/>
        <v>57.613917860831229</v>
      </c>
      <c r="X38" s="684">
        <f t="shared" si="13"/>
        <v>-89.488292014235469</v>
      </c>
      <c r="Y38" s="687">
        <f t="shared" si="14"/>
        <v>90.511707985764531</v>
      </c>
      <c r="AA38" s="170">
        <f t="shared" si="15"/>
        <v>1000000000</v>
      </c>
      <c r="AB38" s="170">
        <f t="shared" si="16"/>
        <v>100</v>
      </c>
      <c r="AD38" s="686">
        <f t="shared" si="17"/>
        <v>52.752163559106549</v>
      </c>
      <c r="AE38" s="687">
        <f t="shared" si="18"/>
        <v>-88.90565178943767</v>
      </c>
      <c r="AG38" s="686">
        <f t="shared" si="19"/>
        <v>62.598524715711051</v>
      </c>
      <c r="AH38" s="687">
        <f t="shared" si="20"/>
        <v>-0.46727942981507392</v>
      </c>
      <c r="AJ38" s="170">
        <f t="shared" si="21"/>
        <v>0</v>
      </c>
      <c r="AK38" s="170">
        <f t="shared" si="22"/>
        <v>0</v>
      </c>
      <c r="AM38" s="170" t="str">
        <f t="shared" si="26"/>
        <v>0.0000010341540009895+0.00143816095510033i</v>
      </c>
      <c r="AN38" s="170" t="str">
        <f t="shared" si="27"/>
        <v>0.0014381614508605i</v>
      </c>
      <c r="AO38" s="170" t="str">
        <f t="shared" si="28"/>
        <v>0.999999655281978-0.000719080601396131i</v>
      </c>
      <c r="AP38" s="170" t="str">
        <f t="shared" si="29"/>
        <v>0.166666494307667-0.000239693492516722i</v>
      </c>
      <c r="AQ38" s="170" t="str">
        <f t="shared" si="30"/>
        <v>0.833333505692333+0.000239693492516722i</v>
      </c>
      <c r="AR38" s="170" t="str">
        <f t="shared" si="31"/>
        <v>0.999599710552849-0.00028751699542197i</v>
      </c>
    </row>
    <row r="39" spans="1:44">
      <c r="A39" s="189" t="s">
        <v>750</v>
      </c>
      <c r="B39" s="714">
        <f>'Design Converter'!E64</f>
        <v>47</v>
      </c>
      <c r="C39" s="170" t="s">
        <v>15</v>
      </c>
      <c r="D39" s="189">
        <f>B39*0.000000000001</f>
        <v>4.6999999999999999E-11</v>
      </c>
      <c r="E39" s="170" t="s">
        <v>13</v>
      </c>
      <c r="G39" s="688">
        <v>10.965</v>
      </c>
      <c r="H39" s="676">
        <f t="shared" si="23"/>
        <v>1.0964999999999999E-2</v>
      </c>
      <c r="I39" s="677">
        <f t="shared" si="0"/>
        <v>1.0000492265920582</v>
      </c>
      <c r="J39" s="678">
        <f t="shared" si="1"/>
        <v>9.9221542783597006E-3</v>
      </c>
      <c r="K39" s="678">
        <f t="shared" si="2"/>
        <v>1.0000000001148663</v>
      </c>
      <c r="L39" s="679">
        <f t="shared" si="3"/>
        <v>1.5156927898029319E-5</v>
      </c>
      <c r="M39" s="678">
        <f t="shared" si="4"/>
        <v>1.0000000097140958</v>
      </c>
      <c r="N39" s="679">
        <f t="shared" si="5"/>
        <v>-1.3938504732852107E-4</v>
      </c>
      <c r="O39" s="677">
        <f t="shared" si="6"/>
        <v>454.70893658154534</v>
      </c>
      <c r="P39" s="680">
        <f t="shared" si="7"/>
        <v>1.5685971159907142</v>
      </c>
      <c r="Q39" s="689">
        <f t="shared" si="8"/>
        <v>1.0001681615106421</v>
      </c>
      <c r="R39" s="690">
        <f t="shared" si="9"/>
        <v>1.833782695841988E-2</v>
      </c>
      <c r="S39" s="677">
        <f t="shared" si="10"/>
        <v>1.000000000767562</v>
      </c>
      <c r="T39" s="680">
        <f t="shared" si="11"/>
        <v>3.9180658599357086E-5</v>
      </c>
      <c r="U39" s="681">
        <f t="shared" si="24"/>
        <v>0.99959959813605936</v>
      </c>
      <c r="V39" s="682">
        <f t="shared" si="25"/>
        <v>-1.103860602240928E-3</v>
      </c>
      <c r="W39" s="683">
        <f t="shared" si="12"/>
        <v>56.813922596964431</v>
      </c>
      <c r="X39" s="684">
        <f t="shared" si="13"/>
        <v>-89.46442126555344</v>
      </c>
      <c r="Y39" s="687">
        <f t="shared" si="14"/>
        <v>90.53557873444656</v>
      </c>
      <c r="AA39" s="170">
        <f t="shared" si="15"/>
        <v>1000000000</v>
      </c>
      <c r="AB39" s="170">
        <f t="shared" si="16"/>
        <v>120.23122499999999</v>
      </c>
      <c r="AD39" s="686">
        <f t="shared" si="17"/>
        <v>51.952240811787377</v>
      </c>
      <c r="AE39" s="687">
        <f t="shared" si="18"/>
        <v>-88.825559400376378</v>
      </c>
      <c r="AG39" s="686">
        <f t="shared" si="19"/>
        <v>62.59845337433682</v>
      </c>
      <c r="AH39" s="687">
        <f t="shared" si="20"/>
        <v>-0.51236875767419043</v>
      </c>
      <c r="AJ39" s="170">
        <f t="shared" si="21"/>
        <v>0</v>
      </c>
      <c r="AK39" s="170">
        <f t="shared" si="22"/>
        <v>0</v>
      </c>
      <c r="AM39" s="170" t="str">
        <f t="shared" si="26"/>
        <v>0.0000012433759809527+0.00157694337729038i</v>
      </c>
      <c r="AN39" s="170" t="str">
        <f t="shared" si="27"/>
        <v>0.00157694403086854i</v>
      </c>
      <c r="AO39" s="170" t="str">
        <f t="shared" si="28"/>
        <v>0.999999585541308-0.000788471852274859i</v>
      </c>
      <c r="AP39" s="170" t="str">
        <f t="shared" si="29"/>
        <v>0.166666459437337-0.000262823896215063i</v>
      </c>
      <c r="AQ39" s="170" t="str">
        <f t="shared" si="30"/>
        <v>0.833333540562663+0.000262823896215063i</v>
      </c>
      <c r="AR39" s="170" t="str">
        <f t="shared" si="31"/>
        <v>0.999599651994192-0.000315262331832879i</v>
      </c>
    </row>
    <row r="40" spans="1:44">
      <c r="B40" s="633"/>
      <c r="D40" s="189"/>
      <c r="G40" s="688">
        <v>12.023</v>
      </c>
      <c r="H40" s="676">
        <f t="shared" si="23"/>
        <v>1.2022999999999999E-2</v>
      </c>
      <c r="I40" s="677">
        <f t="shared" si="0"/>
        <v>1.0000591842339515</v>
      </c>
      <c r="J40" s="678">
        <f t="shared" si="1"/>
        <v>1.0879459096926551E-2</v>
      </c>
      <c r="K40" s="678">
        <f t="shared" si="2"/>
        <v>1.0000000001381024</v>
      </c>
      <c r="L40" s="679">
        <f t="shared" si="3"/>
        <v>1.661940210808788E-5</v>
      </c>
      <c r="M40" s="678">
        <f t="shared" si="4"/>
        <v>1.0000000116791383</v>
      </c>
      <c r="N40" s="679">
        <f t="shared" si="5"/>
        <v>-1.5283414699821511E-4</v>
      </c>
      <c r="O40" s="677">
        <f t="shared" si="6"/>
        <v>498.58306613146993</v>
      </c>
      <c r="P40" s="680">
        <f t="shared" si="7"/>
        <v>1.5687906416074282</v>
      </c>
      <c r="Q40" s="689">
        <f t="shared" si="8"/>
        <v>1.0002021750862278</v>
      </c>
      <c r="R40" s="690">
        <f t="shared" si="9"/>
        <v>2.0106766512729524E-2</v>
      </c>
      <c r="S40" s="677">
        <f t="shared" si="10"/>
        <v>1.0000000009228303</v>
      </c>
      <c r="T40" s="680">
        <f t="shared" si="11"/>
        <v>4.2961154426931953E-5</v>
      </c>
      <c r="U40" s="681">
        <f t="shared" si="24"/>
        <v>0.99959951684395898</v>
      </c>
      <c r="V40" s="682">
        <f t="shared" si="25"/>
        <v>-1.2103707694239533E-3</v>
      </c>
      <c r="W40" s="683">
        <f t="shared" si="12"/>
        <v>56.01405011589722</v>
      </c>
      <c r="X40" s="684">
        <f t="shared" si="13"/>
        <v>-89.436012194281744</v>
      </c>
      <c r="Y40" s="687">
        <f t="shared" si="14"/>
        <v>90.563987805718256</v>
      </c>
      <c r="AA40" s="170">
        <f t="shared" si="15"/>
        <v>1000000000</v>
      </c>
      <c r="AB40" s="170">
        <f t="shared" si="16"/>
        <v>144.55252899999999</v>
      </c>
      <c r="AD40" s="686">
        <f t="shared" si="17"/>
        <v>51.152455506117789</v>
      </c>
      <c r="AE40" s="687">
        <f t="shared" si="18"/>
        <v>-88.735511437118561</v>
      </c>
      <c r="AG40" s="686">
        <f t="shared" si="19"/>
        <v>62.598367611693348</v>
      </c>
      <c r="AH40" s="687">
        <f t="shared" si="20"/>
        <v>-0.56180248353671514</v>
      </c>
      <c r="AJ40" s="170">
        <f t="shared" si="21"/>
        <v>0</v>
      </c>
      <c r="AK40" s="170">
        <f t="shared" si="22"/>
        <v>0</v>
      </c>
      <c r="AM40" s="170" t="str">
        <f t="shared" si="26"/>
        <v>0.0000014948956480465+0.00172910065076072i</v>
      </c>
      <c r="AN40" s="170" t="str">
        <f t="shared" si="27"/>
        <v>0.00172910151236958i</v>
      </c>
      <c r="AO40" s="170" t="str">
        <f t="shared" si="28"/>
        <v>0.999999501701402-0.000864550541048269i</v>
      </c>
      <c r="AP40" s="170" t="str">
        <f t="shared" si="29"/>
        <v>0.166666417517392-0.000288183441793453i</v>
      </c>
      <c r="AQ40" s="170" t="str">
        <f t="shared" si="30"/>
        <v>0.833333582482608+0.000288183441793453i</v>
      </c>
      <c r="AR40" s="170" t="str">
        <f t="shared" si="31"/>
        <v>0.999599581596947-0.000345681554056314i</v>
      </c>
    </row>
    <row r="41" spans="1:44" ht="13">
      <c r="A41" s="333" t="str">
        <f>V3</f>
        <v>Adc</v>
      </c>
      <c r="B41" s="170">
        <f>Adc</f>
        <v>315175.09727626451</v>
      </c>
      <c r="C41" s="170" t="str">
        <f>X3</f>
        <v>V/V</v>
      </c>
      <c r="D41" s="172">
        <f>10*LOG10(B41)</f>
        <v>54.985518955473552</v>
      </c>
      <c r="E41" s="170" t="s">
        <v>781</v>
      </c>
      <c r="G41" s="688">
        <v>13.183</v>
      </c>
      <c r="H41" s="676">
        <f t="shared" si="23"/>
        <v>1.3183E-2</v>
      </c>
      <c r="I41" s="677">
        <f t="shared" si="0"/>
        <v>1.0000711551340709</v>
      </c>
      <c r="J41" s="678">
        <f t="shared" si="1"/>
        <v>1.1929033080361563E-2</v>
      </c>
      <c r="K41" s="678">
        <f t="shared" si="2"/>
        <v>1.0000000001660365</v>
      </c>
      <c r="L41" s="679">
        <f t="shared" si="3"/>
        <v>1.822287099616089E-5</v>
      </c>
      <c r="M41" s="678">
        <f t="shared" si="4"/>
        <v>1.0000000140415035</v>
      </c>
      <c r="N41" s="679">
        <f t="shared" si="5"/>
        <v>-1.6757985167631384E-4</v>
      </c>
      <c r="O41" s="677">
        <f t="shared" si="6"/>
        <v>546.68704454615818</v>
      </c>
      <c r="P41" s="680">
        <f t="shared" si="7"/>
        <v>1.5689671256685134</v>
      </c>
      <c r="Q41" s="689">
        <f t="shared" si="8"/>
        <v>1.0002430645195397</v>
      </c>
      <c r="R41" s="690">
        <f t="shared" si="9"/>
        <v>2.2046101520018485E-2</v>
      </c>
      <c r="S41" s="677">
        <f t="shared" si="10"/>
        <v>1.0000000011094934</v>
      </c>
      <c r="T41" s="680">
        <f t="shared" si="11"/>
        <v>4.7106121495447511E-5</v>
      </c>
      <c r="U41" s="681">
        <f t="shared" si="24"/>
        <v>0.99959941911499439</v>
      </c>
      <c r="V41" s="682">
        <f t="shared" si="25"/>
        <v>-1.3271493865722526E-3</v>
      </c>
      <c r="W41" s="683">
        <f t="shared" si="12"/>
        <v>55.2142752366398</v>
      </c>
      <c r="X41" s="684">
        <f t="shared" si="13"/>
        <v>-89.402825840316623</v>
      </c>
      <c r="Y41" s="687">
        <f t="shared" si="14"/>
        <v>90.597174159683377</v>
      </c>
      <c r="AA41" s="170">
        <f t="shared" si="15"/>
        <v>1000000000</v>
      </c>
      <c r="AB41" s="170">
        <f t="shared" si="16"/>
        <v>173.79148899999998</v>
      </c>
      <c r="AD41" s="686">
        <f t="shared" si="17"/>
        <v>50.352785426443177</v>
      </c>
      <c r="AE41" s="687">
        <f t="shared" si="18"/>
        <v>-88.634745006994535</v>
      </c>
      <c r="AG41" s="686">
        <f t="shared" si="19"/>
        <v>62.598264510516813</v>
      </c>
      <c r="AH41" s="687">
        <f t="shared" si="20"/>
        <v>-0.6160007158803682</v>
      </c>
      <c r="AJ41" s="170">
        <f t="shared" si="21"/>
        <v>0</v>
      </c>
      <c r="AK41" s="170">
        <f t="shared" si="22"/>
        <v>0</v>
      </c>
      <c r="AM41" s="170" t="str">
        <f t="shared" si="26"/>
        <v>1.79727140803276E-06+0.00189592710483672i</v>
      </c>
      <c r="AN41" s="170" t="str">
        <f t="shared" si="27"/>
        <v>0.0018959282406694i</v>
      </c>
      <c r="AO41" s="170" t="str">
        <f t="shared" si="28"/>
        <v>0.999999400909456-0.000947963836119764i</v>
      </c>
      <c r="AP41" s="170" t="str">
        <f t="shared" si="29"/>
        <v>0.166666367121432-0.00031598785080612i</v>
      </c>
      <c r="AQ41" s="170" t="str">
        <f t="shared" si="30"/>
        <v>0.833333632878568+0.00031598785080612i</v>
      </c>
      <c r="AR41" s="170" t="str">
        <f t="shared" si="31"/>
        <v>0.999599496965734-0.000379033419810512i</v>
      </c>
    </row>
    <row r="42" spans="1:44" ht="13">
      <c r="A42" s="333" t="str">
        <f>V4</f>
        <v>Crossover</v>
      </c>
      <c r="B42" s="332">
        <f>W4</f>
        <v>10.532</v>
      </c>
      <c r="C42" s="170" t="str">
        <f>X4</f>
        <v>kHz</v>
      </c>
      <c r="G42" s="688">
        <v>14.454000000000001</v>
      </c>
      <c r="H42" s="676">
        <f t="shared" si="23"/>
        <v>1.4454E-2</v>
      </c>
      <c r="I42" s="677">
        <f t="shared" si="0"/>
        <v>1.0000855363502048</v>
      </c>
      <c r="J42" s="678">
        <f t="shared" si="1"/>
        <v>1.3079010176141005E-2</v>
      </c>
      <c r="K42" s="678">
        <f t="shared" si="2"/>
        <v>1.0000000001995957</v>
      </c>
      <c r="L42" s="679">
        <f t="shared" si="3"/>
        <v>1.9979775269105413E-5</v>
      </c>
      <c r="M42" s="678">
        <f t="shared" si="4"/>
        <v>1.0000000168795633</v>
      </c>
      <c r="N42" s="679">
        <f t="shared" si="5"/>
        <v>-1.837365676664297E-4</v>
      </c>
      <c r="O42" s="677">
        <f t="shared" si="6"/>
        <v>599.39409232922299</v>
      </c>
      <c r="P42" s="680">
        <f t="shared" si="7"/>
        <v>1.5691279745760516</v>
      </c>
      <c r="Q42" s="689">
        <f t="shared" si="8"/>
        <v>1.0002921853927933</v>
      </c>
      <c r="R42" s="690">
        <f t="shared" si="9"/>
        <v>2.4170819884345503E-2</v>
      </c>
      <c r="S42" s="677">
        <f t="shared" si="10"/>
        <v>1.0000000013337433</v>
      </c>
      <c r="T42" s="680">
        <f t="shared" si="11"/>
        <v>5.1647719031586735E-5</v>
      </c>
      <c r="U42" s="681">
        <f t="shared" si="24"/>
        <v>0.99959930170700106</v>
      </c>
      <c r="V42" s="682">
        <f t="shared" si="25"/>
        <v>-1.4551024896829032E-3</v>
      </c>
      <c r="W42" s="683">
        <f t="shared" si="12"/>
        <v>54.415102357060341</v>
      </c>
      <c r="X42" s="684">
        <f t="shared" si="13"/>
        <v>-89.364609678601255</v>
      </c>
      <c r="Y42" s="687">
        <f t="shared" si="14"/>
        <v>90.635390321398745</v>
      </c>
      <c r="AA42" s="170">
        <f t="shared" si="15"/>
        <v>1000000000</v>
      </c>
      <c r="AB42" s="170">
        <f t="shared" si="16"/>
        <v>208.91811600000003</v>
      </c>
      <c r="AD42" s="686">
        <f t="shared" si="17"/>
        <v>49.553738445993275</v>
      </c>
      <c r="AE42" s="687">
        <f t="shared" si="18"/>
        <v>-88.522483789848664</v>
      </c>
      <c r="AG42" s="686">
        <f t="shared" si="19"/>
        <v>62.598140651790473</v>
      </c>
      <c r="AH42" s="687">
        <f t="shared" si="20"/>
        <v>-0.67538342572643095</v>
      </c>
      <c r="AJ42" s="170">
        <f t="shared" si="21"/>
        <v>0</v>
      </c>
      <c r="AK42" s="170">
        <f t="shared" si="22"/>
        <v>0</v>
      </c>
      <c r="AM42" s="170" t="str">
        <f t="shared" si="26"/>
        <v>2.16053464996424E-06+0.00207871706402572i</v>
      </c>
      <c r="AN42" s="170" t="str">
        <f t="shared" si="27"/>
        <v>0.00207871856107376i</v>
      </c>
      <c r="AO42" s="170" t="str">
        <f t="shared" si="28"/>
        <v>0.99999927982168-0.00103935890621394i</v>
      </c>
      <c r="AP42" s="170" t="str">
        <f t="shared" si="29"/>
        <v>0.166666306577558-0.000346452844004287i</v>
      </c>
      <c r="AQ42" s="170" t="str">
        <f t="shared" si="30"/>
        <v>0.833333693422442+0.000346452844004287i</v>
      </c>
      <c r="AR42" s="170" t="str">
        <f t="shared" si="31"/>
        <v>0.999599395292905-0.000415576684463465i</v>
      </c>
    </row>
    <row r="43" spans="1:44" ht="13">
      <c r="A43" s="333" t="str">
        <f>V5</f>
        <v>Phase Margin</v>
      </c>
      <c r="B43" s="531">
        <f>W5</f>
        <v>30.866914428816273</v>
      </c>
      <c r="C43" s="170" t="str">
        <f>X5</f>
        <v>°</v>
      </c>
      <c r="G43" s="688">
        <v>15.849</v>
      </c>
      <c r="H43" s="676">
        <f t="shared" si="23"/>
        <v>1.5848999999999999E-2</v>
      </c>
      <c r="I43" s="677">
        <f t="shared" si="0"/>
        <v>1.0001028429645979</v>
      </c>
      <c r="J43" s="678">
        <f t="shared" si="1"/>
        <v>1.4341140224904146E-2</v>
      </c>
      <c r="K43" s="678">
        <f t="shared" si="2"/>
        <v>1.0000000002399823</v>
      </c>
      <c r="L43" s="679">
        <f t="shared" si="3"/>
        <v>2.1908084836828966E-5</v>
      </c>
      <c r="M43" s="678">
        <f t="shared" si="4"/>
        <v>1.0000000202949899</v>
      </c>
      <c r="N43" s="679">
        <f t="shared" si="5"/>
        <v>-2.0146954852045594E-4</v>
      </c>
      <c r="O43" s="677">
        <f t="shared" si="6"/>
        <v>657.24330596373909</v>
      </c>
      <c r="P43" s="680">
        <f t="shared" si="7"/>
        <v>1.5692748196501956</v>
      </c>
      <c r="Q43" s="689">
        <f t="shared" si="8"/>
        <v>1.0003512960745069</v>
      </c>
      <c r="R43" s="690">
        <f t="shared" si="9"/>
        <v>2.6502575895548285E-2</v>
      </c>
      <c r="S43" s="677">
        <f t="shared" si="10"/>
        <v>1.0000000016036144</v>
      </c>
      <c r="T43" s="680">
        <f t="shared" si="11"/>
        <v>5.6632399251719036E-5</v>
      </c>
      <c r="U43" s="681">
        <f t="shared" si="24"/>
        <v>0.99959916041391828</v>
      </c>
      <c r="V43" s="682">
        <f t="shared" si="25"/>
        <v>-1.5955387952374187E-3</v>
      </c>
      <c r="W43" s="683">
        <f>20*LOG10(((K43*Q43*M43*U43)/(I43*O43*S43))*Adc)</f>
        <v>53.615189845330463</v>
      </c>
      <c r="X43" s="684">
        <f t="shared" si="13"/>
        <v>-89.320975777935544</v>
      </c>
      <c r="Y43" s="687">
        <f t="shared" si="14"/>
        <v>90.679024222064456</v>
      </c>
      <c r="AA43" s="170">
        <f t="shared" si="15"/>
        <v>1000000000</v>
      </c>
      <c r="AB43" s="170">
        <f t="shared" si="16"/>
        <v>251.19080099999999</v>
      </c>
      <c r="AD43" s="686">
        <f t="shared" si="17"/>
        <v>48.753977441179821</v>
      </c>
      <c r="AE43" s="687">
        <f t="shared" si="18"/>
        <v>-88.397583215539342</v>
      </c>
      <c r="AG43" s="686">
        <f t="shared" si="19"/>
        <v>62.597991600370392</v>
      </c>
      <c r="AH43" s="687">
        <f t="shared" si="20"/>
        <v>-0.74055728415428512</v>
      </c>
      <c r="AJ43" s="170">
        <f t="shared" si="21"/>
        <v>0</v>
      </c>
      <c r="AK43" s="170">
        <f t="shared" si="22"/>
        <v>0</v>
      </c>
      <c r="AM43" s="170" t="str">
        <f t="shared" si="26"/>
        <v>2.59769904198404E-06+0.00227934010978688i</v>
      </c>
      <c r="AN43" s="170" t="str">
        <f t="shared" si="27"/>
        <v>0.0022793420834688i</v>
      </c>
      <c r="AO43" s="170" t="str">
        <f t="shared" si="28"/>
        <v>0.999999134100171-0.00113967054827977i</v>
      </c>
      <c r="AP43" s="170" t="str">
        <f t="shared" si="29"/>
        <v>0.166666233716826-0.000379890018297813i</v>
      </c>
      <c r="AQ43" s="170" t="str">
        <f t="shared" si="30"/>
        <v>0.833333766283174+0.000379890018297813i</v>
      </c>
      <c r="AR43" s="170" t="str">
        <f t="shared" si="31"/>
        <v>0.999599272936117-0.000455685106556865i</v>
      </c>
    </row>
    <row r="44" spans="1:44">
      <c r="G44" s="688">
        <v>17.378</v>
      </c>
      <c r="H44" s="676">
        <f t="shared" si="23"/>
        <v>1.7378000000000001E-2</v>
      </c>
      <c r="I44" s="677">
        <f t="shared" si="0"/>
        <v>1.0001236419728428</v>
      </c>
      <c r="J44" s="678">
        <f t="shared" si="1"/>
        <v>1.5724454504937584E-2</v>
      </c>
      <c r="K44" s="678">
        <f t="shared" si="2"/>
        <v>1.0000000002885192</v>
      </c>
      <c r="L44" s="679">
        <f t="shared" si="3"/>
        <v>2.4021622706927532E-5</v>
      </c>
      <c r="M44" s="678">
        <f t="shared" si="4"/>
        <v>1.0000000243997116</v>
      </c>
      <c r="N44" s="679">
        <f t="shared" si="5"/>
        <v>-2.2090591233564803E-4</v>
      </c>
      <c r="O44" s="677">
        <f t="shared" si="6"/>
        <v>720.6493751654566</v>
      </c>
      <c r="P44" s="680">
        <f t="shared" si="7"/>
        <v>1.5694086889846319</v>
      </c>
      <c r="Q44" s="689">
        <f t="shared" si="8"/>
        <v>1.0004223317476988</v>
      </c>
      <c r="R44" s="690">
        <f t="shared" si="9"/>
        <v>2.9057982190509528E-2</v>
      </c>
      <c r="S44" s="677">
        <f t="shared" si="10"/>
        <v>1.00000000192795</v>
      </c>
      <c r="T44" s="680">
        <f t="shared" si="11"/>
        <v>6.2095894629539714E-5</v>
      </c>
      <c r="U44" s="681">
        <f t="shared" si="24"/>
        <v>0.99959899060539059</v>
      </c>
      <c r="V44" s="682">
        <f t="shared" si="25"/>
        <v>-1.7494650043997086E-3</v>
      </c>
      <c r="W44" s="683">
        <f t="shared" si="12"/>
        <v>52.815667676802207</v>
      </c>
      <c r="X44" s="684">
        <f t="shared" si="13"/>
        <v>-89.271614882276097</v>
      </c>
      <c r="Y44" s="687">
        <f t="shared" si="14"/>
        <v>90.728385117723903</v>
      </c>
      <c r="AA44" s="170">
        <f t="shared" si="15"/>
        <v>1000000000</v>
      </c>
      <c r="AB44" s="170">
        <f t="shared" si="16"/>
        <v>301.99488400000001</v>
      </c>
      <c r="AD44" s="686">
        <f t="shared" si="17"/>
        <v>47.954637349540889</v>
      </c>
      <c r="AE44" s="687">
        <f t="shared" si="18"/>
        <v>-88.259152402834701</v>
      </c>
      <c r="AG44" s="686">
        <f t="shared" si="19"/>
        <v>62.597812474540468</v>
      </c>
      <c r="AH44" s="687">
        <f t="shared" si="20"/>
        <v>-0.81198855689644767</v>
      </c>
      <c r="AJ44" s="170">
        <f t="shared" si="21"/>
        <v>0</v>
      </c>
      <c r="AK44" s="170">
        <f t="shared" si="22"/>
        <v>0</v>
      </c>
      <c r="AM44" s="170" t="str">
        <f t="shared" si="26"/>
        <v>3.12309108896347E-06+0.00249923436752326i</v>
      </c>
      <c r="AN44" s="170" t="str">
        <f t="shared" si="27"/>
        <v>0.00249923696930537i</v>
      </c>
      <c r="AO44" s="170" t="str">
        <f t="shared" si="28"/>
        <v>0.999998958969421-0.00124961783429104i</v>
      </c>
      <c r="AP44" s="170" t="str">
        <f t="shared" si="29"/>
        <v>0.166666146151485-0.000416539061253877i</v>
      </c>
      <c r="AQ44" s="170" t="str">
        <f t="shared" si="30"/>
        <v>0.833333853848515+0.000416539061253877i</v>
      </c>
      <c r="AR44" s="170" t="str">
        <f t="shared" si="31"/>
        <v>0.999599125885591-0.000499646185743786i</v>
      </c>
    </row>
    <row r="45" spans="1:44">
      <c r="G45" s="688">
        <v>19.055</v>
      </c>
      <c r="H45" s="676">
        <f t="shared" si="23"/>
        <v>1.9054999999999999E-2</v>
      </c>
      <c r="I45" s="677">
        <f t="shared" si="0"/>
        <v>1.0001486547584097</v>
      </c>
      <c r="J45" s="678">
        <f t="shared" si="1"/>
        <v>1.7241597695557474E-2</v>
      </c>
      <c r="K45" s="678">
        <f t="shared" si="2"/>
        <v>1.000000000346891</v>
      </c>
      <c r="L45" s="679">
        <f t="shared" si="3"/>
        <v>2.633974109003865E-5</v>
      </c>
      <c r="M45" s="678">
        <f t="shared" si="4"/>
        <v>1.0000000293361428</v>
      </c>
      <c r="N45" s="679">
        <f t="shared" si="5"/>
        <v>-2.4222362445062466E-4</v>
      </c>
      <c r="O45" s="677">
        <f t="shared" si="6"/>
        <v>790.19286564106847</v>
      </c>
      <c r="P45" s="680">
        <f t="shared" si="7"/>
        <v>1.569530812626897</v>
      </c>
      <c r="Q45" s="689">
        <f t="shared" si="8"/>
        <v>1.0005077541774059</v>
      </c>
      <c r="R45" s="690">
        <f t="shared" si="9"/>
        <v>3.1860302107788535E-2</v>
      </c>
      <c r="S45" s="677">
        <f t="shared" si="10"/>
        <v>1.0000000023180036</v>
      </c>
      <c r="T45" s="680">
        <f t="shared" si="11"/>
        <v>6.8088230628276868E-5</v>
      </c>
      <c r="U45" s="681">
        <f t="shared" si="24"/>
        <v>0.99959878638991717</v>
      </c>
      <c r="V45" s="682">
        <f t="shared" si="25"/>
        <v>-1.918290498705471E-3</v>
      </c>
      <c r="W45" s="683">
        <f t="shared" si="12"/>
        <v>52.016008541227414</v>
      </c>
      <c r="X45" s="684">
        <f t="shared" si="13"/>
        <v>-89.216081769520571</v>
      </c>
      <c r="Y45" s="687">
        <f t="shared" si="14"/>
        <v>90.783918230479429</v>
      </c>
      <c r="AA45" s="170">
        <f t="shared" si="15"/>
        <v>1000000000</v>
      </c>
      <c r="AB45" s="170">
        <f t="shared" si="16"/>
        <v>363.09302500000001</v>
      </c>
      <c r="AD45" s="686">
        <f t="shared" si="17"/>
        <v>47.155197173806286</v>
      </c>
      <c r="AE45" s="687">
        <f t="shared" si="18"/>
        <v>-88.105931803396786</v>
      </c>
      <c r="AG45" s="686">
        <f t="shared" si="19"/>
        <v>62.597597063709962</v>
      </c>
      <c r="AH45" s="687">
        <f t="shared" si="20"/>
        <v>-0.89033006696086636</v>
      </c>
      <c r="AJ45" s="170">
        <f t="shared" si="21"/>
        <v>0</v>
      </c>
      <c r="AK45" s="170">
        <f t="shared" ref="AK45:AK53" si="32">IF(AJ45&gt;0,Y43,0)</f>
        <v>0</v>
      </c>
      <c r="AM45" s="170" t="str">
        <f t="shared" si="26"/>
        <v>3.75493934301474E-06+0.00274041321458106i</v>
      </c>
      <c r="AN45" s="170" t="str">
        <f t="shared" si="27"/>
        <v>0.00274041664461468i</v>
      </c>
      <c r="AO45" s="170" t="str">
        <f t="shared" si="28"/>
        <v>0.999998748353238-0.00137020746476407i</v>
      </c>
      <c r="AP45" s="170" t="str">
        <f t="shared" si="29"/>
        <v>0.166666040843443-0.00045673553576351i</v>
      </c>
      <c r="AQ45" s="170" t="str">
        <f t="shared" si="30"/>
        <v>0.833333959156557+0.00045673553576351i</v>
      </c>
      <c r="AR45" s="170" t="str">
        <f t="shared" si="31"/>
        <v>0.999598949039432-0.000547862422407767i</v>
      </c>
    </row>
    <row r="46" spans="1:44">
      <c r="G46" s="688">
        <v>20.893000000000001</v>
      </c>
      <c r="H46" s="676">
        <f t="shared" si="23"/>
        <v>2.0893000000000002E-2</v>
      </c>
      <c r="I46" s="677">
        <f t="shared" si="0"/>
        <v>1.0001787129366264</v>
      </c>
      <c r="J46" s="678">
        <f t="shared" si="1"/>
        <v>1.8904302442734059E-2</v>
      </c>
      <c r="K46" s="678">
        <f t="shared" si="2"/>
        <v>1.0000000004170391</v>
      </c>
      <c r="L46" s="679">
        <f t="shared" si="3"/>
        <v>2.8880409896008491E-5</v>
      </c>
      <c r="M46" s="678">
        <f t="shared" si="4"/>
        <v>1.0000000352684775</v>
      </c>
      <c r="N46" s="679">
        <f t="shared" si="5"/>
        <v>-2.6558793836956615E-4</v>
      </c>
      <c r="O46" s="677">
        <f t="shared" si="6"/>
        <v>866.41287421340337</v>
      </c>
      <c r="P46" s="680">
        <f t="shared" si="7"/>
        <v>1.5696421423964577</v>
      </c>
      <c r="Q46" s="689">
        <f t="shared" si="8"/>
        <v>1.0006104005612781</v>
      </c>
      <c r="R46" s="690">
        <f t="shared" si="9"/>
        <v>3.4931081638413471E-2</v>
      </c>
      <c r="S46" s="677">
        <f t="shared" si="10"/>
        <v>1.0000000027867486</v>
      </c>
      <c r="T46" s="680">
        <f t="shared" si="11"/>
        <v>7.4655859463240143E-5</v>
      </c>
      <c r="U46" s="681">
        <f t="shared" si="24"/>
        <v>0.99959854097502243</v>
      </c>
      <c r="V46" s="682">
        <f t="shared" si="25"/>
        <v>-2.1033239842757102E-3</v>
      </c>
      <c r="W46" s="683">
        <f t="shared" si="12"/>
        <v>51.216800641273039</v>
      </c>
      <c r="X46" s="684">
        <f t="shared" si="13"/>
        <v>-89.153954795233659</v>
      </c>
      <c r="Y46" s="687">
        <f t="shared" si="14"/>
        <v>90.846045204766341</v>
      </c>
      <c r="AA46" s="170">
        <f t="shared" si="15"/>
        <v>1000000000</v>
      </c>
      <c r="AB46" s="170">
        <f t="shared" si="16"/>
        <v>436.51744900000006</v>
      </c>
      <c r="AD46" s="686">
        <f t="shared" si="17"/>
        <v>46.356252393508363</v>
      </c>
      <c r="AE46" s="687">
        <f t="shared" si="18"/>
        <v>-87.936744119627136</v>
      </c>
      <c r="AG46" s="686">
        <f t="shared" si="19"/>
        <v>62.597338209058591</v>
      </c>
      <c r="AH46" s="687">
        <f t="shared" si="20"/>
        <v>-0.97618750083583972</v>
      </c>
      <c r="AJ46" s="170">
        <f t="shared" si="21"/>
        <v>0</v>
      </c>
      <c r="AK46" s="170">
        <f t="shared" si="32"/>
        <v>0</v>
      </c>
      <c r="AM46" s="170" t="str">
        <f t="shared" si="26"/>
        <v>4.51426004599575E-06+0.00300474619787277i</v>
      </c>
      <c r="AN46" s="170" t="str">
        <f t="shared" si="27"/>
        <v>0.00300475071928284i</v>
      </c>
      <c r="AO46" s="170" t="str">
        <f t="shared" si="28"/>
        <v>0.999998495246198-0.00150237422925826i</v>
      </c>
      <c r="AP46" s="170" t="str">
        <f t="shared" si="29"/>
        <v>0.166665914289992-0.000500791032978795i</v>
      </c>
      <c r="AQ46" s="170" t="str">
        <f t="shared" si="30"/>
        <v>0.833334085710008+0.000500791032978795i</v>
      </c>
      <c r="AR46" s="170" t="str">
        <f t="shared" si="31"/>
        <v>0.999598736515522-0.000600707558238661i</v>
      </c>
    </row>
    <row r="47" spans="1:44">
      <c r="G47" s="688">
        <v>22.909000000000002</v>
      </c>
      <c r="H47" s="676">
        <f t="shared" si="23"/>
        <v>2.2909000000000002E-2</v>
      </c>
      <c r="I47" s="677">
        <f t="shared" si="0"/>
        <v>1.0002148615964934</v>
      </c>
      <c r="J47" s="678">
        <f t="shared" si="1"/>
        <v>2.0727910280157216E-2</v>
      </c>
      <c r="K47" s="678">
        <f t="shared" si="2"/>
        <v>1.0000000005014034</v>
      </c>
      <c r="L47" s="679">
        <f t="shared" si="3"/>
        <v>3.166712823770866E-5</v>
      </c>
      <c r="M47" s="678">
        <f t="shared" si="4"/>
        <v>1.0000000424030764</v>
      </c>
      <c r="N47" s="679">
        <f t="shared" si="5"/>
        <v>-2.9121495482548098E-4</v>
      </c>
      <c r="O47" s="677">
        <f t="shared" si="6"/>
        <v>950.01437375679222</v>
      </c>
      <c r="P47" s="680">
        <f t="shared" si="7"/>
        <v>1.5697437109479255</v>
      </c>
      <c r="Q47" s="689">
        <f t="shared" si="8"/>
        <v>1.000733835615409</v>
      </c>
      <c r="R47" s="690">
        <f t="shared" si="9"/>
        <v>3.8298489108281403E-2</v>
      </c>
      <c r="S47" s="677">
        <f t="shared" si="10"/>
        <v>1.000000003350491</v>
      </c>
      <c r="T47" s="680">
        <f t="shared" si="11"/>
        <v>8.1859526338993592E-5</v>
      </c>
      <c r="U47" s="681">
        <f t="shared" si="24"/>
        <v>0.99959824582385537</v>
      </c>
      <c r="V47" s="682">
        <f t="shared" si="25"/>
        <v>-2.3062768447908357E-3</v>
      </c>
      <c r="W47" s="683">
        <f t="shared" si="12"/>
        <v>50.417450050187959</v>
      </c>
      <c r="X47" s="684">
        <f t="shared" si="13"/>
        <v>-89.084670775873306</v>
      </c>
      <c r="Y47" s="687">
        <f t="shared" si="14"/>
        <v>90.915329224126694</v>
      </c>
      <c r="AA47" s="170">
        <f t="shared" si="15"/>
        <v>1000000000</v>
      </c>
      <c r="AB47" s="170">
        <f t="shared" si="16"/>
        <v>524.82228100000009</v>
      </c>
      <c r="AD47" s="686">
        <f t="shared" si="17"/>
        <v>45.55721822589507</v>
      </c>
      <c r="AE47" s="687">
        <f t="shared" si="18"/>
        <v>-87.750038072528895</v>
      </c>
      <c r="AG47" s="686">
        <f t="shared" si="19"/>
        <v>62.597026914947719</v>
      </c>
      <c r="AH47" s="687">
        <f t="shared" si="20"/>
        <v>-1.0703528438519065</v>
      </c>
      <c r="AJ47" s="170">
        <f t="shared" si="21"/>
        <v>0</v>
      </c>
      <c r="AK47" s="170">
        <f t="shared" si="32"/>
        <v>0</v>
      </c>
      <c r="AM47" s="170" t="str">
        <f t="shared" si="26"/>
        <v>5.42746664400351E-06+0.0032946781071782i</v>
      </c>
      <c r="AN47" s="170" t="str">
        <f t="shared" si="27"/>
        <v>0.00329468406777632i</v>
      </c>
      <c r="AO47" s="170" t="str">
        <f t="shared" si="28"/>
        <v>0.999998190843796-0.00164734054384361i</v>
      </c>
      <c r="AP47" s="170" t="str">
        <f t="shared" si="29"/>
        <v>0.166665762088893-0.000549113017863033i</v>
      </c>
      <c r="AQ47" s="170" t="str">
        <f t="shared" si="30"/>
        <v>0.833334237911107+0.000549113017863033i</v>
      </c>
      <c r="AR47" s="170" t="str">
        <f t="shared" si="31"/>
        <v>0.999598480921174-0.000658670331229665i</v>
      </c>
    </row>
    <row r="48" spans="1:44">
      <c r="A48" s="170" t="s">
        <v>802</v>
      </c>
      <c r="G48" s="688">
        <v>25.119</v>
      </c>
      <c r="H48" s="676">
        <f t="shared" si="23"/>
        <v>2.5118999999999999E-2</v>
      </c>
      <c r="I48" s="677">
        <f t="shared" si="0"/>
        <v>1.0002583103406211</v>
      </c>
      <c r="J48" s="678">
        <f t="shared" si="1"/>
        <v>2.2726845330923756E-2</v>
      </c>
      <c r="K48" s="678">
        <f t="shared" si="2"/>
        <v>1.0000000006028091</v>
      </c>
      <c r="L48" s="679">
        <f t="shared" si="3"/>
        <v>3.4722012927200167E-5</v>
      </c>
      <c r="M48" s="678">
        <f t="shared" si="4"/>
        <v>1.0000000509788216</v>
      </c>
      <c r="N48" s="679">
        <f t="shared" si="5"/>
        <v>-3.1930806270199678E-4</v>
      </c>
      <c r="O48" s="677">
        <f t="shared" si="6"/>
        <v>1041.6608682374026</v>
      </c>
      <c r="P48" s="680">
        <f t="shared" si="7"/>
        <v>1.569836321303576</v>
      </c>
      <c r="Q48" s="689">
        <f t="shared" si="8"/>
        <v>1.0008821836666242</v>
      </c>
      <c r="R48" s="690">
        <f t="shared" si="9"/>
        <v>4.1988941745424384E-2</v>
      </c>
      <c r="S48" s="677">
        <f t="shared" si="10"/>
        <v>1.0000000040281058</v>
      </c>
      <c r="T48" s="680">
        <f t="shared" si="11"/>
        <v>8.9756403211850884E-5</v>
      </c>
      <c r="U48" s="681">
        <f t="shared" si="24"/>
        <v>0.99959789105424679</v>
      </c>
      <c r="V48" s="682">
        <f t="shared" si="25"/>
        <v>-2.5287597837898583E-3</v>
      </c>
      <c r="W48" s="683">
        <f t="shared" si="12"/>
        <v>49.618433765208209</v>
      </c>
      <c r="X48" s="684">
        <f t="shared" si="13"/>
        <v>-89.007694515281372</v>
      </c>
      <c r="Y48" s="687">
        <f t="shared" si="14"/>
        <v>90.992305484718628</v>
      </c>
      <c r="AA48" s="170">
        <f t="shared" si="15"/>
        <v>1000000000</v>
      </c>
      <c r="AB48" s="170">
        <f t="shared" si="16"/>
        <v>630.96416099999999</v>
      </c>
      <c r="AD48" s="686">
        <f t="shared" si="17"/>
        <v>44.758582250007429</v>
      </c>
      <c r="AE48" s="687">
        <f t="shared" si="18"/>
        <v>-87.544349351926755</v>
      </c>
      <c r="AG48" s="686">
        <f t="shared" si="19"/>
        <v>62.596652771313032</v>
      </c>
      <c r="AH48" s="687">
        <f t="shared" si="20"/>
        <v>-1.1735706369963541</v>
      </c>
      <c r="AJ48" s="170">
        <f t="shared" si="21"/>
        <v>0</v>
      </c>
      <c r="AK48" s="170">
        <f t="shared" si="32"/>
        <v>0</v>
      </c>
      <c r="AM48" s="170" t="str">
        <f t="shared" si="26"/>
        <v>6.52513514498576E-06+0.00361250989102423i</v>
      </c>
      <c r="AN48" s="170" t="str">
        <f t="shared" si="27"/>
        <v>0.00361251774841649i</v>
      </c>
      <c r="AO48" s="170" t="str">
        <f t="shared" si="28"/>
        <v>0.999997824954005-0.00180625690983691i</v>
      </c>
      <c r="AP48" s="170" t="str">
        <f t="shared" si="29"/>
        <v>0.166665579144143-0.000602084981837372i</v>
      </c>
      <c r="AQ48" s="170" t="str">
        <f t="shared" si="30"/>
        <v>0.833334420855857+0.000602084981837372i</v>
      </c>
      <c r="AR48" s="170" t="str">
        <f t="shared" si="31"/>
        <v>0.999598173698695-0.000722210715402755i</v>
      </c>
    </row>
    <row r="49" spans="1:44" ht="13">
      <c r="A49" s="170">
        <v>0.1</v>
      </c>
      <c r="C49" s="333" t="s">
        <v>803</v>
      </c>
      <c r="D49" s="761">
        <f>Fco_desire*1000</f>
        <v>1000</v>
      </c>
      <c r="E49" s="761" t="s">
        <v>8</v>
      </c>
      <c r="G49" s="688">
        <v>27.542000000000002</v>
      </c>
      <c r="H49" s="676">
        <f t="shared" si="23"/>
        <v>2.7542000000000001E-2</v>
      </c>
      <c r="I49" s="677">
        <f t="shared" si="0"/>
        <v>1.000310539399148</v>
      </c>
      <c r="J49" s="678">
        <f t="shared" si="1"/>
        <v>2.4918228595643584E-2</v>
      </c>
      <c r="K49" s="678">
        <f t="shared" si="2"/>
        <v>1.000000000724713</v>
      </c>
      <c r="L49" s="679">
        <f t="shared" si="3"/>
        <v>3.8071327678778143E-5</v>
      </c>
      <c r="M49" s="678">
        <f t="shared" si="4"/>
        <v>1.0000000612880844</v>
      </c>
      <c r="N49" s="679">
        <f t="shared" si="5"/>
        <v>-3.5010878627716064E-4</v>
      </c>
      <c r="O49" s="677">
        <f t="shared" si="6"/>
        <v>1142.1402686898448</v>
      </c>
      <c r="P49" s="680">
        <f t="shared" si="7"/>
        <v>1.5699207774817536</v>
      </c>
      <c r="Q49" s="689">
        <f t="shared" si="8"/>
        <v>1.0010604899784044</v>
      </c>
      <c r="R49" s="690">
        <f t="shared" si="9"/>
        <v>4.6033762100873246E-2</v>
      </c>
      <c r="S49" s="677">
        <f t="shared" si="10"/>
        <v>1.0000000048426954</v>
      </c>
      <c r="T49" s="680">
        <f t="shared" si="11"/>
        <v>9.8414381779462384E-5</v>
      </c>
      <c r="U49" s="681">
        <f t="shared" si="24"/>
        <v>0.99959746457130305</v>
      </c>
      <c r="V49" s="682">
        <f t="shared" si="25"/>
        <v>-2.7726855074513505E-3</v>
      </c>
      <c r="W49" s="683">
        <f t="shared" si="12"/>
        <v>48.819661974814437</v>
      </c>
      <c r="X49" s="684">
        <f t="shared" si="13"/>
        <v>-88.922384204834302</v>
      </c>
      <c r="Y49" s="687">
        <f t="shared" si="14"/>
        <v>91.077615795165698</v>
      </c>
      <c r="AA49" s="170">
        <f t="shared" si="15"/>
        <v>1000000000</v>
      </c>
      <c r="AB49" s="170">
        <f t="shared" si="16"/>
        <v>758.56176400000004</v>
      </c>
      <c r="AD49" s="686">
        <f t="shared" si="17"/>
        <v>43.960267601728503</v>
      </c>
      <c r="AE49" s="687">
        <f t="shared" si="18"/>
        <v>-87.317933264606637</v>
      </c>
      <c r="AG49" s="686">
        <f t="shared" si="19"/>
        <v>62.596203040947671</v>
      </c>
      <c r="AH49" s="687">
        <f t="shared" si="20"/>
        <v>-1.286724584876499</v>
      </c>
      <c r="AJ49" s="170">
        <f t="shared" si="21"/>
        <v>0</v>
      </c>
      <c r="AK49" s="170">
        <f t="shared" si="32"/>
        <v>0</v>
      </c>
      <c r="AM49" s="170" t="str">
        <f t="shared" si="26"/>
        <v>7.84468792902615E-06+0.00396097391039274i</v>
      </c>
      <c r="AN49" s="170" t="str">
        <f t="shared" si="27"/>
        <v>0.00396098426795998i</v>
      </c>
      <c r="AO49" s="170" t="str">
        <f t="shared" si="28"/>
        <v>0.999997385102657-0.0019804895446016i</v>
      </c>
      <c r="AP49" s="170" t="str">
        <f t="shared" si="29"/>
        <v>0.166665359218679-0.00066016231839879i</v>
      </c>
      <c r="AQ49" s="170" t="str">
        <f t="shared" si="30"/>
        <v>0.833334640781321+0.00066016231839879i</v>
      </c>
      <c r="AR49" s="170" t="str">
        <f t="shared" si="31"/>
        <v>0.999597804374253-0.000791874922400128i</v>
      </c>
    </row>
    <row r="50" spans="1:44">
      <c r="A50" s="170">
        <v>0.2</v>
      </c>
      <c r="C50" s="760" t="s">
        <v>810</v>
      </c>
      <c r="D50" s="170">
        <f>SQRT(1+(D49/Zero1)^2)*SQRT(1+(D49/z_RHP)^2)/SQRT(1+(D49/pole1)^2)/D58</f>
        <v>0.7443107677914238</v>
      </c>
      <c r="G50" s="688">
        <v>30.2</v>
      </c>
      <c r="H50" s="676">
        <f t="shared" si="23"/>
        <v>3.0199999999999998E-2</v>
      </c>
      <c r="I50" s="677">
        <f t="shared" si="0"/>
        <v>1.0003733584696131</v>
      </c>
      <c r="J50" s="678">
        <f t="shared" si="1"/>
        <v>2.7321871927877672E-2</v>
      </c>
      <c r="K50" s="678">
        <f t="shared" si="2"/>
        <v>1.0000000008713426</v>
      </c>
      <c r="L50" s="679">
        <f t="shared" si="3"/>
        <v>4.1745483108950245E-5</v>
      </c>
      <c r="M50" s="678">
        <f t="shared" si="4"/>
        <v>1.0000000736883754</v>
      </c>
      <c r="N50" s="679">
        <f t="shared" si="5"/>
        <v>-3.8389678520667989E-4</v>
      </c>
      <c r="O50" s="677">
        <f t="shared" si="6"/>
        <v>1252.3648932407268</v>
      </c>
      <c r="P50" s="680">
        <f t="shared" si="7"/>
        <v>1.5699978373836543</v>
      </c>
      <c r="Q50" s="689">
        <f t="shared" si="8"/>
        <v>1.0012749201086282</v>
      </c>
      <c r="R50" s="690">
        <f t="shared" si="9"/>
        <v>5.0469140331123319E-2</v>
      </c>
      <c r="S50" s="677">
        <f t="shared" si="10"/>
        <v>1.0000000058225078</v>
      </c>
      <c r="T50" s="680">
        <f t="shared" si="11"/>
        <v>1.0791207348044274E-4</v>
      </c>
      <c r="U50" s="681">
        <f t="shared" si="24"/>
        <v>0.99959695158546946</v>
      </c>
      <c r="V50" s="682">
        <f t="shared" si="25"/>
        <v>-3.0402687190929987E-3</v>
      </c>
      <c r="W50" s="683">
        <f t="shared" si="12"/>
        <v>48.020743689053667</v>
      </c>
      <c r="X50" s="684">
        <f t="shared" si="13"/>
        <v>-88.827990539611918</v>
      </c>
      <c r="Y50" s="687">
        <f t="shared" si="14"/>
        <v>91.172009460388082</v>
      </c>
      <c r="AA50" s="170">
        <f t="shared" si="15"/>
        <v>1000000000</v>
      </c>
      <c r="AB50" s="170">
        <f t="shared" si="16"/>
        <v>912.04</v>
      </c>
      <c r="AD50" s="686">
        <f t="shared" si="17"/>
        <v>43.161899117516704</v>
      </c>
      <c r="AE50" s="687">
        <f t="shared" si="18"/>
        <v>-87.068764195982581</v>
      </c>
      <c r="AG50" s="686">
        <f t="shared" si="19"/>
        <v>62.595662154466289</v>
      </c>
      <c r="AH50" s="687">
        <f t="shared" si="20"/>
        <v>-1.4108372108519009</v>
      </c>
      <c r="AJ50" s="170">
        <f t="shared" si="21"/>
        <v>0</v>
      </c>
      <c r="AK50" s="170">
        <f t="shared" si="32"/>
        <v>0</v>
      </c>
      <c r="AM50" s="170" t="str">
        <f t="shared" si="26"/>
        <v>9.43188495095004E-06+0.00434323392658629i</v>
      </c>
      <c r="AN50" s="170" t="str">
        <f t="shared" si="27"/>
        <v>0.00434324758159871i</v>
      </c>
      <c r="AO50" s="170" t="str">
        <f t="shared" si="28"/>
        <v>0.999996856036373-0.00217162037709079i</v>
      </c>
      <c r="AP50" s="170" t="str">
        <f t="shared" si="29"/>
        <v>0.166665094685842-0.000723872321097715i</v>
      </c>
      <c r="AQ50" s="170" t="str">
        <f t="shared" si="30"/>
        <v>0.833334905314158+0.000723872321097715i</v>
      </c>
      <c r="AR50" s="170" t="str">
        <f t="shared" si="31"/>
        <v>0.999597360140537-0.00086829539556524i</v>
      </c>
    </row>
    <row r="51" spans="1:44" ht="13">
      <c r="A51" s="170">
        <v>0.3</v>
      </c>
      <c r="C51" s="333" t="s">
        <v>811</v>
      </c>
      <c r="D51" s="761">
        <f>20*LOG(D50*Acs*Am)</f>
        <v>60.030488350063287</v>
      </c>
      <c r="E51" s="333" t="s">
        <v>781</v>
      </c>
      <c r="G51" s="688">
        <v>33.113</v>
      </c>
      <c r="H51" s="676">
        <f t="shared" si="23"/>
        <v>3.3112999999999997E-2</v>
      </c>
      <c r="I51" s="677">
        <f t="shared" si="0"/>
        <v>1.0004488412803232</v>
      </c>
      <c r="J51" s="678">
        <f t="shared" si="1"/>
        <v>2.9955749448798114E-2</v>
      </c>
      <c r="K51" s="678">
        <f t="shared" si="2"/>
        <v>1.0000000010475436</v>
      </c>
      <c r="L51" s="679">
        <f t="shared" si="3"/>
        <v>4.5772125232592459E-5</v>
      </c>
      <c r="M51" s="678">
        <f t="shared" si="4"/>
        <v>1.0000000885894795</v>
      </c>
      <c r="N51" s="679">
        <f t="shared" si="5"/>
        <v>-4.2092629543931008E-4</v>
      </c>
      <c r="O51" s="677">
        <f t="shared" si="6"/>
        <v>1373.1641220593224</v>
      </c>
      <c r="P51" s="680">
        <f t="shared" si="7"/>
        <v>1.5700680816621222</v>
      </c>
      <c r="Q51" s="689">
        <f t="shared" si="8"/>
        <v>1.0015325344377746</v>
      </c>
      <c r="R51" s="690">
        <f t="shared" si="9"/>
        <v>5.5327746669682799E-2</v>
      </c>
      <c r="S51" s="677">
        <f t="shared" si="10"/>
        <v>1.0000000069999229</v>
      </c>
      <c r="T51" s="680">
        <f t="shared" si="11"/>
        <v>1.183209432567241E-4</v>
      </c>
      <c r="U51" s="681">
        <f t="shared" si="24"/>
        <v>0.9995963351448437</v>
      </c>
      <c r="V51" s="682">
        <f t="shared" si="25"/>
        <v>-3.3335227607462553E-3</v>
      </c>
      <c r="W51" s="683">
        <f t="shared" si="12"/>
        <v>47.222486302924139</v>
      </c>
      <c r="X51" s="684">
        <f t="shared" si="13"/>
        <v>-88.723837196646244</v>
      </c>
      <c r="Y51" s="687">
        <f t="shared" si="14"/>
        <v>91.276162803353756</v>
      </c>
      <c r="AA51" s="170">
        <f t="shared" si="15"/>
        <v>1000000000</v>
      </c>
      <c r="AB51" s="170">
        <f t="shared" si="16"/>
        <v>1096.470769</v>
      </c>
      <c r="AD51" s="686">
        <f t="shared" si="17"/>
        <v>42.364302322866045</v>
      </c>
      <c r="AE51" s="687">
        <f t="shared" si="18"/>
        <v>-86.795007643153625</v>
      </c>
      <c r="AG51" s="686">
        <f t="shared" si="19"/>
        <v>62.595012275979059</v>
      </c>
      <c r="AH51" s="687">
        <f t="shared" si="20"/>
        <v>-1.5468359828530103</v>
      </c>
      <c r="AJ51" s="170">
        <f t="shared" si="21"/>
        <v>0</v>
      </c>
      <c r="AK51" s="170">
        <f t="shared" si="32"/>
        <v>0</v>
      </c>
      <c r="AM51" s="170" t="str">
        <f t="shared" si="26"/>
        <v>0.0000113391768540305+0.00476216601247186i</v>
      </c>
      <c r="AN51" s="170" t="str">
        <f t="shared" si="27"/>
        <v>0.00476218401223437i</v>
      </c>
      <c r="AO51" s="170" t="str">
        <f t="shared" si="28"/>
        <v>0.999996220271526-0.00238108750625751i</v>
      </c>
      <c r="AP51" s="170" t="str">
        <f t="shared" si="29"/>
        <v>0.166664776803858-0.000793694335411977i</v>
      </c>
      <c r="AQ51" s="170" t="str">
        <f t="shared" si="30"/>
        <v>0.833335223196142+0.000793694335411977i</v>
      </c>
      <c r="AR51" s="170" t="str">
        <f t="shared" si="31"/>
        <v>0.999596826317743-0.000952047047407051i</v>
      </c>
    </row>
    <row r="52" spans="1:44">
      <c r="A52" s="170">
        <v>0.4</v>
      </c>
      <c r="C52" s="170" t="s">
        <v>694</v>
      </c>
      <c r="D52" s="170" t="str">
        <f>IMSUB(1,IMEXP(COMPLEX(0,-2*Pi*D49*Tsw)))</f>
        <v>0.010323729496966+0.143320897301148i</v>
      </c>
      <c r="G52" s="688">
        <v>36.308</v>
      </c>
      <c r="H52" s="676">
        <f t="shared" si="23"/>
        <v>3.6308E-2</v>
      </c>
      <c r="I52" s="677">
        <f t="shared" si="0"/>
        <v>1.0005396108610063</v>
      </c>
      <c r="J52" s="678">
        <f t="shared" si="1"/>
        <v>3.2844126500340298E-2</v>
      </c>
      <c r="K52" s="678">
        <f t="shared" si="2"/>
        <v>1.0000000012594465</v>
      </c>
      <c r="L52" s="679">
        <f t="shared" si="3"/>
        <v>5.0188576169788103E-5</v>
      </c>
      <c r="M52" s="678">
        <f t="shared" si="4"/>
        <v>1.0000001065098423</v>
      </c>
      <c r="N52" s="679">
        <f t="shared" si="5"/>
        <v>-4.6154053550647708E-4</v>
      </c>
      <c r="O52" s="677">
        <f t="shared" si="6"/>
        <v>1505.6576184386859</v>
      </c>
      <c r="P52" s="680">
        <f t="shared" si="7"/>
        <v>1.5701321651280793</v>
      </c>
      <c r="Q52" s="689">
        <f t="shared" si="8"/>
        <v>1.0018422587952809</v>
      </c>
      <c r="R52" s="690">
        <f t="shared" si="9"/>
        <v>6.065368859036472E-2</v>
      </c>
      <c r="S52" s="677">
        <f t="shared" si="10"/>
        <v>1.0000000084159055</v>
      </c>
      <c r="T52" s="680">
        <f t="shared" si="11"/>
        <v>1.2973746877992836E-4</v>
      </c>
      <c r="U52" s="681">
        <f t="shared" si="24"/>
        <v>0.99959559380256946</v>
      </c>
      <c r="V52" s="682">
        <f t="shared" si="25"/>
        <v>-3.6551656441047038E-3</v>
      </c>
      <c r="W52" s="683">
        <f t="shared" si="12"/>
        <v>46.424302115401701</v>
      </c>
      <c r="X52" s="684">
        <f t="shared" si="13"/>
        <v>-88.60900360836078</v>
      </c>
      <c r="Y52" s="687">
        <f t="shared" si="14"/>
        <v>91.39099639163922</v>
      </c>
      <c r="AA52" s="170">
        <f t="shared" si="15"/>
        <v>1000000000</v>
      </c>
      <c r="AB52" s="170">
        <f t="shared" si="16"/>
        <v>1318.2708640000001</v>
      </c>
      <c r="AD52" s="686">
        <f t="shared" si="17"/>
        <v>41.56691244476697</v>
      </c>
      <c r="AE52" s="687">
        <f t="shared" si="18"/>
        <v>-86.4941794796881</v>
      </c>
      <c r="AG52" s="686">
        <f t="shared" si="19"/>
        <v>62.594230850195501</v>
      </c>
      <c r="AH52" s="687">
        <f t="shared" si="20"/>
        <v>-1.6959729985372263</v>
      </c>
      <c r="AJ52" s="170">
        <f t="shared" si="21"/>
        <v>0</v>
      </c>
      <c r="AK52" s="170">
        <f t="shared" si="32"/>
        <v>0</v>
      </c>
      <c r="AM52" s="170" t="str">
        <f t="shared" si="26"/>
        <v>0.0000136329222589771+0.00522165286685904i</v>
      </c>
      <c r="AN52" s="170" t="str">
        <f t="shared" si="27"/>
        <v>0.0052216765957843i</v>
      </c>
      <c r="AO52" s="170" t="str">
        <f t="shared" si="28"/>
        <v>0.999995455688451-0.00261083236560142i</v>
      </c>
      <c r="AP52" s="170" t="str">
        <f t="shared" si="29"/>
        <v>0.166664394512957-0.00087027547780984i</v>
      </c>
      <c r="AQ52" s="170" t="str">
        <f t="shared" si="30"/>
        <v>0.833335605487043+0.00087027547780984i</v>
      </c>
      <c r="AR52" s="170" t="str">
        <f t="shared" si="31"/>
        <v>0.999596184333624-0.00104390601002751i</v>
      </c>
    </row>
    <row r="53" spans="1:44">
      <c r="A53" s="170">
        <v>0.5</v>
      </c>
      <c r="C53" s="170" t="s">
        <v>804</v>
      </c>
      <c r="D53" s="170" t="str">
        <f>COMPLEX(0, 2*Pi*D49*Tsw)</f>
        <v>0.14381614508605i</v>
      </c>
      <c r="G53" s="688">
        <v>39.811</v>
      </c>
      <c r="H53" s="676">
        <f t="shared" si="23"/>
        <v>3.9810999999999999E-2</v>
      </c>
      <c r="I53" s="677">
        <f t="shared" si="0"/>
        <v>1.000648721835097</v>
      </c>
      <c r="J53" s="678">
        <f t="shared" si="1"/>
        <v>3.6010313220253741E-2</v>
      </c>
      <c r="K53" s="678">
        <f t="shared" si="2"/>
        <v>1.000000001514193</v>
      </c>
      <c r="L53" s="679">
        <f t="shared" si="3"/>
        <v>5.503077573967451E-5</v>
      </c>
      <c r="M53" s="678">
        <f t="shared" si="4"/>
        <v>1.0000001280534423</v>
      </c>
      <c r="N53" s="679">
        <f t="shared" si="5"/>
        <v>-5.0607001198490814E-4</v>
      </c>
      <c r="O53" s="677">
        <f t="shared" si="6"/>
        <v>1650.9235767175865</v>
      </c>
      <c r="P53" s="680">
        <f t="shared" si="7"/>
        <v>1.5701906052004797</v>
      </c>
      <c r="Q53" s="689">
        <f t="shared" si="8"/>
        <v>1.0022144782227598</v>
      </c>
      <c r="R53" s="690">
        <f t="shared" si="9"/>
        <v>6.6489086855796187E-2</v>
      </c>
      <c r="S53" s="677">
        <f t="shared" si="10"/>
        <v>1.0000000101181792</v>
      </c>
      <c r="T53" s="680">
        <f t="shared" si="11"/>
        <v>1.4225455447108783E-4</v>
      </c>
      <c r="U53" s="681">
        <f t="shared" si="24"/>
        <v>0.9995947025737083</v>
      </c>
      <c r="V53" s="682">
        <f t="shared" si="25"/>
        <v>-4.0078146761120719E-3</v>
      </c>
      <c r="W53" s="683">
        <f t="shared" si="12"/>
        <v>45.626559020156265</v>
      </c>
      <c r="X53" s="684">
        <f t="shared" si="13"/>
        <v>-88.482613812366097</v>
      </c>
      <c r="Y53" s="687">
        <f t="shared" si="14"/>
        <v>91.517386187633903</v>
      </c>
      <c r="AA53" s="170">
        <f t="shared" si="15"/>
        <v>1000000000</v>
      </c>
      <c r="AB53" s="170">
        <f t="shared" si="16"/>
        <v>1584.9157210000001</v>
      </c>
      <c r="AD53" s="686">
        <f t="shared" si="17"/>
        <v>40.770124067542071</v>
      </c>
      <c r="AE53" s="687">
        <f t="shared" si="18"/>
        <v>-86.163901332608418</v>
      </c>
      <c r="AG53" s="686">
        <f t="shared" si="19"/>
        <v>62.593291620676574</v>
      </c>
      <c r="AH53" s="687">
        <f t="shared" si="20"/>
        <v>-1.859450747209267</v>
      </c>
      <c r="AJ53" s="170">
        <f t="shared" si="21"/>
        <v>0</v>
      </c>
      <c r="AK53" s="170">
        <f t="shared" si="32"/>
        <v>0</v>
      </c>
      <c r="AM53" s="170" t="str">
        <f t="shared" si="26"/>
        <v>0.0000163904273939863+0.00572543327104954i</v>
      </c>
      <c r="AN53" s="170" t="str">
        <f t="shared" si="27"/>
        <v>0.00572546455202073i</v>
      </c>
      <c r="AO53" s="170" t="str">
        <f t="shared" si="28"/>
        <v>0.999994536518233-0.00286272445581756i</v>
      </c>
      <c r="AP53" s="170" t="str">
        <f t="shared" si="29"/>
        <v>0.166663934928768-0.000954238878508257i</v>
      </c>
      <c r="AQ53" s="170" t="str">
        <f t="shared" si="30"/>
        <v>0.833336065071232+0.000954238878508257i</v>
      </c>
      <c r="AR53" s="170" t="str">
        <f t="shared" si="31"/>
        <v>0.999595412552149-0.00114461961436198i</v>
      </c>
    </row>
    <row r="54" spans="1:44">
      <c r="A54" s="170">
        <v>0.6</v>
      </c>
      <c r="C54" s="170" t="s">
        <v>805</v>
      </c>
      <c r="D54" s="170" t="str">
        <f>IMDIV(D52, D53)</f>
        <v>0.996556382563267-0.0717842179039701i</v>
      </c>
      <c r="G54" s="688">
        <v>43.652000000000001</v>
      </c>
      <c r="H54" s="676">
        <f t="shared" si="23"/>
        <v>4.3652000000000003E-2</v>
      </c>
      <c r="I54" s="677">
        <f t="shared" si="0"/>
        <v>1.0007798878663838</v>
      </c>
      <c r="J54" s="678">
        <f t="shared" si="1"/>
        <v>3.9481168909543937E-2</v>
      </c>
      <c r="K54" s="678">
        <f t="shared" si="2"/>
        <v>1.0000000018204693</v>
      </c>
      <c r="L54" s="679">
        <f t="shared" si="3"/>
        <v>6.0340192964200345E-5</v>
      </c>
      <c r="M54" s="678">
        <f t="shared" si="4"/>
        <v>1.0000001539548486</v>
      </c>
      <c r="N54" s="679">
        <f t="shared" si="5"/>
        <v>-5.548960785136559E-4</v>
      </c>
      <c r="O54" s="677">
        <f t="shared" si="6"/>
        <v>1810.2060673346286</v>
      </c>
      <c r="P54" s="680">
        <f t="shared" si="7"/>
        <v>1.5702439034719904</v>
      </c>
      <c r="Q54" s="689">
        <f t="shared" si="8"/>
        <v>1.0026618067111825</v>
      </c>
      <c r="R54" s="690">
        <f t="shared" si="9"/>
        <v>7.2882312608114327E-2</v>
      </c>
      <c r="S54" s="677">
        <f t="shared" si="10"/>
        <v>1.0000000121647865</v>
      </c>
      <c r="T54" s="680">
        <f t="shared" si="11"/>
        <v>1.55979397736791E-4</v>
      </c>
      <c r="U54" s="681">
        <f t="shared" si="24"/>
        <v>0.99959363107138033</v>
      </c>
      <c r="V54" s="682">
        <f t="shared" si="25"/>
        <v>-4.3944898002261975E-3</v>
      </c>
      <c r="W54" s="683">
        <f t="shared" si="12"/>
        <v>44.829266504563776</v>
      </c>
      <c r="X54" s="684">
        <f t="shared" si="13"/>
        <v>-88.34366265602506</v>
      </c>
      <c r="Y54" s="687">
        <f t="shared" si="14"/>
        <v>91.65633734397494</v>
      </c>
      <c r="AA54" s="170">
        <f t="shared" si="15"/>
        <v>1000000000</v>
      </c>
      <c r="AB54" s="170">
        <f t="shared" si="16"/>
        <v>1905.497104</v>
      </c>
      <c r="AD54" s="686">
        <f t="shared" si="17"/>
        <v>39.973979115493684</v>
      </c>
      <c r="AE54" s="687">
        <f t="shared" si="18"/>
        <v>-85.801436620718562</v>
      </c>
      <c r="AG54" s="686">
        <f t="shared" si="19"/>
        <v>62.592162678591599</v>
      </c>
      <c r="AH54" s="687">
        <f t="shared" si="20"/>
        <v>-2.0386545973985819</v>
      </c>
      <c r="AJ54" s="170">
        <f t="shared" si="21"/>
        <v>0</v>
      </c>
      <c r="AK54" s="170">
        <f t="shared" ref="AK54:AK85" si="33">IF(AJ54&gt;0,Y54,0)</f>
        <v>0</v>
      </c>
      <c r="AM54" s="170" t="str">
        <f t="shared" si="26"/>
        <v>0.0000197057132189649+0.00627782112865694i</v>
      </c>
      <c r="AN54" s="170" t="str">
        <f t="shared" si="27"/>
        <v>0.00627786236529625i</v>
      </c>
      <c r="AO54" s="170" t="str">
        <f t="shared" si="28"/>
        <v>0.999993431420297-0.00313892087343253i</v>
      </c>
      <c r="AP54" s="170" t="str">
        <f t="shared" si="29"/>
        <v>0.16666338238113-0.00104630352144282i</v>
      </c>
      <c r="AQ54" s="170" t="str">
        <f t="shared" si="30"/>
        <v>0.83333661761887+0.00104630352144282i</v>
      </c>
      <c r="AR54" s="170" t="str">
        <f t="shared" si="31"/>
        <v>0.999594484659506-0.00125505012884529i</v>
      </c>
    </row>
    <row r="55" spans="1:44">
      <c r="A55" s="170">
        <v>0.7</v>
      </c>
      <c r="C55" s="170" t="s">
        <v>806</v>
      </c>
      <c r="D55" s="170" t="str">
        <f>IMDIV(IMEXP(COMPLEX(0,-2*Pi*D49*Tsw)),6)</f>
        <v>0.164946045083839-0.023886816216858i</v>
      </c>
      <c r="G55" s="688">
        <v>47.863</v>
      </c>
      <c r="H55" s="676">
        <f t="shared" si="23"/>
        <v>4.7863000000000003E-2</v>
      </c>
      <c r="I55" s="677">
        <f t="shared" si="0"/>
        <v>1.0009375393052753</v>
      </c>
      <c r="J55" s="678">
        <f t="shared" si="1"/>
        <v>4.3285272495800685E-2</v>
      </c>
      <c r="K55" s="678">
        <f t="shared" si="2"/>
        <v>1.000000002188643</v>
      </c>
      <c r="L55" s="679">
        <f t="shared" si="3"/>
        <v>6.6161061466522687E-5</v>
      </c>
      <c r="M55" s="678">
        <f t="shared" si="4"/>
        <v>1.0000001850908304</v>
      </c>
      <c r="N55" s="679">
        <f t="shared" si="5"/>
        <v>-6.0842551210954097E-4</v>
      </c>
      <c r="O55" s="677">
        <f t="shared" si="6"/>
        <v>1984.8320988022326</v>
      </c>
      <c r="P55" s="680">
        <f t="shared" si="7"/>
        <v>1.5702925058203621</v>
      </c>
      <c r="Q55" s="689">
        <f t="shared" si="8"/>
        <v>1.0031992745865177</v>
      </c>
      <c r="R55" s="690">
        <f t="shared" si="9"/>
        <v>7.9884520938583392E-2</v>
      </c>
      <c r="S55" s="677">
        <f t="shared" si="10"/>
        <v>1.0000000146250052</v>
      </c>
      <c r="T55" s="680">
        <f t="shared" si="11"/>
        <v>1.7102634247299751E-4</v>
      </c>
      <c r="U55" s="681">
        <f t="shared" si="24"/>
        <v>0.99959234302681732</v>
      </c>
      <c r="V55" s="682">
        <f t="shared" si="25"/>
        <v>-4.8184122421273592E-3</v>
      </c>
      <c r="W55" s="683">
        <f t="shared" si="12"/>
        <v>44.032626971155089</v>
      </c>
      <c r="X55" s="684">
        <f t="shared" si="13"/>
        <v>-88.191094053618968</v>
      </c>
      <c r="Y55" s="687">
        <f t="shared" si="14"/>
        <v>91.808905946381032</v>
      </c>
      <c r="AA55" s="170">
        <f t="shared" si="15"/>
        <v>1000000000</v>
      </c>
      <c r="AB55" s="170">
        <f t="shared" si="16"/>
        <v>2290.8667689999997</v>
      </c>
      <c r="AD55" s="686">
        <f t="shared" si="17"/>
        <v>39.17871866894955</v>
      </c>
      <c r="AE55" s="687">
        <f t="shared" si="18"/>
        <v>-85.403886471521147</v>
      </c>
      <c r="AG55" s="686">
        <f t="shared" si="19"/>
        <v>62.590805976463784</v>
      </c>
      <c r="AH55" s="687">
        <f t="shared" si="20"/>
        <v>-2.2350582106107679</v>
      </c>
      <c r="AJ55" s="170">
        <f t="shared" si="21"/>
        <v>0</v>
      </c>
      <c r="AK55" s="170">
        <f t="shared" si="33"/>
        <v>0</v>
      </c>
      <c r="AM55" s="170" t="str">
        <f t="shared" si="26"/>
        <v>0.0000236910008909463+0.00688341779338611i</v>
      </c>
      <c r="AN55" s="170" t="str">
        <f t="shared" si="27"/>
        <v>0.0068834721522536i</v>
      </c>
      <c r="AO55" s="170" t="str">
        <f t="shared" si="28"/>
        <v>0.99999210298723-0.0034417224864039i</v>
      </c>
      <c r="AP55" s="170" t="str">
        <f t="shared" si="29"/>
        <v>0.166662718166518-0.00114723629889768i</v>
      </c>
      <c r="AQ55" s="170" t="str">
        <f t="shared" si="30"/>
        <v>0.833337281833482+0.00114723629889768i</v>
      </c>
      <c r="AR55" s="170" t="str">
        <f t="shared" si="31"/>
        <v>0.999593369248545-0.0013761172364883i</v>
      </c>
    </row>
    <row r="56" spans="1:44">
      <c r="A56" s="170">
        <v>0.8</v>
      </c>
      <c r="C56" s="170" t="s">
        <v>807</v>
      </c>
      <c r="D56" s="170" t="str">
        <f>IMSUB(1, D55)</f>
        <v>0.835053954916161+0.023886816216858i</v>
      </c>
      <c r="G56" s="688">
        <v>52.481000000000002</v>
      </c>
      <c r="H56" s="676">
        <f t="shared" si="23"/>
        <v>5.2481E-2</v>
      </c>
      <c r="I56" s="677">
        <f t="shared" si="0"/>
        <v>1.00112707474704</v>
      </c>
      <c r="J56" s="678">
        <f t="shared" si="1"/>
        <v>4.74556041562295E-2</v>
      </c>
      <c r="K56" s="678">
        <f t="shared" si="2"/>
        <v>1.000000002631354</v>
      </c>
      <c r="L56" s="679">
        <f t="shared" si="3"/>
        <v>7.2544526373185777E-5</v>
      </c>
      <c r="M56" s="678">
        <f t="shared" si="4"/>
        <v>1.0000002225303581</v>
      </c>
      <c r="N56" s="679">
        <f t="shared" si="5"/>
        <v>-6.671286485184538E-4</v>
      </c>
      <c r="O56" s="677">
        <f t="shared" si="6"/>
        <v>2176.336024757326</v>
      </c>
      <c r="P56" s="680">
        <f t="shared" si="7"/>
        <v>1.570336838910759</v>
      </c>
      <c r="Q56" s="689">
        <f t="shared" si="8"/>
        <v>1.0038451729519284</v>
      </c>
      <c r="R56" s="690">
        <f t="shared" si="9"/>
        <v>8.7554464376550331E-2</v>
      </c>
      <c r="S56" s="677">
        <f t="shared" si="10"/>
        <v>1.0000000175833004</v>
      </c>
      <c r="T56" s="680">
        <f t="shared" si="11"/>
        <v>1.8752759880541684E-4</v>
      </c>
      <c r="U56" s="681">
        <f t="shared" si="24"/>
        <v>0.999590794221075</v>
      </c>
      <c r="V56" s="682">
        <f t="shared" si="25"/>
        <v>-5.2833064996647807E-3</v>
      </c>
      <c r="W56" s="683">
        <f t="shared" si="12"/>
        <v>43.236516216826544</v>
      </c>
      <c r="X56" s="684">
        <f t="shared" si="13"/>
        <v>-88.023700795196874</v>
      </c>
      <c r="Y56" s="687">
        <f t="shared" si="14"/>
        <v>91.976299204803126</v>
      </c>
      <c r="AA56" s="170">
        <f t="shared" si="15"/>
        <v>1000000000</v>
      </c>
      <c r="AB56" s="170">
        <f t="shared" si="16"/>
        <v>2754.255361</v>
      </c>
      <c r="AD56" s="686">
        <f t="shared" si="17"/>
        <v>38.384265630049327</v>
      </c>
      <c r="AE56" s="687">
        <f t="shared" si="18"/>
        <v>-84.967916634240453</v>
      </c>
      <c r="AG56" s="686">
        <f t="shared" si="19"/>
        <v>62.589175177540497</v>
      </c>
      <c r="AH56" s="687">
        <f t="shared" si="20"/>
        <v>-2.4503618316549716</v>
      </c>
      <c r="AJ56" s="170">
        <f t="shared" si="21"/>
        <v>0</v>
      </c>
      <c r="AK56" s="170">
        <f t="shared" si="33"/>
        <v>0</v>
      </c>
      <c r="AM56" s="170" t="str">
        <f t="shared" si="26"/>
        <v>0.0000284831117109974+0.00754754345027013i</v>
      </c>
      <c r="AN56" s="170" t="str">
        <f t="shared" si="27"/>
        <v>0.00754761511026098i</v>
      </c>
      <c r="AO56" s="170" t="str">
        <f t="shared" si="28"/>
        <v>0.999990505611401-0.00377378964015728i</v>
      </c>
      <c r="AP56" s="170" t="str">
        <f t="shared" si="29"/>
        <v>0.166661919481382-0.00125792390837835i</v>
      </c>
      <c r="AQ56" s="170" t="str">
        <f t="shared" si="30"/>
        <v>0.833338080518618+0.00125792390837835i</v>
      </c>
      <c r="AR56" s="170" t="str">
        <f t="shared" si="31"/>
        <v>0.999592028027822-0.00150888425727295i</v>
      </c>
    </row>
    <row r="57" spans="1:44">
      <c r="A57" s="170">
        <v>0.9</v>
      </c>
      <c r="C57" s="170" t="s">
        <v>808</v>
      </c>
      <c r="D57" s="170" t="str">
        <f>IMDIV(0.833,D56)</f>
        <v>0.996724759934875-0.0285114285360718i</v>
      </c>
      <c r="G57" s="688">
        <v>57.544000000000004</v>
      </c>
      <c r="H57" s="676">
        <f t="shared" si="23"/>
        <v>5.7544000000000005E-2</v>
      </c>
      <c r="I57" s="677">
        <f t="shared" si="0"/>
        <v>1.0013548748301828</v>
      </c>
      <c r="J57" s="678">
        <f t="shared" si="1"/>
        <v>5.2025894678515636E-2</v>
      </c>
      <c r="K57" s="678">
        <f t="shared" si="2"/>
        <v>1.0000000031635536</v>
      </c>
      <c r="L57" s="679">
        <f t="shared" si="3"/>
        <v>7.9543115110944723E-5</v>
      </c>
      <c r="M57" s="678">
        <f t="shared" si="4"/>
        <v>1.0000002675377979</v>
      </c>
      <c r="N57" s="679">
        <f t="shared" si="5"/>
        <v>-7.3148853486934692E-4</v>
      </c>
      <c r="O57" s="677">
        <f t="shared" si="6"/>
        <v>2386.2936678910828</v>
      </c>
      <c r="P57" s="680">
        <f t="shared" si="7"/>
        <v>1.5703772668766962</v>
      </c>
      <c r="Q57" s="689">
        <f t="shared" si="8"/>
        <v>1.0046210816194849</v>
      </c>
      <c r="R57" s="690">
        <f t="shared" si="9"/>
        <v>9.5951614698549625E-2</v>
      </c>
      <c r="S57" s="677">
        <f t="shared" si="10"/>
        <v>1.0000000211395765</v>
      </c>
      <c r="T57" s="680">
        <f t="shared" si="11"/>
        <v>2.0561895009765148E-4</v>
      </c>
      <c r="U57" s="681">
        <f t="shared" si="24"/>
        <v>0.99958893235339552</v>
      </c>
      <c r="V57" s="682">
        <f t="shared" si="25"/>
        <v>-5.7929976371177581E-3</v>
      </c>
      <c r="W57" s="683">
        <f t="shared" si="12"/>
        <v>42.441276500301711</v>
      </c>
      <c r="X57" s="684">
        <f t="shared" si="13"/>
        <v>-87.840280500864566</v>
      </c>
      <c r="Y57" s="687">
        <f t="shared" si="14"/>
        <v>92.159719499135434</v>
      </c>
      <c r="AA57" s="170">
        <f t="shared" si="15"/>
        <v>1000000000</v>
      </c>
      <c r="AB57" s="170">
        <f t="shared" si="16"/>
        <v>3311.3119360000005</v>
      </c>
      <c r="AD57" s="686">
        <f t="shared" si="17"/>
        <v>37.591017890568281</v>
      </c>
      <c r="AE57" s="687">
        <f t="shared" si="18"/>
        <v>-84.490148270204273</v>
      </c>
      <c r="AG57" s="686">
        <f t="shared" si="19"/>
        <v>62.587215557721969</v>
      </c>
      <c r="AH57" s="687">
        <f t="shared" si="20"/>
        <v>-2.6863035992295594</v>
      </c>
      <c r="AJ57" s="170">
        <f t="shared" si="21"/>
        <v>0</v>
      </c>
      <c r="AK57" s="170">
        <f t="shared" si="33"/>
        <v>0</v>
      </c>
      <c r="AM57" s="170" t="str">
        <f t="shared" si="26"/>
        <v>0.0000342438753360153+0.00827566178796085i</v>
      </c>
      <c r="AN57" s="170" t="str">
        <f t="shared" si="27"/>
        <v>0.00827575625283165i</v>
      </c>
      <c r="AO57" s="170" t="str">
        <f t="shared" si="28"/>
        <v>0.999988585348829-0.00413785451019033i</v>
      </c>
      <c r="AP57" s="170" t="str">
        <f t="shared" si="29"/>
        <v>0.166660959354111-0.00137927696466014i</v>
      </c>
      <c r="AQ57" s="170" t="str">
        <f t="shared" si="30"/>
        <v>0.833339040645889+0.00137927696466014i</v>
      </c>
      <c r="AR57" s="170" t="str">
        <f t="shared" si="31"/>
        <v>0.999590415707758-0.00165444311046819i</v>
      </c>
    </row>
    <row r="58" spans="1:44">
      <c r="A58" s="170">
        <v>1</v>
      </c>
      <c r="C58" s="170" t="s">
        <v>809</v>
      </c>
      <c r="D58" s="170">
        <f>IMABS(IMPRODUCT(D54, D57))</f>
        <v>0.99627336114884157</v>
      </c>
      <c r="G58" s="688">
        <v>63.095999999999997</v>
      </c>
      <c r="H58" s="676">
        <f t="shared" si="23"/>
        <v>6.3095999999999999E-2</v>
      </c>
      <c r="I58" s="677">
        <f t="shared" si="0"/>
        <v>1.0016287083317637</v>
      </c>
      <c r="J58" s="678">
        <f t="shared" si="1"/>
        <v>5.7035091374506235E-2</v>
      </c>
      <c r="K58" s="678">
        <f t="shared" si="2"/>
        <v>1.0000000038034591</v>
      </c>
      <c r="L58" s="679">
        <f t="shared" si="3"/>
        <v>8.7217648910383478E-5</v>
      </c>
      <c r="M58" s="678">
        <f t="shared" si="4"/>
        <v>1.0000003216538083</v>
      </c>
      <c r="N58" s="679">
        <f t="shared" si="5"/>
        <v>-8.0206448858270393E-4</v>
      </c>
      <c r="O58" s="677">
        <f t="shared" si="6"/>
        <v>2616.5296650388946</v>
      </c>
      <c r="P58" s="680">
        <f t="shared" si="7"/>
        <v>1.5704141411702863</v>
      </c>
      <c r="Q58" s="689">
        <f t="shared" si="8"/>
        <v>1.0055532254000077</v>
      </c>
      <c r="R58" s="690">
        <f t="shared" si="9"/>
        <v>0.10514416769201233</v>
      </c>
      <c r="S58" s="677">
        <f t="shared" si="10"/>
        <v>1.0000000254155696</v>
      </c>
      <c r="T58" s="680">
        <f t="shared" si="11"/>
        <v>2.2545761918493133E-4</v>
      </c>
      <c r="U58" s="681">
        <f t="shared" si="24"/>
        <v>0.9995866936953306</v>
      </c>
      <c r="V58" s="682">
        <f t="shared" si="25"/>
        <v>-6.35191460153942E-3</v>
      </c>
      <c r="W58" s="683">
        <f t="shared" si="12"/>
        <v>41.646902578075768</v>
      </c>
      <c r="X58" s="684">
        <f t="shared" si="13"/>
        <v>-87.639468823041653</v>
      </c>
      <c r="Y58" s="687">
        <f t="shared" si="14"/>
        <v>92.360531176958347</v>
      </c>
      <c r="AA58" s="170">
        <f t="shared" si="15"/>
        <v>1000000000</v>
      </c>
      <c r="AB58" s="170">
        <f t="shared" si="16"/>
        <v>3981.1052159999995</v>
      </c>
      <c r="AD58" s="686">
        <f t="shared" si="17"/>
        <v>36.799037890159987</v>
      </c>
      <c r="AE58" s="687">
        <f t="shared" si="18"/>
        <v>-83.966703193535466</v>
      </c>
      <c r="AG58" s="686">
        <f t="shared" si="19"/>
        <v>62.584860541414436</v>
      </c>
      <c r="AH58" s="687">
        <f t="shared" si="20"/>
        <v>-2.9448898316829979</v>
      </c>
      <c r="AJ58" s="170">
        <f t="shared" si="21"/>
        <v>0</v>
      </c>
      <c r="AK58" s="170">
        <f t="shared" si="33"/>
        <v>0</v>
      </c>
      <c r="AM58" s="170" t="str">
        <f t="shared" si="26"/>
        <v>0.0000411704834719639+0.00907409895995152i</v>
      </c>
      <c r="AN58" s="170" t="str">
        <f t="shared" si="27"/>
        <v>0.0090742234903494i</v>
      </c>
      <c r="AO58" s="170" t="str">
        <f t="shared" si="28"/>
        <v>0.999986276467842-0.00453708061254491i</v>
      </c>
      <c r="AP58" s="170" t="str">
        <f t="shared" si="29"/>
        <v>0.166659804919421-0.00151234982665859i</v>
      </c>
      <c r="AQ58" s="170" t="str">
        <f t="shared" si="30"/>
        <v>0.833340195080579+0.00151234982665859i</v>
      </c>
      <c r="AR58" s="170" t="str">
        <f t="shared" si="31"/>
        <v>0.999588477103435-0.00181405801496366i</v>
      </c>
    </row>
    <row r="59" spans="1:44">
      <c r="A59" s="170">
        <v>1.2</v>
      </c>
      <c r="G59" s="688">
        <v>69.183000000000007</v>
      </c>
      <c r="H59" s="676">
        <f t="shared" si="23"/>
        <v>6.9183000000000008E-2</v>
      </c>
      <c r="I59" s="677">
        <f t="shared" si="0"/>
        <v>1.0019577942440576</v>
      </c>
      <c r="J59" s="678">
        <f t="shared" si="1"/>
        <v>6.2523682542537776E-2</v>
      </c>
      <c r="K59" s="678">
        <f t="shared" si="2"/>
        <v>1.0000000045727122</v>
      </c>
      <c r="L59" s="679">
        <f t="shared" si="3"/>
        <v>9.5631713602647113E-5</v>
      </c>
      <c r="M59" s="678">
        <f t="shared" si="4"/>
        <v>1.0000003867085807</v>
      </c>
      <c r="N59" s="679">
        <f t="shared" si="5"/>
        <v>-8.794412499533807E-4</v>
      </c>
      <c r="O59" s="677">
        <f t="shared" si="6"/>
        <v>2868.951591105038</v>
      </c>
      <c r="P59" s="680">
        <f t="shared" si="7"/>
        <v>1.5704477674036021</v>
      </c>
      <c r="Q59" s="689">
        <f t="shared" si="8"/>
        <v>1.0066726460506876</v>
      </c>
      <c r="R59" s="690">
        <f t="shared" si="9"/>
        <v>0.11520201902127694</v>
      </c>
      <c r="S59" s="677">
        <f t="shared" si="10"/>
        <v>1.0000000305558923</v>
      </c>
      <c r="T59" s="680">
        <f t="shared" si="11"/>
        <v>2.4720797538067666E-4</v>
      </c>
      <c r="U59" s="681">
        <f t="shared" si="24"/>
        <v>0.99958400254387203</v>
      </c>
      <c r="V59" s="682">
        <f t="shared" si="25"/>
        <v>-6.9646874987970174E-3</v>
      </c>
      <c r="W59" s="683">
        <f t="shared" si="12"/>
        <v>40.853739375326242</v>
      </c>
      <c r="X59" s="684">
        <f t="shared" si="13"/>
        <v>-87.419902917194051</v>
      </c>
      <c r="Y59" s="687">
        <f t="shared" si="14"/>
        <v>92.580097082805949</v>
      </c>
      <c r="AA59" s="170">
        <f t="shared" si="15"/>
        <v>1000000000</v>
      </c>
      <c r="AB59" s="170">
        <f t="shared" si="16"/>
        <v>4786.2874890000012</v>
      </c>
      <c r="AD59" s="686">
        <f t="shared" si="17"/>
        <v>36.008750787691788</v>
      </c>
      <c r="AE59" s="687">
        <f t="shared" si="18"/>
        <v>-83.393603605606543</v>
      </c>
      <c r="AG59" s="686">
        <f t="shared" si="19"/>
        <v>62.582031210615312</v>
      </c>
      <c r="AH59" s="687">
        <f t="shared" si="20"/>
        <v>-3.2282049120583687</v>
      </c>
      <c r="AJ59" s="170">
        <f t="shared" si="21"/>
        <v>0</v>
      </c>
      <c r="AK59" s="170">
        <f t="shared" si="33"/>
        <v>0</v>
      </c>
      <c r="AM59" s="170" t="str">
        <f t="shared" si="26"/>
        <v>0.0000494971837700087+0.00994946820535261i</v>
      </c>
      <c r="AN59" s="170" t="str">
        <f t="shared" si="27"/>
        <v>0.00994963236548819i</v>
      </c>
      <c r="AO59" s="170" t="str">
        <f t="shared" si="28"/>
        <v>0.999983500884299-0.00497477514261705i</v>
      </c>
      <c r="AP59" s="170" t="str">
        <f t="shared" si="29"/>
        <v>0.166658417136038-0.0016582447008921i</v>
      </c>
      <c r="AQ59" s="170" t="str">
        <f t="shared" si="30"/>
        <v>0.833341582863962+0.0016582447008921i</v>
      </c>
      <c r="AR59" s="170" t="str">
        <f t="shared" si="31"/>
        <v>0.999586146661365-0.00198905042646474i</v>
      </c>
    </row>
    <row r="60" spans="1:44">
      <c r="A60" s="170">
        <v>1.5</v>
      </c>
      <c r="C60" s="170" t="s">
        <v>743</v>
      </c>
      <c r="D60" s="170">
        <f>10^(-D51/20)/O3*'Design Converter'!E40/10*Acs</f>
        <v>1395.0944730586261</v>
      </c>
      <c r="G60" s="688">
        <v>75.858000000000004</v>
      </c>
      <c r="H60" s="676">
        <f t="shared" si="23"/>
        <v>7.5858000000000009E-2</v>
      </c>
      <c r="I60" s="677">
        <f t="shared" si="0"/>
        <v>1.0023533430696181</v>
      </c>
      <c r="J60" s="678">
        <f t="shared" si="1"/>
        <v>6.8538122712648586E-2</v>
      </c>
      <c r="K60" s="678">
        <f t="shared" si="2"/>
        <v>1.0000000054976599</v>
      </c>
      <c r="L60" s="679">
        <f t="shared" si="3"/>
        <v>1.0485857112291015E-4</v>
      </c>
      <c r="M60" s="678">
        <f t="shared" si="4"/>
        <v>1.0000004649302323</v>
      </c>
      <c r="N60" s="679">
        <f t="shared" si="5"/>
        <v>-9.642925409428432E-4</v>
      </c>
      <c r="O60" s="677">
        <f t="shared" si="6"/>
        <v>3145.7573041610831</v>
      </c>
      <c r="P60" s="680">
        <f t="shared" si="7"/>
        <v>1.570478438312044</v>
      </c>
      <c r="Q60" s="689">
        <f t="shared" si="8"/>
        <v>1.008016987971502</v>
      </c>
      <c r="R60" s="690">
        <f t="shared" si="9"/>
        <v>0.12620453054801739</v>
      </c>
      <c r="S60" s="677">
        <f t="shared" si="10"/>
        <v>1.0000000367366004</v>
      </c>
      <c r="T60" s="680">
        <f t="shared" si="11"/>
        <v>2.7105940070765047E-4</v>
      </c>
      <c r="U60" s="681">
        <f t="shared" si="24"/>
        <v>0.99958076673892904</v>
      </c>
      <c r="V60" s="682">
        <f t="shared" si="25"/>
        <v>-7.6366508819578462E-3</v>
      </c>
      <c r="W60" s="683">
        <f t="shared" si="12"/>
        <v>40.061835389083427</v>
      </c>
      <c r="X60" s="684">
        <f t="shared" si="13"/>
        <v>-87.180065006597502</v>
      </c>
      <c r="Y60" s="687">
        <f t="shared" si="14"/>
        <v>92.819934993402498</v>
      </c>
      <c r="AA60" s="170">
        <f t="shared" si="15"/>
        <v>1000000000</v>
      </c>
      <c r="AB60" s="170">
        <f t="shared" si="16"/>
        <v>5754.4361640000006</v>
      </c>
      <c r="AD60" s="686">
        <f t="shared" si="17"/>
        <v>35.220302535123807</v>
      </c>
      <c r="AE60" s="687">
        <f t="shared" si="18"/>
        <v>-82.766330029977667</v>
      </c>
      <c r="AG60" s="686">
        <f t="shared" si="19"/>
        <v>62.578631712114394</v>
      </c>
      <c r="AH60" s="687">
        <f t="shared" si="20"/>
        <v>-3.5386392453177908</v>
      </c>
      <c r="AJ60" s="170">
        <f t="shared" si="21"/>
        <v>0</v>
      </c>
      <c r="AK60" s="170">
        <f t="shared" si="33"/>
        <v>0</v>
      </c>
      <c r="AM60" s="170" t="str">
        <f t="shared" si="26"/>
        <v>0.0000595091518570401+0.0109093887259628i</v>
      </c>
      <c r="AN60" s="170" t="str">
        <f t="shared" si="27"/>
        <v>0.0109096051339376i</v>
      </c>
      <c r="AO60" s="170" t="str">
        <f t="shared" si="28"/>
        <v>0.999980163537347-0.00545474846490264i</v>
      </c>
      <c r="AP60" s="170" t="str">
        <f t="shared" si="29"/>
        <v>0.166656748474691-0.00181823145432713i</v>
      </c>
      <c r="AQ60" s="170" t="str">
        <f t="shared" si="30"/>
        <v>0.833343251525309+0.00181823145432713i</v>
      </c>
      <c r="AR60" s="170" t="str">
        <f t="shared" si="31"/>
        <v>0.999583344578258-0.00218094269679042i</v>
      </c>
    </row>
    <row r="61" spans="1:44">
      <c r="A61" s="170">
        <v>1.8</v>
      </c>
      <c r="C61" s="170" t="s">
        <v>744</v>
      </c>
      <c r="D61" s="170">
        <f>1/(6.28*D60*pole1*2)</f>
        <v>5.1643817086035069E-8</v>
      </c>
      <c r="G61" s="688">
        <v>83.176000000000002</v>
      </c>
      <c r="H61" s="676">
        <f t="shared" si="23"/>
        <v>8.3176E-2</v>
      </c>
      <c r="I61" s="677">
        <f t="shared" si="0"/>
        <v>1.0028286255223691</v>
      </c>
      <c r="J61" s="678">
        <f t="shared" si="1"/>
        <v>7.5126213466099059E-2</v>
      </c>
      <c r="K61" s="678">
        <f t="shared" si="2"/>
        <v>1.0000000066095389</v>
      </c>
      <c r="L61" s="679">
        <f t="shared" si="3"/>
        <v>1.1497424800619814E-4</v>
      </c>
      <c r="M61" s="678">
        <f t="shared" si="4"/>
        <v>1.0000005589604144</v>
      </c>
      <c r="N61" s="679">
        <f t="shared" si="5"/>
        <v>-1.057317505834687E-3</v>
      </c>
      <c r="O61" s="677">
        <f t="shared" si="6"/>
        <v>3449.227600344474</v>
      </c>
      <c r="P61" s="680">
        <f t="shared" si="7"/>
        <v>1.5705064068099386</v>
      </c>
      <c r="Q61" s="689">
        <f t="shared" si="8"/>
        <v>1.0096306511976809</v>
      </c>
      <c r="R61" s="690">
        <f t="shared" si="9"/>
        <v>0.13823161654564445</v>
      </c>
      <c r="S61" s="677">
        <f t="shared" si="10"/>
        <v>1.0000000441664252</v>
      </c>
      <c r="T61" s="680">
        <f t="shared" si="11"/>
        <v>2.972084236545403E-4</v>
      </c>
      <c r="U61" s="681">
        <f t="shared" si="24"/>
        <v>0.99957687701956277</v>
      </c>
      <c r="V61" s="682">
        <f t="shared" si="25"/>
        <v>-8.3733403283848679E-3</v>
      </c>
      <c r="W61" s="683">
        <f t="shared" si="12"/>
        <v>39.271645499457939</v>
      </c>
      <c r="X61" s="684">
        <f t="shared" si="13"/>
        <v>-86.918493787934906</v>
      </c>
      <c r="Y61" s="687">
        <f t="shared" si="14"/>
        <v>93.081506212065094</v>
      </c>
      <c r="AA61" s="170">
        <f t="shared" si="15"/>
        <v>1000000000</v>
      </c>
      <c r="AB61" s="170">
        <f t="shared" si="16"/>
        <v>6918.2469760000004</v>
      </c>
      <c r="AD61" s="686">
        <f t="shared" si="17"/>
        <v>34.434263201431648</v>
      </c>
      <c r="AE61" s="687">
        <f t="shared" si="18"/>
        <v>-82.080329467230811</v>
      </c>
      <c r="AG61" s="686">
        <f t="shared" si="19"/>
        <v>62.574548755998904</v>
      </c>
      <c r="AH61" s="687">
        <f t="shared" si="20"/>
        <v>-3.8786501971214129</v>
      </c>
      <c r="AJ61" s="170">
        <f t="shared" si="21"/>
        <v>0</v>
      </c>
      <c r="AK61" s="170">
        <f t="shared" si="33"/>
        <v>0</v>
      </c>
      <c r="AM61" s="170" t="str">
        <f t="shared" si="26"/>
        <v>0.0000715444871229876+0.0119617664093657i</v>
      </c>
      <c r="AN61" s="170" t="str">
        <f t="shared" si="27"/>
        <v>0.0119620516836773i</v>
      </c>
      <c r="AO61" s="170" t="str">
        <f t="shared" si="28"/>
        <v>0.999976151723873-0.00598095452309514i</v>
      </c>
      <c r="AP61" s="170" t="str">
        <f t="shared" si="29"/>
        <v>0.166654742585479-0.00199362773489428i</v>
      </c>
      <c r="AQ61" s="170" t="str">
        <f t="shared" si="30"/>
        <v>0.833345257414521+0.00199362773489428i</v>
      </c>
      <c r="AR61" s="170" t="str">
        <f t="shared" si="31"/>
        <v>0.99957997624423-0.00239131421959268i</v>
      </c>
    </row>
    <row r="62" spans="1:44">
      <c r="A62" s="170">
        <v>2</v>
      </c>
      <c r="C62" s="170" t="s">
        <v>812</v>
      </c>
      <c r="D62" s="170">
        <f>D61/150</f>
        <v>3.4429211390690049E-10</v>
      </c>
      <c r="G62" s="688">
        <v>91.201000000000008</v>
      </c>
      <c r="H62" s="676">
        <f t="shared" si="23"/>
        <v>9.1201000000000004E-2</v>
      </c>
      <c r="I62" s="677">
        <f t="shared" si="0"/>
        <v>1.0033998108522604</v>
      </c>
      <c r="J62" s="678">
        <f t="shared" si="1"/>
        <v>8.2343262664555675E-2</v>
      </c>
      <c r="K62" s="678">
        <f t="shared" si="2"/>
        <v>1.000000007946471</v>
      </c>
      <c r="L62" s="679">
        <f t="shared" si="3"/>
        <v>1.2606721149210638E-4</v>
      </c>
      <c r="M62" s="678">
        <f t="shared" si="4"/>
        <v>1.0000006720230454</v>
      </c>
      <c r="N62" s="679">
        <f t="shared" si="5"/>
        <v>-1.1593296934372021E-3</v>
      </c>
      <c r="O62" s="677">
        <f t="shared" si="6"/>
        <v>3782.0164970035889</v>
      </c>
      <c r="P62" s="680">
        <f t="shared" si="7"/>
        <v>1.5705319175802768</v>
      </c>
      <c r="Q62" s="689">
        <f t="shared" si="8"/>
        <v>1.0115675243677669</v>
      </c>
      <c r="R62" s="690">
        <f t="shared" si="9"/>
        <v>0.15137442135596066</v>
      </c>
      <c r="S62" s="677">
        <f t="shared" si="10"/>
        <v>1.0000000531001056</v>
      </c>
      <c r="T62" s="680">
        <f t="shared" si="11"/>
        <v>3.2588373189720507E-4</v>
      </c>
      <c r="U62" s="681">
        <f t="shared" si="24"/>
        <v>0.999572200046836</v>
      </c>
      <c r="V62" s="682">
        <f t="shared" si="25"/>
        <v>-9.1811970177639399E-3</v>
      </c>
      <c r="W62" s="683">
        <f t="shared" si="12"/>
        <v>38.48327562721088</v>
      </c>
      <c r="X62" s="684">
        <f t="shared" si="13"/>
        <v>-86.633573700806181</v>
      </c>
      <c r="Y62" s="687">
        <f t="shared" si="14"/>
        <v>93.366426299193819</v>
      </c>
      <c r="AA62" s="170">
        <f t="shared" si="15"/>
        <v>1000000000</v>
      </c>
      <c r="AB62" s="170">
        <f t="shared" si="16"/>
        <v>8317.6224010000005</v>
      </c>
      <c r="AD62" s="686">
        <f t="shared" si="17"/>
        <v>33.650878826898378</v>
      </c>
      <c r="AE62" s="687">
        <f t="shared" si="18"/>
        <v>-81.33040685338959</v>
      </c>
      <c r="AG62" s="686">
        <f t="shared" si="19"/>
        <v>62.569644540205339</v>
      </c>
      <c r="AH62" s="687">
        <f t="shared" si="20"/>
        <v>-4.2510791662224658</v>
      </c>
      <c r="AJ62" s="170">
        <f t="shared" si="21"/>
        <v>0</v>
      </c>
      <c r="AK62" s="170">
        <f t="shared" si="33"/>
        <v>0</v>
      </c>
      <c r="AM62" s="170" t="str">
        <f t="shared" si="26"/>
        <v>0.0000860158065359995+0.0131158001796767i</v>
      </c>
      <c r="AN62" s="170" t="str">
        <f t="shared" si="27"/>
        <v>0.0131161762479928i</v>
      </c>
      <c r="AO62" s="170" t="str">
        <f t="shared" si="28"/>
        <v>0.999971327900069-0.00655799410664085i</v>
      </c>
      <c r="AP62" s="170" t="str">
        <f t="shared" si="29"/>
        <v>0.166652330698911-0.00218596669661278i</v>
      </c>
      <c r="AQ62" s="170" t="str">
        <f t="shared" si="30"/>
        <v>0.833347669301089+0.00218596669661278i</v>
      </c>
      <c r="AR62" s="170" t="str">
        <f t="shared" si="31"/>
        <v>0.99957592620189-0.00262200251576362i</v>
      </c>
    </row>
    <row r="63" spans="1:44">
      <c r="A63" s="170">
        <v>2.5</v>
      </c>
      <c r="G63" s="688">
        <v>100</v>
      </c>
      <c r="H63" s="676">
        <f t="shared" si="23"/>
        <v>0.1</v>
      </c>
      <c r="I63" s="677">
        <f t="shared" si="0"/>
        <v>1.0040860795010194</v>
      </c>
      <c r="J63" s="678">
        <f t="shared" si="1"/>
        <v>9.0246489911171998E-2</v>
      </c>
      <c r="K63" s="678">
        <f t="shared" si="2"/>
        <v>1.0000000095537769</v>
      </c>
      <c r="L63" s="679">
        <f t="shared" si="3"/>
        <v>1.382300757195871E-4</v>
      </c>
      <c r="M63" s="678">
        <f t="shared" si="4"/>
        <v>1.0000008079508391</v>
      </c>
      <c r="N63" s="679">
        <f t="shared" si="5"/>
        <v>-1.2711807857156306E-3</v>
      </c>
      <c r="O63" s="677">
        <f t="shared" si="6"/>
        <v>4146.9024185719245</v>
      </c>
      <c r="P63" s="680">
        <f t="shared" si="7"/>
        <v>1.5705551829461257</v>
      </c>
      <c r="Q63" s="689">
        <f t="shared" si="8"/>
        <v>1.013891202212498</v>
      </c>
      <c r="R63" s="690">
        <f t="shared" si="9"/>
        <v>0.16572435553571999</v>
      </c>
      <c r="S63" s="677">
        <f t="shared" si="10"/>
        <v>1.0000000638404858</v>
      </c>
      <c r="T63" s="680">
        <f t="shared" si="11"/>
        <v>3.573247328031437E-4</v>
      </c>
      <c r="U63" s="681">
        <f t="shared" si="24"/>
        <v>0.999566577310533</v>
      </c>
      <c r="V63" s="682">
        <f t="shared" si="25"/>
        <v>-1.0066963587258173E-2</v>
      </c>
      <c r="W63" s="683">
        <f t="shared" si="12"/>
        <v>37.697210828114848</v>
      </c>
      <c r="X63" s="684">
        <f t="shared" si="13"/>
        <v>-86.323801446153198</v>
      </c>
      <c r="Y63" s="687">
        <f t="shared" si="14"/>
        <v>93.676198553846802</v>
      </c>
      <c r="AA63" s="170">
        <f t="shared" si="15"/>
        <v>1000000000</v>
      </c>
      <c r="AB63" s="170">
        <f t="shared" si="16"/>
        <v>10000</v>
      </c>
      <c r="AD63" s="686">
        <f t="shared" si="17"/>
        <v>32.870800318720718</v>
      </c>
      <c r="AE63" s="687">
        <f t="shared" si="18"/>
        <v>-80.511350631590503</v>
      </c>
      <c r="AG63" s="686">
        <f t="shared" si="19"/>
        <v>62.563755968299859</v>
      </c>
      <c r="AH63" s="687">
        <f t="shared" si="20"/>
        <v>-4.6588617611209955</v>
      </c>
      <c r="AJ63" s="170">
        <f t="shared" si="21"/>
        <v>0</v>
      </c>
      <c r="AK63" s="170">
        <f t="shared" si="33"/>
        <v>0</v>
      </c>
      <c r="AM63" s="170" t="str">
        <f t="shared" si="26"/>
        <v>0.000103413635491045+0.0143811187535069i</v>
      </c>
      <c r="AN63" s="170" t="str">
        <f t="shared" si="27"/>
        <v>0.014381614508605i</v>
      </c>
      <c r="AO63" s="170" t="str">
        <f t="shared" si="28"/>
        <v>0.999965528550511-0.00719068331508741i</v>
      </c>
      <c r="AP63" s="170" t="str">
        <f t="shared" si="29"/>
        <v>0.166649431060752-0.00239685312558448i</v>
      </c>
      <c r="AQ63" s="170" t="str">
        <f t="shared" si="30"/>
        <v>0.833350568939248+0.00239685312558448i</v>
      </c>
      <c r="AR63" s="170" t="str">
        <f t="shared" si="31"/>
        <v>0.999571057201069-0.00287493055383133i</v>
      </c>
    </row>
    <row r="64" spans="1:44">
      <c r="A64" s="170">
        <v>3</v>
      </c>
      <c r="C64" s="170" t="s">
        <v>743</v>
      </c>
      <c r="D64" s="172">
        <f>D60/1000</f>
        <v>1.3950944730586261</v>
      </c>
      <c r="G64" s="688">
        <v>109.65</v>
      </c>
      <c r="H64" s="676">
        <f t="shared" si="23"/>
        <v>0.10965000000000001</v>
      </c>
      <c r="I64" s="677">
        <f t="shared" si="0"/>
        <v>1.0049107227696183</v>
      </c>
      <c r="J64" s="678">
        <f t="shared" si="1"/>
        <v>9.8901067989062577E-2</v>
      </c>
      <c r="K64" s="678">
        <f t="shared" si="2"/>
        <v>1.0000000114866232</v>
      </c>
      <c r="L64" s="679">
        <f t="shared" si="3"/>
        <v>1.5156927783122057E-4</v>
      </c>
      <c r="M64" s="678">
        <f t="shared" si="4"/>
        <v>1.0000009714091118</v>
      </c>
      <c r="N64" s="679">
        <f t="shared" si="5"/>
        <v>-1.3938495796464499E-3</v>
      </c>
      <c r="O64" s="677">
        <f t="shared" si="6"/>
        <v>4547.0784797177166</v>
      </c>
      <c r="P64" s="680">
        <f t="shared" si="7"/>
        <v>1.5705764053634717</v>
      </c>
      <c r="Q64" s="689">
        <f t="shared" si="8"/>
        <v>1.0166784791455907</v>
      </c>
      <c r="R64" s="690">
        <f t="shared" si="9"/>
        <v>0.18138313816107798</v>
      </c>
      <c r="S64" s="677">
        <f t="shared" si="10"/>
        <v>1.0000000767561976</v>
      </c>
      <c r="T64" s="680">
        <f t="shared" si="11"/>
        <v>3.9180656614500677E-4</v>
      </c>
      <c r="U64" s="681">
        <f t="shared" si="24"/>
        <v>0.99955981587709164</v>
      </c>
      <c r="V64" s="682">
        <f t="shared" si="25"/>
        <v>-1.103838862437167E-2</v>
      </c>
      <c r="W64" s="683">
        <f t="shared" si="12"/>
        <v>36.913695555909229</v>
      </c>
      <c r="X64" s="684">
        <f t="shared" si="13"/>
        <v>-85.987604383745236</v>
      </c>
      <c r="Y64" s="687">
        <f t="shared" si="14"/>
        <v>94.012395616254764</v>
      </c>
      <c r="AA64" s="170">
        <f t="shared" si="15"/>
        <v>1000000000</v>
      </c>
      <c r="AB64" s="170">
        <f t="shared" si="16"/>
        <v>12023.122500000001</v>
      </c>
      <c r="AD64" s="686">
        <f t="shared" si="17"/>
        <v>32.094473048822735</v>
      </c>
      <c r="AE64" s="687">
        <f t="shared" si="18"/>
        <v>-79.617360092288521</v>
      </c>
      <c r="AG64" s="686">
        <f t="shared" si="19"/>
        <v>62.556685475450081</v>
      </c>
      <c r="AH64" s="687">
        <f t="shared" si="20"/>
        <v>-5.1053381284079276</v>
      </c>
      <c r="AJ64" s="170">
        <f t="shared" si="21"/>
        <v>0</v>
      </c>
      <c r="AK64" s="170">
        <f t="shared" si="33"/>
        <v>0</v>
      </c>
      <c r="AM64" s="170" t="str">
        <f t="shared" si="26"/>
        <v>0.000124335047204993+0.0157687867385661i</v>
      </c>
      <c r="AN64" s="170" t="str">
        <f t="shared" si="27"/>
        <v>0.0157694403086854i</v>
      </c>
      <c r="AO64" s="170" t="str">
        <f t="shared" si="28"/>
        <v>0.999958554640716-0.00788455676112439i</v>
      </c>
      <c r="AP64" s="170" t="str">
        <f t="shared" si="29"/>
        <v>0.166645944158799-0.00262813112309435i</v>
      </c>
      <c r="AQ64" s="170" t="str">
        <f t="shared" si="30"/>
        <v>0.833354055841201+0.00262813112309435i</v>
      </c>
      <c r="AR64" s="170" t="str">
        <f t="shared" si="31"/>
        <v>0.99956520218907-0.00315230771245658i</v>
      </c>
    </row>
    <row r="65" spans="1:44">
      <c r="A65" s="170">
        <v>4</v>
      </c>
      <c r="C65" s="170" t="s">
        <v>744</v>
      </c>
      <c r="D65" s="172">
        <f>D61*1000000000</f>
        <v>51.643817086035071</v>
      </c>
      <c r="G65" s="688">
        <v>120.23</v>
      </c>
      <c r="H65" s="676">
        <f t="shared" si="23"/>
        <v>0.12023</v>
      </c>
      <c r="I65" s="677">
        <f t="shared" si="0"/>
        <v>1.0059011865325707</v>
      </c>
      <c r="J65" s="678">
        <f t="shared" si="1"/>
        <v>0.108372615720842</v>
      </c>
      <c r="K65" s="678">
        <f t="shared" si="2"/>
        <v>1.0000000138102263</v>
      </c>
      <c r="L65" s="679">
        <f t="shared" si="3"/>
        <v>1.66194019566062E-4</v>
      </c>
      <c r="M65" s="678">
        <f t="shared" si="4"/>
        <v>1.0000011679131606</v>
      </c>
      <c r="N65" s="679">
        <f t="shared" si="5"/>
        <v>-1.5283402919028448E-3</v>
      </c>
      <c r="O65" s="677">
        <f t="shared" si="6"/>
        <v>4985.8207331697931</v>
      </c>
      <c r="P65" s="680">
        <f t="shared" si="7"/>
        <v>1.5705957580098917</v>
      </c>
      <c r="Q65" s="689">
        <f t="shared" si="8"/>
        <v>1.0200191688013067</v>
      </c>
      <c r="R65" s="690">
        <f t="shared" si="9"/>
        <v>0.19844799704967744</v>
      </c>
      <c r="S65" s="677">
        <f t="shared" si="10"/>
        <v>1.0000000922830352</v>
      </c>
      <c r="T65" s="680">
        <f t="shared" si="11"/>
        <v>4.296115181030554E-4</v>
      </c>
      <c r="U65" s="681">
        <f t="shared" si="24"/>
        <v>0.99955168767926916</v>
      </c>
      <c r="V65" s="682">
        <f t="shared" si="25"/>
        <v>-1.210342110278087E-2</v>
      </c>
      <c r="W65" s="683">
        <f t="shared" si="12"/>
        <v>36.133479582818509</v>
      </c>
      <c r="X65" s="684">
        <f t="shared" si="13"/>
        <v>-85.623704270943549</v>
      </c>
      <c r="Y65" s="687">
        <f t="shared" si="14"/>
        <v>94.376295729056451</v>
      </c>
      <c r="AA65" s="170">
        <f t="shared" si="15"/>
        <v>1000000000</v>
      </c>
      <c r="AB65" s="170">
        <f t="shared" si="16"/>
        <v>14455.252900000001</v>
      </c>
      <c r="AD65" s="686">
        <f t="shared" si="17"/>
        <v>31.322882782694176</v>
      </c>
      <c r="AE65" s="687">
        <f t="shared" si="18"/>
        <v>-78.642890588026134</v>
      </c>
      <c r="AG65" s="686">
        <f t="shared" si="19"/>
        <v>62.548201032502703</v>
      </c>
      <c r="AH65" s="687">
        <f t="shared" si="20"/>
        <v>-5.5938637876147386</v>
      </c>
      <c r="AJ65" s="170">
        <f t="shared" si="21"/>
        <v>0</v>
      </c>
      <c r="AK65" s="170">
        <f t="shared" si="33"/>
        <v>0</v>
      </c>
      <c r="AM65" s="170" t="str">
        <f t="shared" si="26"/>
        <v>0.000149485877517952+0.0172901535275862i</v>
      </c>
      <c r="AN65" s="170" t="str">
        <f t="shared" si="27"/>
        <v>0.0172910151236958i</v>
      </c>
      <c r="AO65" s="170" t="str">
        <f t="shared" si="28"/>
        <v>0.999950170877566-0.00864529216177105i</v>
      </c>
      <c r="AP65" s="170" t="str">
        <f t="shared" si="29"/>
        <v>0.166641752353747-0.0028816922545977i</v>
      </c>
      <c r="AQ65" s="170" t="str">
        <f t="shared" si="30"/>
        <v>0.833358247646253+0.0028816922545977i</v>
      </c>
      <c r="AR65" s="170" t="str">
        <f t="shared" si="31"/>
        <v>0.999558163698603-0.00345639948543817i</v>
      </c>
    </row>
    <row r="66" spans="1:44">
      <c r="A66" s="170">
        <v>5</v>
      </c>
      <c r="C66" s="170" t="s">
        <v>812</v>
      </c>
      <c r="D66" s="172">
        <f>D62*1000000000000</f>
        <v>344.29211390690051</v>
      </c>
      <c r="G66" s="688">
        <v>131.83000000000001</v>
      </c>
      <c r="H66" s="676">
        <f t="shared" si="23"/>
        <v>0.13183</v>
      </c>
      <c r="I66" s="677">
        <f t="shared" si="0"/>
        <v>1.0070906280566294</v>
      </c>
      <c r="J66" s="678">
        <f t="shared" si="1"/>
        <v>0.11873485170179263</v>
      </c>
      <c r="K66" s="678">
        <f t="shared" si="2"/>
        <v>1.0000000166036511</v>
      </c>
      <c r="L66" s="679">
        <f t="shared" si="3"/>
        <v>1.8222870796467204E-4</v>
      </c>
      <c r="M66" s="678">
        <f t="shared" si="4"/>
        <v>1.0000014041493748</v>
      </c>
      <c r="N66" s="679">
        <f t="shared" si="5"/>
        <v>-1.6757969637375262E-3</v>
      </c>
      <c r="O66" s="677">
        <f t="shared" si="6"/>
        <v>5466.8613909135584</v>
      </c>
      <c r="P66" s="680">
        <f t="shared" si="7"/>
        <v>1.5706134064802826</v>
      </c>
      <c r="Q66" s="689">
        <f t="shared" si="8"/>
        <v>1.0240209040561679</v>
      </c>
      <c r="R66" s="690">
        <f t="shared" si="9"/>
        <v>0.21702406238485503</v>
      </c>
      <c r="S66" s="677">
        <f t="shared" si="10"/>
        <v>1.0000001109493282</v>
      </c>
      <c r="T66" s="680">
        <f t="shared" si="11"/>
        <v>4.7106118046028712E-4</v>
      </c>
      <c r="U66" s="681">
        <f t="shared" si="24"/>
        <v>0.99954191624568844</v>
      </c>
      <c r="V66" s="682">
        <f t="shared" si="25"/>
        <v>-1.3271116071461213E-2</v>
      </c>
      <c r="W66" s="683">
        <f t="shared" si="12"/>
        <v>35.357113612812512</v>
      </c>
      <c r="X66" s="684">
        <f t="shared" si="13"/>
        <v>-85.230906506890562</v>
      </c>
      <c r="Y66" s="687">
        <f t="shared" si="14"/>
        <v>94.769093493109438</v>
      </c>
      <c r="AA66" s="170">
        <f t="shared" si="15"/>
        <v>1000000000</v>
      </c>
      <c r="AB66" s="170">
        <f t="shared" si="16"/>
        <v>17379.148900000004</v>
      </c>
      <c r="AD66" s="686">
        <f t="shared" si="17"/>
        <v>30.556864329179142</v>
      </c>
      <c r="AE66" s="687">
        <f t="shared" si="18"/>
        <v>-77.581946516732458</v>
      </c>
      <c r="AG66" s="686">
        <f t="shared" si="19"/>
        <v>62.538023340163093</v>
      </c>
      <c r="AH66" s="687">
        <f t="shared" si="20"/>
        <v>-6.1282021077744639</v>
      </c>
      <c r="AJ66" s="170">
        <f t="shared" si="21"/>
        <v>0</v>
      </c>
      <c r="AK66" s="170">
        <f t="shared" si="33"/>
        <v>0</v>
      </c>
      <c r="AM66" s="170" t="str">
        <f t="shared" si="26"/>
        <v>0.000179721811109035+0.0189581465942277i</v>
      </c>
      <c r="AN66" s="170" t="str">
        <f t="shared" si="27"/>
        <v>0.018959282406694i</v>
      </c>
      <c r="AO66" s="170" t="str">
        <f t="shared" si="28"/>
        <v>0.999940092011821-0.00947935724854123i</v>
      </c>
      <c r="AP66" s="170" t="str">
        <f t="shared" si="29"/>
        <v>0.166636713031482-0.00315969109903795i</v>
      </c>
      <c r="AQ66" s="170" t="str">
        <f t="shared" si="30"/>
        <v>0.833363286968518+0.00315969109903795i</v>
      </c>
      <c r="AR66" s="170" t="str">
        <f t="shared" si="31"/>
        <v>0.999549702360732-0.00378978573568306i</v>
      </c>
    </row>
    <row r="67" spans="1:44">
      <c r="A67" s="170">
        <v>6</v>
      </c>
      <c r="G67" s="688">
        <v>144.54</v>
      </c>
      <c r="H67" s="676">
        <f t="shared" si="23"/>
        <v>0.14454</v>
      </c>
      <c r="I67" s="677">
        <f t="shared" si="0"/>
        <v>1.0085177250240485</v>
      </c>
      <c r="J67" s="678">
        <f t="shared" si="1"/>
        <v>0.13005922911579715</v>
      </c>
      <c r="K67" s="678">
        <f t="shared" si="2"/>
        <v>1.0000000199595709</v>
      </c>
      <c r="L67" s="679">
        <f t="shared" si="3"/>
        <v>1.9979775005905508E-4</v>
      </c>
      <c r="M67" s="678">
        <f t="shared" si="4"/>
        <v>1.0000016879549283</v>
      </c>
      <c r="N67" s="679">
        <f t="shared" si="5"/>
        <v>-1.8373636297490377E-3</v>
      </c>
      <c r="O67" s="677">
        <f t="shared" si="6"/>
        <v>5993.9326649468876</v>
      </c>
      <c r="P67" s="680">
        <f t="shared" si="7"/>
        <v>1.5706294914197703</v>
      </c>
      <c r="Q67" s="689">
        <f t="shared" si="8"/>
        <v>1.0288078614537561</v>
      </c>
      <c r="R67" s="690">
        <f t="shared" si="9"/>
        <v>0.23720400141549763</v>
      </c>
      <c r="S67" s="677">
        <f t="shared" si="10"/>
        <v>1.0000001333743354</v>
      </c>
      <c r="T67" s="680">
        <f t="shared" si="11"/>
        <v>5.1647714485190228E-4</v>
      </c>
      <c r="U67" s="681">
        <f t="shared" si="24"/>
        <v>0.99953017755827223</v>
      </c>
      <c r="V67" s="682">
        <f t="shared" si="25"/>
        <v>-1.4550526961422033E-2</v>
      </c>
      <c r="W67" s="683">
        <f t="shared" si="12"/>
        <v>34.585747379733135</v>
      </c>
      <c r="X67" s="684">
        <f t="shared" si="13"/>
        <v>-84.80859924315331</v>
      </c>
      <c r="Y67" s="687">
        <f t="shared" si="14"/>
        <v>95.19140075684669</v>
      </c>
      <c r="AA67" s="170">
        <f t="shared" si="15"/>
        <v>1000000000</v>
      </c>
      <c r="AB67" s="170">
        <f t="shared" si="16"/>
        <v>20891.811599999997</v>
      </c>
      <c r="AD67" s="686">
        <f t="shared" si="17"/>
        <v>29.797897230545093</v>
      </c>
      <c r="AE67" s="687">
        <f t="shared" si="18"/>
        <v>-76.429244920356666</v>
      </c>
      <c r="AG67" s="686">
        <f t="shared" si="19"/>
        <v>62.525828222258653</v>
      </c>
      <c r="AH67" s="687">
        <f t="shared" si="20"/>
        <v>-6.7119867517297997</v>
      </c>
      <c r="AJ67" s="170">
        <f t="shared" si="21"/>
        <v>0</v>
      </c>
      <c r="AK67" s="170">
        <f t="shared" si="33"/>
        <v>0</v>
      </c>
      <c r="AM67" s="170" t="str">
        <f t="shared" si="26"/>
        <v>0.000216045763063999+0.0207856885947161i</v>
      </c>
      <c r="AN67" s="170" t="str">
        <f t="shared" si="27"/>
        <v>0.0207871856107376i</v>
      </c>
      <c r="AO67" s="170" t="str">
        <f t="shared" si="28"/>
        <v>0.999927983708351-0.0103932185486621i</v>
      </c>
      <c r="AP67" s="170" t="str">
        <f t="shared" si="29"/>
        <v>0.166630659039489-0.00346428143245268i</v>
      </c>
      <c r="AQ67" s="170" t="str">
        <f t="shared" si="30"/>
        <v>0.833369340960511+0.00346428143245268i</v>
      </c>
      <c r="AR67" s="170" t="str">
        <f t="shared" si="31"/>
        <v>0.999539537653531-0.00415504397762521i</v>
      </c>
    </row>
    <row r="68" spans="1:44">
      <c r="A68" s="170">
        <v>7</v>
      </c>
      <c r="G68" s="688">
        <v>158.49</v>
      </c>
      <c r="H68" s="676">
        <f t="shared" si="23"/>
        <v>0.15849000000000002</v>
      </c>
      <c r="I68" s="677">
        <f t="shared" si="0"/>
        <v>1.0102324735362225</v>
      </c>
      <c r="J68" s="678">
        <f t="shared" si="1"/>
        <v>0.14244982098313591</v>
      </c>
      <c r="K68" s="678">
        <f t="shared" si="2"/>
        <v>1.0000000239982088</v>
      </c>
      <c r="L68" s="679">
        <f t="shared" si="3"/>
        <v>2.1908084489830808E-4</v>
      </c>
      <c r="M68" s="678">
        <f t="shared" si="4"/>
        <v>1.0000020294969445</v>
      </c>
      <c r="N68" s="679">
        <f t="shared" si="5"/>
        <v>-2.0146927865883238E-3</v>
      </c>
      <c r="O68" s="677">
        <f t="shared" si="6"/>
        <v>6572.4255281756159</v>
      </c>
      <c r="P68" s="680">
        <f t="shared" si="7"/>
        <v>1.5706441759641916</v>
      </c>
      <c r="Q68" s="689">
        <f t="shared" si="8"/>
        <v>1.0345392963994011</v>
      </c>
      <c r="R68" s="690">
        <f t="shared" si="9"/>
        <v>0.25912779235270406</v>
      </c>
      <c r="S68" s="677">
        <f t="shared" si="10"/>
        <v>1.0000001603614197</v>
      </c>
      <c r="T68" s="680">
        <f t="shared" si="11"/>
        <v>5.663239325782943E-4</v>
      </c>
      <c r="U68" s="681">
        <f t="shared" si="24"/>
        <v>0.99951605130589771</v>
      </c>
      <c r="V68" s="682">
        <f t="shared" si="25"/>
        <v>-1.5954731493823818E-2</v>
      </c>
      <c r="W68" s="683">
        <f t="shared" si="12"/>
        <v>33.818849677686572</v>
      </c>
      <c r="X68" s="684">
        <f t="shared" si="13"/>
        <v>-84.355594909253682</v>
      </c>
      <c r="Y68" s="687">
        <f t="shared" si="14"/>
        <v>95.644405090746318</v>
      </c>
      <c r="AA68" s="170">
        <f t="shared" si="15"/>
        <v>1000000000</v>
      </c>
      <c r="AB68" s="170">
        <f t="shared" si="16"/>
        <v>25119.080100000003</v>
      </c>
      <c r="AD68" s="686">
        <f t="shared" si="17"/>
        <v>29.045875067424451</v>
      </c>
      <c r="AE68" s="687">
        <f t="shared" si="18"/>
        <v>-75.176801600274899</v>
      </c>
      <c r="AG68" s="686">
        <f t="shared" si="19"/>
        <v>62.51119819855365</v>
      </c>
      <c r="AH68" s="687">
        <f t="shared" si="20"/>
        <v>-7.3505157511685599</v>
      </c>
      <c r="AJ68" s="170">
        <f t="shared" si="21"/>
        <v>0</v>
      </c>
      <c r="AK68" s="170">
        <f t="shared" si="33"/>
        <v>0</v>
      </c>
      <c r="AM68" s="170" t="str">
        <f t="shared" si="26"/>
        <v>0.000259758770124963+0.022791447203521i</v>
      </c>
      <c r="AN68" s="170" t="str">
        <f t="shared" si="27"/>
        <v>0.022793420834688i</v>
      </c>
      <c r="AO68" s="170" t="str">
        <f t="shared" si="28"/>
        <v>0.999913412243765-0.0113962170052883i</v>
      </c>
      <c r="AP68" s="170" t="str">
        <f t="shared" si="29"/>
        <v>0.166623373538312-0.00379857453392017i</v>
      </c>
      <c r="AQ68" s="170" t="str">
        <f t="shared" si="30"/>
        <v>0.833376626461688+0.00379857453392017i</v>
      </c>
      <c r="AR68" s="170" t="str">
        <f t="shared" si="31"/>
        <v>0.999527305701178-0.00455589807637697i</v>
      </c>
    </row>
    <row r="69" spans="1:44">
      <c r="A69" s="170">
        <v>8</v>
      </c>
      <c r="G69" s="688">
        <v>173.78</v>
      </c>
      <c r="H69" s="676">
        <f t="shared" si="23"/>
        <v>0.17377999999999999</v>
      </c>
      <c r="I69" s="677">
        <f t="shared" si="0"/>
        <v>1.012289446404689</v>
      </c>
      <c r="J69" s="678">
        <f t="shared" si="1"/>
        <v>0.15598008572778768</v>
      </c>
      <c r="K69" s="678">
        <f t="shared" si="2"/>
        <v>1.0000000288519175</v>
      </c>
      <c r="L69" s="679">
        <f t="shared" si="3"/>
        <v>2.4021622249501424E-4</v>
      </c>
      <c r="M69" s="678">
        <f t="shared" si="4"/>
        <v>1.0000024399682079</v>
      </c>
      <c r="N69" s="679">
        <f t="shared" si="5"/>
        <v>-2.2090555659401425E-3</v>
      </c>
      <c r="O69" s="677">
        <f t="shared" si="6"/>
        <v>7206.486882846335</v>
      </c>
      <c r="P69" s="680">
        <f t="shared" si="7"/>
        <v>1.5706575629256958</v>
      </c>
      <c r="Q69" s="689">
        <f t="shared" si="8"/>
        <v>1.0413857046984394</v>
      </c>
      <c r="R69" s="690">
        <f t="shared" si="9"/>
        <v>0.28286762182105418</v>
      </c>
      <c r="S69" s="677">
        <f t="shared" si="10"/>
        <v>1.0000001927949884</v>
      </c>
      <c r="T69" s="680">
        <f t="shared" si="11"/>
        <v>6.2095886728167791E-4</v>
      </c>
      <c r="U69" s="681">
        <f t="shared" si="24"/>
        <v>0.99949907486872347</v>
      </c>
      <c r="V69" s="682">
        <f t="shared" si="25"/>
        <v>-1.7493784691975222E-2</v>
      </c>
      <c r="W69" s="683">
        <f t="shared" si="12"/>
        <v>33.05837165205218</v>
      </c>
      <c r="X69" s="684">
        <f t="shared" si="13"/>
        <v>-83.872633758652199</v>
      </c>
      <c r="Y69" s="687">
        <f t="shared" si="14"/>
        <v>96.127366241347801</v>
      </c>
      <c r="AA69" s="170">
        <f t="shared" si="15"/>
        <v>1000000000</v>
      </c>
      <c r="AB69" s="170">
        <f t="shared" si="16"/>
        <v>30199.488400000002</v>
      </c>
      <c r="AD69" s="686">
        <f t="shared" si="17"/>
        <v>28.303208652769769</v>
      </c>
      <c r="AE69" s="687">
        <f t="shared" si="18"/>
        <v>-73.820506931395499</v>
      </c>
      <c r="AG69" s="686">
        <f t="shared" si="19"/>
        <v>62.493681643790005</v>
      </c>
      <c r="AH69" s="687">
        <f t="shared" si="20"/>
        <v>-8.0474867638445637</v>
      </c>
      <c r="AJ69" s="170">
        <f t="shared" si="21"/>
        <v>0</v>
      </c>
      <c r="AK69" s="170">
        <f t="shared" si="33"/>
        <v>0</v>
      </c>
      <c r="AM69" s="170" t="str">
        <f t="shared" si="26"/>
        <v>0.000312293015594989+0.0249897679913851i</v>
      </c>
      <c r="AN69" s="170" t="str">
        <f t="shared" si="27"/>
        <v>0.0249923696930537i</v>
      </c>
      <c r="AO69" s="170" t="str">
        <f t="shared" si="28"/>
        <v>0.999895900160707-0.0124955344143211i</v>
      </c>
      <c r="AP69" s="170" t="str">
        <f t="shared" si="29"/>
        <v>0.166614617830734-0.00416496133189752i</v>
      </c>
      <c r="AQ69" s="170" t="str">
        <f t="shared" si="30"/>
        <v>0.833385382169266+0.00416496133189752i</v>
      </c>
      <c r="AR69" s="170" t="str">
        <f t="shared" si="31"/>
        <v>0.999512606032863-0.00499520563227911i</v>
      </c>
    </row>
    <row r="70" spans="1:44">
      <c r="A70" s="170">
        <v>9</v>
      </c>
      <c r="G70" s="688">
        <v>190.55</v>
      </c>
      <c r="H70" s="676">
        <f t="shared" si="23"/>
        <v>0.19055000000000002</v>
      </c>
      <c r="I70" s="677">
        <f t="shared" si="0"/>
        <v>1.0147576861032674</v>
      </c>
      <c r="J70" s="678">
        <f t="shared" si="1"/>
        <v>0.17075392583803098</v>
      </c>
      <c r="K70" s="678">
        <f t="shared" si="2"/>
        <v>1.0000000346890974</v>
      </c>
      <c r="L70" s="679">
        <f t="shared" si="3"/>
        <v>2.6339740486995452E-4</v>
      </c>
      <c r="M70" s="678">
        <f t="shared" si="4"/>
        <v>1.0000029336100238</v>
      </c>
      <c r="N70" s="679">
        <f t="shared" si="5"/>
        <v>-2.4222315546242436E-3</v>
      </c>
      <c r="O70" s="677">
        <f t="shared" si="6"/>
        <v>7901.9223921147432</v>
      </c>
      <c r="P70" s="680">
        <f t="shared" si="7"/>
        <v>1.5706697753112138</v>
      </c>
      <c r="Q70" s="689">
        <f t="shared" si="8"/>
        <v>1.0495602016614596</v>
      </c>
      <c r="R70" s="690">
        <f t="shared" si="9"/>
        <v>0.30853311986199045</v>
      </c>
      <c r="S70" s="677">
        <f t="shared" si="10"/>
        <v>1.0000002318003314</v>
      </c>
      <c r="T70" s="680">
        <f t="shared" si="11"/>
        <v>6.8088220211581459E-4</v>
      </c>
      <c r="U70" s="681">
        <f t="shared" si="24"/>
        <v>0.99947865970559013</v>
      </c>
      <c r="V70" s="682">
        <f t="shared" si="25"/>
        <v>-1.9181764188437939E-2</v>
      </c>
      <c r="W70" s="683">
        <f t="shared" si="12"/>
        <v>32.304777091290227</v>
      </c>
      <c r="X70" s="684">
        <f t="shared" si="13"/>
        <v>-83.360320800649063</v>
      </c>
      <c r="Y70" s="687">
        <f t="shared" si="14"/>
        <v>96.639679199350937</v>
      </c>
      <c r="AA70" s="170">
        <f t="shared" si="15"/>
        <v>1000000000</v>
      </c>
      <c r="AB70" s="170">
        <f t="shared" si="16"/>
        <v>36309.302500000005</v>
      </c>
      <c r="AD70" s="686">
        <f t="shared" si="17"/>
        <v>27.570939974969328</v>
      </c>
      <c r="AE70" s="687">
        <f t="shared" si="18"/>
        <v>-72.354115285201289</v>
      </c>
      <c r="AG70" s="686">
        <f t="shared" si="19"/>
        <v>62.472710589901084</v>
      </c>
      <c r="AH70" s="687">
        <f t="shared" si="20"/>
        <v>-8.808137249710752</v>
      </c>
      <c r="AJ70" s="170">
        <f t="shared" si="21"/>
        <v>0</v>
      </c>
      <c r="AK70" s="170">
        <f t="shared" si="33"/>
        <v>0</v>
      </c>
      <c r="AM70" s="170" t="str">
        <f t="shared" si="26"/>
        <v>0.000375470670579969+0.0274007365400353i</v>
      </c>
      <c r="AN70" s="170" t="str">
        <f t="shared" si="27"/>
        <v>0.0274041664461468i</v>
      </c>
      <c r="AO70" s="170" t="str">
        <f t="shared" si="28"/>
        <v>0.999874839976679-0.0137012257357955i</v>
      </c>
      <c r="AP70" s="170" t="str">
        <f t="shared" si="29"/>
        <v>0.16660408822157-0.00456678942333922i</v>
      </c>
      <c r="AQ70" s="170" t="str">
        <f t="shared" si="30"/>
        <v>0.83339591177843+0.00456678942333922i</v>
      </c>
      <c r="AR70" s="170" t="str">
        <f t="shared" si="31"/>
        <v>0.999494929201434-0.00547696815744859i</v>
      </c>
    </row>
    <row r="71" spans="1:44">
      <c r="A71" s="170">
        <v>10</v>
      </c>
      <c r="G71" s="688">
        <v>208.93</v>
      </c>
      <c r="H71" s="676">
        <f t="shared" si="23"/>
        <v>0.20893</v>
      </c>
      <c r="I71" s="677">
        <f t="shared" si="0"/>
        <v>1.0177159629074539</v>
      </c>
      <c r="J71" s="678">
        <f t="shared" si="1"/>
        <v>0.18685989781898008</v>
      </c>
      <c r="K71" s="678">
        <f t="shared" si="2"/>
        <v>1.000000041703903</v>
      </c>
      <c r="L71" s="679">
        <f t="shared" si="3"/>
        <v>2.8880409101087482E-4</v>
      </c>
      <c r="M71" s="678">
        <f t="shared" si="4"/>
        <v>1.000003526841597</v>
      </c>
      <c r="N71" s="679">
        <f t="shared" si="5"/>
        <v>-2.6558732015795543E-3</v>
      </c>
      <c r="O71" s="677">
        <f t="shared" si="6"/>
        <v>8664.1230289206451</v>
      </c>
      <c r="P71" s="680">
        <f t="shared" si="7"/>
        <v>1.5706809083043141</v>
      </c>
      <c r="Q71" s="689">
        <f t="shared" si="8"/>
        <v>1.0593004159067152</v>
      </c>
      <c r="R71" s="690">
        <f t="shared" si="9"/>
        <v>0.33618739538495035</v>
      </c>
      <c r="S71" s="677">
        <f t="shared" si="10"/>
        <v>1.0000002786748299</v>
      </c>
      <c r="T71" s="680">
        <f t="shared" si="11"/>
        <v>7.4655845732134955E-4</v>
      </c>
      <c r="U71" s="681">
        <f t="shared" si="24"/>
        <v>0.99945412743942763</v>
      </c>
      <c r="V71" s="682">
        <f t="shared" si="25"/>
        <v>-2.1031736106551954E-2</v>
      </c>
      <c r="W71" s="683">
        <f t="shared" si="12"/>
        <v>31.559682717808496</v>
      </c>
      <c r="X71" s="684">
        <f t="shared" si="13"/>
        <v>-82.820979159822457</v>
      </c>
      <c r="Y71" s="687">
        <f t="shared" si="14"/>
        <v>97.179020840177543</v>
      </c>
      <c r="AA71" s="170">
        <f t="shared" si="15"/>
        <v>1000000000</v>
      </c>
      <c r="AB71" s="170">
        <f t="shared" si="16"/>
        <v>43651.744900000005</v>
      </c>
      <c r="AD71" s="686">
        <f t="shared" si="17"/>
        <v>26.851338326248428</v>
      </c>
      <c r="AE71" s="687">
        <f t="shared" si="18"/>
        <v>-70.774042856193745</v>
      </c>
      <c r="AG71" s="686">
        <f t="shared" si="19"/>
        <v>62.447644261781186</v>
      </c>
      <c r="AH71" s="687">
        <f t="shared" si="20"/>
        <v>-9.6368768713981492</v>
      </c>
      <c r="AJ71" s="170">
        <f t="shared" si="21"/>
        <v>0</v>
      </c>
      <c r="AK71" s="170">
        <f t="shared" si="33"/>
        <v>0</v>
      </c>
      <c r="AM71" s="170" t="str">
        <f t="shared" si="26"/>
        <v>0.000451392380983018+0.0300429859848238i</v>
      </c>
      <c r="AN71" s="170" t="str">
        <f t="shared" si="27"/>
        <v>0.0300475071928284i</v>
      </c>
      <c r="AO71" s="170" t="str">
        <f t="shared" si="28"/>
        <v>0.999849531344628-0.0150226232774063i</v>
      </c>
      <c r="AP71" s="170" t="str">
        <f t="shared" si="29"/>
        <v>0.166591434603169-0.00500716433080397i</v>
      </c>
      <c r="AQ71" s="170" t="str">
        <f t="shared" si="30"/>
        <v>0.833408565396831+0.00500716433080397i</v>
      </c>
      <c r="AR71" s="170" t="str">
        <f t="shared" si="31"/>
        <v>0.99947368805707-0.00600489268793815i</v>
      </c>
    </row>
    <row r="72" spans="1:44">
      <c r="A72" s="170">
        <v>11</v>
      </c>
      <c r="G72" s="688">
        <v>229.09</v>
      </c>
      <c r="H72" s="676">
        <f t="shared" si="23"/>
        <v>0.22909000000000002</v>
      </c>
      <c r="I72" s="677">
        <f t="shared" si="0"/>
        <v>1.0212624226168632</v>
      </c>
      <c r="J72" s="678">
        <f t="shared" si="1"/>
        <v>0.20441326686138164</v>
      </c>
      <c r="K72" s="678">
        <f t="shared" si="2"/>
        <v>1.0000000501403492</v>
      </c>
      <c r="L72" s="679">
        <f t="shared" si="3"/>
        <v>3.166712718976012E-4</v>
      </c>
      <c r="M72" s="678">
        <f t="shared" si="4"/>
        <v>1.0000042402987452</v>
      </c>
      <c r="N72" s="679">
        <f t="shared" si="5"/>
        <v>-2.9121413983456941E-3</v>
      </c>
      <c r="O72" s="677">
        <f t="shared" si="6"/>
        <v>9500.138527119012</v>
      </c>
      <c r="P72" s="680">
        <f t="shared" si="7"/>
        <v>1.5706910651717116</v>
      </c>
      <c r="Q72" s="689">
        <f t="shared" si="8"/>
        <v>1.0708972754437383</v>
      </c>
      <c r="R72" s="690">
        <f t="shared" si="9"/>
        <v>0.36591606423156875</v>
      </c>
      <c r="S72" s="677">
        <f t="shared" si="10"/>
        <v>1.0000003350490481</v>
      </c>
      <c r="T72" s="680">
        <f t="shared" si="11"/>
        <v>8.185950823720665E-4</v>
      </c>
      <c r="U72" s="681">
        <f t="shared" si="24"/>
        <v>0.99942462565799917</v>
      </c>
      <c r="V72" s="682">
        <f t="shared" si="25"/>
        <v>-2.306078613404406E-2</v>
      </c>
      <c r="W72" s="683">
        <f t="shared" si="12"/>
        <v>30.823683656272692</v>
      </c>
      <c r="X72" s="684">
        <f t="shared" si="13"/>
        <v>-82.257437623553756</v>
      </c>
      <c r="Y72" s="687">
        <f t="shared" si="14"/>
        <v>97.742562376446244</v>
      </c>
      <c r="AA72" s="170">
        <f t="shared" si="15"/>
        <v>1000000000</v>
      </c>
      <c r="AB72" s="170">
        <f t="shared" si="16"/>
        <v>52482.2281</v>
      </c>
      <c r="AD72" s="686">
        <f t="shared" si="17"/>
        <v>26.14580470398252</v>
      </c>
      <c r="AE72" s="687">
        <f t="shared" si="18"/>
        <v>-69.075424939020223</v>
      </c>
      <c r="AG72" s="686">
        <f t="shared" si="19"/>
        <v>62.417691608426367</v>
      </c>
      <c r="AH72" s="687">
        <f t="shared" si="20"/>
        <v>-10.539441246044873</v>
      </c>
      <c r="AJ72" s="170">
        <f t="shared" si="21"/>
        <v>0</v>
      </c>
      <c r="AK72" s="170">
        <f t="shared" si="33"/>
        <v>0</v>
      </c>
      <c r="AM72" s="170" t="str">
        <f t="shared" si="26"/>
        <v>0.000542698061353986+0.0329408803999132i</v>
      </c>
      <c r="AN72" s="170" t="str">
        <f t="shared" si="27"/>
        <v>0.0329468406777632i</v>
      </c>
      <c r="AO72" s="170" t="str">
        <f t="shared" si="28"/>
        <v>0.999819094100454-0.016471930242473i</v>
      </c>
      <c r="AP72" s="170" t="str">
        <f t="shared" si="29"/>
        <v>0.166576216989774-0.00549014673331887i</v>
      </c>
      <c r="AQ72" s="170" t="str">
        <f t="shared" si="30"/>
        <v>0.833423783010226+0.00549014673331887i</v>
      </c>
      <c r="AR72" s="170" t="str">
        <f t="shared" si="31"/>
        <v>0.999448144882513-0.00658382575540324i</v>
      </c>
    </row>
    <row r="73" spans="1:44">
      <c r="A73" s="170">
        <v>12</v>
      </c>
      <c r="G73" s="688">
        <v>251.19</v>
      </c>
      <c r="H73" s="676">
        <f t="shared" si="23"/>
        <v>0.25119000000000002</v>
      </c>
      <c r="I73" s="677">
        <f t="shared" si="0"/>
        <v>1.0255090153418434</v>
      </c>
      <c r="J73" s="678">
        <f t="shared" si="1"/>
        <v>0.22350975146195487</v>
      </c>
      <c r="K73" s="678">
        <f t="shared" si="2"/>
        <v>1.0000000602809074</v>
      </c>
      <c r="L73" s="679">
        <f t="shared" si="3"/>
        <v>3.4722011545771091E-4</v>
      </c>
      <c r="M73" s="678">
        <f t="shared" si="4"/>
        <v>1.0000050978692978</v>
      </c>
      <c r="N73" s="679">
        <f t="shared" si="5"/>
        <v>-3.1930698836395198E-3</v>
      </c>
      <c r="O73" s="677">
        <f t="shared" si="6"/>
        <v>10416.60393034649</v>
      </c>
      <c r="P73" s="680">
        <f t="shared" si="7"/>
        <v>1.5707003262165677</v>
      </c>
      <c r="Q73" s="689">
        <f t="shared" si="8"/>
        <v>1.0846725580224699</v>
      </c>
      <c r="R73" s="690">
        <f t="shared" si="9"/>
        <v>0.39774389593349802</v>
      </c>
      <c r="S73" s="677">
        <f t="shared" si="10"/>
        <v>1.0000004028105169</v>
      </c>
      <c r="T73" s="680">
        <f t="shared" si="11"/>
        <v>8.9756379349674367E-4</v>
      </c>
      <c r="U73" s="681">
        <f t="shared" si="24"/>
        <v>0.99938916796647881</v>
      </c>
      <c r="V73" s="682">
        <f t="shared" si="25"/>
        <v>-2.5284984821597568E-2</v>
      </c>
      <c r="W73" s="683">
        <f t="shared" si="12"/>
        <v>30.098432349776129</v>
      </c>
      <c r="X73" s="684">
        <f t="shared" si="13"/>
        <v>-81.674823253452061</v>
      </c>
      <c r="Y73" s="687">
        <f t="shared" si="14"/>
        <v>98.325176746547939</v>
      </c>
      <c r="AA73" s="170">
        <f t="shared" si="15"/>
        <v>1000000000</v>
      </c>
      <c r="AB73" s="170">
        <f t="shared" si="16"/>
        <v>63096.416100000002</v>
      </c>
      <c r="AD73" s="686">
        <f t="shared" si="17"/>
        <v>25.456896631455685</v>
      </c>
      <c r="AE73" s="687">
        <f t="shared" si="18"/>
        <v>-67.256879702014174</v>
      </c>
      <c r="AG73" s="686">
        <f t="shared" si="19"/>
        <v>62.381964703193972</v>
      </c>
      <c r="AH73" s="687">
        <f t="shared" si="20"/>
        <v>-11.520497717467295</v>
      </c>
      <c r="AJ73" s="170">
        <f t="shared" si="21"/>
        <v>0</v>
      </c>
      <c r="AK73" s="170">
        <f t="shared" si="33"/>
        <v>0</v>
      </c>
      <c r="AM73" s="170" t="str">
        <f t="shared" si="26"/>
        <v>0.000652443264749003+0.0361173205994694i</v>
      </c>
      <c r="AN73" s="170" t="str">
        <f t="shared" si="27"/>
        <v>0.0361251774841649i</v>
      </c>
      <c r="AO73" s="170" t="str">
        <f t="shared" si="28"/>
        <v>0.999782509450675-0.0180606244781772i</v>
      </c>
      <c r="AP73" s="170" t="str">
        <f t="shared" si="29"/>
        <v>0.166557926122542-0.0060195534332449i</v>
      </c>
      <c r="AQ73" s="170" t="str">
        <f t="shared" si="30"/>
        <v>0.833442073877458+0.0060195534332449i</v>
      </c>
      <c r="AR73" s="170" t="str">
        <f t="shared" si="31"/>
        <v>0.999417446130417-0.00721831415482841i</v>
      </c>
    </row>
    <row r="74" spans="1:44">
      <c r="A74" s="170">
        <v>13</v>
      </c>
      <c r="G74" s="688">
        <v>275.42</v>
      </c>
      <c r="H74" s="676">
        <f t="shared" si="23"/>
        <v>0.27542</v>
      </c>
      <c r="I74" s="677">
        <f t="shared" si="0"/>
        <v>1.0305908612545724</v>
      </c>
      <c r="J74" s="678">
        <f t="shared" si="1"/>
        <v>0.24425747225874903</v>
      </c>
      <c r="K74" s="678">
        <f t="shared" si="2"/>
        <v>1.000000072471297</v>
      </c>
      <c r="L74" s="679">
        <f t="shared" si="3"/>
        <v>3.8071325857786428E-4</v>
      </c>
      <c r="M74" s="678">
        <f t="shared" si="4"/>
        <v>1.0000061287898312</v>
      </c>
      <c r="N74" s="679">
        <f t="shared" si="5"/>
        <v>-3.501073700927909E-3</v>
      </c>
      <c r="O74" s="677">
        <f t="shared" si="6"/>
        <v>11421.398352929078</v>
      </c>
      <c r="P74" s="680">
        <f t="shared" si="7"/>
        <v>1.5707087718414332</v>
      </c>
      <c r="Q74" s="689">
        <f t="shared" si="8"/>
        <v>1.101004295895476</v>
      </c>
      <c r="R74" s="690">
        <f t="shared" si="9"/>
        <v>0.43168586699036965</v>
      </c>
      <c r="S74" s="677">
        <f t="shared" si="10"/>
        <v>1.0000004842694128</v>
      </c>
      <c r="T74" s="680">
        <f t="shared" si="11"/>
        <v>9.841435032448369E-4</v>
      </c>
      <c r="U74" s="681">
        <f t="shared" si="24"/>
        <v>0.99934654751862062</v>
      </c>
      <c r="V74" s="682">
        <f t="shared" si="25"/>
        <v>-2.7723410789284111E-2</v>
      </c>
      <c r="W74" s="683">
        <f t="shared" si="12"/>
        <v>29.385078845321885</v>
      </c>
      <c r="X74" s="684">
        <f t="shared" si="13"/>
        <v>-81.0797327693151</v>
      </c>
      <c r="Y74" s="687">
        <f t="shared" si="14"/>
        <v>98.9202672306849</v>
      </c>
      <c r="AA74" s="170">
        <f t="shared" si="15"/>
        <v>1000000000</v>
      </c>
      <c r="AB74" s="170">
        <f t="shared" si="16"/>
        <v>75856.176400000011</v>
      </c>
      <c r="AD74" s="686">
        <f t="shared" si="17"/>
        <v>24.786840585394252</v>
      </c>
      <c r="AE74" s="687">
        <f t="shared" si="18"/>
        <v>-65.317592560504465</v>
      </c>
      <c r="AG74" s="686">
        <f t="shared" si="19"/>
        <v>62.339408106143878</v>
      </c>
      <c r="AH74" s="687">
        <f t="shared" si="20"/>
        <v>-12.585271341313677</v>
      </c>
      <c r="AJ74" s="170">
        <f t="shared" si="21"/>
        <v>0</v>
      </c>
      <c r="AK74" s="170">
        <f t="shared" si="33"/>
        <v>0</v>
      </c>
      <c r="AM74" s="170" t="str">
        <f t="shared" si="26"/>
        <v>0.000784367258432006+0.0395994859167235i</v>
      </c>
      <c r="AN74" s="170" t="str">
        <f t="shared" si="27"/>
        <v>0.0396098426795999i</v>
      </c>
      <c r="AO74" s="170" t="str">
        <f t="shared" si="28"/>
        <v>0.999738530572813-0.0198023320813636i</v>
      </c>
      <c r="AP74" s="170" t="str">
        <f t="shared" si="29"/>
        <v>0.166535938790261-0.00659991431945392i</v>
      </c>
      <c r="AQ74" s="170" t="str">
        <f t="shared" si="30"/>
        <v>0.833464061209739+0.00659991431945392i</v>
      </c>
      <c r="AR74" s="170" t="str">
        <f t="shared" si="31"/>
        <v>0.99938054763977-0.00791374972710622i</v>
      </c>
    </row>
    <row r="75" spans="1:44">
      <c r="A75" s="170">
        <v>14</v>
      </c>
      <c r="G75" s="688">
        <v>302</v>
      </c>
      <c r="H75" s="676">
        <f t="shared" si="23"/>
        <v>0.30199999999999999</v>
      </c>
      <c r="I75" s="677">
        <f t="shared" si="0"/>
        <v>1.0366704556305681</v>
      </c>
      <c r="J75" s="678">
        <f t="shared" si="1"/>
        <v>0.26677269530196429</v>
      </c>
      <c r="K75" s="678">
        <f t="shared" si="2"/>
        <v>1.0000000871342642</v>
      </c>
      <c r="L75" s="679">
        <f t="shared" si="3"/>
        <v>4.1745480708225497E-4</v>
      </c>
      <c r="M75" s="678">
        <f t="shared" si="4"/>
        <v>1.000007368810659</v>
      </c>
      <c r="N75" s="679">
        <f t="shared" si="5"/>
        <v>-3.8389491816698674E-3</v>
      </c>
      <c r="O75" s="677">
        <f t="shared" si="6"/>
        <v>12523.644979884479</v>
      </c>
      <c r="P75" s="680">
        <f t="shared" si="7"/>
        <v>1.570716477836972</v>
      </c>
      <c r="Q75" s="689">
        <f t="shared" si="8"/>
        <v>1.1203332378600466</v>
      </c>
      <c r="R75" s="690">
        <f t="shared" si="9"/>
        <v>0.46773549036618361</v>
      </c>
      <c r="S75" s="677">
        <f t="shared" si="10"/>
        <v>1.0000005822506153</v>
      </c>
      <c r="T75" s="680">
        <f t="shared" si="11"/>
        <v>1.0791203201142479E-3</v>
      </c>
      <c r="U75" s="681">
        <f t="shared" si="24"/>
        <v>0.99929528920083555</v>
      </c>
      <c r="V75" s="682">
        <f t="shared" si="25"/>
        <v>-3.0398146661039738E-2</v>
      </c>
      <c r="W75" s="683">
        <f t="shared" si="12"/>
        <v>28.684489444158135</v>
      </c>
      <c r="X75" s="684">
        <f t="shared" si="13"/>
        <v>-80.480656823260929</v>
      </c>
      <c r="Y75" s="687">
        <f t="shared" si="14"/>
        <v>99.519343176739071</v>
      </c>
      <c r="AA75" s="170">
        <f t="shared" si="15"/>
        <v>1000000000</v>
      </c>
      <c r="AB75" s="170">
        <f t="shared" si="16"/>
        <v>91204</v>
      </c>
      <c r="AD75" s="686">
        <f t="shared" si="17"/>
        <v>24.137774504591945</v>
      </c>
      <c r="AE75" s="687">
        <f t="shared" si="18"/>
        <v>-63.257984577460235</v>
      </c>
      <c r="AG75" s="686">
        <f t="shared" si="19"/>
        <v>62.288775839063184</v>
      </c>
      <c r="AH75" s="687">
        <f t="shared" si="20"/>
        <v>-13.739301224425828</v>
      </c>
      <c r="AJ75" s="170">
        <f t="shared" si="21"/>
        <v>0</v>
      </c>
      <c r="AK75" s="170">
        <f t="shared" si="33"/>
        <v>0</v>
      </c>
      <c r="AM75" s="170" t="str">
        <f t="shared" si="26"/>
        <v>0.000943041719187021+0.043418822078558i</v>
      </c>
      <c r="AN75" s="170" t="str">
        <f t="shared" si="27"/>
        <v>0.0434324758159871i</v>
      </c>
      <c r="AO75" s="170" t="str">
        <f t="shared" si="28"/>
        <v>0.999685632992995-0.0217128243663212i</v>
      </c>
      <c r="AP75" s="170" t="str">
        <f t="shared" si="29"/>
        <v>0.166509493046802-0.00723647034642633i</v>
      </c>
      <c r="AQ75" s="170" t="str">
        <f t="shared" si="30"/>
        <v>0.833490506953198+0.00723647034642633i</v>
      </c>
      <c r="AR75" s="170" t="str">
        <f t="shared" si="31"/>
        <v>0.999336173363072-0.00867636346703959i</v>
      </c>
    </row>
    <row r="76" spans="1:44">
      <c r="A76" s="170">
        <v>15</v>
      </c>
      <c r="G76" s="688">
        <v>331.13</v>
      </c>
      <c r="H76" s="676">
        <f t="shared" si="23"/>
        <v>0.33112999999999998</v>
      </c>
      <c r="I76" s="677">
        <f t="shared" si="0"/>
        <v>1.0439293088682338</v>
      </c>
      <c r="J76" s="678">
        <f t="shared" si="1"/>
        <v>0.2911330281765912</v>
      </c>
      <c r="K76" s="678">
        <f t="shared" si="2"/>
        <v>1.000000104754367</v>
      </c>
      <c r="L76" s="679">
        <f t="shared" si="3"/>
        <v>4.5772122068004885E-4</v>
      </c>
      <c r="M76" s="678">
        <f t="shared" si="4"/>
        <v>1.0000088589091158</v>
      </c>
      <c r="N76" s="679">
        <f t="shared" si="5"/>
        <v>-4.2092383434914294E-3</v>
      </c>
      <c r="O76" s="677">
        <f t="shared" si="6"/>
        <v>13731.637615779666</v>
      </c>
      <c r="P76" s="680">
        <f t="shared" si="7"/>
        <v>1.5707235022688739</v>
      </c>
      <c r="Q76" s="689">
        <f t="shared" si="8"/>
        <v>1.1431280565777515</v>
      </c>
      <c r="R76" s="690">
        <f t="shared" si="9"/>
        <v>0.50578868451601167</v>
      </c>
      <c r="S76" s="677">
        <f t="shared" si="10"/>
        <v>1.0000006999920423</v>
      </c>
      <c r="T76" s="680">
        <f t="shared" si="11"/>
        <v>1.1832088859309675E-3</v>
      </c>
      <c r="U76" s="681">
        <f t="shared" si="24"/>
        <v>0.99923370330320394</v>
      </c>
      <c r="V76" s="682">
        <f t="shared" si="25"/>
        <v>-3.3329242818095087E-2</v>
      </c>
      <c r="W76" s="683">
        <f t="shared" si="12"/>
        <v>27.998480359707031</v>
      </c>
      <c r="X76" s="684">
        <f t="shared" si="13"/>
        <v>-79.889328317639254</v>
      </c>
      <c r="Y76" s="687">
        <f t="shared" si="14"/>
        <v>100.11067168236075</v>
      </c>
      <c r="AA76" s="170">
        <f t="shared" si="15"/>
        <v>1000000000</v>
      </c>
      <c r="AB76" s="170">
        <f t="shared" si="16"/>
        <v>109647.0769</v>
      </c>
      <c r="AD76" s="686">
        <f t="shared" si="17"/>
        <v>23.512895029925968</v>
      </c>
      <c r="AE76" s="687">
        <f t="shared" si="18"/>
        <v>-61.084063459017443</v>
      </c>
      <c r="AG76" s="686">
        <f t="shared" si="19"/>
        <v>62.228716873361307</v>
      </c>
      <c r="AH76" s="687">
        <f t="shared" si="20"/>
        <v>-14.986014958570564</v>
      </c>
      <c r="AJ76" s="170">
        <f t="shared" si="21"/>
        <v>0</v>
      </c>
      <c r="AK76" s="170">
        <f t="shared" si="33"/>
        <v>0</v>
      </c>
      <c r="AM76" s="170" t="str">
        <f t="shared" si="26"/>
        <v>0.00113370554882197+0.0476038423803393i</v>
      </c>
      <c r="AN76" s="170" t="str">
        <f t="shared" si="27"/>
        <v>0.0476218401223437i</v>
      </c>
      <c r="AO76" s="170" t="str">
        <f t="shared" si="28"/>
        <v>0.999622069580718-0.023806420455602i</v>
      </c>
      <c r="AP76" s="170" t="str">
        <f t="shared" si="29"/>
        <v>0.166477715741863-0.00793397373005655i</v>
      </c>
      <c r="AQ76" s="170" t="str">
        <f t="shared" si="30"/>
        <v>0.833522284258137+0.00793397373005655i</v>
      </c>
      <c r="AR76" s="170" t="str">
        <f t="shared" si="31"/>
        <v>0.999282862001084-0.00951178405874147i</v>
      </c>
    </row>
    <row r="77" spans="1:44">
      <c r="A77" s="170">
        <v>16</v>
      </c>
      <c r="G77" s="688">
        <v>363.08</v>
      </c>
      <c r="H77" s="676">
        <f t="shared" si="23"/>
        <v>0.36307999999999996</v>
      </c>
      <c r="I77" s="677">
        <f t="shared" ref="I77:I140" si="34">SQRT(1+(G77/pole1)^2)</f>
        <v>1.0525926515938533</v>
      </c>
      <c r="J77" s="678">
        <f t="shared" ref="J77:J140" si="35">ATAN(G77/pole1)</f>
        <v>0.31744789362241854</v>
      </c>
      <c r="K77" s="678">
        <f t="shared" ref="K77:K140" si="36">SQRT(1+(G77/Zero1)^2)</f>
        <v>1.0000001259446512</v>
      </c>
      <c r="L77" s="679">
        <f t="shared" ref="L77:L140" si="37">ATAN(G77/Zero1)</f>
        <v>5.0188571997939878E-4</v>
      </c>
      <c r="M77" s="678">
        <f t="shared" ref="M77:M140" si="38">SQRT(1+(G77/z_RHP)^2)</f>
        <v>1.0000106509280873</v>
      </c>
      <c r="N77" s="679">
        <f t="shared" ref="N77:N140" si="39">-ATAN(G77/z_RHP)</f>
        <v>-4.6153729107971568E-3</v>
      </c>
      <c r="O77" s="677">
        <f t="shared" ref="O77:O140" si="40">SQRT(1+(G77/Pole2)^2)</f>
        <v>15056.572896786487</v>
      </c>
      <c r="P77" s="680">
        <f t="shared" ref="P77:P140" si="41">ATAN(G77/Pole2)</f>
        <v>1.5707299106185468</v>
      </c>
      <c r="Q77" s="689">
        <f t="shared" ref="Q77:Q140" si="42">SQRT(1+(G77/Zero2)^2)</f>
        <v>1.1699534823244246</v>
      </c>
      <c r="R77" s="690">
        <f t="shared" ref="R77:R140" si="43">ATAN(G77/Zero2)</f>
        <v>0.54575654815731844</v>
      </c>
      <c r="S77" s="677">
        <f t="shared" ref="S77:S140" si="44">SQRT(1+(G77/pole4)^2)</f>
        <v>1.0000008415901955</v>
      </c>
      <c r="T77" s="680">
        <f t="shared" ref="T77:T140" si="45">ATAN(G77/pole4)</f>
        <v>1.2973739671735519E-3</v>
      </c>
      <c r="U77" s="681">
        <f t="shared" si="24"/>
        <v>0.99915965316005106</v>
      </c>
      <c r="V77" s="682">
        <f t="shared" si="25"/>
        <v>-3.6543767455526809E-2</v>
      </c>
      <c r="W77" s="683">
        <f t="shared" ref="W77:W140" si="46">20*LOG10(((K77*Q77*M77*U77)/(I77*O77*S77))*Adc)</f>
        <v>27.327464568865437</v>
      </c>
      <c r="X77" s="684">
        <f t="shared" ref="X77:X140" si="47">((L77+R77+N77+V77)-(J77+P77+T77))*radconv</f>
        <v>-79.318895543472095</v>
      </c>
      <c r="Y77" s="687">
        <f t="shared" ref="Y77:Y140" si="48">IF(X77&gt;0,X77,X77+180)</f>
        <v>100.6811044565279</v>
      </c>
      <c r="AA77" s="170">
        <f t="shared" ref="AA77:AA140" si="49">IF(W77&lt;0,G77,1000000000)</f>
        <v>1000000000</v>
      </c>
      <c r="AB77" s="170">
        <f t="shared" ref="AB77:AB140" si="50">G77^2</f>
        <v>131827.0864</v>
      </c>
      <c r="AD77" s="686">
        <f t="shared" ref="AD77:AD140" si="51">20*LOG10((Q77/(O77*S77))*Aea)</f>
        <v>22.914292057813498</v>
      </c>
      <c r="AE77" s="687">
        <f t="shared" ref="AE77:AE140" si="52">(R77-(P77+T77))*radconv</f>
        <v>-58.80098190232026</v>
      </c>
      <c r="AG77" s="686">
        <f t="shared" ref="AG77:AG140" si="53">20*LOG10((K77*M77/(I77*U77))*Acs*Am)</f>
        <v>62.157591471585064</v>
      </c>
      <c r="AH77" s="687">
        <f t="shared" ref="AH77:AH140" si="54">(L77+N77-(J77+V77))*radconv</f>
        <v>-16.330306350948366</v>
      </c>
      <c r="AJ77" s="170">
        <f t="shared" ref="AJ77:AJ140" si="55">SUM((W78&lt;0)*(W77&gt;0))*G77</f>
        <v>0</v>
      </c>
      <c r="AK77" s="170">
        <f t="shared" si="33"/>
        <v>0</v>
      </c>
      <c r="AM77" s="170" t="str">
        <f t="shared" si="26"/>
        <v>0.001362985589343+0.052193040234977i</v>
      </c>
      <c r="AN77" s="170" t="str">
        <f t="shared" si="27"/>
        <v>0.052216765957843i</v>
      </c>
      <c r="AO77" s="170" t="str">
        <f t="shared" si="28"/>
        <v>0.999545630173934-0.0261024512786449i</v>
      </c>
      <c r="AP77" s="170" t="str">
        <f t="shared" si="29"/>
        <v>0.166439502401776-0.00869884003916283i</v>
      </c>
      <c r="AQ77" s="170" t="str">
        <f t="shared" si="30"/>
        <v>0.833560497598224+0.00869884003916283i</v>
      </c>
      <c r="AR77" s="170" t="str">
        <f t="shared" si="31"/>
        <v>0.999218766105196-0.0104276105160016i</v>
      </c>
    </row>
    <row r="78" spans="1:44">
      <c r="A78" s="170">
        <v>17</v>
      </c>
      <c r="G78" s="688">
        <v>398.11</v>
      </c>
      <c r="H78" s="676">
        <f t="shared" ref="H78:H141" si="56">G78/1000</f>
        <v>0.39811000000000002</v>
      </c>
      <c r="I78" s="677">
        <f t="shared" si="34"/>
        <v>1.0629141315371284</v>
      </c>
      <c r="J78" s="678">
        <f t="shared" si="35"/>
        <v>0.34578472835119689</v>
      </c>
      <c r="K78" s="678">
        <f t="shared" si="36"/>
        <v>1.0000001514193027</v>
      </c>
      <c r="L78" s="679">
        <f t="shared" si="37"/>
        <v>5.503077024007878E-4</v>
      </c>
      <c r="M78" s="678">
        <f t="shared" si="38"/>
        <v>1.0000128052630506</v>
      </c>
      <c r="N78" s="679">
        <f t="shared" si="39"/>
        <v>-5.0606573498618518E-3</v>
      </c>
      <c r="O78" s="677">
        <f t="shared" si="40"/>
        <v>16509.232768853883</v>
      </c>
      <c r="P78" s="680">
        <f t="shared" si="41"/>
        <v>1.5707357546281211</v>
      </c>
      <c r="Q78" s="689">
        <f t="shared" si="42"/>
        <v>1.2014100199065525</v>
      </c>
      <c r="R78" s="690">
        <f t="shared" si="43"/>
        <v>0.58745251610771687</v>
      </c>
      <c r="S78" s="677">
        <f t="shared" si="44"/>
        <v>1.0000010118174152</v>
      </c>
      <c r="T78" s="680">
        <f t="shared" si="45"/>
        <v>1.4225445947363613E-3</v>
      </c>
      <c r="U78" s="681">
        <f t="shared" ref="U78:U141" si="57">IMABS(IMPRODUCT(AO78, AR78))</f>
        <v>0.99907065178166732</v>
      </c>
      <c r="V78" s="682">
        <f t="shared" ref="V78:V141" si="58">IMARGUMENT(IMPRODUCT(AO78, AR78))</f>
        <v>-4.0067748119842331E-2</v>
      </c>
      <c r="W78" s="683">
        <f t="shared" si="46"/>
        <v>26.672389248536923</v>
      </c>
      <c r="X78" s="684">
        <f t="shared" si="47"/>
        <v>-78.785627940037159</v>
      </c>
      <c r="Y78" s="687">
        <f t="shared" si="48"/>
        <v>101.21437205996284</v>
      </c>
      <c r="AA78" s="170">
        <f t="shared" si="49"/>
        <v>1000000000</v>
      </c>
      <c r="AB78" s="170">
        <f t="shared" si="50"/>
        <v>158491.57210000002</v>
      </c>
      <c r="AD78" s="686">
        <f t="shared" si="51"/>
        <v>22.344728490883622</v>
      </c>
      <c r="AE78" s="687">
        <f t="shared" si="52"/>
        <v>-56.419485499090818</v>
      </c>
      <c r="AG78" s="686">
        <f t="shared" si="53"/>
        <v>62.073627199773249</v>
      </c>
      <c r="AH78" s="687">
        <f t="shared" si="54"/>
        <v>-17.774716711979451</v>
      </c>
      <c r="AJ78" s="170">
        <f t="shared" si="55"/>
        <v>0</v>
      </c>
      <c r="AK78" s="170">
        <f t="shared" si="33"/>
        <v>0</v>
      </c>
      <c r="AM78" s="170" t="str">
        <f t="shared" ref="AM78:AM141" si="59">IMSUB(1,IMEXP(COMPLEX(0,-2*Pi*G78*Tsw)))</f>
        <v>0.00163859951978096+0.0572233696244511i</v>
      </c>
      <c r="AN78" s="170" t="str">
        <f t="shared" ref="AN78:AN141" si="60">COMPLEX(0, 2*Pi*G78*Tsw)</f>
        <v>0.0572546455202073i</v>
      </c>
      <c r="AO78" s="170" t="str">
        <f t="shared" ref="AO78:AO141" si="61">IMDIV(AM78, AN78)</f>
        <v>0.99945374046993-0.0286195033589482i</v>
      </c>
      <c r="AP78" s="170" t="str">
        <f t="shared" ref="AP78:AP141" si="62">IMDIV(IMEXP(COMPLEX(0,-2*Pi*G78*Tsw)),6)</f>
        <v>0.166393566746703-0.00953722827074185i</v>
      </c>
      <c r="AQ78" s="170" t="str">
        <f t="shared" ref="AQ78:AQ141" si="63">IMSUB(1, AP78)</f>
        <v>0.833606433253297+0.00953722827074185i</v>
      </c>
      <c r="AR78" s="170" t="str">
        <f t="shared" ref="AR78:AR141" si="64">IMDIV(0.833, AQ78)</f>
        <v>0.999141736094894-0.0114311051736652i</v>
      </c>
    </row>
    <row r="79" spans="1:44">
      <c r="A79" s="170">
        <v>18</v>
      </c>
      <c r="G79" s="688">
        <v>436.52</v>
      </c>
      <c r="H79" s="676">
        <f t="shared" si="56"/>
        <v>0.43651999999999996</v>
      </c>
      <c r="I79" s="677">
        <f t="shared" si="34"/>
        <v>1.0751922599168935</v>
      </c>
      <c r="J79" s="678">
        <f t="shared" si="35"/>
        <v>0.37620328235283901</v>
      </c>
      <c r="K79" s="678">
        <f t="shared" si="36"/>
        <v>1.0000001820469282</v>
      </c>
      <c r="L79" s="679">
        <f t="shared" si="37"/>
        <v>6.0340185714268402E-4</v>
      </c>
      <c r="M79" s="678">
        <f t="shared" si="38"/>
        <v>1.000015395367549</v>
      </c>
      <c r="N79" s="679">
        <f t="shared" si="39"/>
        <v>-5.5489044030768734E-3</v>
      </c>
      <c r="O79" s="677">
        <f t="shared" si="40"/>
        <v>18102.057938850769</v>
      </c>
      <c r="P79" s="680">
        <f t="shared" si="41"/>
        <v>1.5707410844570426</v>
      </c>
      <c r="Q79" s="689">
        <f t="shared" si="42"/>
        <v>1.2381719847150801</v>
      </c>
      <c r="R79" s="690">
        <f t="shared" si="43"/>
        <v>0.63065364560157122</v>
      </c>
      <c r="S79" s="677">
        <f t="shared" si="44"/>
        <v>1.0000012164779057</v>
      </c>
      <c r="T79" s="680">
        <f t="shared" si="45"/>
        <v>1.5597927250487432E-3</v>
      </c>
      <c r="U79" s="681">
        <f t="shared" si="57"/>
        <v>0.99896367714211898</v>
      </c>
      <c r="V79" s="682">
        <f t="shared" si="58"/>
        <v>-4.3931191603435019E-2</v>
      </c>
      <c r="W79" s="683">
        <f t="shared" si="46"/>
        <v>26.033494461566843</v>
      </c>
      <c r="X79" s="684">
        <f t="shared" si="47"/>
        <v>-78.307700858318185</v>
      </c>
      <c r="Y79" s="687">
        <f t="shared" si="48"/>
        <v>101.69229914168181</v>
      </c>
      <c r="AA79" s="170">
        <f t="shared" si="49"/>
        <v>1000000000</v>
      </c>
      <c r="AB79" s="170">
        <f t="shared" si="50"/>
        <v>190549.71039999998</v>
      </c>
      <c r="AD79" s="686">
        <f t="shared" si="51"/>
        <v>21.806499989907294</v>
      </c>
      <c r="AE79" s="687">
        <f t="shared" si="52"/>
        <v>-53.952412221391469</v>
      </c>
      <c r="AG79" s="686">
        <f t="shared" si="53"/>
        <v>61.97482108184694</v>
      </c>
      <c r="AH79" s="687">
        <f t="shared" si="54"/>
        <v>-19.321144895459589</v>
      </c>
      <c r="AJ79" s="170">
        <f t="shared" si="55"/>
        <v>0</v>
      </c>
      <c r="AK79" s="170">
        <f t="shared" si="33"/>
        <v>0</v>
      </c>
      <c r="AM79" s="170" t="str">
        <f t="shared" si="59"/>
        <v>0.00196993068275697+0.0627373950576496i</v>
      </c>
      <c r="AN79" s="170" t="str">
        <f t="shared" si="60"/>
        <v>0.0627786236529625i</v>
      </c>
      <c r="AO79" s="170" t="str">
        <f t="shared" si="61"/>
        <v>0.999343270162455-0.0313790040005761i</v>
      </c>
      <c r="AP79" s="170" t="str">
        <f t="shared" si="62"/>
        <v>0.166338344886207-0.0104562325096083i</v>
      </c>
      <c r="AQ79" s="170" t="str">
        <f t="shared" si="63"/>
        <v>0.833661655113793+0.0104562325096083i</v>
      </c>
      <c r="AR79" s="170" t="str">
        <f t="shared" si="64"/>
        <v>0.999049160896193-0.0125306114906218i</v>
      </c>
    </row>
    <row r="80" spans="1:44">
      <c r="A80" s="170">
        <v>19</v>
      </c>
      <c r="G80" s="688">
        <v>478.63</v>
      </c>
      <c r="H80" s="676">
        <f t="shared" si="56"/>
        <v>0.47863</v>
      </c>
      <c r="I80" s="677">
        <f t="shared" si="34"/>
        <v>1.0897686722648794</v>
      </c>
      <c r="J80" s="678">
        <f t="shared" si="35"/>
        <v>0.40873095358606348</v>
      </c>
      <c r="K80" s="678">
        <f t="shared" si="36"/>
        <v>1.0000002188642794</v>
      </c>
      <c r="L80" s="679">
        <f t="shared" si="37"/>
        <v>6.6161051909530762E-4</v>
      </c>
      <c r="M80" s="678">
        <f t="shared" si="38"/>
        <v>1.0000185089134672</v>
      </c>
      <c r="N80" s="679">
        <f t="shared" si="39"/>
        <v>-6.0841807975176776E-3</v>
      </c>
      <c r="O80" s="677">
        <f t="shared" si="40"/>
        <v>19848.318494108451</v>
      </c>
      <c r="P80" s="680">
        <f t="shared" si="41"/>
        <v>1.5707459446932228</v>
      </c>
      <c r="Q80" s="689">
        <f t="shared" si="42"/>
        <v>1.2809677798803298</v>
      </c>
      <c r="R80" s="690">
        <f t="shared" si="43"/>
        <v>0.67507551416869571</v>
      </c>
      <c r="S80" s="677">
        <f t="shared" si="44"/>
        <v>1.00000146249945</v>
      </c>
      <c r="T80" s="680">
        <f t="shared" si="45"/>
        <v>1.7102617739005281E-3</v>
      </c>
      <c r="U80" s="681">
        <f t="shared" si="57"/>
        <v>0.99883512638415095</v>
      </c>
      <c r="V80" s="682">
        <f t="shared" si="58"/>
        <v>-4.8166057214508444E-2</v>
      </c>
      <c r="W80" s="683">
        <f t="shared" si="46"/>
        <v>25.410667350203482</v>
      </c>
      <c r="X80" s="684">
        <f t="shared" si="47"/>
        <v>-77.905087156330055</v>
      </c>
      <c r="Y80" s="687">
        <f t="shared" si="48"/>
        <v>102.09491284366995</v>
      </c>
      <c r="AA80" s="170">
        <f t="shared" si="49"/>
        <v>1000000000</v>
      </c>
      <c r="AB80" s="170">
        <f t="shared" si="50"/>
        <v>229086.67689999999</v>
      </c>
      <c r="AD80" s="686">
        <f t="shared" si="51"/>
        <v>21.301727117169413</v>
      </c>
      <c r="AE80" s="687">
        <f t="shared" si="52"/>
        <v>-51.416126343979364</v>
      </c>
      <c r="AG80" s="686">
        <f t="shared" si="53"/>
        <v>61.859002459132668</v>
      </c>
      <c r="AH80" s="687">
        <f t="shared" si="54"/>
        <v>-20.969537217689862</v>
      </c>
      <c r="AJ80" s="170">
        <f t="shared" si="55"/>
        <v>0</v>
      </c>
      <c r="AK80" s="170">
        <f t="shared" si="33"/>
        <v>0</v>
      </c>
      <c r="AM80" s="170" t="str">
        <f t="shared" si="59"/>
        <v>0.00236817414468204+0.0687803754030568i</v>
      </c>
      <c r="AN80" s="170" t="str">
        <f t="shared" si="60"/>
        <v>0.068834721522536i</v>
      </c>
      <c r="AO80" s="170" t="str">
        <f t="shared" si="61"/>
        <v>0.999210483920366-0.0344037731583866i</v>
      </c>
      <c r="AP80" s="170" t="str">
        <f t="shared" si="62"/>
        <v>0.166271970975886-0.0114633959005095i</v>
      </c>
      <c r="AQ80" s="170" t="str">
        <f t="shared" si="63"/>
        <v>0.833728029024114+0.0114633959005095i</v>
      </c>
      <c r="AR80" s="170" t="str">
        <f t="shared" si="64"/>
        <v>0.99893792906664-0.0137349597977769i</v>
      </c>
    </row>
    <row r="81" spans="1:44">
      <c r="A81" s="170">
        <v>20</v>
      </c>
      <c r="G81" s="688">
        <v>524.80999999999995</v>
      </c>
      <c r="H81" s="676">
        <f t="shared" si="56"/>
        <v>0.52481</v>
      </c>
      <c r="I81" s="677">
        <f t="shared" si="34"/>
        <v>1.1070419952090984</v>
      </c>
      <c r="J81" s="678">
        <f t="shared" si="35"/>
        <v>0.44337702475234969</v>
      </c>
      <c r="K81" s="678">
        <f t="shared" si="36"/>
        <v>1.0000002631353817</v>
      </c>
      <c r="L81" s="679">
        <f t="shared" si="37"/>
        <v>7.2544513774427217E-4</v>
      </c>
      <c r="M81" s="678">
        <f t="shared" si="38"/>
        <v>1.000022252790693</v>
      </c>
      <c r="N81" s="679">
        <f t="shared" si="39"/>
        <v>-6.6711885065927788E-3</v>
      </c>
      <c r="O81" s="677">
        <f t="shared" si="40"/>
        <v>21763.357973108195</v>
      </c>
      <c r="P81" s="680">
        <f t="shared" si="41"/>
        <v>1.5707503780032814</v>
      </c>
      <c r="Q81" s="689">
        <f t="shared" si="42"/>
        <v>1.3306063001086055</v>
      </c>
      <c r="R81" s="690">
        <f t="shared" si="43"/>
        <v>0.72040729913704538</v>
      </c>
      <c r="S81" s="677">
        <f t="shared" si="44"/>
        <v>1.000001758328511</v>
      </c>
      <c r="T81" s="680">
        <f t="shared" si="45"/>
        <v>1.8752738118050516E-3</v>
      </c>
      <c r="U81" s="681">
        <f t="shared" si="57"/>
        <v>0.99868061244474382</v>
      </c>
      <c r="V81" s="682">
        <f t="shared" si="58"/>
        <v>-5.2809254522356366E-2</v>
      </c>
      <c r="W81" s="683">
        <f t="shared" si="46"/>
        <v>24.802942062211915</v>
      </c>
      <c r="X81" s="684">
        <f t="shared" si="47"/>
        <v>-77.598560576555712</v>
      </c>
      <c r="Y81" s="687">
        <f t="shared" si="48"/>
        <v>102.40143942344429</v>
      </c>
      <c r="AA81" s="170">
        <f t="shared" si="49"/>
        <v>1000000000</v>
      </c>
      <c r="AB81" s="170">
        <f t="shared" si="50"/>
        <v>275425.53609999997</v>
      </c>
      <c r="AD81" s="686">
        <f t="shared" si="51"/>
        <v>20.831908225792581</v>
      </c>
      <c r="AE81" s="687">
        <f t="shared" si="52"/>
        <v>-48.828514887837983</v>
      </c>
      <c r="AG81" s="686">
        <f t="shared" si="53"/>
        <v>61.723783582824936</v>
      </c>
      <c r="AH81" s="687">
        <f t="shared" si="54"/>
        <v>-22.718550875076538</v>
      </c>
      <c r="AJ81" s="170">
        <f t="shared" si="55"/>
        <v>0</v>
      </c>
      <c r="AK81" s="170">
        <f t="shared" si="33"/>
        <v>0</v>
      </c>
      <c r="AM81" s="170" t="str">
        <f t="shared" si="59"/>
        <v>0.002846972790439+0.0754045113160284i</v>
      </c>
      <c r="AN81" s="170" t="str">
        <f t="shared" si="60"/>
        <v>0.0754761511026098i</v>
      </c>
      <c r="AO81" s="170" t="str">
        <f t="shared" si="61"/>
        <v>0.999050828830898-0.0377201639040727i</v>
      </c>
      <c r="AP81" s="170" t="str">
        <f t="shared" si="62"/>
        <v>0.166192171201593-0.0125674185526714i</v>
      </c>
      <c r="AQ81" s="170" t="str">
        <f t="shared" si="63"/>
        <v>0.833807828798407+0.0125674185526714i</v>
      </c>
      <c r="AR81" s="170" t="str">
        <f t="shared" si="64"/>
        <v>0.998804253904021-0.0150542974981293i</v>
      </c>
    </row>
    <row r="82" spans="1:44">
      <c r="A82" s="170">
        <v>21</v>
      </c>
      <c r="G82" s="688">
        <v>575.44000000000005</v>
      </c>
      <c r="H82" s="676">
        <f t="shared" si="56"/>
        <v>0.57544000000000006</v>
      </c>
      <c r="I82" s="677">
        <f t="shared" si="34"/>
        <v>1.1274566664032477</v>
      </c>
      <c r="J82" s="678">
        <f t="shared" si="35"/>
        <v>0.48009283730456626</v>
      </c>
      <c r="K82" s="678">
        <f t="shared" si="36"/>
        <v>1.0000003163553095</v>
      </c>
      <c r="L82" s="679">
        <f t="shared" si="37"/>
        <v>7.9543098502783151E-4</v>
      </c>
      <c r="M82" s="678">
        <f t="shared" si="38"/>
        <v>1.000026753425503</v>
      </c>
      <c r="N82" s="679">
        <f t="shared" si="39"/>
        <v>-7.3147561902921392E-3</v>
      </c>
      <c r="O82" s="677">
        <f t="shared" si="40"/>
        <v>23862.934604564201</v>
      </c>
      <c r="P82" s="680">
        <f t="shared" si="41"/>
        <v>1.5707544208006481</v>
      </c>
      <c r="Q82" s="689">
        <f t="shared" si="42"/>
        <v>1.3879307487877026</v>
      </c>
      <c r="R82" s="690">
        <f t="shared" si="43"/>
        <v>0.76627751484246831</v>
      </c>
      <c r="S82" s="677">
        <f t="shared" si="44"/>
        <v>1.0000021139554571</v>
      </c>
      <c r="T82" s="680">
        <f t="shared" si="45"/>
        <v>2.0561866321634017E-3</v>
      </c>
      <c r="U82" s="681">
        <f t="shared" si="57"/>
        <v>0.99849495534916921</v>
      </c>
      <c r="V82" s="682">
        <f t="shared" si="58"/>
        <v>-5.7898595572984053E-2</v>
      </c>
      <c r="W82" s="683">
        <f t="shared" si="46"/>
        <v>24.209053922149653</v>
      </c>
      <c r="X82" s="684">
        <f t="shared" si="47"/>
        <v>-77.409110669127756</v>
      </c>
      <c r="Y82" s="687">
        <f t="shared" si="48"/>
        <v>102.59088933087224</v>
      </c>
      <c r="AA82" s="170">
        <f t="shared" si="49"/>
        <v>1000000000</v>
      </c>
      <c r="AB82" s="170">
        <f t="shared" si="50"/>
        <v>331131.19360000006</v>
      </c>
      <c r="AD82" s="686">
        <f t="shared" si="51"/>
        <v>20.398310667119897</v>
      </c>
      <c r="AE82" s="687">
        <f t="shared" si="52"/>
        <v>-46.210942295864406</v>
      </c>
      <c r="AG82" s="686">
        <f t="shared" si="53"/>
        <v>61.566722756642314</v>
      </c>
      <c r="AH82" s="687">
        <f t="shared" si="54"/>
        <v>-24.563478033548481</v>
      </c>
      <c r="AJ82" s="170">
        <f t="shared" si="55"/>
        <v>0</v>
      </c>
      <c r="AK82" s="170">
        <f t="shared" si="33"/>
        <v>0</v>
      </c>
      <c r="AM82" s="170" t="str">
        <f t="shared" si="59"/>
        <v>0.00342245309663702+0.0826631296774818i</v>
      </c>
      <c r="AN82" s="170" t="str">
        <f t="shared" si="60"/>
        <v>0.0827575625283165i</v>
      </c>
      <c r="AO82" s="170" t="str">
        <f t="shared" si="61"/>
        <v>0.998858921795789-0.0413551703563766i</v>
      </c>
      <c r="AP82" s="170" t="str">
        <f t="shared" si="62"/>
        <v>0.166096257817227-0.0137771882795803i</v>
      </c>
      <c r="AQ82" s="170" t="str">
        <f t="shared" si="63"/>
        <v>0.833903742182773+0.0137771882795803i</v>
      </c>
      <c r="AR82" s="170" t="str">
        <f t="shared" si="64"/>
        <v>0.998643667489207-0.0164989088491149i</v>
      </c>
    </row>
    <row r="83" spans="1:44">
      <c r="A83" s="170">
        <v>22</v>
      </c>
      <c r="G83" s="688">
        <v>630.96</v>
      </c>
      <c r="H83" s="676">
        <f t="shared" si="56"/>
        <v>0.63096000000000008</v>
      </c>
      <c r="I83" s="677">
        <f t="shared" si="34"/>
        <v>1.1515237450594498</v>
      </c>
      <c r="J83" s="678">
        <f t="shared" si="35"/>
        <v>0.51880048212412422</v>
      </c>
      <c r="K83" s="678">
        <f t="shared" si="36"/>
        <v>1.0000003803458437</v>
      </c>
      <c r="L83" s="679">
        <f t="shared" si="37"/>
        <v>8.7217627016294985E-4</v>
      </c>
      <c r="M83" s="678">
        <f t="shared" si="38"/>
        <v>1.0000321648686976</v>
      </c>
      <c r="N83" s="679">
        <f t="shared" si="39"/>
        <v>-8.0204746209166788E-3</v>
      </c>
      <c r="O83" s="677">
        <f t="shared" si="40"/>
        <v>26165.294758570086</v>
      </c>
      <c r="P83" s="680">
        <f t="shared" si="41"/>
        <v>1.5707581082305935</v>
      </c>
      <c r="Q83" s="689">
        <f t="shared" si="42"/>
        <v>1.4538668822267891</v>
      </c>
      <c r="R83" s="690">
        <f t="shared" si="43"/>
        <v>0.81231359606241449</v>
      </c>
      <c r="S83" s="677">
        <f t="shared" si="44"/>
        <v>1.0000025415537588</v>
      </c>
      <c r="T83" s="680">
        <f t="shared" si="45"/>
        <v>2.2545724099725406E-3</v>
      </c>
      <c r="U83" s="681">
        <f t="shared" si="57"/>
        <v>0.9982718548433307</v>
      </c>
      <c r="V83" s="682">
        <f t="shared" si="58"/>
        <v>-6.3477788764797677E-2</v>
      </c>
      <c r="W83" s="683">
        <f t="shared" si="46"/>
        <v>23.626797341781</v>
      </c>
      <c r="X83" s="684">
        <f t="shared" si="47"/>
        <v>-77.35650186449503</v>
      </c>
      <c r="Y83" s="687">
        <f t="shared" si="48"/>
        <v>102.64349813550497</v>
      </c>
      <c r="AA83" s="170">
        <f t="shared" si="49"/>
        <v>1000000000</v>
      </c>
      <c r="AB83" s="170">
        <f t="shared" si="50"/>
        <v>398110.52160000004</v>
      </c>
      <c r="AD83" s="686">
        <f t="shared" si="51"/>
        <v>20.001408272188279</v>
      </c>
      <c r="AE83" s="687">
        <f t="shared" si="52"/>
        <v>-43.584847075596272</v>
      </c>
      <c r="AG83" s="686">
        <f t="shared" si="53"/>
        <v>61.385250499470693</v>
      </c>
      <c r="AH83" s="687">
        <f t="shared" si="54"/>
        <v>-26.497636002495241</v>
      </c>
      <c r="AJ83" s="170">
        <f t="shared" si="55"/>
        <v>0</v>
      </c>
      <c r="AK83" s="170">
        <f t="shared" si="33"/>
        <v>0</v>
      </c>
      <c r="AM83" s="170" t="str">
        <f t="shared" si="59"/>
        <v>0.00411425231963902+0.0906177552531937i</v>
      </c>
      <c r="AN83" s="170" t="str">
        <f t="shared" si="60"/>
        <v>0.090742234903494i</v>
      </c>
      <c r="AO83" s="170" t="str">
        <f t="shared" si="61"/>
        <v>0.998628206034018-0.0453399932679044i</v>
      </c>
      <c r="AP83" s="170" t="str">
        <f t="shared" si="62"/>
        <v>0.165980957946727-0.0151029592088656i</v>
      </c>
      <c r="AQ83" s="170" t="str">
        <f t="shared" si="63"/>
        <v>0.834019042053273+0.0151029592088656i</v>
      </c>
      <c r="AR83" s="170" t="str">
        <f t="shared" si="64"/>
        <v>0.998450739753146-0.0180805953272111i</v>
      </c>
    </row>
    <row r="84" spans="1:44">
      <c r="A84" s="170">
        <v>23</v>
      </c>
      <c r="G84" s="688">
        <v>691.83</v>
      </c>
      <c r="H84" s="676">
        <f t="shared" si="56"/>
        <v>0.69183000000000006</v>
      </c>
      <c r="I84" s="677">
        <f t="shared" si="34"/>
        <v>1.1798059775410976</v>
      </c>
      <c r="J84" s="678">
        <f t="shared" si="35"/>
        <v>0.55935604761130286</v>
      </c>
      <c r="K84" s="678">
        <f t="shared" si="36"/>
        <v>1.0000004572711305</v>
      </c>
      <c r="L84" s="679">
        <f t="shared" si="37"/>
        <v>9.5631684741106029E-4</v>
      </c>
      <c r="M84" s="678">
        <f t="shared" si="38"/>
        <v>1.0000386701178561</v>
      </c>
      <c r="N84" s="679">
        <f t="shared" si="39"/>
        <v>-8.7941880522169041E-3</v>
      </c>
      <c r="O84" s="677">
        <f t="shared" si="40"/>
        <v>28689.514185681375</v>
      </c>
      <c r="P84" s="680">
        <f t="shared" si="41"/>
        <v>1.5707614708543698</v>
      </c>
      <c r="Q84" s="689">
        <f t="shared" si="42"/>
        <v>1.5293729534254534</v>
      </c>
      <c r="R84" s="690">
        <f t="shared" si="43"/>
        <v>0.85811776860055244</v>
      </c>
      <c r="S84" s="677">
        <f t="shared" si="44"/>
        <v>1.0000030555846107</v>
      </c>
      <c r="T84" s="680">
        <f t="shared" si="45"/>
        <v>2.4720747684092684E-3</v>
      </c>
      <c r="U84" s="681">
        <f t="shared" si="57"/>
        <v>0.99800384510874907</v>
      </c>
      <c r="V84" s="682">
        <f t="shared" si="58"/>
        <v>-6.9592374179308525E-2</v>
      </c>
      <c r="W84" s="683">
        <f t="shared" si="46"/>
        <v>23.053587893903934</v>
      </c>
      <c r="X84" s="684">
        <f t="shared" si="47"/>
        <v>-77.45828301551947</v>
      </c>
      <c r="Y84" s="687">
        <f t="shared" si="48"/>
        <v>102.54171698448053</v>
      </c>
      <c r="AA84" s="170">
        <f t="shared" si="49"/>
        <v>1000000000</v>
      </c>
      <c r="AB84" s="170">
        <f t="shared" si="50"/>
        <v>478628.74890000006</v>
      </c>
      <c r="AD84" s="686">
        <f t="shared" si="51"/>
        <v>19.641227788764333</v>
      </c>
      <c r="AE84" s="687">
        <f t="shared" si="52"/>
        <v>-40.973115933410647</v>
      </c>
      <c r="AG84" s="686">
        <f t="shared" si="53"/>
        <v>61.176886026982366</v>
      </c>
      <c r="AH84" s="687">
        <f t="shared" si="54"/>
        <v>-28.510468419457251</v>
      </c>
      <c r="AJ84" s="170">
        <f t="shared" si="55"/>
        <v>0</v>
      </c>
      <c r="AK84" s="170">
        <f t="shared" si="33"/>
        <v>0</v>
      </c>
      <c r="AM84" s="170" t="str">
        <f t="shared" si="59"/>
        <v>0.00494567720491401+0.099332243943311i</v>
      </c>
      <c r="AN84" s="170" t="str">
        <f t="shared" si="60"/>
        <v>0.0994963236548819i</v>
      </c>
      <c r="AO84" s="170" t="str">
        <f t="shared" si="61"/>
        <v>0.99835089674127-0.049707135130629i</v>
      </c>
      <c r="AP84" s="170" t="str">
        <f t="shared" si="62"/>
        <v>0.165842387132514-0.0165553739905518i</v>
      </c>
      <c r="AQ84" s="170" t="str">
        <f t="shared" si="63"/>
        <v>0.834157612867486+0.0165553739905518i</v>
      </c>
      <c r="AR84" s="170" t="str">
        <f t="shared" si="64"/>
        <v>0.998219042587876-0.019811471261077i</v>
      </c>
    </row>
    <row r="85" spans="1:44">
      <c r="A85" s="170">
        <v>24</v>
      </c>
      <c r="G85" s="688">
        <v>758.58</v>
      </c>
      <c r="H85" s="676">
        <f t="shared" si="56"/>
        <v>0.75858000000000003</v>
      </c>
      <c r="I85" s="677">
        <f t="shared" si="34"/>
        <v>1.212939584762549</v>
      </c>
      <c r="J85" s="678">
        <f t="shared" si="35"/>
        <v>0.60157837273263193</v>
      </c>
      <c r="K85" s="678">
        <f t="shared" si="36"/>
        <v>1.0000005497658497</v>
      </c>
      <c r="L85" s="679">
        <f t="shared" si="37"/>
        <v>1.0485853307546833E-3</v>
      </c>
      <c r="M85" s="678">
        <f t="shared" si="38"/>
        <v>1.0000464919532963</v>
      </c>
      <c r="N85" s="679">
        <f t="shared" si="39"/>
        <v>-9.6426295289620944E-3</v>
      </c>
      <c r="O85" s="677">
        <f t="shared" si="40"/>
        <v>31457.571468062826</v>
      </c>
      <c r="P85" s="680">
        <f t="shared" si="41"/>
        <v>1.5707645379455513</v>
      </c>
      <c r="Q85" s="689">
        <f t="shared" si="42"/>
        <v>1.6154952194029919</v>
      </c>
      <c r="R85" s="690">
        <f t="shared" si="43"/>
        <v>0.90332084749590247</v>
      </c>
      <c r="S85" s="677">
        <f t="shared" si="44"/>
        <v>1.0000036736533677</v>
      </c>
      <c r="T85" s="680">
        <f t="shared" si="45"/>
        <v>2.7105874349568843E-3</v>
      </c>
      <c r="U85" s="681">
        <f t="shared" si="57"/>
        <v>0.99768186144460747</v>
      </c>
      <c r="V85" s="682">
        <f t="shared" si="58"/>
        <v>-7.629468987739299E-2</v>
      </c>
      <c r="W85" s="683">
        <f t="shared" si="46"/>
        <v>22.48608243376108</v>
      </c>
      <c r="X85" s="684">
        <f t="shared" si="47"/>
        <v>-77.728679828911226</v>
      </c>
      <c r="Y85" s="687">
        <f t="shared" si="48"/>
        <v>102.27132017108877</v>
      </c>
      <c r="AA85" s="170">
        <f t="shared" si="49"/>
        <v>1000000000</v>
      </c>
      <c r="AB85" s="170">
        <f t="shared" si="50"/>
        <v>575443.61640000006</v>
      </c>
      <c r="AD85" s="686">
        <f t="shared" si="51"/>
        <v>19.317027897978377</v>
      </c>
      <c r="AE85" s="687">
        <f t="shared" si="52"/>
        <v>-38.397011789300251</v>
      </c>
      <c r="AG85" s="686">
        <f t="shared" si="53"/>
        <v>60.939185978749521</v>
      </c>
      <c r="AH85" s="687">
        <f t="shared" si="54"/>
        <v>-30.588940571152769</v>
      </c>
      <c r="AJ85" s="170">
        <f t="shared" si="55"/>
        <v>0</v>
      </c>
      <c r="AK85" s="170">
        <f t="shared" si="33"/>
        <v>0</v>
      </c>
      <c r="AM85" s="170" t="str">
        <f t="shared" si="59"/>
        <v>0.00594507420106705+0.108879770824876i</v>
      </c>
      <c r="AN85" s="170" t="str">
        <f t="shared" si="60"/>
        <v>0.109096051339376i</v>
      </c>
      <c r="AO85" s="170" t="str">
        <f t="shared" si="61"/>
        <v>0.998017522065696-0.0544939448135764i</v>
      </c>
      <c r="AP85" s="170" t="str">
        <f t="shared" si="62"/>
        <v>0.165675820966489-0.0181466284708127i</v>
      </c>
      <c r="AQ85" s="170" t="str">
        <f t="shared" si="63"/>
        <v>0.834324179033511+0.0181466284708127i</v>
      </c>
      <c r="AR85" s="170" t="str">
        <f t="shared" si="64"/>
        <v>0.997940779881637-0.0217053047526i</v>
      </c>
    </row>
    <row r="86" spans="1:44">
      <c r="A86" s="170">
        <v>25</v>
      </c>
      <c r="G86" s="688">
        <v>831.76</v>
      </c>
      <c r="H86" s="676">
        <f t="shared" si="56"/>
        <v>0.83175999999999994</v>
      </c>
      <c r="I86" s="677">
        <f t="shared" si="34"/>
        <v>1.2516090510652278</v>
      </c>
      <c r="J86" s="678">
        <f t="shared" si="35"/>
        <v>0.64521326995755568</v>
      </c>
      <c r="K86" s="678">
        <f t="shared" si="36"/>
        <v>1.0000006609536727</v>
      </c>
      <c r="L86" s="679">
        <f t="shared" si="37"/>
        <v>1.1497419785107155E-3</v>
      </c>
      <c r="M86" s="678">
        <f t="shared" si="38"/>
        <v>1.0000558944949682</v>
      </c>
      <c r="N86" s="679">
        <f t="shared" si="39"/>
        <v>-1.0572785025418736E-2</v>
      </c>
      <c r="O86" s="677">
        <f t="shared" si="40"/>
        <v>34492.274568340799</v>
      </c>
      <c r="P86" s="680">
        <f t="shared" si="41"/>
        <v>1.5707673347955966</v>
      </c>
      <c r="Q86" s="689">
        <f t="shared" si="42"/>
        <v>1.7133024204107439</v>
      </c>
      <c r="R86" s="690">
        <f t="shared" si="43"/>
        <v>0.94755750164865593</v>
      </c>
      <c r="S86" s="677">
        <f t="shared" si="44"/>
        <v>1.0000044166328612</v>
      </c>
      <c r="T86" s="680">
        <f t="shared" si="45"/>
        <v>2.9720755730131537E-3</v>
      </c>
      <c r="U86" s="681">
        <f t="shared" si="57"/>
        <v>0.99729519530516053</v>
      </c>
      <c r="V86" s="682">
        <f t="shared" si="58"/>
        <v>-8.3638774173527039E-2</v>
      </c>
      <c r="W86" s="683">
        <f t="shared" si="46"/>
        <v>21.92083527942728</v>
      </c>
      <c r="X86" s="684">
        <f t="shared" si="47"/>
        <v>-78.177627281382271</v>
      </c>
      <c r="Y86" s="687">
        <f t="shared" si="48"/>
        <v>101.82237271861773</v>
      </c>
      <c r="AA86" s="170">
        <f t="shared" si="49"/>
        <v>1000000000</v>
      </c>
      <c r="AB86" s="170">
        <f t="shared" si="50"/>
        <v>691824.69759999996</v>
      </c>
      <c r="AD86" s="686">
        <f t="shared" si="51"/>
        <v>19.027655617157556</v>
      </c>
      <c r="AE86" s="687">
        <f t="shared" si="52"/>
        <v>-35.877580618095628</v>
      </c>
      <c r="AG86" s="686">
        <f t="shared" si="53"/>
        <v>60.670045096376342</v>
      </c>
      <c r="AH86" s="687">
        <f t="shared" si="54"/>
        <v>-32.715749124753195</v>
      </c>
      <c r="AJ86" s="170">
        <f t="shared" si="55"/>
        <v>0</v>
      </c>
      <c r="AK86" s="170">
        <f>IF(AJ86&gt;0,Y86,0)</f>
        <v>0</v>
      </c>
      <c r="AM86" s="170" t="str">
        <f t="shared" si="59"/>
        <v>0.00714600686605504+0.119335444516623i</v>
      </c>
      <c r="AN86" s="170" t="str">
        <f t="shared" si="60"/>
        <v>0.119620516836773i</v>
      </c>
      <c r="AO86" s="170" t="str">
        <f t="shared" si="61"/>
        <v>0.997616860989332-0.0597389733385457i</v>
      </c>
      <c r="AP86" s="170" t="str">
        <f t="shared" si="62"/>
        <v>0.165475665522324-0.0198892407527705i</v>
      </c>
      <c r="AQ86" s="170" t="str">
        <f t="shared" si="63"/>
        <v>0.834524334477676+0.0198892407527705i</v>
      </c>
      <c r="AR86" s="170" t="str">
        <f t="shared" si="64"/>
        <v>0.997606755425194-0.0237759884469525i</v>
      </c>
    </row>
    <row r="87" spans="1:44">
      <c r="A87" s="170">
        <v>26</v>
      </c>
      <c r="G87" s="688">
        <v>912.01</v>
      </c>
      <c r="H87" s="676">
        <f t="shared" si="56"/>
        <v>0.91200999999999999</v>
      </c>
      <c r="I87" s="677">
        <f t="shared" si="34"/>
        <v>1.2965793619501911</v>
      </c>
      <c r="J87" s="678">
        <f t="shared" si="35"/>
        <v>0.68997778535169563</v>
      </c>
      <c r="K87" s="678">
        <f t="shared" si="36"/>
        <v>1.0000007946467835</v>
      </c>
      <c r="L87" s="679">
        <f t="shared" si="37"/>
        <v>1.2606714537406671E-3</v>
      </c>
      <c r="M87" s="678">
        <f t="shared" si="38"/>
        <v>1.0000672000691948</v>
      </c>
      <c r="N87" s="679">
        <f t="shared" si="39"/>
        <v>-1.1592782772307372E-2</v>
      </c>
      <c r="O87" s="677">
        <f t="shared" si="40"/>
        <v>37820.163661210259</v>
      </c>
      <c r="P87" s="680">
        <f t="shared" si="41"/>
        <v>1.5707698858728245</v>
      </c>
      <c r="Q87" s="689">
        <f t="shared" si="42"/>
        <v>1.8239752288760036</v>
      </c>
      <c r="R87" s="690">
        <f t="shared" si="43"/>
        <v>0.99052238336445564</v>
      </c>
      <c r="S87" s="677">
        <f t="shared" si="44"/>
        <v>1.0000053099966137</v>
      </c>
      <c r="T87" s="680">
        <f t="shared" si="45"/>
        <v>3.2588258981008406E-3</v>
      </c>
      <c r="U87" s="681">
        <f t="shared" si="57"/>
        <v>0.99683082784453114</v>
      </c>
      <c r="V87" s="682">
        <f t="shared" si="58"/>
        <v>-9.1687293814445806E-2</v>
      </c>
      <c r="W87" s="683">
        <f t="shared" si="46"/>
        <v>21.353940124297562</v>
      </c>
      <c r="X87" s="684">
        <f t="shared" si="47"/>
        <v>-78.810546427911973</v>
      </c>
      <c r="Y87" s="687">
        <f t="shared" si="48"/>
        <v>101.18945357208803</v>
      </c>
      <c r="AA87" s="170">
        <f t="shared" si="49"/>
        <v>1000000000</v>
      </c>
      <c r="AB87" s="170">
        <f t="shared" si="50"/>
        <v>831762.24009999994</v>
      </c>
      <c r="AD87" s="686">
        <f t="shared" si="51"/>
        <v>18.771314621901258</v>
      </c>
      <c r="AE87" s="687">
        <f t="shared" si="52"/>
        <v>-33.432449975067428</v>
      </c>
      <c r="AG87" s="686">
        <f t="shared" si="53"/>
        <v>60.367581587827097</v>
      </c>
      <c r="AH87" s="687">
        <f t="shared" si="54"/>
        <v>-34.871506499751632</v>
      </c>
      <c r="AJ87" s="170">
        <f t="shared" si="55"/>
        <v>0</v>
      </c>
      <c r="AK87" s="170">
        <f t="shared" ref="AK87:AK150" si="65">IF(AJ87&gt;0,Y87,0)</f>
        <v>0</v>
      </c>
      <c r="AM87" s="170" t="str">
        <f t="shared" si="59"/>
        <v>0.00858937948587901+0.130786014282131i</v>
      </c>
      <c r="AN87" s="170" t="str">
        <f t="shared" si="60"/>
        <v>0.131161762479928i</v>
      </c>
      <c r="AO87" s="170" t="str">
        <f t="shared" si="61"/>
        <v>0.997135230644263-0.0654869172499376i</v>
      </c>
      <c r="AP87" s="170" t="str">
        <f t="shared" si="62"/>
        <v>0.16523510341902-0.0217976690470218i</v>
      </c>
      <c r="AQ87" s="170" t="str">
        <f t="shared" si="63"/>
        <v>0.83476489658098+0.0217976690470218i</v>
      </c>
      <c r="AR87" s="170" t="str">
        <f t="shared" si="64"/>
        <v>0.997205806778843-0.0260393821505465i</v>
      </c>
    </row>
    <row r="88" spans="1:44">
      <c r="A88" s="170">
        <v>27</v>
      </c>
      <c r="G88" s="688">
        <v>1000</v>
      </c>
      <c r="H88" s="676">
        <f t="shared" si="56"/>
        <v>1</v>
      </c>
      <c r="I88" s="677">
        <f t="shared" si="34"/>
        <v>1.348660633655741</v>
      </c>
      <c r="J88" s="678">
        <f t="shared" si="35"/>
        <v>0.73552830302850658</v>
      </c>
      <c r="K88" s="678">
        <f t="shared" si="36"/>
        <v>1.0000009553772475</v>
      </c>
      <c r="L88" s="679">
        <f t="shared" si="37"/>
        <v>1.3822998855881213E-3</v>
      </c>
      <c r="M88" s="678">
        <f t="shared" si="38"/>
        <v>1.0000807918528749</v>
      </c>
      <c r="N88" s="679">
        <f t="shared" si="39"/>
        <v>-1.2711130068843399E-2</v>
      </c>
      <c r="O88" s="677">
        <f t="shared" si="40"/>
        <v>41469.022992057195</v>
      </c>
      <c r="P88" s="680">
        <f t="shared" si="41"/>
        <v>1.5707722124095569</v>
      </c>
      <c r="Q88" s="689">
        <f t="shared" si="42"/>
        <v>1.948727018438041</v>
      </c>
      <c r="R88" s="690">
        <f t="shared" si="43"/>
        <v>1.0319390804792312</v>
      </c>
      <c r="S88" s="677">
        <f t="shared" si="44"/>
        <v>1.0000063840283993</v>
      </c>
      <c r="T88" s="680">
        <f t="shared" si="45"/>
        <v>3.5732322723690335E-3</v>
      </c>
      <c r="U88" s="681">
        <f t="shared" si="57"/>
        <v>0.99627336114884157</v>
      </c>
      <c r="V88" s="682">
        <f t="shared" si="58"/>
        <v>-0.10050539146137698</v>
      </c>
      <c r="W88" s="683">
        <f t="shared" si="46"/>
        <v>20.781753281819846</v>
      </c>
      <c r="X88" s="684">
        <f t="shared" si="47"/>
        <v>-79.627891922159307</v>
      </c>
      <c r="Y88" s="687">
        <f t="shared" si="48"/>
        <v>100.37210807784069</v>
      </c>
      <c r="AA88" s="170">
        <f t="shared" si="49"/>
        <v>1000000000</v>
      </c>
      <c r="AB88" s="170">
        <f t="shared" si="50"/>
        <v>1000000</v>
      </c>
      <c r="AD88" s="686">
        <f t="shared" si="51"/>
        <v>18.545938711522979</v>
      </c>
      <c r="AE88" s="687">
        <f t="shared" si="52"/>
        <v>-31.077595485361545</v>
      </c>
      <c r="AG88" s="686">
        <f t="shared" si="53"/>
        <v>60.030488350063287</v>
      </c>
      <c r="AH88" s="687">
        <f t="shared" si="54"/>
        <v>-37.03322692554341</v>
      </c>
      <c r="AJ88" s="170">
        <f t="shared" si="55"/>
        <v>0</v>
      </c>
      <c r="AK88" s="170">
        <f t="shared" si="65"/>
        <v>0</v>
      </c>
      <c r="AM88" s="170" t="str">
        <f t="shared" si="59"/>
        <v>0.010323729496966+0.143320897301148i</v>
      </c>
      <c r="AN88" s="170" t="str">
        <f t="shared" si="60"/>
        <v>0.14381614508605i</v>
      </c>
      <c r="AO88" s="170" t="str">
        <f t="shared" si="61"/>
        <v>0.996556382563267-0.0717842179039701i</v>
      </c>
      <c r="AP88" s="170" t="str">
        <f t="shared" si="62"/>
        <v>0.164946045083839-0.023886816216858i</v>
      </c>
      <c r="AQ88" s="170" t="str">
        <f t="shared" si="63"/>
        <v>0.835053954916161+0.023886816216858i</v>
      </c>
      <c r="AR88" s="170" t="str">
        <f t="shared" si="64"/>
        <v>0.996724759934875-0.0285114285360718i</v>
      </c>
    </row>
    <row r="89" spans="1:44">
      <c r="A89" s="170">
        <v>28</v>
      </c>
      <c r="G89" s="688">
        <v>1096.5</v>
      </c>
      <c r="H89" s="676">
        <f t="shared" si="56"/>
        <v>1.0965</v>
      </c>
      <c r="I89" s="677">
        <f t="shared" si="34"/>
        <v>1.4087427280151819</v>
      </c>
      <c r="J89" s="678">
        <f t="shared" si="35"/>
        <v>0.78150709618229286</v>
      </c>
      <c r="K89" s="678">
        <f t="shared" si="36"/>
        <v>1.0000011486616569</v>
      </c>
      <c r="L89" s="679">
        <f t="shared" si="37"/>
        <v>1.5156916292411388E-3</v>
      </c>
      <c r="M89" s="678">
        <f t="shared" si="38"/>
        <v>1.0000971362406275</v>
      </c>
      <c r="N89" s="679">
        <f t="shared" si="39"/>
        <v>-1.3937602261849544E-2</v>
      </c>
      <c r="O89" s="677">
        <f t="shared" si="40"/>
        <v>45470.783708566079</v>
      </c>
      <c r="P89" s="680">
        <f t="shared" si="41"/>
        <v>1.5707743346514031</v>
      </c>
      <c r="Q89" s="689">
        <f t="shared" si="42"/>
        <v>2.0889023423269828</v>
      </c>
      <c r="R89" s="690">
        <f t="shared" si="43"/>
        <v>1.0715997416680236</v>
      </c>
      <c r="S89" s="677">
        <f t="shared" si="44"/>
        <v>1.0000076755905918</v>
      </c>
      <c r="T89" s="680">
        <f t="shared" si="45"/>
        <v>3.9180458130686898E-3</v>
      </c>
      <c r="U89" s="681">
        <f t="shared" si="57"/>
        <v>0.99560415725337104</v>
      </c>
      <c r="V89" s="682">
        <f t="shared" si="58"/>
        <v>-0.1101675334905021</v>
      </c>
      <c r="W89" s="683">
        <f t="shared" si="46"/>
        <v>20.200639123210475</v>
      </c>
      <c r="X89" s="684">
        <f t="shared" si="47"/>
        <v>-80.626001031143616</v>
      </c>
      <c r="Y89" s="687">
        <f t="shared" si="48"/>
        <v>99.373998968856384</v>
      </c>
      <c r="AA89" s="170">
        <f t="shared" si="49"/>
        <v>1000000000</v>
      </c>
      <c r="AB89" s="170">
        <f t="shared" si="50"/>
        <v>1202312.25</v>
      </c>
      <c r="AD89" s="686">
        <f t="shared" si="51"/>
        <v>18.349097380111235</v>
      </c>
      <c r="AE89" s="687">
        <f t="shared" si="52"/>
        <v>-28.825084940073527</v>
      </c>
      <c r="AG89" s="686">
        <f t="shared" si="53"/>
        <v>59.657888191182707</v>
      </c>
      <c r="AH89" s="687">
        <f t="shared" si="54"/>
        <v>-39.176646659900939</v>
      </c>
      <c r="AJ89" s="170">
        <f t="shared" si="55"/>
        <v>0</v>
      </c>
      <c r="AK89" s="170">
        <f t="shared" si="65"/>
        <v>0</v>
      </c>
      <c r="AM89" s="170" t="str">
        <f t="shared" si="59"/>
        <v>0.012408017323373+0.157041637003852i</v>
      </c>
      <c r="AN89" s="170" t="str">
        <f t="shared" si="60"/>
        <v>0.157694403086854i</v>
      </c>
      <c r="AO89" s="170" t="str">
        <f t="shared" si="61"/>
        <v>0.995860562770624-0.0786839423624882i</v>
      </c>
      <c r="AP89" s="170" t="str">
        <f t="shared" si="62"/>
        <v>0.164598663779438-0.0261736061673087i</v>
      </c>
      <c r="AQ89" s="170" t="str">
        <f t="shared" si="63"/>
        <v>0.835401336220562+0.0261736061673087i</v>
      </c>
      <c r="AR89" s="170" t="str">
        <f t="shared" si="64"/>
        <v>0.996147706185693-0.0312098827422615i</v>
      </c>
    </row>
    <row r="90" spans="1:44">
      <c r="A90" s="170">
        <v>29</v>
      </c>
      <c r="G90" s="688">
        <v>1202.3</v>
      </c>
      <c r="H90" s="676">
        <f t="shared" si="56"/>
        <v>1.2022999999999999</v>
      </c>
      <c r="I90" s="677">
        <f t="shared" si="34"/>
        <v>1.4777414208051964</v>
      </c>
      <c r="J90" s="678">
        <f t="shared" si="35"/>
        <v>0.82751371765506865</v>
      </c>
      <c r="K90" s="678">
        <f t="shared" si="36"/>
        <v>1.0000013810216788</v>
      </c>
      <c r="L90" s="679">
        <f t="shared" si="37"/>
        <v>1.6619386808463053E-3</v>
      </c>
      <c r="M90" s="678">
        <f t="shared" si="38"/>
        <v>1.0001167845649448</v>
      </c>
      <c r="N90" s="679">
        <f t="shared" si="39"/>
        <v>-1.5282225004785209E-2</v>
      </c>
      <c r="O90" s="677">
        <f t="shared" si="40"/>
        <v>49858.206338882439</v>
      </c>
      <c r="P90" s="680">
        <f t="shared" si="41"/>
        <v>1.5707762699161298</v>
      </c>
      <c r="Q90" s="689">
        <f t="shared" si="42"/>
        <v>2.2458651945766661</v>
      </c>
      <c r="R90" s="690">
        <f t="shared" si="43"/>
        <v>1.1093286991048465</v>
      </c>
      <c r="S90" s="677">
        <f t="shared" si="44"/>
        <v>1.0000092282613793</v>
      </c>
      <c r="T90" s="680">
        <f t="shared" si="45"/>
        <v>4.2960890150561563E-3</v>
      </c>
      <c r="U90" s="681">
        <f t="shared" si="57"/>
        <v>0.99480134944150489</v>
      </c>
      <c r="V90" s="682">
        <f t="shared" si="58"/>
        <v>-0.12074927335339286</v>
      </c>
      <c r="W90" s="683">
        <f t="shared" si="46"/>
        <v>19.607683132173353</v>
      </c>
      <c r="X90" s="684">
        <f t="shared" si="47"/>
        <v>-81.796998311850885</v>
      </c>
      <c r="Y90" s="687">
        <f t="shared" si="48"/>
        <v>98.203001688149115</v>
      </c>
      <c r="AA90" s="170">
        <f t="shared" si="49"/>
        <v>1000000000</v>
      </c>
      <c r="AB90" s="170">
        <f t="shared" si="50"/>
        <v>1445525.2899999998</v>
      </c>
      <c r="AD90" s="686">
        <f t="shared" si="51"/>
        <v>18.178310628616252</v>
      </c>
      <c r="AE90" s="687">
        <f t="shared" si="52"/>
        <v>-26.68514607351818</v>
      </c>
      <c r="AG90" s="686">
        <f t="shared" si="53"/>
        <v>59.24973237837019</v>
      </c>
      <c r="AH90" s="687">
        <f t="shared" si="54"/>
        <v>-41.275004737679986</v>
      </c>
      <c r="AJ90" s="170">
        <f t="shared" si="55"/>
        <v>0</v>
      </c>
      <c r="AK90" s="170">
        <f t="shared" si="65"/>
        <v>0</v>
      </c>
      <c r="AM90" s="170" t="str">
        <f t="shared" si="59"/>
        <v>0.014911752063907+0.172049829346612i</v>
      </c>
      <c r="AN90" s="170" t="str">
        <f t="shared" si="60"/>
        <v>0.172910151236958i</v>
      </c>
      <c r="AO90" s="170" t="str">
        <f t="shared" si="61"/>
        <v>0.995024457013128-0.086239887925792i</v>
      </c>
      <c r="AP90" s="170" t="str">
        <f t="shared" si="62"/>
        <v>0.164181374656015-0.0286749715577687i</v>
      </c>
      <c r="AQ90" s="170" t="str">
        <f t="shared" si="63"/>
        <v>0.835818625343985+0.0286749715577687i</v>
      </c>
      <c r="AR90" s="170" t="str">
        <f t="shared" si="64"/>
        <v>0.995456040512627-0.0341517558752187i</v>
      </c>
    </row>
    <row r="91" spans="1:44">
      <c r="A91" s="170">
        <v>30</v>
      </c>
      <c r="G91" s="688">
        <v>1318.3</v>
      </c>
      <c r="H91" s="676">
        <f t="shared" si="56"/>
        <v>1.3183</v>
      </c>
      <c r="I91" s="677">
        <f t="shared" si="34"/>
        <v>1.5566481015148061</v>
      </c>
      <c r="J91" s="678">
        <f t="shared" si="35"/>
        <v>0.87316274532548788</v>
      </c>
      <c r="K91" s="678">
        <f t="shared" si="36"/>
        <v>1.0000016603637587</v>
      </c>
      <c r="L91" s="679">
        <f t="shared" si="37"/>
        <v>1.8222850827138385E-3</v>
      </c>
      <c r="M91" s="678">
        <f t="shared" si="38"/>
        <v>1.0001404051792608</v>
      </c>
      <c r="N91" s="679">
        <f t="shared" si="39"/>
        <v>-1.6756416873366209E-2</v>
      </c>
      <c r="O91" s="677">
        <f t="shared" si="40"/>
        <v>54668.613003680017</v>
      </c>
      <c r="P91" s="680">
        <f t="shared" si="41"/>
        <v>1.5707780347632332</v>
      </c>
      <c r="Q91" s="689">
        <f t="shared" si="42"/>
        <v>2.4211322133252287</v>
      </c>
      <c r="R91" s="690">
        <f t="shared" si="43"/>
        <v>1.1450178253776373</v>
      </c>
      <c r="S91" s="677">
        <f t="shared" si="44"/>
        <v>1.0000110948718801</v>
      </c>
      <c r="T91" s="680">
        <f t="shared" si="45"/>
        <v>4.7105773108740683E-3</v>
      </c>
      <c r="U91" s="681">
        <f t="shared" si="57"/>
        <v>0.99383864587322379</v>
      </c>
      <c r="V91" s="682">
        <f t="shared" si="58"/>
        <v>-0.13233597730234525</v>
      </c>
      <c r="W91" s="683">
        <f t="shared" si="46"/>
        <v>19.000293116017637</v>
      </c>
      <c r="X91" s="684">
        <f t="shared" si="47"/>
        <v>-83.130655211041443</v>
      </c>
      <c r="Y91" s="687">
        <f t="shared" si="48"/>
        <v>96.869344788958557</v>
      </c>
      <c r="AA91" s="170">
        <f t="shared" si="49"/>
        <v>1000000000</v>
      </c>
      <c r="AB91" s="170">
        <f t="shared" si="50"/>
        <v>1737914.89</v>
      </c>
      <c r="AD91" s="686">
        <f t="shared" si="51"/>
        <v>18.030962744018904</v>
      </c>
      <c r="AE91" s="687">
        <f t="shared" si="52"/>
        <v>-24.664159309566937</v>
      </c>
      <c r="AG91" s="686">
        <f t="shared" si="53"/>
        <v>58.806509656300079</v>
      </c>
      <c r="AH91" s="687">
        <f t="shared" si="54"/>
        <v>-43.301909929819544</v>
      </c>
      <c r="AJ91" s="170">
        <f t="shared" si="55"/>
        <v>0</v>
      </c>
      <c r="AK91" s="170">
        <f t="shared" si="65"/>
        <v>0</v>
      </c>
      <c r="AM91" s="170" t="str">
        <f t="shared" si="59"/>
        <v>0.017918947492416+0.188459030841177i</v>
      </c>
      <c r="AN91" s="170" t="str">
        <f t="shared" si="60"/>
        <v>0.18959282406694i</v>
      </c>
      <c r="AO91" s="170" t="str">
        <f t="shared" si="61"/>
        <v>0.99401985158804-0.094512793828575i</v>
      </c>
      <c r="AP91" s="170" t="str">
        <f t="shared" si="62"/>
        <v>0.163680175417931-0.0314098384735295i</v>
      </c>
      <c r="AQ91" s="170" t="str">
        <f t="shared" si="63"/>
        <v>0.836319824582069+0.0314098384735295i</v>
      </c>
      <c r="AR91" s="170" t="str">
        <f t="shared" si="64"/>
        <v>0.994627470819106-0.037355431835393i</v>
      </c>
    </row>
    <row r="92" spans="1:44">
      <c r="A92" s="170">
        <v>31</v>
      </c>
      <c r="G92" s="688">
        <v>1445.4</v>
      </c>
      <c r="H92" s="676">
        <f t="shared" si="56"/>
        <v>1.4454</v>
      </c>
      <c r="I92" s="677">
        <f t="shared" si="34"/>
        <v>1.6464507793336021</v>
      </c>
      <c r="J92" s="678">
        <f t="shared" si="35"/>
        <v>0.91805421482937988</v>
      </c>
      <c r="K92" s="678">
        <f t="shared" si="36"/>
        <v>1.0000019959551076</v>
      </c>
      <c r="L92" s="679">
        <f t="shared" si="37"/>
        <v>1.9979748685978144E-3</v>
      </c>
      <c r="M92" s="678">
        <f t="shared" si="38"/>
        <v>1.0001687813917091</v>
      </c>
      <c r="N92" s="679">
        <f t="shared" si="39"/>
        <v>-1.8371589796701913E-2</v>
      </c>
      <c r="O92" s="677">
        <f t="shared" si="40"/>
        <v>59939.325823633779</v>
      </c>
      <c r="P92" s="680">
        <f t="shared" si="41"/>
        <v>1.5707796432572307</v>
      </c>
      <c r="Q92" s="689">
        <f t="shared" si="42"/>
        <v>2.616211302419039</v>
      </c>
      <c r="R92" s="690">
        <f t="shared" si="43"/>
        <v>1.178585689581922</v>
      </c>
      <c r="S92" s="677">
        <f t="shared" si="44"/>
        <v>1.0000133373454871</v>
      </c>
      <c r="T92" s="680">
        <f t="shared" si="45"/>
        <v>5.1647259852815354E-3</v>
      </c>
      <c r="U92" s="681">
        <f t="shared" si="57"/>
        <v>0.99268557801449198</v>
      </c>
      <c r="V92" s="682">
        <f t="shared" si="58"/>
        <v>-0.14501146769590265</v>
      </c>
      <c r="W92" s="683">
        <f t="shared" si="46"/>
        <v>18.376883776117946</v>
      </c>
      <c r="X92" s="684">
        <f t="shared" si="47"/>
        <v>-84.614291378774325</v>
      </c>
      <c r="Y92" s="687">
        <f t="shared" si="48"/>
        <v>95.385708621225675</v>
      </c>
      <c r="AA92" s="170">
        <f t="shared" si="49"/>
        <v>1000000000</v>
      </c>
      <c r="AB92" s="170">
        <f t="shared" si="50"/>
        <v>2089181.1600000001</v>
      </c>
      <c r="AD92" s="686">
        <f t="shared" si="51"/>
        <v>17.904553530113269</v>
      </c>
      <c r="AE92" s="687">
        <f t="shared" si="52"/>
        <v>-22.766975323457753</v>
      </c>
      <c r="AG92" s="686">
        <f t="shared" si="53"/>
        <v>58.329676254014693</v>
      </c>
      <c r="AH92" s="687">
        <f t="shared" si="54"/>
        <v>-45.230225876382988</v>
      </c>
      <c r="AJ92" s="170">
        <f t="shared" si="55"/>
        <v>0</v>
      </c>
      <c r="AK92" s="170">
        <f t="shared" si="65"/>
        <v>0</v>
      </c>
      <c r="AM92" s="170" t="str">
        <f t="shared" si="59"/>
        <v>0.021527667696429+0.206378038842341i</v>
      </c>
      <c r="AN92" s="170" t="str">
        <f t="shared" si="60"/>
        <v>0.207871856107376i</v>
      </c>
      <c r="AO92" s="170" t="str">
        <f t="shared" si="61"/>
        <v>0.99281375895223-0.103562204617584i</v>
      </c>
      <c r="AP92" s="170" t="str">
        <f t="shared" si="62"/>
        <v>0.163078722050595-0.0343963398070568i</v>
      </c>
      <c r="AQ92" s="170" t="str">
        <f t="shared" si="63"/>
        <v>0.836921277949405+0.0343963398070568i</v>
      </c>
      <c r="AR92" s="170" t="str">
        <f t="shared" si="64"/>
        <v>0.993636288843944-0.0408371161496091i</v>
      </c>
    </row>
    <row r="93" spans="1:44">
      <c r="A93" s="170">
        <v>32</v>
      </c>
      <c r="G93" s="688">
        <v>1584.9</v>
      </c>
      <c r="H93" s="676">
        <f t="shared" si="56"/>
        <v>1.5849000000000002</v>
      </c>
      <c r="I93" s="677">
        <f t="shared" si="34"/>
        <v>1.7484178730244813</v>
      </c>
      <c r="J93" s="678">
        <f t="shared" si="35"/>
        <v>0.96192052459317867</v>
      </c>
      <c r="K93" s="678">
        <f t="shared" si="36"/>
        <v>1.0000023998180274</v>
      </c>
      <c r="L93" s="679">
        <f t="shared" si="37"/>
        <v>2.1908049790114919E-3</v>
      </c>
      <c r="M93" s="678">
        <f t="shared" si="38"/>
        <v>1.0002029293102446</v>
      </c>
      <c r="N93" s="679">
        <f t="shared" si="39"/>
        <v>-2.0144229906611681E-2</v>
      </c>
      <c r="O93" s="677">
        <f t="shared" si="40"/>
        <v>65724.254528609541</v>
      </c>
      <c r="P93" s="680">
        <f t="shared" si="41"/>
        <v>1.5707811117117099</v>
      </c>
      <c r="Q93" s="689">
        <f t="shared" si="42"/>
        <v>2.833223531502024</v>
      </c>
      <c r="R93" s="690">
        <f t="shared" si="43"/>
        <v>1.2100689873214847</v>
      </c>
      <c r="S93" s="677">
        <f t="shared" si="44"/>
        <v>1.0000160360146824</v>
      </c>
      <c r="T93" s="680">
        <f t="shared" si="45"/>
        <v>5.6631793880401564E-3</v>
      </c>
      <c r="U93" s="681">
        <f t="shared" si="57"/>
        <v>0.991302954438261</v>
      </c>
      <c r="V93" s="682">
        <f t="shared" si="58"/>
        <v>-0.15889739650973395</v>
      </c>
      <c r="W93" s="683">
        <f t="shared" si="46"/>
        <v>17.735008602325102</v>
      </c>
      <c r="X93" s="684">
        <f t="shared" si="47"/>
        <v>-86.238550680840191</v>
      </c>
      <c r="Y93" s="687">
        <f t="shared" si="48"/>
        <v>93.761449319159809</v>
      </c>
      <c r="AA93" s="170">
        <f t="shared" si="49"/>
        <v>1000000000</v>
      </c>
      <c r="AB93" s="170">
        <f t="shared" si="50"/>
        <v>2511908.0100000002</v>
      </c>
      <c r="AD93" s="686">
        <f t="shared" si="51"/>
        <v>17.79641424290287</v>
      </c>
      <c r="AE93" s="687">
        <f t="shared" si="52"/>
        <v>-20.991758648304629</v>
      </c>
      <c r="AG93" s="686">
        <f t="shared" si="53"/>
        <v>57.820152841530401</v>
      </c>
      <c r="AH93" s="687">
        <f t="shared" si="54"/>
        <v>-47.038491620480485</v>
      </c>
      <c r="AJ93" s="170">
        <f t="shared" si="55"/>
        <v>0</v>
      </c>
      <c r="AK93" s="170">
        <f t="shared" si="65"/>
        <v>0</v>
      </c>
      <c r="AM93" s="170" t="str">
        <f t="shared" si="59"/>
        <v>0.025864728821945+0.225965646607748i</v>
      </c>
      <c r="AN93" s="170" t="str">
        <f t="shared" si="60"/>
        <v>0.22793420834688i</v>
      </c>
      <c r="AO93" s="170" t="str">
        <f t="shared" si="61"/>
        <v>0.991363465127024-0.113474537277805i</v>
      </c>
      <c r="AP93" s="170" t="str">
        <f t="shared" si="62"/>
        <v>0.162355878529676-0.0376609411012913i</v>
      </c>
      <c r="AQ93" s="170" t="str">
        <f t="shared" si="63"/>
        <v>0.837644121470324+0.0376609411012913i</v>
      </c>
      <c r="AR93" s="170" t="str">
        <f t="shared" si="64"/>
        <v>0.992449546163216-0.0446210782670434i</v>
      </c>
    </row>
    <row r="94" spans="1:44">
      <c r="A94" s="170">
        <v>33</v>
      </c>
      <c r="G94" s="688">
        <v>1737.8</v>
      </c>
      <c r="H94" s="676">
        <f t="shared" si="56"/>
        <v>1.7378</v>
      </c>
      <c r="I94" s="677">
        <f t="shared" si="34"/>
        <v>1.8635966114562306</v>
      </c>
      <c r="J94" s="678">
        <f t="shared" si="35"/>
        <v>1.0043973972122586</v>
      </c>
      <c r="K94" s="678">
        <f t="shared" si="36"/>
        <v>1.0000028851876264</v>
      </c>
      <c r="L94" s="679">
        <f t="shared" si="37"/>
        <v>2.4021576507048908E-3</v>
      </c>
      <c r="M94" s="678">
        <f t="shared" si="38"/>
        <v>1.0002439673584262</v>
      </c>
      <c r="N94" s="679">
        <f t="shared" si="39"/>
        <v>-2.2086999284195233E-2</v>
      </c>
      <c r="O94" s="677">
        <f t="shared" si="40"/>
        <v>72064.868141582192</v>
      </c>
      <c r="P94" s="680">
        <f t="shared" si="41"/>
        <v>1.5707824504078884</v>
      </c>
      <c r="Q94" s="689">
        <f t="shared" si="42"/>
        <v>3.0738280034879191</v>
      </c>
      <c r="R94" s="690">
        <f t="shared" si="43"/>
        <v>1.2394385471837586</v>
      </c>
      <c r="S94" s="677">
        <f t="shared" si="44"/>
        <v>1.0000192793148528</v>
      </c>
      <c r="T94" s="680">
        <f t="shared" si="45"/>
        <v>6.2095096609252236E-3</v>
      </c>
      <c r="U94" s="681">
        <f t="shared" si="57"/>
        <v>0.98964849984163528</v>
      </c>
      <c r="V94" s="682">
        <f t="shared" si="58"/>
        <v>-0.17408283744554962</v>
      </c>
      <c r="W94" s="683">
        <f t="shared" si="46"/>
        <v>17.074714831307244</v>
      </c>
      <c r="X94" s="684">
        <f t="shared" si="47"/>
        <v>-87.990188050555687</v>
      </c>
      <c r="Y94" s="687">
        <f t="shared" si="48"/>
        <v>92.009811949444313</v>
      </c>
      <c r="AA94" s="170">
        <f t="shared" si="49"/>
        <v>1000000000</v>
      </c>
      <c r="AB94" s="170">
        <f t="shared" si="50"/>
        <v>3019948.84</v>
      </c>
      <c r="AD94" s="686">
        <f t="shared" si="51"/>
        <v>17.704401975630727</v>
      </c>
      <c r="AE94" s="687">
        <f t="shared" si="52"/>
        <v>-19.340385940650165</v>
      </c>
      <c r="AG94" s="686">
        <f t="shared" si="53"/>
        <v>57.280888532219606</v>
      </c>
      <c r="AH94" s="687">
        <f t="shared" si="54"/>
        <v>-48.701378344527214</v>
      </c>
      <c r="AJ94" s="170">
        <f t="shared" si="55"/>
        <v>0</v>
      </c>
      <c r="AK94" s="170">
        <f t="shared" si="65"/>
        <v>0</v>
      </c>
      <c r="AM94" s="170" t="str">
        <f t="shared" si="59"/>
        <v>0.031068703428466+0.247330027542565i</v>
      </c>
      <c r="AN94" s="170" t="str">
        <f t="shared" si="60"/>
        <v>0.249923696930537i</v>
      </c>
      <c r="AO94" s="170" t="str">
        <f t="shared" si="61"/>
        <v>0.989622155002401-0.124312755493134i</v>
      </c>
      <c r="AP94" s="170" t="str">
        <f t="shared" si="62"/>
        <v>0.161488549428589-0.0412216712570942i</v>
      </c>
      <c r="AQ94" s="170" t="str">
        <f t="shared" si="63"/>
        <v>0.838511450571411+0.0412216712570942i</v>
      </c>
      <c r="AR94" s="170" t="str">
        <f t="shared" si="64"/>
        <v>0.991032016875616-0.0487196638484337i</v>
      </c>
    </row>
    <row r="95" spans="1:44">
      <c r="A95" s="170">
        <v>34</v>
      </c>
      <c r="G95" s="688">
        <v>1905.5</v>
      </c>
      <c r="H95" s="676">
        <f t="shared" si="56"/>
        <v>1.9055</v>
      </c>
      <c r="I95" s="677">
        <f t="shared" si="34"/>
        <v>1.9933178749426128</v>
      </c>
      <c r="J95" s="678">
        <f t="shared" si="35"/>
        <v>1.0452610376883118</v>
      </c>
      <c r="K95" s="678">
        <f t="shared" si="36"/>
        <v>1.0000034689037884</v>
      </c>
      <c r="L95" s="679">
        <f t="shared" si="37"/>
        <v>2.6339680182926122E-3</v>
      </c>
      <c r="M95" s="678">
        <f t="shared" si="38"/>
        <v>1.0002933184148386</v>
      </c>
      <c r="N95" s="679">
        <f t="shared" si="39"/>
        <v>-2.4217627314377696E-2</v>
      </c>
      <c r="O95" s="677">
        <f t="shared" si="40"/>
        <v>79019.223294717565</v>
      </c>
      <c r="P95" s="680">
        <f t="shared" si="41"/>
        <v>1.5707836716464614</v>
      </c>
      <c r="Q95" s="689">
        <f t="shared" si="42"/>
        <v>3.340308622143227</v>
      </c>
      <c r="R95" s="690">
        <f t="shared" si="43"/>
        <v>1.2667603188497631</v>
      </c>
      <c r="S95" s="677">
        <f t="shared" si="44"/>
        <v>1.0000231797671713</v>
      </c>
      <c r="T95" s="680">
        <f t="shared" si="45"/>
        <v>6.8087178571011242E-3</v>
      </c>
      <c r="U95" s="681">
        <f t="shared" si="57"/>
        <v>0.9876691521072174</v>
      </c>
      <c r="V95" s="682">
        <f t="shared" si="58"/>
        <v>-0.1906931896223148</v>
      </c>
      <c r="W95" s="683">
        <f t="shared" si="46"/>
        <v>16.395189392425124</v>
      </c>
      <c r="X95" s="684">
        <f t="shared" si="47"/>
        <v>-89.860979368821731</v>
      </c>
      <c r="Y95" s="687">
        <f t="shared" si="48"/>
        <v>90.139020631178269</v>
      </c>
      <c r="AA95" s="170">
        <f t="shared" si="49"/>
        <v>1000000000</v>
      </c>
      <c r="AB95" s="170">
        <f t="shared" si="50"/>
        <v>3630930.25</v>
      </c>
      <c r="AD95" s="686">
        <f t="shared" si="51"/>
        <v>17.62632552789772</v>
      </c>
      <c r="AE95" s="687">
        <f t="shared" si="52"/>
        <v>-17.809365806125076</v>
      </c>
      <c r="AG95" s="686">
        <f t="shared" si="53"/>
        <v>56.714218781931734</v>
      </c>
      <c r="AH95" s="687">
        <f t="shared" si="54"/>
        <v>-50.199783643234191</v>
      </c>
      <c r="AJ95" s="170">
        <f t="shared" si="55"/>
        <v>0</v>
      </c>
      <c r="AK95" s="170">
        <f t="shared" si="65"/>
        <v>0</v>
      </c>
      <c r="AM95" s="170" t="str">
        <f t="shared" si="59"/>
        <v>0.037315011280518+0.270624486131931i</v>
      </c>
      <c r="AN95" s="170" t="str">
        <f t="shared" si="60"/>
        <v>0.274041664461468i</v>
      </c>
      <c r="AO95" s="170" t="str">
        <f t="shared" si="61"/>
        <v>0.987530442364477-0.13616546722502i</v>
      </c>
      <c r="AP95" s="170" t="str">
        <f t="shared" si="62"/>
        <v>0.160447498119914-0.0451040810219885i</v>
      </c>
      <c r="AQ95" s="170" t="str">
        <f t="shared" si="63"/>
        <v>0.839552501880086+0.0451040810219885i</v>
      </c>
      <c r="AR95" s="170" t="str">
        <f t="shared" si="64"/>
        <v>0.989339749575675-0.0531512444108095i</v>
      </c>
    </row>
    <row r="96" spans="1:44">
      <c r="A96" s="170">
        <v>35</v>
      </c>
      <c r="G96" s="688">
        <v>2089.3000000000002</v>
      </c>
      <c r="H96" s="676">
        <f t="shared" si="56"/>
        <v>2.0893000000000002</v>
      </c>
      <c r="I96" s="677">
        <f t="shared" si="34"/>
        <v>2.1388263406982313</v>
      </c>
      <c r="J96" s="678">
        <f t="shared" si="35"/>
        <v>1.0842835512283047</v>
      </c>
      <c r="K96" s="678">
        <f t="shared" si="36"/>
        <v>1.0000041703816851</v>
      </c>
      <c r="L96" s="679">
        <f t="shared" si="37"/>
        <v>2.8880329609384052E-3</v>
      </c>
      <c r="M96" s="678">
        <f t="shared" si="38"/>
        <v>1.0003526226102692</v>
      </c>
      <c r="N96" s="679">
        <f t="shared" si="39"/>
        <v>-2.6552552514513651E-2</v>
      </c>
      <c r="O96" s="677">
        <f t="shared" si="40"/>
        <v>86641.22971788494</v>
      </c>
      <c r="P96" s="680">
        <f t="shared" si="41"/>
        <v>1.5707847849457877</v>
      </c>
      <c r="Q96" s="689">
        <f t="shared" si="42"/>
        <v>3.6347953331671889</v>
      </c>
      <c r="R96" s="690">
        <f t="shared" si="43"/>
        <v>1.2920832098627761</v>
      </c>
      <c r="S96" s="677">
        <f t="shared" si="44"/>
        <v>1.0000278670985769</v>
      </c>
      <c r="T96" s="680">
        <f t="shared" si="45"/>
        <v>7.4654472667527181E-3</v>
      </c>
      <c r="U96" s="681">
        <f t="shared" si="57"/>
        <v>0.98530526826970533</v>
      </c>
      <c r="V96" s="682">
        <f t="shared" si="58"/>
        <v>-0.20883944375451358</v>
      </c>
      <c r="W96" s="683">
        <f t="shared" si="46"/>
        <v>15.696907087691658</v>
      </c>
      <c r="X96" s="684">
        <f t="shared" si="47"/>
        <v>-91.842529819869654</v>
      </c>
      <c r="Y96" s="687">
        <f t="shared" si="48"/>
        <v>88.157470180130346</v>
      </c>
      <c r="AA96" s="170">
        <f t="shared" si="49"/>
        <v>1000000000</v>
      </c>
      <c r="AB96" s="170">
        <f t="shared" si="50"/>
        <v>4365174.4900000012</v>
      </c>
      <c r="AD96" s="686">
        <f t="shared" si="51"/>
        <v>17.560315136466706</v>
      </c>
      <c r="AE96" s="687">
        <f t="shared" si="52"/>
        <v>-16.396162635202742</v>
      </c>
      <c r="AG96" s="686">
        <f t="shared" si="53"/>
        <v>56.123574258711379</v>
      </c>
      <c r="AH96" s="687">
        <f t="shared" si="54"/>
        <v>-51.515129711334765</v>
      </c>
      <c r="AJ96" s="170">
        <f t="shared" si="55"/>
        <v>0</v>
      </c>
      <c r="AK96" s="170">
        <f t="shared" si="65"/>
        <v>0</v>
      </c>
      <c r="AM96" s="170" t="str">
        <f t="shared" si="59"/>
        <v>0.044804012030077+0.295974026843846i</v>
      </c>
      <c r="AN96" s="170" t="str">
        <f t="shared" si="60"/>
        <v>0.300475071928284i</v>
      </c>
      <c r="AO96" s="170" t="str">
        <f t="shared" si="61"/>
        <v>0.985020237933374-0.149110579265526i</v>
      </c>
      <c r="AP96" s="170" t="str">
        <f t="shared" si="62"/>
        <v>0.159199331328321-0.0493290044739743i</v>
      </c>
      <c r="AQ96" s="170" t="str">
        <f t="shared" si="63"/>
        <v>0.840800668671679+0.0493290044739743i</v>
      </c>
      <c r="AR96" s="170" t="str">
        <f t="shared" si="64"/>
        <v>0.987323903501033-0.0579253883444309i</v>
      </c>
    </row>
    <row r="97" spans="1:44">
      <c r="A97" s="170" t="s">
        <v>801</v>
      </c>
      <c r="G97" s="688">
        <v>2290.9</v>
      </c>
      <c r="H97" s="676">
        <f t="shared" si="56"/>
        <v>2.2909000000000002</v>
      </c>
      <c r="I97" s="677">
        <f t="shared" si="34"/>
        <v>2.3016719107914736</v>
      </c>
      <c r="J97" s="678">
        <f t="shared" si="35"/>
        <v>1.1213501409485391</v>
      </c>
      <c r="K97" s="678">
        <f t="shared" si="36"/>
        <v>1.0000050140224872</v>
      </c>
      <c r="L97" s="679">
        <f t="shared" si="37"/>
        <v>3.1667022395536755E-3</v>
      </c>
      <c r="M97" s="678">
        <f t="shared" si="38"/>
        <v>1.0004239409105959</v>
      </c>
      <c r="N97" s="679">
        <f t="shared" si="39"/>
        <v>-2.911326821838767E-2</v>
      </c>
      <c r="O97" s="677">
        <f t="shared" si="40"/>
        <v>95001.384750145095</v>
      </c>
      <c r="P97" s="680">
        <f t="shared" si="41"/>
        <v>1.5707858006325397</v>
      </c>
      <c r="Q97" s="689">
        <f t="shared" si="42"/>
        <v>3.9600628095122663</v>
      </c>
      <c r="R97" s="690">
        <f t="shared" si="43"/>
        <v>1.3155112597591658</v>
      </c>
      <c r="S97" s="677">
        <f t="shared" si="44"/>
        <v>1.0000335043491411</v>
      </c>
      <c r="T97" s="680">
        <f t="shared" si="45"/>
        <v>8.1857698131283189E-3</v>
      </c>
      <c r="U97" s="681">
        <f t="shared" si="57"/>
        <v>0.9824834479425838</v>
      </c>
      <c r="V97" s="682">
        <f t="shared" si="58"/>
        <v>-0.22866630883463668</v>
      </c>
      <c r="W97" s="683">
        <f t="shared" si="46"/>
        <v>14.979551242353228</v>
      </c>
      <c r="X97" s="684">
        <f t="shared" si="47"/>
        <v>-93.932037548130921</v>
      </c>
      <c r="Y97" s="687">
        <f t="shared" si="48"/>
        <v>86.067962451869079</v>
      </c>
      <c r="AA97" s="170">
        <f t="shared" si="49"/>
        <v>1000000000</v>
      </c>
      <c r="AB97" s="170">
        <f t="shared" si="50"/>
        <v>5248222.8100000005</v>
      </c>
      <c r="AD97" s="686">
        <f t="shared" si="51"/>
        <v>17.504601862932894</v>
      </c>
      <c r="AE97" s="687">
        <f t="shared" si="52"/>
        <v>-15.095163888790729</v>
      </c>
      <c r="AG97" s="686">
        <f t="shared" si="53"/>
        <v>55.511754183678875</v>
      </c>
      <c r="AH97" s="687">
        <f t="shared" si="54"/>
        <v>-52.633644803279175</v>
      </c>
      <c r="AJ97" s="170">
        <f t="shared" si="55"/>
        <v>0</v>
      </c>
      <c r="AK97" s="170">
        <f t="shared" si="65"/>
        <v>0</v>
      </c>
      <c r="AM97" s="170" t="str">
        <f t="shared" si="59"/>
        <v>0.053785531073766+0.323540072934784i</v>
      </c>
      <c r="AN97" s="170" t="str">
        <f t="shared" si="60"/>
        <v>0.329468406777632i</v>
      </c>
      <c r="AO97" s="170" t="str">
        <f t="shared" si="61"/>
        <v>0.982006366252746-0.163249434444461i</v>
      </c>
      <c r="AP97" s="170" t="str">
        <f t="shared" si="62"/>
        <v>0.157702411487706-0.0539233454891307i</v>
      </c>
      <c r="AQ97" s="170" t="str">
        <f t="shared" si="63"/>
        <v>0.842297588512294+0.0539233454891307i</v>
      </c>
      <c r="AR97" s="170" t="str">
        <f t="shared" si="64"/>
        <v>0.984924942055662-0.0630542561865049i</v>
      </c>
    </row>
    <row r="98" spans="1:44">
      <c r="G98" s="688">
        <v>2511.9</v>
      </c>
      <c r="H98" s="676">
        <f t="shared" si="56"/>
        <v>2.5119000000000002</v>
      </c>
      <c r="I98" s="677">
        <f t="shared" si="34"/>
        <v>2.483319160869121</v>
      </c>
      <c r="J98" s="678">
        <f t="shared" si="35"/>
        <v>1.1563459919970247</v>
      </c>
      <c r="K98" s="678">
        <f t="shared" si="36"/>
        <v>1.0000060280727445</v>
      </c>
      <c r="L98" s="679">
        <f t="shared" si="37"/>
        <v>3.4721873403862897E-3</v>
      </c>
      <c r="M98" s="678">
        <f t="shared" si="38"/>
        <v>1.000509658353365</v>
      </c>
      <c r="N98" s="679">
        <f t="shared" si="39"/>
        <v>-3.1919962022719031E-2</v>
      </c>
      <c r="O98" s="677">
        <f t="shared" si="40"/>
        <v>104166.03882826204</v>
      </c>
      <c r="P98" s="680">
        <f t="shared" si="41"/>
        <v>1.5707867267370346</v>
      </c>
      <c r="Q98" s="689">
        <f t="shared" si="42"/>
        <v>4.3187331258947728</v>
      </c>
      <c r="R98" s="690">
        <f t="shared" si="43"/>
        <v>1.3371262761331952</v>
      </c>
      <c r="S98" s="677">
        <f t="shared" si="44"/>
        <v>1.0000402802485548</v>
      </c>
      <c r="T98" s="680">
        <f t="shared" si="45"/>
        <v>8.9753993247347914E-3</v>
      </c>
      <c r="U98" s="681">
        <f t="shared" si="57"/>
        <v>0.97912175751509789</v>
      </c>
      <c r="V98" s="682">
        <f t="shared" si="58"/>
        <v>-0.25030112229498647</v>
      </c>
      <c r="W98" s="683">
        <f t="shared" si="46"/>
        <v>14.243853722579491</v>
      </c>
      <c r="X98" s="684">
        <f t="shared" si="47"/>
        <v>-96.12689060834326</v>
      </c>
      <c r="Y98" s="687">
        <f t="shared" si="48"/>
        <v>83.87310939165674</v>
      </c>
      <c r="AA98" s="170">
        <f t="shared" si="49"/>
        <v>1000000000</v>
      </c>
      <c r="AB98" s="170">
        <f t="shared" si="50"/>
        <v>6309641.6100000003</v>
      </c>
      <c r="AD98" s="686">
        <f t="shared" si="51"/>
        <v>17.457704609306852</v>
      </c>
      <c r="AE98" s="687">
        <f t="shared" si="52"/>
        <v>-13.902010175362276</v>
      </c>
      <c r="AG98" s="686">
        <f t="shared" si="53"/>
        <v>54.882495563433444</v>
      </c>
      <c r="AH98" s="687">
        <f t="shared" si="54"/>
        <v>-53.542484570425373</v>
      </c>
      <c r="AJ98" s="170">
        <f t="shared" si="55"/>
        <v>0</v>
      </c>
      <c r="AK98" s="170">
        <f t="shared" si="65"/>
        <v>0</v>
      </c>
      <c r="AM98" s="170" t="str">
        <f t="shared" si="59"/>
        <v>0.064544877476586+0.353445489071094i</v>
      </c>
      <c r="AN98" s="170" t="str">
        <f t="shared" si="60"/>
        <v>0.361251774841649i</v>
      </c>
      <c r="AO98" s="170" t="str">
        <f t="shared" si="61"/>
        <v>0.978391010607555-0.178670063295547i</v>
      </c>
      <c r="AP98" s="170" t="str">
        <f t="shared" si="62"/>
        <v>0.155909187087236-0.058907581511849i</v>
      </c>
      <c r="AQ98" s="170" t="str">
        <f t="shared" si="63"/>
        <v>0.844090812912764+0.058907581511849i</v>
      </c>
      <c r="AR98" s="170" t="str">
        <f t="shared" si="64"/>
        <v>0.982077536264775-0.0685374270557924i</v>
      </c>
    </row>
    <row r="99" spans="1:44">
      <c r="G99" s="688">
        <v>2754.2</v>
      </c>
      <c r="H99" s="676">
        <f t="shared" si="56"/>
        <v>2.7542</v>
      </c>
      <c r="I99" s="677">
        <f t="shared" si="34"/>
        <v>2.6854705975199455</v>
      </c>
      <c r="J99" s="678">
        <f t="shared" si="35"/>
        <v>1.1892304236936053</v>
      </c>
      <c r="K99" s="678">
        <f t="shared" si="36"/>
        <v>1.0000072471037029</v>
      </c>
      <c r="L99" s="679">
        <f t="shared" si="37"/>
        <v>3.807114376019848E-3</v>
      </c>
      <c r="M99" s="678">
        <f t="shared" si="38"/>
        <v>1.0006126931647683</v>
      </c>
      <c r="N99" s="679">
        <f t="shared" si="39"/>
        <v>-3.4996585570843751E-2</v>
      </c>
      <c r="O99" s="677">
        <f t="shared" si="40"/>
        <v>114213.98309589375</v>
      </c>
      <c r="P99" s="680">
        <f t="shared" si="41"/>
        <v>1.5707875712995281</v>
      </c>
      <c r="Q99" s="689">
        <f t="shared" si="42"/>
        <v>4.7139204446012126</v>
      </c>
      <c r="R99" s="690">
        <f t="shared" si="43"/>
        <v>1.3570344490652289</v>
      </c>
      <c r="S99" s="677">
        <f t="shared" si="44"/>
        <v>1.0000484257804898</v>
      </c>
      <c r="T99" s="680">
        <f t="shared" si="45"/>
        <v>9.8411205009376838E-3</v>
      </c>
      <c r="U99" s="681">
        <f t="shared" si="57"/>
        <v>0.97512333608982638</v>
      </c>
      <c r="V99" s="682">
        <f t="shared" si="58"/>
        <v>-0.27389112955994144</v>
      </c>
      <c r="W99" s="683">
        <f t="shared" si="46"/>
        <v>13.490042793061223</v>
      </c>
      <c r="X99" s="684">
        <f t="shared" si="47"/>
        <v>-98.428721525385996</v>
      </c>
      <c r="Y99" s="687">
        <f t="shared" si="48"/>
        <v>81.571278474614004</v>
      </c>
      <c r="AA99" s="170">
        <f t="shared" si="49"/>
        <v>1000000000</v>
      </c>
      <c r="AB99" s="170">
        <f t="shared" si="50"/>
        <v>7585617.6399999987</v>
      </c>
      <c r="AD99" s="686">
        <f t="shared" si="51"/>
        <v>17.418288919672221</v>
      </c>
      <c r="AE99" s="687">
        <f t="shared" si="52"/>
        <v>-12.811006446791449</v>
      </c>
      <c r="AG99" s="686">
        <f t="shared" si="53"/>
        <v>54.239186382922981</v>
      </c>
      <c r="AH99" s="687">
        <f t="shared" si="54"/>
        <v>-54.232103503020284</v>
      </c>
      <c r="AJ99" s="170">
        <f t="shared" si="55"/>
        <v>0</v>
      </c>
      <c r="AK99" s="170">
        <f t="shared" si="65"/>
        <v>0</v>
      </c>
      <c r="AM99" s="170" t="str">
        <f t="shared" si="59"/>
        <v>0.077426675994531+0.385821800619794i</v>
      </c>
      <c r="AN99" s="170" t="str">
        <f t="shared" si="60"/>
        <v>0.396098426795998i</v>
      </c>
      <c r="AO99" s="170" t="str">
        <f t="shared" si="61"/>
        <v>0.974055372399909-0.195473323690851i</v>
      </c>
      <c r="AP99" s="170" t="str">
        <f t="shared" si="62"/>
        <v>0.153762220667578-0.0643036334366323i</v>
      </c>
      <c r="AQ99" s="170" t="str">
        <f t="shared" si="63"/>
        <v>0.846237779332422+0.0643036334366323i</v>
      </c>
      <c r="AR99" s="170" t="str">
        <f t="shared" si="64"/>
        <v>0.978705733826287-0.0743695640721019i</v>
      </c>
    </row>
    <row r="100" spans="1:44">
      <c r="G100" s="688">
        <v>3020</v>
      </c>
      <c r="H100" s="676">
        <f t="shared" si="56"/>
        <v>3.02</v>
      </c>
      <c r="I100" s="677">
        <f t="shared" si="34"/>
        <v>2.9100796136410048</v>
      </c>
      <c r="J100" s="678">
        <f t="shared" si="35"/>
        <v>1.2200133488950085</v>
      </c>
      <c r="K100" s="678">
        <f t="shared" si="36"/>
        <v>1.0000087133888484</v>
      </c>
      <c r="L100" s="679">
        <f t="shared" si="37"/>
        <v>4.1745240638260918E-3</v>
      </c>
      <c r="M100" s="678">
        <f t="shared" si="38"/>
        <v>1.0007366124818855</v>
      </c>
      <c r="N100" s="679">
        <f t="shared" si="39"/>
        <v>-3.8370837910225733E-2</v>
      </c>
      <c r="O100" s="677">
        <f t="shared" si="40"/>
        <v>125236.44940359246</v>
      </c>
      <c r="P100" s="680">
        <f t="shared" si="41"/>
        <v>1.5707883418990873</v>
      </c>
      <c r="Q100" s="689">
        <f t="shared" si="42"/>
        <v>5.1492384277092436</v>
      </c>
      <c r="R100" s="690">
        <f t="shared" si="43"/>
        <v>1.3753509254031633</v>
      </c>
      <c r="S100" s="677">
        <f t="shared" si="44"/>
        <v>1.0000582233834852</v>
      </c>
      <c r="T100" s="680">
        <f t="shared" si="45"/>
        <v>1.0790788539932216E-2</v>
      </c>
      <c r="U100" s="681">
        <f t="shared" si="57"/>
        <v>0.97037461387493351</v>
      </c>
      <c r="V100" s="682">
        <f t="shared" si="58"/>
        <v>-0.29960042973927048</v>
      </c>
      <c r="W100" s="683">
        <f t="shared" si="46"/>
        <v>12.71793988836875</v>
      </c>
      <c r="X100" s="684">
        <f t="shared" si="47"/>
        <v>-100.84276634431781</v>
      </c>
      <c r="Y100" s="687">
        <f t="shared" si="48"/>
        <v>79.157233655682191</v>
      </c>
      <c r="AA100" s="170">
        <f t="shared" si="49"/>
        <v>1000000000</v>
      </c>
      <c r="AB100" s="170">
        <f t="shared" si="50"/>
        <v>9120400</v>
      </c>
      <c r="AD100" s="686">
        <f t="shared" si="51"/>
        <v>17.385189500269107</v>
      </c>
      <c r="AE100" s="687">
        <f t="shared" si="52"/>
        <v>-11.816005778614914</v>
      </c>
      <c r="AG100" s="686">
        <f t="shared" si="53"/>
        <v>53.584987837152809</v>
      </c>
      <c r="AH100" s="687">
        <f t="shared" si="54"/>
        <v>-54.695080197741341</v>
      </c>
      <c r="AJ100" s="170">
        <f t="shared" si="55"/>
        <v>0</v>
      </c>
      <c r="AK100" s="170">
        <f t="shared" si="65"/>
        <v>0</v>
      </c>
      <c r="AM100" s="170" t="str">
        <f t="shared" si="59"/>
        <v>0.092845610531808+0.420797948745704i</v>
      </c>
      <c r="AN100" s="170" t="str">
        <f t="shared" si="60"/>
        <v>0.434324758159871i</v>
      </c>
      <c r="AO100" s="170" t="str">
        <f t="shared" si="61"/>
        <v>0.968855541481271-0.21377001607086i</v>
      </c>
      <c r="AP100" s="170" t="str">
        <f t="shared" si="62"/>
        <v>0.151192398244699-0.0701329914576173i</v>
      </c>
      <c r="AQ100" s="170" t="str">
        <f t="shared" si="63"/>
        <v>0.848807601755301+0.0701329914576173i</v>
      </c>
      <c r="AR100" s="170" t="str">
        <f t="shared" si="64"/>
        <v>0.974722323624297-0.0805367344200564i</v>
      </c>
    </row>
    <row r="101" spans="1:44">
      <c r="G101" s="688">
        <v>3311.3</v>
      </c>
      <c r="H101" s="676">
        <f t="shared" si="56"/>
        <v>3.3113000000000001</v>
      </c>
      <c r="I101" s="677">
        <f t="shared" si="34"/>
        <v>3.1589302289558105</v>
      </c>
      <c r="J101" s="678">
        <f t="shared" si="35"/>
        <v>1.2486925274568395</v>
      </c>
      <c r="K101" s="678">
        <f t="shared" si="36"/>
        <v>1.0000104753823893</v>
      </c>
      <c r="L101" s="679">
        <f t="shared" si="37"/>
        <v>4.5771805613225311E-3</v>
      </c>
      <c r="M101" s="678">
        <f t="shared" si="38"/>
        <v>1.0008855027780177</v>
      </c>
      <c r="N101" s="679">
        <f t="shared" si="39"/>
        <v>-4.2067798660715659E-2</v>
      </c>
      <c r="O101" s="677">
        <f t="shared" si="40"/>
        <v>137316.37579731527</v>
      </c>
      <c r="P101" s="680">
        <f t="shared" si="41"/>
        <v>1.5707890443422816</v>
      </c>
      <c r="Q101" s="689">
        <f t="shared" si="42"/>
        <v>5.6279814652788858</v>
      </c>
      <c r="R101" s="690">
        <f t="shared" si="43"/>
        <v>1.3921642348148564</v>
      </c>
      <c r="S101" s="677">
        <f t="shared" si="44"/>
        <v>1.0000699967789446</v>
      </c>
      <c r="T101" s="680">
        <f t="shared" si="45"/>
        <v>1.1831542268943864E-2</v>
      </c>
      <c r="U101" s="681">
        <f t="shared" si="57"/>
        <v>0.96475383596692421</v>
      </c>
      <c r="V101" s="682">
        <f t="shared" si="58"/>
        <v>-0.32755835307987075</v>
      </c>
      <c r="W101" s="683">
        <f t="shared" si="46"/>
        <v>11.928345036078582</v>
      </c>
      <c r="X101" s="684">
        <f t="shared" si="47"/>
        <v>-103.37292235447678</v>
      </c>
      <c r="Y101" s="687">
        <f t="shared" si="48"/>
        <v>76.627077645523215</v>
      </c>
      <c r="AA101" s="170">
        <f t="shared" si="49"/>
        <v>1000000000</v>
      </c>
      <c r="AB101" s="170">
        <f t="shared" si="50"/>
        <v>10964707.690000001</v>
      </c>
      <c r="AD101" s="686">
        <f t="shared" si="51"/>
        <v>17.35744865828719</v>
      </c>
      <c r="AE101" s="687">
        <f t="shared" si="52"/>
        <v>-10.912345151859975</v>
      </c>
      <c r="AG101" s="686">
        <f t="shared" si="53"/>
        <v>52.924050319269156</v>
      </c>
      <c r="AH101" s="687">
        <f t="shared" si="54"/>
        <v>-54.925154808261063</v>
      </c>
      <c r="AJ101" s="170">
        <f t="shared" si="55"/>
        <v>0</v>
      </c>
      <c r="AK101" s="170">
        <f t="shared" si="65"/>
        <v>0</v>
      </c>
      <c r="AM101" s="170" t="str">
        <f t="shared" si="59"/>
        <v>0.11126516004066+0.458421622791122i</v>
      </c>
      <c r="AN101" s="170" t="str">
        <f t="shared" si="60"/>
        <v>0.476218401223437i</v>
      </c>
      <c r="AO101" s="170" t="str">
        <f t="shared" si="61"/>
        <v>0.962628956826124-0.23364313465169i</v>
      </c>
      <c r="AP101" s="170" t="str">
        <f t="shared" si="62"/>
        <v>0.148122473326557-0.0764036037985203i</v>
      </c>
      <c r="AQ101" s="170" t="str">
        <f t="shared" si="63"/>
        <v>0.851877526673443+0.0764036037985203i</v>
      </c>
      <c r="AR101" s="170" t="str">
        <f t="shared" si="64"/>
        <v>0.970037091333293-0.0870011560059722i</v>
      </c>
    </row>
    <row r="102" spans="1:44">
      <c r="G102" s="688">
        <v>3630.8</v>
      </c>
      <c r="H102" s="676">
        <f t="shared" si="56"/>
        <v>3.6308000000000002</v>
      </c>
      <c r="I102" s="677">
        <f t="shared" si="34"/>
        <v>3.4344037355759296</v>
      </c>
      <c r="J102" s="678">
        <f t="shared" si="35"/>
        <v>1.2753453060904414</v>
      </c>
      <c r="K102" s="678">
        <f t="shared" si="36"/>
        <v>1.0000125943866016</v>
      </c>
      <c r="L102" s="679">
        <f t="shared" si="37"/>
        <v>5.0188154819421817E-3</v>
      </c>
      <c r="M102" s="678">
        <f t="shared" si="38"/>
        <v>1.0010645318667883</v>
      </c>
      <c r="N102" s="679">
        <f t="shared" si="39"/>
        <v>-4.6121326240732181E-2</v>
      </c>
      <c r="O102" s="677">
        <f t="shared" si="40"/>
        <v>150565.72863910481</v>
      </c>
      <c r="P102" s="680">
        <f t="shared" si="41"/>
        <v>1.570789685177252</v>
      </c>
      <c r="Q102" s="689">
        <f t="shared" si="42"/>
        <v>6.1546011308861246</v>
      </c>
      <c r="R102" s="690">
        <f t="shared" si="43"/>
        <v>1.4075927254282403</v>
      </c>
      <c r="S102" s="677">
        <f t="shared" si="44"/>
        <v>1.0000841555138962</v>
      </c>
      <c r="T102" s="680">
        <f t="shared" si="45"/>
        <v>1.2973019118764481E-2</v>
      </c>
      <c r="U102" s="681">
        <f t="shared" si="57"/>
        <v>0.95811454898884774</v>
      </c>
      <c r="V102" s="682">
        <f t="shared" si="58"/>
        <v>-0.3579422436922105</v>
      </c>
      <c r="W102" s="683">
        <f t="shared" si="46"/>
        <v>11.12045524221644</v>
      </c>
      <c r="X102" s="684">
        <f t="shared" si="47"/>
        <v>-106.02928011486762</v>
      </c>
      <c r="Y102" s="687">
        <f t="shared" si="48"/>
        <v>73.970719885132382</v>
      </c>
      <c r="AA102" s="170">
        <f t="shared" si="49"/>
        <v>1000000000</v>
      </c>
      <c r="AB102" s="170">
        <f t="shared" si="50"/>
        <v>13182708.640000001</v>
      </c>
      <c r="AD102" s="686">
        <f t="shared" si="51"/>
        <v>17.334194809600497</v>
      </c>
      <c r="AE102" s="687">
        <f t="shared" si="52"/>
        <v>-10.093796277566319</v>
      </c>
      <c r="AG102" s="686">
        <f t="shared" si="53"/>
        <v>52.259377536606749</v>
      </c>
      <c r="AH102" s="687">
        <f t="shared" si="54"/>
        <v>-54.918324044418597</v>
      </c>
      <c r="AJ102" s="170">
        <f t="shared" si="55"/>
        <v>0</v>
      </c>
      <c r="AK102" s="170">
        <f t="shared" si="65"/>
        <v>0</v>
      </c>
      <c r="AM102" s="170" t="str">
        <f t="shared" si="59"/>
        <v>0.133259925300041+0.498760105570914i</v>
      </c>
      <c r="AN102" s="170" t="str">
        <f t="shared" si="60"/>
        <v>0.52216765957843i</v>
      </c>
      <c r="AO102" s="170" t="str">
        <f t="shared" si="61"/>
        <v>0.955172340572731-0.255205244628953i</v>
      </c>
      <c r="AP102" s="170" t="str">
        <f t="shared" si="62"/>
        <v>0.14445667911666-0.083126684261819i</v>
      </c>
      <c r="AQ102" s="170" t="str">
        <f t="shared" si="63"/>
        <v>0.85554332088334+0.083126684261819i</v>
      </c>
      <c r="AR102" s="170" t="str">
        <f t="shared" si="64"/>
        <v>0.964544465052483-0.0937175023704451i</v>
      </c>
    </row>
    <row r="103" spans="1:44">
      <c r="G103" s="688">
        <v>3981.1</v>
      </c>
      <c r="H103" s="676">
        <f t="shared" si="56"/>
        <v>3.9811000000000001</v>
      </c>
      <c r="I103" s="677">
        <f t="shared" si="34"/>
        <v>3.7388026294701362</v>
      </c>
      <c r="J103" s="678">
        <f t="shared" si="35"/>
        <v>1.3000347873316898</v>
      </c>
      <c r="K103" s="678">
        <f t="shared" si="36"/>
        <v>1.0000151418167857</v>
      </c>
      <c r="L103" s="679">
        <f t="shared" si="37"/>
        <v>5.5030220290497485E-3</v>
      </c>
      <c r="M103" s="678">
        <f t="shared" si="38"/>
        <v>1.0012797156676927</v>
      </c>
      <c r="N103" s="679">
        <f t="shared" si="39"/>
        <v>-5.0563869106778625E-2</v>
      </c>
      <c r="O103" s="677">
        <f t="shared" si="40"/>
        <v>165092.32738870662</v>
      </c>
      <c r="P103" s="680">
        <f t="shared" si="41"/>
        <v>1.5707902695782117</v>
      </c>
      <c r="Q103" s="689">
        <f t="shared" si="42"/>
        <v>6.7333946559804652</v>
      </c>
      <c r="R103" s="690">
        <f t="shared" si="43"/>
        <v>1.4217313949553112</v>
      </c>
      <c r="S103" s="677">
        <f t="shared" si="44"/>
        <v>1.0001011766743442</v>
      </c>
      <c r="T103" s="680">
        <f t="shared" si="45"/>
        <v>1.4224496088162548E-2</v>
      </c>
      <c r="U103" s="681">
        <f t="shared" si="57"/>
        <v>0.95030116553584887</v>
      </c>
      <c r="V103" s="682">
        <f t="shared" si="58"/>
        <v>-0.39089548113353118</v>
      </c>
      <c r="W103" s="683">
        <f t="shared" si="46"/>
        <v>10.294117075921118</v>
      </c>
      <c r="X103" s="684">
        <f t="shared" si="47"/>
        <v>-108.82041232357808</v>
      </c>
      <c r="Y103" s="687">
        <f t="shared" si="48"/>
        <v>71.179587676421917</v>
      </c>
      <c r="AA103" s="170">
        <f t="shared" si="49"/>
        <v>1000000000</v>
      </c>
      <c r="AB103" s="170">
        <f t="shared" si="50"/>
        <v>15849157.209999999</v>
      </c>
      <c r="AD103" s="686">
        <f t="shared" si="51"/>
        <v>17.314714935693289</v>
      </c>
      <c r="AE103" s="687">
        <f t="shared" si="52"/>
        <v>-9.3554480171041074</v>
      </c>
      <c r="AG103" s="686">
        <f t="shared" si="53"/>
        <v>51.594766166745174</v>
      </c>
      <c r="AH103" s="687">
        <f t="shared" si="54"/>
        <v>-54.671641655916055</v>
      </c>
      <c r="AJ103" s="170">
        <f t="shared" si="55"/>
        <v>0</v>
      </c>
      <c r="AK103" s="170">
        <f t="shared" si="65"/>
        <v>0</v>
      </c>
      <c r="AM103" s="170" t="str">
        <f t="shared" si="59"/>
        <v>0.159475901814559+0.541774159931563i</v>
      </c>
      <c r="AN103" s="170" t="str">
        <f t="shared" si="60"/>
        <v>0.572546455202073i</v>
      </c>
      <c r="AO103" s="170" t="str">
        <f t="shared" si="61"/>
        <v>0.946253627123323-0.27853792537808i</v>
      </c>
      <c r="AP103" s="170" t="str">
        <f t="shared" si="62"/>
        <v>0.140087349697573-0.0902956933219272i</v>
      </c>
      <c r="AQ103" s="170" t="str">
        <f t="shared" si="63"/>
        <v>0.859912650302427+0.0902956933219272i</v>
      </c>
      <c r="AR103" s="170" t="str">
        <f t="shared" si="64"/>
        <v>0.958138427214056-0.100609955619617i</v>
      </c>
    </row>
    <row r="104" spans="1:44">
      <c r="G104" s="688">
        <v>4365.2</v>
      </c>
      <c r="H104" s="676">
        <f t="shared" si="56"/>
        <v>4.3651999999999997</v>
      </c>
      <c r="I104" s="677">
        <f t="shared" si="34"/>
        <v>4.0747809239908435</v>
      </c>
      <c r="J104" s="678">
        <f t="shared" si="35"/>
        <v>1.3228516946834099</v>
      </c>
      <c r="K104" s="678">
        <f t="shared" si="36"/>
        <v>1.0000182045287767</v>
      </c>
      <c r="L104" s="679">
        <f t="shared" si="37"/>
        <v>6.0339460736910126E-3</v>
      </c>
      <c r="M104" s="678">
        <f t="shared" si="38"/>
        <v>1.0015383653218453</v>
      </c>
      <c r="N104" s="679">
        <f t="shared" si="39"/>
        <v>-5.5432765895281864E-2</v>
      </c>
      <c r="O104" s="677">
        <f t="shared" si="40"/>
        <v>181020.57911505812</v>
      </c>
      <c r="P104" s="680">
        <f t="shared" si="41"/>
        <v>1.5707908025611057</v>
      </c>
      <c r="Q104" s="689">
        <f t="shared" si="42"/>
        <v>7.3693274030489437</v>
      </c>
      <c r="R104" s="690">
        <f t="shared" si="43"/>
        <v>1.4346787911687799</v>
      </c>
      <c r="S104" s="677">
        <f t="shared" si="44"/>
        <v>1.0001216404663631</v>
      </c>
      <c r="T104" s="680">
        <f t="shared" si="45"/>
        <v>1.5596675114080961E-2</v>
      </c>
      <c r="U104" s="681">
        <f t="shared" si="57"/>
        <v>0.94114107381093448</v>
      </c>
      <c r="V104" s="682">
        <f t="shared" si="58"/>
        <v>-0.42656965427308602</v>
      </c>
      <c r="W104" s="683">
        <f t="shared" si="46"/>
        <v>9.4484986440409582</v>
      </c>
      <c r="X104" s="684">
        <f t="shared" si="47"/>
        <v>-111.75707135398625</v>
      </c>
      <c r="Y104" s="687">
        <f t="shared" si="48"/>
        <v>68.242928646013752</v>
      </c>
      <c r="AA104" s="170">
        <f t="shared" si="49"/>
        <v>1000000000</v>
      </c>
      <c r="AB104" s="170">
        <f t="shared" si="50"/>
        <v>19054971.039999999</v>
      </c>
      <c r="AD104" s="686">
        <f t="shared" si="51"/>
        <v>17.298391645875121</v>
      </c>
      <c r="AE104" s="687">
        <f t="shared" si="52"/>
        <v>-8.6922674622227731</v>
      </c>
      <c r="AG104" s="686">
        <f t="shared" si="53"/>
        <v>50.933732399360451</v>
      </c>
      <c r="AH104" s="687">
        <f t="shared" si="54"/>
        <v>-54.183522119503507</v>
      </c>
      <c r="AJ104" s="170">
        <f t="shared" si="55"/>
        <v>0</v>
      </c>
      <c r="AK104" s="170">
        <f t="shared" si="65"/>
        <v>0</v>
      </c>
      <c r="AM104" s="170" t="str">
        <f t="shared" si="59"/>
        <v>0.190670245578307+0.587354533997757i</v>
      </c>
      <c r="AN104" s="170" t="str">
        <f t="shared" si="60"/>
        <v>0.627786236529625i</v>
      </c>
      <c r="AO104" s="170" t="str">
        <f t="shared" si="61"/>
        <v>0.935596385872725-0.303718422742626i</v>
      </c>
      <c r="AP104" s="170" t="str">
        <f t="shared" si="62"/>
        <v>0.134888292403615-0.0978924223329595i</v>
      </c>
      <c r="AQ104" s="170" t="str">
        <f t="shared" si="63"/>
        <v>0.865111707596385+0.0978924223329595i</v>
      </c>
      <c r="AR104" s="170" t="str">
        <f t="shared" si="64"/>
        <v>0.950708335436339-0.107578178714718i</v>
      </c>
    </row>
    <row r="105" spans="1:44">
      <c r="G105" s="688">
        <v>4786.3</v>
      </c>
      <c r="H105" s="676">
        <f t="shared" si="56"/>
        <v>4.7862999999999998</v>
      </c>
      <c r="I105" s="677">
        <f t="shared" si="34"/>
        <v>4.4451744515818286</v>
      </c>
      <c r="J105" s="678">
        <f t="shared" si="35"/>
        <v>1.3438912133833769</v>
      </c>
      <c r="K105" s="678">
        <f t="shared" si="36"/>
        <v>1.000021886190833</v>
      </c>
      <c r="L105" s="679">
        <f t="shared" si="37"/>
        <v>6.6160096235434399E-3</v>
      </c>
      <c r="M105" s="678">
        <f t="shared" si="38"/>
        <v>1.0018491987077798</v>
      </c>
      <c r="N105" s="679">
        <f t="shared" si="39"/>
        <v>-6.0767649024403778E-2</v>
      </c>
      <c r="O105" s="677">
        <f t="shared" si="40"/>
        <v>198483.18469169314</v>
      </c>
      <c r="P105" s="680">
        <f t="shared" si="41"/>
        <v>1.5707912885847251</v>
      </c>
      <c r="Q105" s="689">
        <f t="shared" si="42"/>
        <v>8.0677038436691593</v>
      </c>
      <c r="R105" s="690">
        <f t="shared" si="43"/>
        <v>1.4465257129275884</v>
      </c>
      <c r="S105" s="677">
        <f t="shared" si="44"/>
        <v>1.0001462393589753</v>
      </c>
      <c r="T105" s="680">
        <f t="shared" si="45"/>
        <v>1.710096719918933E-2</v>
      </c>
      <c r="U105" s="681">
        <f t="shared" si="57"/>
        <v>0.93045214012147892</v>
      </c>
      <c r="V105" s="682">
        <f t="shared" si="58"/>
        <v>-0.46509901636320899</v>
      </c>
      <c r="W105" s="683">
        <f t="shared" si="46"/>
        <v>8.5826341326272377</v>
      </c>
      <c r="X105" s="684">
        <f t="shared" si="47"/>
        <v>-114.849872137522</v>
      </c>
      <c r="Y105" s="687">
        <f t="shared" si="48"/>
        <v>65.150127862478001</v>
      </c>
      <c r="AA105" s="170">
        <f t="shared" si="49"/>
        <v>1000000000</v>
      </c>
      <c r="AB105" s="170">
        <f t="shared" si="50"/>
        <v>22908667.690000001</v>
      </c>
      <c r="AD105" s="686">
        <f t="shared" si="51"/>
        <v>17.284704530663934</v>
      </c>
      <c r="AE105" s="687">
        <f t="shared" si="52"/>
        <v>-8.0997062792780206</v>
      </c>
      <c r="AG105" s="686">
        <f t="shared" si="53"/>
        <v>50.279982539926067</v>
      </c>
      <c r="AH105" s="687">
        <f t="shared" si="54"/>
        <v>-53.453744410748186</v>
      </c>
      <c r="AJ105" s="170">
        <f t="shared" si="55"/>
        <v>0</v>
      </c>
      <c r="AK105" s="170">
        <f t="shared" si="65"/>
        <v>0</v>
      </c>
      <c r="AM105" s="170" t="str">
        <f t="shared" si="59"/>
        <v>0.227702979923779+0.635261609717909i</v>
      </c>
      <c r="AN105" s="170" t="str">
        <f t="shared" si="60"/>
        <v>0.68834721522536i</v>
      </c>
      <c r="AO105" s="170" t="str">
        <f t="shared" si="61"/>
        <v>0.92287961027042-0.330796689355721i</v>
      </c>
      <c r="AP105" s="170" t="str">
        <f t="shared" si="62"/>
        <v>0.128716170012703-0.105876934952985i</v>
      </c>
      <c r="AQ105" s="170" t="str">
        <f t="shared" si="63"/>
        <v>0.871283829987297+0.105876934952985i</v>
      </c>
      <c r="AR105" s="170" t="str">
        <f t="shared" si="64"/>
        <v>0.942148021927691-0.11448823150451i</v>
      </c>
    </row>
    <row r="106" spans="1:44">
      <c r="G106" s="688">
        <v>5248.1</v>
      </c>
      <c r="H106" s="676">
        <f t="shared" si="56"/>
        <v>5.2481</v>
      </c>
      <c r="I106" s="677">
        <f t="shared" si="34"/>
        <v>4.8532667262014506</v>
      </c>
      <c r="J106" s="678">
        <f t="shared" si="35"/>
        <v>1.3632630016633571</v>
      </c>
      <c r="K106" s="678">
        <f t="shared" si="36"/>
        <v>1.0000263131954337</v>
      </c>
      <c r="L106" s="679">
        <f t="shared" si="37"/>
        <v>7.2543253938349957E-3</v>
      </c>
      <c r="M106" s="678">
        <f t="shared" si="38"/>
        <v>1.002222833334617</v>
      </c>
      <c r="N106" s="679">
        <f t="shared" si="39"/>
        <v>-6.6614167256432336E-2</v>
      </c>
      <c r="O106" s="677">
        <f t="shared" si="40"/>
        <v>217633.57950363547</v>
      </c>
      <c r="P106" s="680">
        <f t="shared" si="41"/>
        <v>1.5707917319157318</v>
      </c>
      <c r="Q106" s="689">
        <f t="shared" si="42"/>
        <v>8.8346653920152072</v>
      </c>
      <c r="R106" s="690">
        <f t="shared" si="43"/>
        <v>1.457362743421845</v>
      </c>
      <c r="S106" s="677">
        <f t="shared" si="44"/>
        <v>1.0001758175497855</v>
      </c>
      <c r="T106" s="680">
        <f t="shared" si="45"/>
        <v>1.875056232796014E-2</v>
      </c>
      <c r="U106" s="681">
        <f t="shared" si="57"/>
        <v>0.91804026408201367</v>
      </c>
      <c r="V106" s="682">
        <f t="shared" si="58"/>
        <v>-0.50662059741629017</v>
      </c>
      <c r="W106" s="683">
        <f t="shared" si="46"/>
        <v>7.6948607148554604</v>
      </c>
      <c r="X106" s="684">
        <f t="shared" si="47"/>
        <v>-118.11083735427519</v>
      </c>
      <c r="Y106" s="687">
        <f t="shared" si="48"/>
        <v>61.889162645724809</v>
      </c>
      <c r="AA106" s="170">
        <f t="shared" si="49"/>
        <v>1000000000</v>
      </c>
      <c r="AB106" s="170">
        <f t="shared" si="50"/>
        <v>27542553.610000003</v>
      </c>
      <c r="AD106" s="686">
        <f t="shared" si="51"/>
        <v>17.27320711185407</v>
      </c>
      <c r="AE106" s="687">
        <f t="shared" si="52"/>
        <v>-7.5733304086805999</v>
      </c>
      <c r="AG106" s="686">
        <f t="shared" si="53"/>
        <v>49.63699893747912</v>
      </c>
      <c r="AH106" s="687">
        <f t="shared" si="54"/>
        <v>-52.483062786558136</v>
      </c>
      <c r="AJ106" s="170">
        <f t="shared" si="55"/>
        <v>0</v>
      </c>
      <c r="AK106" s="170">
        <f t="shared" si="65"/>
        <v>0</v>
      </c>
      <c r="AM106" s="170" t="str">
        <f t="shared" si="59"/>
        <v>0.271565043738394+0.685114964437467i</v>
      </c>
      <c r="AN106" s="170" t="str">
        <f t="shared" si="60"/>
        <v>0.754761511026098i</v>
      </c>
      <c r="AO106" s="170" t="str">
        <f t="shared" si="61"/>
        <v>0.907723770262283-0.359802453849563i</v>
      </c>
      <c r="AP106" s="170" t="str">
        <f t="shared" si="62"/>
        <v>0.121405826043601-0.114185827406245i</v>
      </c>
      <c r="AQ106" s="170" t="str">
        <f t="shared" si="63"/>
        <v>0.878594173956399+0.114185827406245i</v>
      </c>
      <c r="AR106" s="170" t="str">
        <f t="shared" si="64"/>
        <v>0.932357362888515-0.121173119598916i</v>
      </c>
    </row>
    <row r="107" spans="1:44">
      <c r="G107" s="688">
        <v>5370.3</v>
      </c>
      <c r="H107" s="676">
        <f t="shared" si="56"/>
        <v>5.3703000000000003</v>
      </c>
      <c r="I107" s="677">
        <f t="shared" si="34"/>
        <v>4.9615277823847856</v>
      </c>
      <c r="J107" s="678">
        <f t="shared" si="35"/>
        <v>1.3678553490927481</v>
      </c>
      <c r="K107" s="678">
        <f t="shared" si="36"/>
        <v>1.0000275528300417</v>
      </c>
      <c r="L107" s="679">
        <f t="shared" si="37"/>
        <v>7.423233449715295E-3</v>
      </c>
      <c r="M107" s="678">
        <f t="shared" si="38"/>
        <v>1.0023274325540426</v>
      </c>
      <c r="N107" s="679">
        <f t="shared" si="39"/>
        <v>-6.8160507373678403E-2</v>
      </c>
      <c r="O107" s="677">
        <f t="shared" si="40"/>
        <v>222701.09411173919</v>
      </c>
      <c r="P107" s="680">
        <f t="shared" si="41"/>
        <v>1.5707918364712006</v>
      </c>
      <c r="Q107" s="689">
        <f t="shared" si="42"/>
        <v>9.0377712082034378</v>
      </c>
      <c r="R107" s="690">
        <f t="shared" si="43"/>
        <v>1.4599225558941378</v>
      </c>
      <c r="S107" s="677">
        <f t="shared" si="44"/>
        <v>1.0001840997997906</v>
      </c>
      <c r="T107" s="680">
        <f t="shared" si="45"/>
        <v>1.9187056068096717E-2</v>
      </c>
      <c r="U107" s="681">
        <f t="shared" si="57"/>
        <v>0.91464719125257077</v>
      </c>
      <c r="V107" s="682">
        <f t="shared" si="58"/>
        <v>-0.51747606985280781</v>
      </c>
      <c r="W107" s="683">
        <f t="shared" si="46"/>
        <v>7.4694140334265509</v>
      </c>
      <c r="X107" s="684">
        <f t="shared" si="47"/>
        <v>-118.95320206858841</v>
      </c>
      <c r="Y107" s="687">
        <f t="shared" si="48"/>
        <v>61.046797931411589</v>
      </c>
      <c r="AA107" s="170">
        <f t="shared" si="49"/>
        <v>1000000000</v>
      </c>
      <c r="AB107" s="170">
        <f t="shared" si="50"/>
        <v>28840122.090000004</v>
      </c>
      <c r="AD107" s="686">
        <f t="shared" si="51"/>
        <v>17.27063102366461</v>
      </c>
      <c r="AE107" s="687">
        <f t="shared" si="52"/>
        <v>-7.45167919721505</v>
      </c>
      <c r="AG107" s="686">
        <f t="shared" si="53"/>
        <v>49.478453310766454</v>
      </c>
      <c r="AH107" s="687">
        <f t="shared" si="54"/>
        <v>-52.203133200449329</v>
      </c>
      <c r="AJ107" s="170">
        <f t="shared" si="55"/>
        <v>0</v>
      </c>
      <c r="AK107" s="170">
        <f t="shared" si="65"/>
        <v>0</v>
      </c>
      <c r="AM107" s="170" t="str">
        <f t="shared" si="59"/>
        <v>0.283717350719172+0.697810265286516i</v>
      </c>
      <c r="AN107" s="170" t="str">
        <f t="shared" si="60"/>
        <v>0.772335843955613i</v>
      </c>
      <c r="AO107" s="170" t="str">
        <f t="shared" si="61"/>
        <v>0.903506254109087-0.367349713132669i</v>
      </c>
      <c r="AP107" s="170" t="str">
        <f t="shared" si="62"/>
        <v>0.119380441546805-0.116301710881086i</v>
      </c>
      <c r="AQ107" s="170" t="str">
        <f t="shared" si="63"/>
        <v>0.880619558453195+0.116301710881086i</v>
      </c>
      <c r="AR107" s="170" t="str">
        <f t="shared" si="64"/>
        <v>0.929708979786983-0.122784855199741i</v>
      </c>
    </row>
    <row r="108" spans="1:44">
      <c r="G108" s="688">
        <v>5432.85</v>
      </c>
      <c r="H108" s="676">
        <f t="shared" si="56"/>
        <v>5.4328500000000002</v>
      </c>
      <c r="I108" s="677">
        <f t="shared" si="34"/>
        <v>5.0169820805269438</v>
      </c>
      <c r="J108" s="678">
        <f t="shared" si="35"/>
        <v>1.37012930114333</v>
      </c>
      <c r="K108" s="678">
        <f t="shared" si="36"/>
        <v>1.0000281983961405</v>
      </c>
      <c r="L108" s="679">
        <f t="shared" si="37"/>
        <v>7.5096915425244531E-3</v>
      </c>
      <c r="M108" s="678">
        <f t="shared" si="38"/>
        <v>1.0023819005523578</v>
      </c>
      <c r="N108" s="679">
        <f t="shared" si="39"/>
        <v>-6.8951900146980272E-2</v>
      </c>
      <c r="O108" s="677">
        <f t="shared" si="40"/>
        <v>225294.98149911233</v>
      </c>
      <c r="P108" s="680">
        <f t="shared" si="41"/>
        <v>1.5707918881696181</v>
      </c>
      <c r="Q108" s="689">
        <f t="shared" si="42"/>
        <v>9.1417562731336197</v>
      </c>
      <c r="R108" s="690">
        <f t="shared" si="43"/>
        <v>1.4611888202080929</v>
      </c>
      <c r="S108" s="677">
        <f t="shared" si="44"/>
        <v>1.0001884129346177</v>
      </c>
      <c r="T108" s="680">
        <f t="shared" si="45"/>
        <v>1.9410479464027113E-2</v>
      </c>
      <c r="U108" s="681">
        <f t="shared" si="57"/>
        <v>0.91289403547589099</v>
      </c>
      <c r="V108" s="682">
        <f t="shared" si="58"/>
        <v>-0.52301093713332703</v>
      </c>
      <c r="W108" s="683">
        <f t="shared" si="46"/>
        <v>7.3554295880768885</v>
      </c>
      <c r="X108" s="684">
        <f t="shared" si="47"/>
        <v>-119.3812568205492</v>
      </c>
      <c r="Y108" s="687">
        <f t="shared" si="48"/>
        <v>60.618743179450803</v>
      </c>
      <c r="AA108" s="170">
        <f t="shared" si="49"/>
        <v>1000000000</v>
      </c>
      <c r="AB108" s="170">
        <f t="shared" si="50"/>
        <v>29515859.122500002</v>
      </c>
      <c r="AD108" s="686">
        <f t="shared" si="51"/>
        <v>17.269376135022181</v>
      </c>
      <c r="AE108" s="687">
        <f t="shared" si="52"/>
        <v>-7.3919317759415453</v>
      </c>
      <c r="AG108" s="686">
        <f t="shared" si="53"/>
        <v>49.399053174031749</v>
      </c>
      <c r="AH108" s="687">
        <f t="shared" si="54"/>
        <v>-52.056686302281285</v>
      </c>
      <c r="AJ108" s="170">
        <f t="shared" si="55"/>
        <v>0</v>
      </c>
      <c r="AK108" s="170">
        <f t="shared" si="65"/>
        <v>0</v>
      </c>
      <c r="AM108" s="170" t="str">
        <f t="shared" si="59"/>
        <v>0.290023539310876+0.704225407996151i</v>
      </c>
      <c r="AN108" s="170" t="str">
        <f t="shared" si="60"/>
        <v>0.781331543830746i</v>
      </c>
      <c r="AO108" s="170" t="str">
        <f t="shared" si="61"/>
        <v>0.901314446545245-0.371191386807367i</v>
      </c>
      <c r="AP108" s="170" t="str">
        <f t="shared" si="62"/>
        <v>0.118329410114854-0.117370901332692i</v>
      </c>
      <c r="AQ108" s="170" t="str">
        <f t="shared" si="63"/>
        <v>0.881670589885146+0.117370901332692i</v>
      </c>
      <c r="AR108" s="170" t="str">
        <f t="shared" si="64"/>
        <v>0.928345344738754-0.123584398878713i</v>
      </c>
    </row>
    <row r="109" spans="1:44">
      <c r="G109" s="688">
        <v>5495.4</v>
      </c>
      <c r="H109" s="676">
        <f t="shared" si="56"/>
        <v>5.4954000000000001</v>
      </c>
      <c r="I109" s="677">
        <f t="shared" si="34"/>
        <v>5.0724617534733669</v>
      </c>
      <c r="J109" s="678">
        <f t="shared" si="35"/>
        <v>1.3723535221236871</v>
      </c>
      <c r="K109" s="678">
        <f t="shared" si="36"/>
        <v>1.0000288514374425</v>
      </c>
      <c r="L109" s="679">
        <f t="shared" si="37"/>
        <v>7.5961495230617293E-3</v>
      </c>
      <c r="M109" s="678">
        <f t="shared" si="38"/>
        <v>1.002436996276532</v>
      </c>
      <c r="N109" s="679">
        <f t="shared" si="39"/>
        <v>-6.9743206423119097E-2</v>
      </c>
      <c r="O109" s="677">
        <f t="shared" si="40"/>
        <v>227888.86888648605</v>
      </c>
      <c r="P109" s="680">
        <f t="shared" si="41"/>
        <v>1.5707919386911473</v>
      </c>
      <c r="Q109" s="689">
        <f t="shared" si="42"/>
        <v>9.2457556664600382</v>
      </c>
      <c r="R109" s="690">
        <f t="shared" si="43"/>
        <v>1.4624265997293608</v>
      </c>
      <c r="S109" s="677">
        <f t="shared" si="44"/>
        <v>1.0001927759964317</v>
      </c>
      <c r="T109" s="680">
        <f t="shared" si="45"/>
        <v>1.963390092186577E-2</v>
      </c>
      <c r="U109" s="681">
        <f t="shared" si="57"/>
        <v>0.91113012115746295</v>
      </c>
      <c r="V109" s="682">
        <f t="shared" si="58"/>
        <v>-0.52853105055320448</v>
      </c>
      <c r="W109" s="683">
        <f t="shared" si="46"/>
        <v>7.2423744216320216</v>
      </c>
      <c r="X109" s="684">
        <f t="shared" si="47"/>
        <v>-119.80724378856318</v>
      </c>
      <c r="Y109" s="687">
        <f t="shared" si="48"/>
        <v>60.192756211436816</v>
      </c>
      <c r="AA109" s="170">
        <f t="shared" si="49"/>
        <v>1000000000</v>
      </c>
      <c r="AB109" s="170">
        <f t="shared" si="50"/>
        <v>30199421.159999996</v>
      </c>
      <c r="AD109" s="686">
        <f t="shared" si="51"/>
        <v>17.268161823081766</v>
      </c>
      <c r="AE109" s="687">
        <f t="shared" si="52"/>
        <v>-7.3338162345959788</v>
      </c>
      <c r="AG109" s="686">
        <f t="shared" si="53"/>
        <v>49.320810931302603</v>
      </c>
      <c r="AH109" s="687">
        <f t="shared" si="54"/>
        <v>-51.908230408133015</v>
      </c>
      <c r="AJ109" s="170">
        <f t="shared" si="55"/>
        <v>0</v>
      </c>
      <c r="AK109" s="170">
        <f t="shared" si="65"/>
        <v>0</v>
      </c>
      <c r="AM109" s="170" t="str">
        <f t="shared" si="59"/>
        <v>0.296387180667813+0.710583563327643i</v>
      </c>
      <c r="AN109" s="170" t="str">
        <f t="shared" si="60"/>
        <v>0.790327243705878i</v>
      </c>
      <c r="AO109" s="170" t="str">
        <f t="shared" si="61"/>
        <v>0.899100428318384-0.375018301631664i</v>
      </c>
      <c r="AP109" s="170" t="str">
        <f t="shared" si="62"/>
        <v>0.117268803222031-0.118430593887941i</v>
      </c>
      <c r="AQ109" s="170" t="str">
        <f t="shared" si="63"/>
        <v>0.882731196777969+0.118430593887941i</v>
      </c>
      <c r="AR109" s="170" t="str">
        <f t="shared" si="64"/>
        <v>0.926976612492689-0.124366728103022i</v>
      </c>
    </row>
    <row r="110" spans="1:44">
      <c r="G110" s="688">
        <v>5559.4</v>
      </c>
      <c r="H110" s="676">
        <f t="shared" si="56"/>
        <v>5.5593999999999992</v>
      </c>
      <c r="I110" s="677">
        <f t="shared" si="34"/>
        <v>5.1292529310858157</v>
      </c>
      <c r="J110" s="678">
        <f t="shared" si="35"/>
        <v>1.3745794906942337</v>
      </c>
      <c r="K110" s="678">
        <f t="shared" si="36"/>
        <v>1.0000295273543169</v>
      </c>
      <c r="L110" s="679">
        <f t="shared" si="37"/>
        <v>7.6846116078161273E-3</v>
      </c>
      <c r="M110" s="678">
        <f t="shared" si="38"/>
        <v>1.002494018813711</v>
      </c>
      <c r="N110" s="679">
        <f t="shared" si="39"/>
        <v>-7.055276578319776E-2</v>
      </c>
      <c r="O110" s="677">
        <f t="shared" si="40"/>
        <v>230542.88635718077</v>
      </c>
      <c r="P110" s="680">
        <f t="shared" si="41"/>
        <v>1.5707919892071454</v>
      </c>
      <c r="Q110" s="689">
        <f t="shared" si="42"/>
        <v>9.3521802489184545</v>
      </c>
      <c r="R110" s="690">
        <f t="shared" si="43"/>
        <v>1.4636645771479528</v>
      </c>
      <c r="S110" s="677">
        <f t="shared" si="44"/>
        <v>1.000197291876157</v>
      </c>
      <c r="T110" s="680">
        <f t="shared" si="45"/>
        <v>1.9862499584896092E-2</v>
      </c>
      <c r="U110" s="681">
        <f t="shared" si="57"/>
        <v>0.90931443133315726</v>
      </c>
      <c r="V110" s="682">
        <f t="shared" si="58"/>
        <v>-0.53416380139323227</v>
      </c>
      <c r="W110" s="683">
        <f t="shared" si="46"/>
        <v>7.1276389110690292</v>
      </c>
      <c r="X110" s="684">
        <f t="shared" si="47"/>
        <v>-120.2410008258863</v>
      </c>
      <c r="Y110" s="687">
        <f t="shared" si="48"/>
        <v>59.758999174113697</v>
      </c>
      <c r="AA110" s="170">
        <f t="shared" si="49"/>
        <v>1000000000</v>
      </c>
      <c r="AB110" s="170">
        <f t="shared" si="50"/>
        <v>30906928.359999996</v>
      </c>
      <c r="AD110" s="686">
        <f t="shared" si="51"/>
        <v>17.266959464506183</v>
      </c>
      <c r="AE110" s="687">
        <f t="shared" si="52"/>
        <v>-7.2759859862595366</v>
      </c>
      <c r="AG110" s="686">
        <f t="shared" si="53"/>
        <v>49.24193060439319</v>
      </c>
      <c r="AH110" s="687">
        <f t="shared" si="54"/>
        <v>-51.754351992690374</v>
      </c>
      <c r="AJ110" s="170">
        <f t="shared" si="55"/>
        <v>0</v>
      </c>
      <c r="AK110" s="170">
        <f t="shared" si="65"/>
        <v>0</v>
      </c>
      <c r="AM110" s="170" t="str">
        <f t="shared" si="59"/>
        <v>0.302957269299545+0.717029589053097i</v>
      </c>
      <c r="AN110" s="170" t="str">
        <f t="shared" si="60"/>
        <v>0.799531476991385i</v>
      </c>
      <c r="AO110" s="170" t="str">
        <f t="shared" si="61"/>
        <v>0.896812207758548-0.378918501669959i</v>
      </c>
      <c r="AP110" s="170" t="str">
        <f t="shared" si="62"/>
        <v>0.116173788450076-0.119504931508849i</v>
      </c>
      <c r="AQ110" s="170" t="str">
        <f t="shared" si="63"/>
        <v>0.883826211549924+0.119504931508849i</v>
      </c>
      <c r="AR110" s="170" t="str">
        <f t="shared" si="64"/>
        <v>0.925571135479621-0.125149394424598i</v>
      </c>
    </row>
    <row r="111" spans="1:44">
      <c r="G111" s="688">
        <v>5623.4</v>
      </c>
      <c r="H111" s="676">
        <f t="shared" si="56"/>
        <v>5.6233999999999993</v>
      </c>
      <c r="I111" s="677">
        <f t="shared" si="34"/>
        <v>5.1860689671185289</v>
      </c>
      <c r="J111" s="678">
        <f t="shared" si="35"/>
        <v>1.3767566966099412</v>
      </c>
      <c r="K111" s="678">
        <f t="shared" si="36"/>
        <v>1.0000302110969526</v>
      </c>
      <c r="L111" s="679">
        <f t="shared" si="37"/>
        <v>7.7730735722958445E-3</v>
      </c>
      <c r="M111" s="678">
        <f t="shared" si="38"/>
        <v>1.0025516982968026</v>
      </c>
      <c r="N111" s="679">
        <f t="shared" si="39"/>
        <v>-7.1362232521504809E-2</v>
      </c>
      <c r="O111" s="677">
        <f t="shared" si="40"/>
        <v>233196.90382787611</v>
      </c>
      <c r="P111" s="680">
        <f t="shared" si="41"/>
        <v>1.5707920385732967</v>
      </c>
      <c r="Q111" s="689">
        <f t="shared" si="42"/>
        <v>9.458618841865059</v>
      </c>
      <c r="R111" s="690">
        <f t="shared" si="43"/>
        <v>1.4648746942690829</v>
      </c>
      <c r="S111" s="677">
        <f t="shared" si="44"/>
        <v>1.0002018600230673</v>
      </c>
      <c r="T111" s="680">
        <f t="shared" si="45"/>
        <v>2.0091096171749128E-2</v>
      </c>
      <c r="U111" s="681">
        <f t="shared" si="57"/>
        <v>0.9074879850198212</v>
      </c>
      <c r="V111" s="682">
        <f t="shared" si="58"/>
        <v>-0.53978099559780879</v>
      </c>
      <c r="W111" s="683">
        <f t="shared" si="46"/>
        <v>7.01383351467633</v>
      </c>
      <c r="X111" s="684">
        <f t="shared" si="47"/>
        <v>-120.67266343200987</v>
      </c>
      <c r="Y111" s="687">
        <f t="shared" si="48"/>
        <v>59.32733656799013</v>
      </c>
      <c r="AA111" s="170">
        <f t="shared" si="49"/>
        <v>1000000000</v>
      </c>
      <c r="AB111" s="170">
        <f t="shared" si="50"/>
        <v>31622627.559999995</v>
      </c>
      <c r="AD111" s="686">
        <f t="shared" si="51"/>
        <v>17.265795843080344</v>
      </c>
      <c r="AE111" s="687">
        <f t="shared" si="52"/>
        <v>-7.2197518305478994</v>
      </c>
      <c r="AG111" s="686">
        <f t="shared" si="53"/>
        <v>49.16421682447762</v>
      </c>
      <c r="AH111" s="687">
        <f t="shared" si="54"/>
        <v>-51.598565712534828</v>
      </c>
      <c r="AJ111" s="170">
        <f t="shared" si="55"/>
        <v>0</v>
      </c>
      <c r="AK111" s="170">
        <f t="shared" si="65"/>
        <v>0</v>
      </c>
      <c r="AM111" s="170" t="str">
        <f t="shared" si="59"/>
        <v>0.309586409517969+0.72341486995894i</v>
      </c>
      <c r="AN111" s="170" t="str">
        <f t="shared" si="60"/>
        <v>0.808735710276893i</v>
      </c>
      <c r="AO111" s="170" t="str">
        <f t="shared" si="61"/>
        <v>0.894500960902616-0.382802942400025i</v>
      </c>
      <c r="AP111" s="170" t="str">
        <f t="shared" si="62"/>
        <v>0.115068931747005-0.120569144993157i</v>
      </c>
      <c r="AQ111" s="170" t="str">
        <f t="shared" si="63"/>
        <v>0.884931068252995+0.120569144993157i</v>
      </c>
      <c r="AR111" s="170" t="str">
        <f t="shared" si="64"/>
        <v>0.924160848340518-0.125914082257886i</v>
      </c>
    </row>
    <row r="112" spans="1:44">
      <c r="G112" s="688">
        <v>5688.9</v>
      </c>
      <c r="H112" s="676">
        <f t="shared" si="56"/>
        <v>5.6888999999999994</v>
      </c>
      <c r="I112" s="677">
        <f t="shared" si="34"/>
        <v>5.2442415250610157</v>
      </c>
      <c r="J112" s="678">
        <f t="shared" si="35"/>
        <v>1.3789360731049036</v>
      </c>
      <c r="K112" s="678">
        <f t="shared" si="36"/>
        <v>1.000030918967824</v>
      </c>
      <c r="L112" s="679">
        <f t="shared" si="37"/>
        <v>7.8636087380874152E-3</v>
      </c>
      <c r="M112" s="678">
        <f t="shared" si="38"/>
        <v>1.0026114097465595</v>
      </c>
      <c r="N112" s="679">
        <f t="shared" si="39"/>
        <v>-7.2190574142878161E-2</v>
      </c>
      <c r="O112" s="677">
        <f t="shared" si="40"/>
        <v>235913.12483304142</v>
      </c>
      <c r="P112" s="680">
        <f t="shared" si="41"/>
        <v>1.5707920879463768</v>
      </c>
      <c r="Q112" s="689">
        <f t="shared" si="42"/>
        <v>9.5675661082785517</v>
      </c>
      <c r="R112" s="690">
        <f t="shared" si="43"/>
        <v>1.4660852927608004</v>
      </c>
      <c r="S112" s="677">
        <f t="shared" si="44"/>
        <v>1.0002065893542325</v>
      </c>
      <c r="T112" s="680">
        <f t="shared" si="45"/>
        <v>2.032504831646725E-2</v>
      </c>
      <c r="U112" s="681">
        <f t="shared" si="57"/>
        <v>0.90560785902151941</v>
      </c>
      <c r="V112" s="682">
        <f t="shared" si="58"/>
        <v>-0.5455136810410387</v>
      </c>
      <c r="W112" s="683">
        <f t="shared" si="46"/>
        <v>6.898302415308688</v>
      </c>
      <c r="X112" s="684">
        <f t="shared" si="47"/>
        <v>-121.11230949992824</v>
      </c>
      <c r="Y112" s="687">
        <f t="shared" si="48"/>
        <v>58.887690500071756</v>
      </c>
      <c r="AA112" s="170">
        <f t="shared" si="49"/>
        <v>1000000000</v>
      </c>
      <c r="AB112" s="170">
        <f t="shared" si="50"/>
        <v>32363583.209999997</v>
      </c>
      <c r="AD112" s="686">
        <f t="shared" si="51"/>
        <v>17.264643245932472</v>
      </c>
      <c r="AE112" s="687">
        <f t="shared" si="52"/>
        <v>-7.1637969455931394</v>
      </c>
      <c r="AG112" s="686">
        <f t="shared" si="53"/>
        <v>49.085866363100891</v>
      </c>
      <c r="AH112" s="687">
        <f t="shared" si="54"/>
        <v>-51.437249302311045</v>
      </c>
      <c r="AJ112" s="170">
        <f t="shared" si="55"/>
        <v>0</v>
      </c>
      <c r="AK112" s="170">
        <f t="shared" si="65"/>
        <v>0</v>
      </c>
      <c r="AM112" s="170" t="str">
        <f t="shared" si="59"/>
        <v>0.316431477973923+0.729886344368138i</v>
      </c>
      <c r="AN112" s="170" t="str">
        <f t="shared" si="60"/>
        <v>0.818155667780029i</v>
      </c>
      <c r="AO112" s="170" t="str">
        <f t="shared" si="61"/>
        <v>0.892111823106476-0.386761945721801i</v>
      </c>
      <c r="AP112" s="170" t="str">
        <f t="shared" si="62"/>
        <v>0.113928087004346-0.121647724061356i</v>
      </c>
      <c r="AQ112" s="170" t="str">
        <f t="shared" si="63"/>
        <v>0.886071912995654+0.121647724061356i</v>
      </c>
      <c r="AR112" s="170" t="str">
        <f t="shared" si="64"/>
        <v>0.922712800913985-0.126678106536502i</v>
      </c>
    </row>
    <row r="113" spans="7:44">
      <c r="G113" s="688">
        <v>5754.4</v>
      </c>
      <c r="H113" s="676">
        <f t="shared" si="56"/>
        <v>5.7543999999999995</v>
      </c>
      <c r="I113" s="677">
        <f t="shared" si="34"/>
        <v>5.3024384448772643</v>
      </c>
      <c r="J113" s="678">
        <f t="shared" si="35"/>
        <v>1.3810676200407677</v>
      </c>
      <c r="K113" s="678">
        <f t="shared" si="36"/>
        <v>1.0000316350355534</v>
      </c>
      <c r="L113" s="679">
        <f t="shared" si="37"/>
        <v>7.9541437749665444E-3</v>
      </c>
      <c r="M113" s="678">
        <f t="shared" si="38"/>
        <v>1.002671809055764</v>
      </c>
      <c r="N113" s="679">
        <f t="shared" si="39"/>
        <v>-7.3018816536605233E-2</v>
      </c>
      <c r="O113" s="677">
        <f t="shared" si="40"/>
        <v>238629.34583820731</v>
      </c>
      <c r="P113" s="680">
        <f t="shared" si="41"/>
        <v>1.5707921361954693</v>
      </c>
      <c r="Q113" s="689">
        <f t="shared" si="42"/>
        <v>9.676527080675136</v>
      </c>
      <c r="R113" s="690">
        <f t="shared" si="43"/>
        <v>1.4672686294562569</v>
      </c>
      <c r="S113" s="677">
        <f t="shared" si="44"/>
        <v>1.0002113734297913</v>
      </c>
      <c r="T113" s="680">
        <f t="shared" si="45"/>
        <v>2.0558998235973774E-2</v>
      </c>
      <c r="U113" s="681">
        <f t="shared" si="57"/>
        <v>0.90371700358610807</v>
      </c>
      <c r="V113" s="682">
        <f t="shared" si="58"/>
        <v>-0.55122996566099602</v>
      </c>
      <c r="W113" s="683">
        <f t="shared" si="46"/>
        <v>6.7837026796745814</v>
      </c>
      <c r="X113" s="684">
        <f t="shared" si="47"/>
        <v>-121.54983155405137</v>
      </c>
      <c r="Y113" s="687">
        <f t="shared" si="48"/>
        <v>58.450168445948634</v>
      </c>
      <c r="AA113" s="170">
        <f t="shared" si="49"/>
        <v>1000000000</v>
      </c>
      <c r="AB113" s="170">
        <f t="shared" si="50"/>
        <v>33113119.359999996</v>
      </c>
      <c r="AD113" s="686">
        <f t="shared" si="51"/>
        <v>17.263527643098286</v>
      </c>
      <c r="AE113" s="687">
        <f t="shared" si="52"/>
        <v>-7.109403854612883</v>
      </c>
      <c r="AG113" s="686">
        <f t="shared" si="53"/>
        <v>49.008691392800266</v>
      </c>
      <c r="AH113" s="687">
        <f t="shared" si="54"/>
        <v>-51.274126480227736</v>
      </c>
      <c r="AJ113" s="170">
        <f t="shared" si="55"/>
        <v>0</v>
      </c>
      <c r="AK113" s="170">
        <f t="shared" si="65"/>
        <v>0</v>
      </c>
      <c r="AM113" s="170" t="str">
        <f t="shared" si="59"/>
        <v>0.32333720284385+0.73629305235403i</v>
      </c>
      <c r="AN113" s="170" t="str">
        <f t="shared" si="60"/>
        <v>0.827575625283165i</v>
      </c>
      <c r="AO113" s="170" t="str">
        <f t="shared" si="61"/>
        <v>0.889698814053517-0.390704115691199i</v>
      </c>
      <c r="AP113" s="170" t="str">
        <f t="shared" si="62"/>
        <v>0.112777132859358-0.122715508725672i</v>
      </c>
      <c r="AQ113" s="170" t="str">
        <f t="shared" si="63"/>
        <v>0.887222867140642+0.122715508725672i</v>
      </c>
      <c r="AR113" s="170" t="str">
        <f t="shared" si="64"/>
        <v>0.92126026876378-0.1274233642269i</v>
      </c>
    </row>
    <row r="114" spans="7:44">
      <c r="G114" s="688">
        <v>5821.4</v>
      </c>
      <c r="H114" s="676">
        <f t="shared" si="56"/>
        <v>5.8213999999999997</v>
      </c>
      <c r="I114" s="677">
        <f t="shared" si="34"/>
        <v>5.3619924967370416</v>
      </c>
      <c r="J114" s="678">
        <f t="shared" si="35"/>
        <v>1.3832000996454186</v>
      </c>
      <c r="K114" s="678">
        <f t="shared" si="36"/>
        <v>1.0000323759823411</v>
      </c>
      <c r="L114" s="679">
        <f t="shared" si="37"/>
        <v>8.046751998379429E-3</v>
      </c>
      <c r="M114" s="678">
        <f t="shared" si="38"/>
        <v>1.0027343030942439</v>
      </c>
      <c r="N114" s="679">
        <f t="shared" si="39"/>
        <v>-7.386592248532059E-2</v>
      </c>
      <c r="O114" s="677">
        <f t="shared" si="40"/>
        <v>241407.77037784318</v>
      </c>
      <c r="P114" s="680">
        <f t="shared" si="41"/>
        <v>1.5707921844261632</v>
      </c>
      <c r="Q114" s="689">
        <f t="shared" si="42"/>
        <v>9.7879970457211343</v>
      </c>
      <c r="R114" s="690">
        <f t="shared" si="43"/>
        <v>1.4684518057978526</v>
      </c>
      <c r="S114" s="677">
        <f t="shared" si="44"/>
        <v>1.0002163237027955</v>
      </c>
      <c r="T114" s="680">
        <f t="shared" si="45"/>
        <v>2.0798303458326502E-2</v>
      </c>
      <c r="U114" s="681">
        <f t="shared" si="57"/>
        <v>0.9017720260023725</v>
      </c>
      <c r="V114" s="682">
        <f t="shared" si="58"/>
        <v>-0.55706013782699493</v>
      </c>
      <c r="W114" s="683">
        <f t="shared" si="46"/>
        <v>6.6674206361099762</v>
      </c>
      <c r="X114" s="684">
        <f t="shared" si="47"/>
        <v>-121.99521036194125</v>
      </c>
      <c r="Y114" s="687">
        <f t="shared" si="48"/>
        <v>58.004789638058753</v>
      </c>
      <c r="AA114" s="170">
        <f t="shared" si="49"/>
        <v>1000000000</v>
      </c>
      <c r="AB114" s="170">
        <f t="shared" si="50"/>
        <v>33888697.959999993</v>
      </c>
      <c r="AD114" s="686">
        <f t="shared" si="51"/>
        <v>17.262423034276363</v>
      </c>
      <c r="AE114" s="687">
        <f t="shared" si="52"/>
        <v>-7.0553267864293874</v>
      </c>
      <c r="AG114" s="686">
        <f t="shared" si="53"/>
        <v>48.930941750526017</v>
      </c>
      <c r="AH114" s="687">
        <f t="shared" si="54"/>
        <v>-51.105493837644943</v>
      </c>
      <c r="AJ114" s="170">
        <f t="shared" si="55"/>
        <v>0</v>
      </c>
      <c r="AK114" s="170">
        <f t="shared" si="65"/>
        <v>0</v>
      </c>
      <c r="AM114" s="170" t="str">
        <f t="shared" si="59"/>
        <v>0.330463191160635+0.742778878004214i</v>
      </c>
      <c r="AN114" s="170" t="str">
        <f t="shared" si="60"/>
        <v>0.837211307003931i</v>
      </c>
      <c r="AO114" s="170" t="str">
        <f t="shared" si="61"/>
        <v>0.887205979888571-0.394718977629722i</v>
      </c>
      <c r="AP114" s="170" t="str">
        <f t="shared" si="62"/>
        <v>0.111589468139894-0.123796479667369i</v>
      </c>
      <c r="AQ114" s="170" t="str">
        <f t="shared" si="63"/>
        <v>0.888410531860106+0.123796479667369i</v>
      </c>
      <c r="AR114" s="170" t="str">
        <f t="shared" si="64"/>
        <v>0.919770120053444-0.128166313750746i</v>
      </c>
    </row>
    <row r="115" spans="7:44">
      <c r="G115" s="688">
        <v>5888.4</v>
      </c>
      <c r="H115" s="676">
        <f t="shared" si="56"/>
        <v>5.8883999999999999</v>
      </c>
      <c r="I115" s="677">
        <f t="shared" si="34"/>
        <v>5.421570396340722</v>
      </c>
      <c r="J115" s="678">
        <f t="shared" si="35"/>
        <v>1.385285720718191</v>
      </c>
      <c r="K115" s="678">
        <f t="shared" si="36"/>
        <v>1.0000331255056767</v>
      </c>
      <c r="L115" s="679">
        <f t="shared" si="37"/>
        <v>8.139360083767094E-3</v>
      </c>
      <c r="M115" s="678">
        <f t="shared" si="38"/>
        <v>1.0027975165933312</v>
      </c>
      <c r="N115" s="679">
        <f t="shared" si="39"/>
        <v>-7.4712922243477461E-2</v>
      </c>
      <c r="O115" s="677">
        <f t="shared" si="40"/>
        <v>244186.19491747962</v>
      </c>
      <c r="P115" s="680">
        <f t="shared" si="41"/>
        <v>1.5707922315592904</v>
      </c>
      <c r="Q115" s="689">
        <f t="shared" si="42"/>
        <v>9.8994804044540494</v>
      </c>
      <c r="R115" s="690">
        <f t="shared" si="43"/>
        <v>1.469608334961398</v>
      </c>
      <c r="S115" s="677">
        <f t="shared" si="44"/>
        <v>1.0002213312546082</v>
      </c>
      <c r="T115" s="680">
        <f t="shared" si="45"/>
        <v>2.1037606298247014E-2</v>
      </c>
      <c r="U115" s="681">
        <f t="shared" si="57"/>
        <v>0.8998163899882945</v>
      </c>
      <c r="V115" s="682">
        <f t="shared" si="58"/>
        <v>-0.56287304871758614</v>
      </c>
      <c r="W115" s="683">
        <f t="shared" si="46"/>
        <v>6.5520702025466573</v>
      </c>
      <c r="X115" s="684">
        <f t="shared" si="47"/>
        <v>-122.43843587057438</v>
      </c>
      <c r="Y115" s="687">
        <f t="shared" si="48"/>
        <v>57.561564129425619</v>
      </c>
      <c r="AA115" s="170">
        <f t="shared" si="49"/>
        <v>1000000000</v>
      </c>
      <c r="AB115" s="170">
        <f t="shared" si="50"/>
        <v>34673254.559999995</v>
      </c>
      <c r="AD115" s="686">
        <f t="shared" si="51"/>
        <v>17.261353713509283</v>
      </c>
      <c r="AE115" s="687">
        <f t="shared" si="52"/>
        <v>-7.0027762896965884</v>
      </c>
      <c r="AG115" s="686">
        <f t="shared" si="53"/>
        <v>48.854375012692643</v>
      </c>
      <c r="AH115" s="687">
        <f t="shared" si="54"/>
        <v>-50.935159320816695</v>
      </c>
      <c r="AJ115" s="170">
        <f t="shared" si="55"/>
        <v>0</v>
      </c>
      <c r="AK115" s="170">
        <f t="shared" si="65"/>
        <v>0</v>
      </c>
      <c r="AM115" s="170" t="str">
        <f t="shared" si="59"/>
        <v>0.337651343053521+0.749195739871227i</v>
      </c>
      <c r="AN115" s="170" t="str">
        <f t="shared" si="60"/>
        <v>0.846846988724696i</v>
      </c>
      <c r="AO115" s="170" t="str">
        <f t="shared" si="61"/>
        <v>0.884688438225982-0.3987158808488i</v>
      </c>
      <c r="AP115" s="170" t="str">
        <f t="shared" si="62"/>
        <v>0.110391442824413-0.124865956645205i</v>
      </c>
      <c r="AQ115" s="170" t="str">
        <f t="shared" si="63"/>
        <v>0.889608557175587+0.124865956645205i</v>
      </c>
      <c r="AR115" s="170" t="str">
        <f t="shared" si="64"/>
        <v>0.918275859432392-0.128889715288105i</v>
      </c>
    </row>
    <row r="116" spans="7:44">
      <c r="G116" s="688">
        <v>5957</v>
      </c>
      <c r="H116" s="676">
        <f t="shared" si="56"/>
        <v>5.9569999999999999</v>
      </c>
      <c r="I116" s="677">
        <f t="shared" si="34"/>
        <v>5.4825949486217729</v>
      </c>
      <c r="J116" s="678">
        <f t="shared" si="35"/>
        <v>1.3873741739795507</v>
      </c>
      <c r="K116" s="678">
        <f t="shared" si="36"/>
        <v>1.0000339018142701</v>
      </c>
      <c r="L116" s="679">
        <f t="shared" si="37"/>
        <v>8.2341795608548742E-3</v>
      </c>
      <c r="M116" s="678">
        <f t="shared" si="38"/>
        <v>1.0028629849639012</v>
      </c>
      <c r="N116" s="679">
        <f t="shared" si="39"/>
        <v>-7.5580037588757601E-2</v>
      </c>
      <c r="O116" s="677">
        <f t="shared" si="40"/>
        <v>247030.96989388403</v>
      </c>
      <c r="P116" s="680">
        <f t="shared" si="41"/>
        <v>1.5707922787194653</v>
      </c>
      <c r="Q116" s="689">
        <f t="shared" si="42"/>
        <v>10.013639462447232</v>
      </c>
      <c r="R116" s="690">
        <f t="shared" si="43"/>
        <v>1.4707657997299641</v>
      </c>
      <c r="S116" s="677">
        <f t="shared" si="44"/>
        <v>1.000226517735769</v>
      </c>
      <c r="T116" s="680">
        <f t="shared" si="45"/>
        <v>2.1282621335813989E-2</v>
      </c>
      <c r="U116" s="681">
        <f t="shared" si="57"/>
        <v>0.89780330591594215</v>
      </c>
      <c r="V116" s="682">
        <f t="shared" si="58"/>
        <v>-0.56880684297337114</v>
      </c>
      <c r="W116" s="683">
        <f t="shared" si="46"/>
        <v>6.4349088465979429</v>
      </c>
      <c r="X116" s="684">
        <f t="shared" si="47"/>
        <v>-122.89004927328982</v>
      </c>
      <c r="Y116" s="687">
        <f t="shared" si="48"/>
        <v>57.109950726710181</v>
      </c>
      <c r="AA116" s="170">
        <f t="shared" si="49"/>
        <v>1000000000</v>
      </c>
      <c r="AB116" s="170">
        <f t="shared" si="50"/>
        <v>35485849</v>
      </c>
      <c r="AD116" s="686">
        <f t="shared" si="51"/>
        <v>17.260293761191974</v>
      </c>
      <c r="AE116" s="687">
        <f t="shared" si="52"/>
        <v>-6.950499473111738</v>
      </c>
      <c r="AG116" s="686">
        <f t="shared" si="53"/>
        <v>48.77718157927066</v>
      </c>
      <c r="AH116" s="687">
        <f t="shared" si="54"/>
        <v>-50.759086804629106</v>
      </c>
      <c r="AJ116" s="170">
        <f t="shared" si="55"/>
        <v>0</v>
      </c>
      <c r="AK116" s="170">
        <f t="shared" si="65"/>
        <v>0</v>
      </c>
      <c r="AM116" s="170" t="str">
        <f t="shared" si="59"/>
        <v>0.345074863336139+0.755693764276127i</v>
      </c>
      <c r="AN116" s="170" t="str">
        <f t="shared" si="60"/>
        <v>0.856712776277599i</v>
      </c>
      <c r="AO116" s="170" t="str">
        <f t="shared" si="61"/>
        <v>0.882085321009922-0.402789444597153i</v>
      </c>
      <c r="AP116" s="170" t="str">
        <f t="shared" si="62"/>
        <v>0.109154189443977-0.125948960712688i</v>
      </c>
      <c r="AQ116" s="170" t="str">
        <f t="shared" si="63"/>
        <v>0.890845810556023+0.125948960712688i</v>
      </c>
      <c r="AR116" s="170" t="str">
        <f t="shared" si="64"/>
        <v>0.916741956164016-0.129610192080836i</v>
      </c>
    </row>
    <row r="117" spans="7:44">
      <c r="G117" s="688">
        <v>6025.6</v>
      </c>
      <c r="H117" s="676">
        <f t="shared" si="56"/>
        <v>6.0256000000000007</v>
      </c>
      <c r="I117" s="677">
        <f t="shared" si="34"/>
        <v>5.5436428874601917</v>
      </c>
      <c r="J117" s="678">
        <f t="shared" si="35"/>
        <v>1.389416638879849</v>
      </c>
      <c r="K117" s="678">
        <f t="shared" si="36"/>
        <v>1.0000346871138874</v>
      </c>
      <c r="L117" s="679">
        <f t="shared" si="37"/>
        <v>8.3289988898769176E-3</v>
      </c>
      <c r="M117" s="678">
        <f t="shared" si="38"/>
        <v>1.0029292072773659</v>
      </c>
      <c r="N117" s="679">
        <f t="shared" si="39"/>
        <v>-7.6447039076508488E-2</v>
      </c>
      <c r="O117" s="677">
        <f t="shared" si="40"/>
        <v>249875.74487028903</v>
      </c>
      <c r="P117" s="680">
        <f t="shared" si="41"/>
        <v>1.570792324805826</v>
      </c>
      <c r="Q117" s="689">
        <f t="shared" si="42"/>
        <v>10.127811633514947</v>
      </c>
      <c r="R117" s="690">
        <f t="shared" si="43"/>
        <v>1.4718971694765426</v>
      </c>
      <c r="S117" s="677">
        <f t="shared" si="44"/>
        <v>1.000231764262272</v>
      </c>
      <c r="T117" s="680">
        <f t="shared" si="45"/>
        <v>2.1527633817729458E-2</v>
      </c>
      <c r="U117" s="681">
        <f t="shared" si="57"/>
        <v>0.895779649385956</v>
      </c>
      <c r="V117" s="682">
        <f t="shared" si="58"/>
        <v>-0.57472244794517291</v>
      </c>
      <c r="W117" s="683">
        <f t="shared" si="46"/>
        <v>6.3186811170513995</v>
      </c>
      <c r="X117" s="684">
        <f t="shared" si="47"/>
        <v>-123.33947397940337</v>
      </c>
      <c r="Y117" s="687">
        <f t="shared" si="48"/>
        <v>56.660526020596635</v>
      </c>
      <c r="AA117" s="170">
        <f t="shared" si="49"/>
        <v>1000000000</v>
      </c>
      <c r="AB117" s="170">
        <f t="shared" si="50"/>
        <v>36307855.360000007</v>
      </c>
      <c r="AD117" s="686">
        <f t="shared" si="51"/>
        <v>17.259267528322951</v>
      </c>
      <c r="AE117" s="687">
        <f t="shared" si="52"/>
        <v>-6.8997175832017286</v>
      </c>
      <c r="AG117" s="686">
        <f t="shared" si="53"/>
        <v>48.701180421092147</v>
      </c>
      <c r="AH117" s="687">
        <f t="shared" si="54"/>
        <v>-50.58141500357641</v>
      </c>
      <c r="AJ117" s="170">
        <f t="shared" si="55"/>
        <v>0</v>
      </c>
      <c r="AK117" s="170">
        <f t="shared" si="65"/>
        <v>0</v>
      </c>
      <c r="AM117" s="170" t="str">
        <f t="shared" si="59"/>
        <v>0.352562129430417+0.762118234759099i</v>
      </c>
      <c r="AN117" s="170" t="str">
        <f t="shared" si="60"/>
        <v>0.866578563830502i</v>
      </c>
      <c r="AO117" s="170" t="str">
        <f t="shared" si="61"/>
        <v>0.879456596976434-0.406843815605132i</v>
      </c>
      <c r="AP117" s="170" t="str">
        <f t="shared" si="62"/>
        <v>0.107906311761597-0.127019705793183i</v>
      </c>
      <c r="AQ117" s="170" t="str">
        <f t="shared" si="63"/>
        <v>0.892093688238403+0.127019705793183i</v>
      </c>
      <c r="AR117" s="170" t="str">
        <f t="shared" si="64"/>
        <v>0.915204351330567-0.130310290252365i</v>
      </c>
    </row>
    <row r="118" spans="7:44">
      <c r="G118" s="688">
        <v>6095.8</v>
      </c>
      <c r="H118" s="676">
        <f t="shared" si="56"/>
        <v>6.0958000000000006</v>
      </c>
      <c r="I118" s="677">
        <f t="shared" si="34"/>
        <v>5.6061380989472696</v>
      </c>
      <c r="J118" s="678">
        <f t="shared" si="35"/>
        <v>1.3914606816020194</v>
      </c>
      <c r="K118" s="678">
        <f t="shared" si="36"/>
        <v>1.0000355000375329</v>
      </c>
      <c r="L118" s="679">
        <f t="shared" si="37"/>
        <v>8.4260295933742228E-3</v>
      </c>
      <c r="M118" s="678">
        <f t="shared" si="38"/>
        <v>1.0029977545037465</v>
      </c>
      <c r="N118" s="679">
        <f t="shared" si="39"/>
        <v>-7.733414296524023E-2</v>
      </c>
      <c r="O118" s="677">
        <f t="shared" si="40"/>
        <v>252786.87028346199</v>
      </c>
      <c r="P118" s="680">
        <f t="shared" si="41"/>
        <v>1.5707923708932356</v>
      </c>
      <c r="Q118" s="689">
        <f t="shared" si="42"/>
        <v>10.244659830365764</v>
      </c>
      <c r="R118" s="690">
        <f t="shared" si="43"/>
        <v>1.4730288190552505</v>
      </c>
      <c r="S118" s="677">
        <f t="shared" si="44"/>
        <v>1.0002371953181399</v>
      </c>
      <c r="T118" s="680">
        <f t="shared" si="45"/>
        <v>2.1778358200076963E-2</v>
      </c>
      <c r="U118" s="681">
        <f t="shared" si="57"/>
        <v>0.8936981623644934</v>
      </c>
      <c r="V118" s="682">
        <f t="shared" si="58"/>
        <v>-0.58075715177632525</v>
      </c>
      <c r="W118" s="683">
        <f t="shared" si="46"/>
        <v>6.2006875131123387</v>
      </c>
      <c r="X118" s="684">
        <f t="shared" si="47"/>
        <v>-123.79714926500385</v>
      </c>
      <c r="Y118" s="687">
        <f t="shared" si="48"/>
        <v>56.202850734996147</v>
      </c>
      <c r="AA118" s="170">
        <f t="shared" si="49"/>
        <v>1000000000</v>
      </c>
      <c r="AB118" s="170">
        <f t="shared" si="50"/>
        <v>37158777.640000001</v>
      </c>
      <c r="AD118" s="686">
        <f t="shared" si="51"/>
        <v>17.258250682255301</v>
      </c>
      <c r="AE118" s="687">
        <f t="shared" si="52"/>
        <v>-6.8492469279399355</v>
      </c>
      <c r="AG118" s="686">
        <f t="shared" si="53"/>
        <v>48.624616736993652</v>
      </c>
      <c r="AH118" s="687">
        <f t="shared" si="54"/>
        <v>-50.398034823375589</v>
      </c>
      <c r="AJ118" s="170">
        <f t="shared" si="55"/>
        <v>0</v>
      </c>
      <c r="AK118" s="170">
        <f t="shared" si="65"/>
        <v>0</v>
      </c>
      <c r="AM118" s="170" t="str">
        <f t="shared" si="59"/>
        <v>0.360289258607171+0.768615747527097i</v>
      </c>
      <c r="AN118" s="170" t="str">
        <f t="shared" si="60"/>
        <v>0.876674457215543i</v>
      </c>
      <c r="AO118" s="170" t="str">
        <f t="shared" si="61"/>
        <v>0.876740209779058-0.410972688484055i</v>
      </c>
      <c r="AP118" s="170" t="str">
        <f t="shared" si="62"/>
        <v>0.106618456898805-0.12810262458785i</v>
      </c>
      <c r="AQ118" s="170" t="str">
        <f t="shared" si="63"/>
        <v>0.893381543101195+0.12810262458785i</v>
      </c>
      <c r="AR118" s="170" t="str">
        <f t="shared" si="64"/>
        <v>0.913627367652133-0.131005687989985i</v>
      </c>
    </row>
    <row r="119" spans="7:44">
      <c r="G119" s="688">
        <v>6166</v>
      </c>
      <c r="H119" s="676">
        <f t="shared" si="56"/>
        <v>6.1660000000000004</v>
      </c>
      <c r="I119" s="677">
        <f t="shared" si="34"/>
        <v>5.6686562169789525</v>
      </c>
      <c r="J119" s="678">
        <f t="shared" si="35"/>
        <v>1.3934596461044513</v>
      </c>
      <c r="K119" s="678">
        <f t="shared" si="36"/>
        <v>1.0000363223764548</v>
      </c>
      <c r="L119" s="679">
        <f t="shared" si="37"/>
        <v>8.5230601382066135E-3</v>
      </c>
      <c r="M119" s="678">
        <f t="shared" si="38"/>
        <v>1.0030670909342876</v>
      </c>
      <c r="N119" s="679">
        <f t="shared" si="39"/>
        <v>-7.8221124910822379E-2</v>
      </c>
      <c r="O119" s="677">
        <f t="shared" si="40"/>
        <v>255697.99569663545</v>
      </c>
      <c r="P119" s="680">
        <f t="shared" si="41"/>
        <v>1.5707924159312339</v>
      </c>
      <c r="Q119" s="689">
        <f t="shared" si="42"/>
        <v>10.361520850930091</v>
      </c>
      <c r="R119" s="690">
        <f t="shared" si="43"/>
        <v>1.4741349437085789</v>
      </c>
      <c r="S119" s="677">
        <f t="shared" si="44"/>
        <v>1.0002426892509497</v>
      </c>
      <c r="T119" s="680">
        <f t="shared" si="45"/>
        <v>2.202907984392798E-2</v>
      </c>
      <c r="U119" s="681">
        <f t="shared" si="57"/>
        <v>0.89160623849093712</v>
      </c>
      <c r="V119" s="682">
        <f t="shared" si="58"/>
        <v>-0.58677272274122805</v>
      </c>
      <c r="W119" s="683">
        <f t="shared" si="46"/>
        <v>6.0836285352581001</v>
      </c>
      <c r="X119" s="684">
        <f t="shared" si="47"/>
        <v>-124.25260080210525</v>
      </c>
      <c r="Y119" s="687">
        <f t="shared" si="48"/>
        <v>55.747399197894751</v>
      </c>
      <c r="AA119" s="170">
        <f t="shared" si="49"/>
        <v>1000000000</v>
      </c>
      <c r="AB119" s="170">
        <f t="shared" si="50"/>
        <v>38019556</v>
      </c>
      <c r="AD119" s="686">
        <f t="shared" si="51"/>
        <v>17.25726601547197</v>
      </c>
      <c r="AE119" s="687">
        <f t="shared" si="52"/>
        <v>-6.8002385261453071</v>
      </c>
      <c r="AG119" s="686">
        <f t="shared" si="53"/>
        <v>48.549253081660986</v>
      </c>
      <c r="AH119" s="687">
        <f t="shared" si="54"/>
        <v>-50.213161106183193</v>
      </c>
      <c r="AJ119" s="170">
        <f t="shared" si="55"/>
        <v>0</v>
      </c>
      <c r="AK119" s="170">
        <f t="shared" si="65"/>
        <v>0</v>
      </c>
      <c r="AM119" s="170" t="str">
        <f t="shared" si="59"/>
        <v>0.368081591067285+0.775034918214622i</v>
      </c>
      <c r="AN119" s="170" t="str">
        <f t="shared" si="60"/>
        <v>0.886770350600583i</v>
      </c>
      <c r="AO119" s="170" t="str">
        <f t="shared" si="61"/>
        <v>0.873997329398433-0.415081075746381i</v>
      </c>
      <c r="AP119" s="170" t="str">
        <f t="shared" si="62"/>
        <v>0.105319734822119-0.129172486369104i</v>
      </c>
      <c r="AQ119" s="170" t="str">
        <f t="shared" si="63"/>
        <v>0.894680265177881+0.129172486369104i</v>
      </c>
      <c r="AR119" s="170" t="str">
        <f t="shared" si="64"/>
        <v>0.9120471448652-0.13167988830586i</v>
      </c>
    </row>
    <row r="120" spans="7:44">
      <c r="G120" s="688">
        <v>6237.8</v>
      </c>
      <c r="H120" s="676">
        <f t="shared" si="56"/>
        <v>6.2378</v>
      </c>
      <c r="I120" s="677">
        <f t="shared" si="34"/>
        <v>5.7326221638639749</v>
      </c>
      <c r="J120" s="678">
        <f t="shared" si="35"/>
        <v>1.3954590608356245</v>
      </c>
      <c r="K120" s="678">
        <f t="shared" si="36"/>
        <v>1.0000371731977316</v>
      </c>
      <c r="L120" s="679">
        <f t="shared" si="37"/>
        <v>8.6223020393938216E-3</v>
      </c>
      <c r="M120" s="678">
        <f t="shared" si="38"/>
        <v>1.003138823902237</v>
      </c>
      <c r="N120" s="679">
        <f t="shared" si="39"/>
        <v>-7.9128195397131521E-2</v>
      </c>
      <c r="O120" s="677">
        <f t="shared" si="40"/>
        <v>258675.47154657694</v>
      </c>
      <c r="P120" s="680">
        <f t="shared" si="41"/>
        <v>1.5707924609471067</v>
      </c>
      <c r="Q120" s="689">
        <f t="shared" si="42"/>
        <v>10.481058188909985</v>
      </c>
      <c r="R120" s="690">
        <f t="shared" si="43"/>
        <v>1.4752407621145782</v>
      </c>
      <c r="S120" s="677">
        <f t="shared" si="44"/>
        <v>1.0002483734434333</v>
      </c>
      <c r="T120" s="680">
        <f t="shared" si="45"/>
        <v>2.2285513075560856E-2</v>
      </c>
      <c r="U120" s="681">
        <f t="shared" si="57"/>
        <v>0.88945616941061811</v>
      </c>
      <c r="V120" s="682">
        <f t="shared" si="58"/>
        <v>-0.59290556989034382</v>
      </c>
      <c r="W120" s="683">
        <f t="shared" si="46"/>
        <v>5.9648468109389832</v>
      </c>
      <c r="X120" s="684">
        <f t="shared" si="47"/>
        <v>-124.71616664831551</v>
      </c>
      <c r="Y120" s="687">
        <f t="shared" si="48"/>
        <v>55.283833351684493</v>
      </c>
      <c r="AA120" s="170">
        <f t="shared" si="49"/>
        <v>1000000000</v>
      </c>
      <c r="AB120" s="170">
        <f t="shared" si="50"/>
        <v>38910148.840000004</v>
      </c>
      <c r="AD120" s="686">
        <f t="shared" si="51"/>
        <v>17.256290678950407</v>
      </c>
      <c r="AE120" s="687">
        <f t="shared" si="52"/>
        <v>-6.75157491963704</v>
      </c>
      <c r="AG120" s="686">
        <f t="shared" si="53"/>
        <v>48.473388563468433</v>
      </c>
      <c r="AH120" s="687">
        <f t="shared" si="54"/>
        <v>-50.022618042012319</v>
      </c>
      <c r="AJ120" s="170">
        <f t="shared" si="55"/>
        <v>0</v>
      </c>
      <c r="AK120" s="170">
        <f t="shared" si="65"/>
        <v>0</v>
      </c>
      <c r="AM120" s="170" t="str">
        <f t="shared" si="59"/>
        <v>0.376118148053861+0.781518672081644i</v>
      </c>
      <c r="AN120" s="170" t="str">
        <f t="shared" si="60"/>
        <v>0.897096349817762i</v>
      </c>
      <c r="AO120" s="170" t="str">
        <f t="shared" si="61"/>
        <v>0.871164699578148-0.419261708210346i</v>
      </c>
      <c r="AP120" s="170" t="str">
        <f t="shared" si="62"/>
        <v>0.10398030865769-0.130253112013607i</v>
      </c>
      <c r="AQ120" s="170" t="str">
        <f t="shared" si="63"/>
        <v>0.89601969134231+0.130253112013607i</v>
      </c>
      <c r="AR120" s="170" t="str">
        <f t="shared" si="64"/>
        <v>0.910427884270152-0.132347610589338i</v>
      </c>
    </row>
    <row r="121" spans="7:44">
      <c r="G121" s="688">
        <v>6309.6</v>
      </c>
      <c r="H121" s="676">
        <f t="shared" si="56"/>
        <v>6.3096000000000005</v>
      </c>
      <c r="I121" s="677">
        <f t="shared" si="34"/>
        <v>5.7966105219838679</v>
      </c>
      <c r="J121" s="678">
        <f t="shared" si="35"/>
        <v>1.397414340455239</v>
      </c>
      <c r="K121" s="678">
        <f t="shared" si="36"/>
        <v>1.0000380338683126</v>
      </c>
      <c r="L121" s="679">
        <f t="shared" si="37"/>
        <v>8.7215437707357825E-3</v>
      </c>
      <c r="M121" s="678">
        <f t="shared" si="38"/>
        <v>1.0032113821111772</v>
      </c>
      <c r="N121" s="679">
        <f t="shared" si="39"/>
        <v>-8.0035135420104417E-2</v>
      </c>
      <c r="O121" s="677">
        <f t="shared" si="40"/>
        <v>261652.94739651895</v>
      </c>
      <c r="P121" s="680">
        <f t="shared" si="41"/>
        <v>1.5707925049384646</v>
      </c>
      <c r="Q121" s="689">
        <f t="shared" si="42"/>
        <v>10.600608054427088</v>
      </c>
      <c r="R121" s="690">
        <f t="shared" si="43"/>
        <v>1.4763216397687777</v>
      </c>
      <c r="S121" s="677">
        <f t="shared" si="44"/>
        <v>1.0002541234095017</v>
      </c>
      <c r="T121" s="680">
        <f t="shared" si="45"/>
        <v>2.2541943375840364E-2</v>
      </c>
      <c r="U121" s="681">
        <f t="shared" si="57"/>
        <v>0.88729584998599431</v>
      </c>
      <c r="V121" s="682">
        <f t="shared" si="58"/>
        <v>-0.59901832720197878</v>
      </c>
      <c r="W121" s="683">
        <f t="shared" si="46"/>
        <v>5.8469997821912862</v>
      </c>
      <c r="X121" s="684">
        <f t="shared" si="47"/>
        <v>-125.17747398389808</v>
      </c>
      <c r="Y121" s="687">
        <f t="shared" si="48"/>
        <v>54.822526016101918</v>
      </c>
      <c r="AA121" s="170">
        <f t="shared" si="49"/>
        <v>1000000000</v>
      </c>
      <c r="AB121" s="170">
        <f t="shared" si="50"/>
        <v>39811052.160000004</v>
      </c>
      <c r="AD121" s="686">
        <f t="shared" si="51"/>
        <v>17.255346015216407</v>
      </c>
      <c r="AE121" s="687">
        <f t="shared" si="52"/>
        <v>-6.7043400862918601</v>
      </c>
      <c r="AG121" s="686">
        <f t="shared" si="53"/>
        <v>48.398730259859477</v>
      </c>
      <c r="AH121" s="687">
        <f t="shared" si="54"/>
        <v>-49.830689819850832</v>
      </c>
      <c r="AJ121" s="170">
        <f t="shared" si="55"/>
        <v>0</v>
      </c>
      <c r="AK121" s="170">
        <f t="shared" si="65"/>
        <v>0</v>
      </c>
      <c r="AM121" s="170" t="str">
        <f t="shared" si="59"/>
        <v>0.384221226637805+0.787919096276103i</v>
      </c>
      <c r="AN121" s="170" t="str">
        <f t="shared" si="60"/>
        <v>0.90742234903494i</v>
      </c>
      <c r="AO121" s="170" t="str">
        <f t="shared" si="61"/>
        <v>0.868304706308004-0.423420502091921i</v>
      </c>
      <c r="AP121" s="170" t="str">
        <f t="shared" si="62"/>
        <v>0.102629795560366-0.131319849379351i</v>
      </c>
      <c r="AQ121" s="170" t="str">
        <f t="shared" si="63"/>
        <v>0.897370204439634+0.131319849379351i</v>
      </c>
      <c r="AR121" s="170" t="str">
        <f t="shared" si="64"/>
        <v>0.908805899279032-0.132993332314742i</v>
      </c>
    </row>
    <row r="122" spans="7:44">
      <c r="G122" s="688">
        <v>6383.05</v>
      </c>
      <c r="H122" s="676">
        <f t="shared" si="56"/>
        <v>6.3830499999999999</v>
      </c>
      <c r="I122" s="677">
        <f t="shared" si="34"/>
        <v>5.8620917891335722</v>
      </c>
      <c r="J122" s="678">
        <f t="shared" si="35"/>
        <v>1.3993703768613666</v>
      </c>
      <c r="K122" s="678">
        <f t="shared" si="36"/>
        <v>1.0000389245089265</v>
      </c>
      <c r="L122" s="679">
        <f t="shared" si="37"/>
        <v>8.8230659490404952E-3</v>
      </c>
      <c r="M122" s="678">
        <f t="shared" si="38"/>
        <v>1.0032864614630177</v>
      </c>
      <c r="N122" s="679">
        <f t="shared" si="39"/>
        <v>-8.0962780858635841E-2</v>
      </c>
      <c r="O122" s="677">
        <f t="shared" si="40"/>
        <v>264698.84713437798</v>
      </c>
      <c r="P122" s="680">
        <f t="shared" si="41"/>
        <v>1.5707925489167123</v>
      </c>
      <c r="Q122" s="689">
        <f t="shared" si="42"/>
        <v>10.722917761589622</v>
      </c>
      <c r="R122" s="690">
        <f t="shared" si="43"/>
        <v>1.4774024166625173</v>
      </c>
      <c r="S122" s="677">
        <f t="shared" si="44"/>
        <v>1.0002600735697078</v>
      </c>
      <c r="T122" s="680">
        <f t="shared" si="45"/>
        <v>2.2804263504709651E-2</v>
      </c>
      <c r="U122" s="681">
        <f t="shared" si="57"/>
        <v>0.88507562615247592</v>
      </c>
      <c r="V122" s="682">
        <f t="shared" si="58"/>
        <v>-0.60525073802860141</v>
      </c>
      <c r="W122" s="683">
        <f t="shared" si="46"/>
        <v>5.7273901996047041</v>
      </c>
      <c r="X122" s="684">
        <f t="shared" si="47"/>
        <v>-125.64707922923238</v>
      </c>
      <c r="Y122" s="687">
        <f t="shared" si="48"/>
        <v>54.352920770767625</v>
      </c>
      <c r="AA122" s="170">
        <f t="shared" si="49"/>
        <v>1000000000</v>
      </c>
      <c r="AB122" s="170">
        <f t="shared" si="50"/>
        <v>40743327.302500002</v>
      </c>
      <c r="AD122" s="686">
        <f t="shared" si="51"/>
        <v>17.25440993414454</v>
      </c>
      <c r="AE122" s="687">
        <f t="shared" si="52"/>
        <v>-6.6574484876652731</v>
      </c>
      <c r="AG122" s="686">
        <f t="shared" si="53"/>
        <v>48.323579528907601</v>
      </c>
      <c r="AH122" s="687">
        <f t="shared" si="54"/>
        <v>-49.633004989881442</v>
      </c>
      <c r="AJ122" s="170">
        <f t="shared" si="55"/>
        <v>0</v>
      </c>
      <c r="AK122" s="170">
        <f t="shared" si="65"/>
        <v>0</v>
      </c>
      <c r="AM122" s="170" t="str">
        <f t="shared" si="59"/>
        <v>0.392578449348248+0.79437966980772i</v>
      </c>
      <c r="AN122" s="170" t="str">
        <f t="shared" si="60"/>
        <v>0.91798564489151i</v>
      </c>
      <c r="AO122" s="170" t="str">
        <f t="shared" si="61"/>
        <v>0.865350862759517-0.427652057015166i</v>
      </c>
      <c r="AP122" s="170" t="str">
        <f t="shared" si="62"/>
        <v>0.101236925108625-0.13239661163462i</v>
      </c>
      <c r="AQ122" s="170" t="str">
        <f t="shared" si="63"/>
        <v>0.898763074891375+0.13239661163462i</v>
      </c>
      <c r="AR122" s="170" t="str">
        <f t="shared" si="64"/>
        <v>0.907144163965714-0.133631228216287i</v>
      </c>
    </row>
    <row r="123" spans="7:44">
      <c r="G123" s="688">
        <v>6456.5</v>
      </c>
      <c r="H123" s="676">
        <f t="shared" si="56"/>
        <v>6.4565000000000001</v>
      </c>
      <c r="I123" s="677">
        <f t="shared" si="34"/>
        <v>5.9275949895209799</v>
      </c>
      <c r="J123" s="678">
        <f t="shared" si="35"/>
        <v>1.4012831898853968</v>
      </c>
      <c r="K123" s="678">
        <f t="shared" si="36"/>
        <v>1.0000398254566758</v>
      </c>
      <c r="L123" s="679">
        <f t="shared" si="37"/>
        <v>8.9245879454664979E-3</v>
      </c>
      <c r="M123" s="678">
        <f t="shared" si="38"/>
        <v>1.0033624040393645</v>
      </c>
      <c r="N123" s="679">
        <f t="shared" si="39"/>
        <v>-8.1890286671801177E-2</v>
      </c>
      <c r="O123" s="677">
        <f t="shared" si="40"/>
        <v>267744.74687223748</v>
      </c>
      <c r="P123" s="680">
        <f t="shared" si="41"/>
        <v>1.5707925918943555</v>
      </c>
      <c r="Q123" s="689">
        <f t="shared" si="42"/>
        <v>10.845239711443551</v>
      </c>
      <c r="R123" s="690">
        <f t="shared" si="43"/>
        <v>1.4784588149026814</v>
      </c>
      <c r="S123" s="677">
        <f t="shared" si="44"/>
        <v>1.0002660925588387</v>
      </c>
      <c r="T123" s="680">
        <f t="shared" si="45"/>
        <v>2.3066580494665315E-2</v>
      </c>
      <c r="U123" s="681">
        <f t="shared" si="57"/>
        <v>0.88284537698103616</v>
      </c>
      <c r="V123" s="682">
        <f t="shared" si="58"/>
        <v>-0.61146206228293154</v>
      </c>
      <c r="W123" s="683">
        <f t="shared" si="46"/>
        <v>5.6087157958384779</v>
      </c>
      <c r="X123" s="684">
        <f t="shared" si="47"/>
        <v>-126.11438835285676</v>
      </c>
      <c r="Y123" s="687">
        <f t="shared" si="48"/>
        <v>53.885611647143236</v>
      </c>
      <c r="AA123" s="170">
        <f t="shared" si="49"/>
        <v>1000000000</v>
      </c>
      <c r="AB123" s="170">
        <f t="shared" si="50"/>
        <v>41686392.25</v>
      </c>
      <c r="AD123" s="686">
        <f t="shared" si="51"/>
        <v>17.253503096168249</v>
      </c>
      <c r="AE123" s="687">
        <f t="shared" si="52"/>
        <v>-6.6119534458234375</v>
      </c>
      <c r="AG123" s="686">
        <f t="shared" si="53"/>
        <v>48.249641316149322</v>
      </c>
      <c r="AH123" s="687">
        <f t="shared" si="54"/>
        <v>-49.434043824613596</v>
      </c>
      <c r="AJ123" s="170">
        <f t="shared" si="55"/>
        <v>0</v>
      </c>
      <c r="AK123" s="170">
        <f t="shared" si="65"/>
        <v>0</v>
      </c>
      <c r="AM123" s="170" t="str">
        <f t="shared" si="59"/>
        <v>0.401003449480581+0.800751604722611i</v>
      </c>
      <c r="AN123" s="170" t="str">
        <f t="shared" si="60"/>
        <v>0.928548940748081i</v>
      </c>
      <c r="AO123" s="170" t="str">
        <f t="shared" si="61"/>
        <v>0.862368766559024-0.431860327316204i</v>
      </c>
      <c r="AP123" s="170" t="str">
        <f t="shared" si="62"/>
        <v>0.0998327584199032-0.133458600787102i</v>
      </c>
      <c r="AQ123" s="170" t="str">
        <f t="shared" si="63"/>
        <v>0.900167241580097+0.133458600787102i</v>
      </c>
      <c r="AR123" s="170" t="str">
        <f t="shared" si="64"/>
        <v>0.905480268323652-0.134246308984408i</v>
      </c>
    </row>
    <row r="124" spans="7:44">
      <c r="G124" s="688">
        <v>6531.7</v>
      </c>
      <c r="H124" s="676">
        <f t="shared" si="56"/>
        <v>6.5316999999999998</v>
      </c>
      <c r="I124" s="677">
        <f t="shared" si="34"/>
        <v>5.9946808241155347</v>
      </c>
      <c r="J124" s="678">
        <f t="shared" si="35"/>
        <v>1.4031982619040562</v>
      </c>
      <c r="K124" s="678">
        <f t="shared" si="36"/>
        <v>1.0000407585485589</v>
      </c>
      <c r="L124" s="679">
        <f t="shared" si="37"/>
        <v>9.0285285871349371E-3</v>
      </c>
      <c r="M124" s="678">
        <f t="shared" si="38"/>
        <v>1.0034410501184392</v>
      </c>
      <c r="N124" s="679">
        <f t="shared" si="39"/>
        <v>-8.2839744701577678E-2</v>
      </c>
      <c r="O124" s="677">
        <f t="shared" si="40"/>
        <v>270863.21740031196</v>
      </c>
      <c r="P124" s="680">
        <f t="shared" si="41"/>
        <v>1.5707926348945729</v>
      </c>
      <c r="Q124" s="689">
        <f t="shared" si="42"/>
        <v>10.970488327326523</v>
      </c>
      <c r="R124" s="690">
        <f t="shared" si="43"/>
        <v>1.4795159749097555</v>
      </c>
      <c r="S124" s="677">
        <f t="shared" si="44"/>
        <v>1.0002723262618018</v>
      </c>
      <c r="T124" s="680">
        <f t="shared" si="45"/>
        <v>2.3335144089244697E-2</v>
      </c>
      <c r="U124" s="681">
        <f t="shared" si="57"/>
        <v>0.880551968938181</v>
      </c>
      <c r="V124" s="682">
        <f t="shared" si="58"/>
        <v>-0.61779950340680789</v>
      </c>
      <c r="W124" s="683">
        <f t="shared" si="46"/>
        <v>5.4881612194321292</v>
      </c>
      <c r="X124" s="684">
        <f t="shared" si="47"/>
        <v>-126.59048632224371</v>
      </c>
      <c r="Y124" s="687">
        <f t="shared" si="48"/>
        <v>53.409513677756294</v>
      </c>
      <c r="AA124" s="170">
        <f t="shared" si="49"/>
        <v>1000000000</v>
      </c>
      <c r="AB124" s="170">
        <f t="shared" si="50"/>
        <v>42663104.890000001</v>
      </c>
      <c r="AD124" s="686">
        <f t="shared" si="51"/>
        <v>17.252603564755919</v>
      </c>
      <c r="AE124" s="687">
        <f t="shared" si="52"/>
        <v>-6.5667726633276793</v>
      </c>
      <c r="AG124" s="686">
        <f t="shared" si="53"/>
        <v>48.175172457769165</v>
      </c>
      <c r="AH124" s="687">
        <f t="shared" si="54"/>
        <v>-49.229105317044962</v>
      </c>
      <c r="AJ124" s="170">
        <f t="shared" si="55"/>
        <v>0</v>
      </c>
      <c r="AK124" s="170">
        <f t="shared" si="65"/>
        <v>0</v>
      </c>
      <c r="AM124" s="170" t="str">
        <f t="shared" si="59"/>
        <v>0.409698418610401+0.807182781660349i</v>
      </c>
      <c r="AN124" s="170" t="str">
        <f t="shared" si="60"/>
        <v>0.939363914858552i</v>
      </c>
      <c r="AO124" s="170" t="str">
        <f t="shared" si="61"/>
        <v>0.859286554329579-0.436144514527251i</v>
      </c>
      <c r="AP124" s="170" t="str">
        <f t="shared" si="62"/>
        <v>0.0983835968982665-0.134530463610058i</v>
      </c>
      <c r="AQ124" s="170" t="str">
        <f t="shared" si="63"/>
        <v>0.901616403101734+0.134530463610058i</v>
      </c>
      <c r="AR124" s="170" t="str">
        <f t="shared" si="64"/>
        <v>0.903774847470167-0.134852525764831i</v>
      </c>
    </row>
    <row r="125" spans="7:44">
      <c r="G125" s="688">
        <v>6606.9</v>
      </c>
      <c r="H125" s="676">
        <f t="shared" si="56"/>
        <v>6.6068999999999996</v>
      </c>
      <c r="I125" s="677">
        <f t="shared" si="34"/>
        <v>6.0617881575334351</v>
      </c>
      <c r="J125" s="678">
        <f t="shared" si="35"/>
        <v>1.4050709388606824</v>
      </c>
      <c r="K125" s="678">
        <f t="shared" si="36"/>
        <v>1.0000417024445192</v>
      </c>
      <c r="L125" s="679">
        <f t="shared" si="37"/>
        <v>9.1324690337161903E-3</v>
      </c>
      <c r="M125" s="678">
        <f t="shared" si="38"/>
        <v>1.0035206006278108</v>
      </c>
      <c r="N125" s="679">
        <f t="shared" si="39"/>
        <v>-8.3789053057230667E-2</v>
      </c>
      <c r="O125" s="677">
        <f t="shared" si="40"/>
        <v>273981.68792838691</v>
      </c>
      <c r="P125" s="680">
        <f t="shared" si="41"/>
        <v>1.5707926769159299</v>
      </c>
      <c r="Q125" s="689">
        <f t="shared" si="42"/>
        <v>11.095748926887705</v>
      </c>
      <c r="R125" s="690">
        <f t="shared" si="43"/>
        <v>1.480549267359889</v>
      </c>
      <c r="S125" s="677">
        <f t="shared" si="44"/>
        <v>1.0002786321099093</v>
      </c>
      <c r="T125" s="680">
        <f t="shared" si="45"/>
        <v>2.3603704317095162E-2</v>
      </c>
      <c r="U125" s="681">
        <f t="shared" si="57"/>
        <v>0.87824878955738817</v>
      </c>
      <c r="V125" s="682">
        <f t="shared" si="58"/>
        <v>-0.62411479235147993</v>
      </c>
      <c r="W125" s="683">
        <f t="shared" si="46"/>
        <v>5.3685439224508666</v>
      </c>
      <c r="X125" s="684">
        <f t="shared" si="47"/>
        <v>-127.06424470390401</v>
      </c>
      <c r="Y125" s="687">
        <f t="shared" si="48"/>
        <v>52.935755296095991</v>
      </c>
      <c r="AA125" s="170">
        <f t="shared" si="49"/>
        <v>1000000000</v>
      </c>
      <c r="AB125" s="170">
        <f t="shared" si="50"/>
        <v>43651127.609999992</v>
      </c>
      <c r="AD125" s="686">
        <f t="shared" si="51"/>
        <v>17.251731953454787</v>
      </c>
      <c r="AE125" s="687">
        <f t="shared" si="52"/>
        <v>-6.5229591421295465</v>
      </c>
      <c r="AG125" s="686">
        <f t="shared" si="53"/>
        <v>48.101924076446664</v>
      </c>
      <c r="AH125" s="687">
        <f t="shared" si="54"/>
        <v>-49.022998413205805</v>
      </c>
      <c r="AJ125" s="170">
        <f t="shared" si="55"/>
        <v>0</v>
      </c>
      <c r="AK125" s="170">
        <f t="shared" si="65"/>
        <v>0</v>
      </c>
      <c r="AM125" s="170" t="str">
        <f t="shared" si="59"/>
        <v>0.418462430903676+0.813519548461829i</v>
      </c>
      <c r="AN125" s="170" t="str">
        <f t="shared" si="60"/>
        <v>0.950178888969023i</v>
      </c>
      <c r="AO125" s="170" t="str">
        <f t="shared" si="61"/>
        <v>0.856175145445008-0.440403839489343i</v>
      </c>
      <c r="AP125" s="170" t="str">
        <f t="shared" si="62"/>
        <v>0.0969229281827207-0.135586591410305i</v>
      </c>
      <c r="AQ125" s="170" t="str">
        <f t="shared" si="63"/>
        <v>0.903077071817279+0.135586591410305i</v>
      </c>
      <c r="AR125" s="170" t="str">
        <f t="shared" si="64"/>
        <v>0.902067880492895-0.135435072989536i</v>
      </c>
    </row>
    <row r="126" spans="7:44">
      <c r="G126" s="688">
        <v>6683.85</v>
      </c>
      <c r="H126" s="676">
        <f t="shared" si="56"/>
        <v>6.6838500000000005</v>
      </c>
      <c r="I126" s="677">
        <f t="shared" si="34"/>
        <v>6.1304786828536839</v>
      </c>
      <c r="J126" s="678">
        <f t="shared" si="35"/>
        <v>1.4069447478953705</v>
      </c>
      <c r="K126" s="678">
        <f t="shared" si="36"/>
        <v>1.0000426794902513</v>
      </c>
      <c r="L126" s="679">
        <f t="shared" si="37"/>
        <v>9.2388281028870957E-3</v>
      </c>
      <c r="M126" s="678">
        <f t="shared" si="38"/>
        <v>1.0036029384007796</v>
      </c>
      <c r="N126" s="679">
        <f t="shared" si="39"/>
        <v>-8.4760296343306729E-2</v>
      </c>
      <c r="O126" s="677">
        <f t="shared" si="40"/>
        <v>277172.72924667696</v>
      </c>
      <c r="P126" s="680">
        <f t="shared" si="41"/>
        <v>1.5707927189363504</v>
      </c>
      <c r="Q126" s="689">
        <f t="shared" si="42"/>
        <v>11.223936487189992</v>
      </c>
      <c r="R126" s="690">
        <f t="shared" si="43"/>
        <v>1.4815827300417788</v>
      </c>
      <c r="S126" s="677">
        <f t="shared" si="44"/>
        <v>1.0002851593847724</v>
      </c>
      <c r="T126" s="680">
        <f t="shared" si="45"/>
        <v>2.3878510758781279E-2</v>
      </c>
      <c r="U126" s="681">
        <f t="shared" si="57"/>
        <v>0.87588228002045432</v>
      </c>
      <c r="V126" s="682">
        <f t="shared" si="58"/>
        <v>-0.63055409618508551</v>
      </c>
      <c r="W126" s="683">
        <f t="shared" si="46"/>
        <v>5.2470917033742479</v>
      </c>
      <c r="X126" s="684">
        <f t="shared" si="47"/>
        <v>-127.54663980874834</v>
      </c>
      <c r="Y126" s="687">
        <f t="shared" si="48"/>
        <v>52.453360191251662</v>
      </c>
      <c r="AA126" s="170">
        <f t="shared" si="49"/>
        <v>1000000000</v>
      </c>
      <c r="AB126" s="170">
        <f t="shared" si="50"/>
        <v>44673850.822500005</v>
      </c>
      <c r="AD126" s="686">
        <f t="shared" si="51"/>
        <v>17.250867637305909</v>
      </c>
      <c r="AE126" s="687">
        <f t="shared" si="52"/>
        <v>-6.4794937490077</v>
      </c>
      <c r="AG126" s="686">
        <f t="shared" si="53"/>
        <v>48.028208960832316</v>
      </c>
      <c r="AH126" s="687">
        <f t="shared" si="54"/>
        <v>-48.810969044992774</v>
      </c>
      <c r="AJ126" s="170">
        <f t="shared" si="55"/>
        <v>0</v>
      </c>
      <c r="AK126" s="170">
        <f t="shared" si="65"/>
        <v>0</v>
      </c>
      <c r="AM126" s="170" t="str">
        <f t="shared" si="59"/>
        <v>0.427500795493724+0.819905275528631i</v>
      </c>
      <c r="AN126" s="170" t="str">
        <f t="shared" si="60"/>
        <v>0.961245541333394i</v>
      </c>
      <c r="AO126" s="170" t="str">
        <f t="shared" si="61"/>
        <v>0.852961330141826-0.444736310454783i</v>
      </c>
      <c r="AP126" s="170" t="str">
        <f t="shared" si="62"/>
        <v>0.0954165340843793-0.136650879254772i</v>
      </c>
      <c r="AQ126" s="170" t="str">
        <f t="shared" si="63"/>
        <v>0.904583465915621+0.136650879254772i</v>
      </c>
      <c r="AR126" s="170" t="str">
        <f t="shared" si="64"/>
        <v>0.900319959558284-0.136006812770704i</v>
      </c>
    </row>
    <row r="127" spans="7:44">
      <c r="G127" s="688">
        <v>6760.8</v>
      </c>
      <c r="H127" s="676">
        <f t="shared" si="56"/>
        <v>6.7608000000000006</v>
      </c>
      <c r="I127" s="677">
        <f t="shared" si="34"/>
        <v>6.1991902562034271</v>
      </c>
      <c r="J127" s="678">
        <f t="shared" si="35"/>
        <v>1.4087770247985021</v>
      </c>
      <c r="K127" s="678">
        <f t="shared" si="36"/>
        <v>1.0000436678486953</v>
      </c>
      <c r="L127" s="679">
        <f t="shared" si="37"/>
        <v>9.3451869630285702E-3</v>
      </c>
      <c r="M127" s="678">
        <f t="shared" si="38"/>
        <v>1.0036862227301213</v>
      </c>
      <c r="N127" s="679">
        <f t="shared" si="39"/>
        <v>-8.5731379360763152E-2</v>
      </c>
      <c r="O127" s="677">
        <f t="shared" si="40"/>
        <v>280363.77056496742</v>
      </c>
      <c r="P127" s="680">
        <f t="shared" si="41"/>
        <v>1.5707927600002356</v>
      </c>
      <c r="Q127" s="689">
        <f t="shared" si="42"/>
        <v>11.352135764427489</v>
      </c>
      <c r="R127" s="690">
        <f t="shared" si="43"/>
        <v>1.4825928520655418</v>
      </c>
      <c r="S127" s="677">
        <f t="shared" si="44"/>
        <v>1.0002917621987615</v>
      </c>
      <c r="T127" s="680">
        <f t="shared" si="45"/>
        <v>2.4153313593286745E-2</v>
      </c>
      <c r="U127" s="681">
        <f t="shared" si="57"/>
        <v>0.87350631205497919</v>
      </c>
      <c r="V127" s="682">
        <f t="shared" si="58"/>
        <v>-0.63697017215268403</v>
      </c>
      <c r="W127" s="683">
        <f t="shared" si="46"/>
        <v>5.1265779394090405</v>
      </c>
      <c r="X127" s="684">
        <f t="shared" si="47"/>
        <v>-128.02665232802926</v>
      </c>
      <c r="Y127" s="687">
        <f t="shared" si="48"/>
        <v>51.973347671970743</v>
      </c>
      <c r="AA127" s="170">
        <f t="shared" si="49"/>
        <v>1000000000</v>
      </c>
      <c r="AB127" s="170">
        <f t="shared" si="50"/>
        <v>45708416.640000001</v>
      </c>
      <c r="AD127" s="686">
        <f t="shared" si="51"/>
        <v>17.250029942756459</v>
      </c>
      <c r="AE127" s="687">
        <f t="shared" si="52"/>
        <v>-6.43736541560743</v>
      </c>
      <c r="AG127" s="686">
        <f t="shared" si="53"/>
        <v>47.95572059645734</v>
      </c>
      <c r="AH127" s="687">
        <f t="shared" si="54"/>
        <v>-48.597881748876468</v>
      </c>
      <c r="AJ127" s="170">
        <f t="shared" si="55"/>
        <v>0</v>
      </c>
      <c r="AK127" s="170">
        <f t="shared" si="65"/>
        <v>0</v>
      </c>
      <c r="AM127" s="170" t="str">
        <f t="shared" si="59"/>
        <v>0.436609273800652+0.826190589169697i</v>
      </c>
      <c r="AN127" s="170" t="str">
        <f t="shared" si="60"/>
        <v>0.972312193697766i</v>
      </c>
      <c r="AO127" s="170" t="str">
        <f t="shared" si="61"/>
        <v>0.849717399951183-0.449042269170974i</v>
      </c>
      <c r="AP127" s="170" t="str">
        <f t="shared" si="62"/>
        <v>0.093898454366558-0.137698431528283i</v>
      </c>
      <c r="AQ127" s="170" t="str">
        <f t="shared" si="63"/>
        <v>0.906101545633442+0.137698431528283i</v>
      </c>
      <c r="AR127" s="170" t="str">
        <f t="shared" si="64"/>
        <v>0.898571164330322-0.136554054610214i</v>
      </c>
    </row>
    <row r="128" spans="7:44">
      <c r="G128" s="688">
        <v>6839.55</v>
      </c>
      <c r="H128" s="676">
        <f t="shared" si="56"/>
        <v>6.83955</v>
      </c>
      <c r="I128" s="677">
        <f t="shared" si="34"/>
        <v>6.2695301880404726</v>
      </c>
      <c r="J128" s="678">
        <f t="shared" si="35"/>
        <v>1.4106105734350312</v>
      </c>
      <c r="K128" s="678">
        <f t="shared" si="36"/>
        <v>1.0000446910393448</v>
      </c>
      <c r="L128" s="679">
        <f t="shared" si="37"/>
        <v>9.4540335307919006E-3</v>
      </c>
      <c r="M128" s="678">
        <f t="shared" si="38"/>
        <v>1.003772435012892</v>
      </c>
      <c r="N128" s="679">
        <f t="shared" si="39"/>
        <v>-8.6725009965374827E-2</v>
      </c>
      <c r="O128" s="677">
        <f t="shared" si="40"/>
        <v>283629.45612462191</v>
      </c>
      <c r="P128" s="680">
        <f t="shared" si="41"/>
        <v>1.5707928010680074</v>
      </c>
      <c r="Q128" s="689">
        <f t="shared" si="42"/>
        <v>11.483345576963066</v>
      </c>
      <c r="R128" s="690">
        <f t="shared" si="43"/>
        <v>1.4836032502202963</v>
      </c>
      <c r="S128" s="677">
        <f t="shared" si="44"/>
        <v>1.0002985976732672</v>
      </c>
      <c r="T128" s="680">
        <f t="shared" si="45"/>
        <v>2.4434540786304523E-2</v>
      </c>
      <c r="U128" s="681">
        <f t="shared" si="57"/>
        <v>0.87106537372101644</v>
      </c>
      <c r="V128" s="682">
        <f t="shared" si="58"/>
        <v>-0.64351227299439906</v>
      </c>
      <c r="W128" s="683">
        <f t="shared" si="46"/>
        <v>5.00419528176689</v>
      </c>
      <c r="X128" s="684">
        <f t="shared" si="47"/>
        <v>-128.51546001982311</v>
      </c>
      <c r="Y128" s="687">
        <f t="shared" si="48"/>
        <v>51.484539980176891</v>
      </c>
      <c r="AA128" s="170">
        <f t="shared" si="49"/>
        <v>1000000000</v>
      </c>
      <c r="AB128" s="170">
        <f t="shared" si="50"/>
        <v>46779444.202500001</v>
      </c>
      <c r="AD128" s="686">
        <f t="shared" si="51"/>
        <v>17.249198950593041</v>
      </c>
      <c r="AE128" s="687">
        <f t="shared" si="52"/>
        <v>-6.3955893499186836</v>
      </c>
      <c r="AG128" s="686">
        <f t="shared" si="53"/>
        <v>47.882780828076825</v>
      </c>
      <c r="AH128" s="687">
        <f t="shared" si="54"/>
        <v>-48.378795970743909</v>
      </c>
      <c r="AJ128" s="170">
        <f t="shared" si="55"/>
        <v>0</v>
      </c>
      <c r="AK128" s="170">
        <f t="shared" si="65"/>
        <v>0</v>
      </c>
      <c r="AM128" s="170" t="str">
        <f t="shared" si="59"/>
        <v>0.446002244942858+0.832518160397506i</v>
      </c>
      <c r="AN128" s="170" t="str">
        <f t="shared" si="60"/>
        <v>0.983637715123292i</v>
      </c>
      <c r="AO128" s="170" t="str">
        <f t="shared" si="61"/>
        <v>0.846366652678782-0.453421252647836i</v>
      </c>
      <c r="AP128" s="170" t="str">
        <f t="shared" si="62"/>
        <v>0.0923329591761903-0.138753026732918i</v>
      </c>
      <c r="AQ128" s="170" t="str">
        <f t="shared" si="63"/>
        <v>0.90766704082381+0.138753026732918i</v>
      </c>
      <c r="AR128" s="170" t="str">
        <f t="shared" si="64"/>
        <v>0.896780939034028-0.137088892744662i</v>
      </c>
    </row>
    <row r="129" spans="7:44">
      <c r="G129" s="688">
        <v>6918.3</v>
      </c>
      <c r="H129" s="676">
        <f t="shared" si="56"/>
        <v>6.9183000000000003</v>
      </c>
      <c r="I129" s="677">
        <f t="shared" si="34"/>
        <v>6.3398907296711737</v>
      </c>
      <c r="J129" s="678">
        <f t="shared" si="35"/>
        <v>1.4124034302912383</v>
      </c>
      <c r="K129" s="678">
        <f t="shared" si="36"/>
        <v>1.0000457260780746</v>
      </c>
      <c r="L129" s="679">
        <f t="shared" si="37"/>
        <v>9.5628798745342712E-3</v>
      </c>
      <c r="M129" s="678">
        <f t="shared" si="38"/>
        <v>1.003859638151182</v>
      </c>
      <c r="N129" s="679">
        <f t="shared" si="39"/>
        <v>-8.7718468921560933E-2</v>
      </c>
      <c r="O129" s="677">
        <f t="shared" si="40"/>
        <v>286895.14168427681</v>
      </c>
      <c r="P129" s="680">
        <f t="shared" si="41"/>
        <v>1.5707928412008425</v>
      </c>
      <c r="Q129" s="689">
        <f t="shared" si="42"/>
        <v>11.61456684801157</v>
      </c>
      <c r="R129" s="690">
        <f t="shared" si="43"/>
        <v>1.4845908184259642</v>
      </c>
      <c r="S129" s="677">
        <f t="shared" si="44"/>
        <v>1.0003055122590376</v>
      </c>
      <c r="T129" s="680">
        <f t="shared" si="45"/>
        <v>2.4715764113612367E-2</v>
      </c>
      <c r="U129" s="681">
        <f t="shared" si="57"/>
        <v>0.86861533804513802</v>
      </c>
      <c r="V129" s="682">
        <f t="shared" si="58"/>
        <v>-0.65003003239429136</v>
      </c>
      <c r="W129" s="683">
        <f t="shared" si="46"/>
        <v>4.8827525974191239</v>
      </c>
      <c r="X129" s="684">
        <f t="shared" si="47"/>
        <v>-129.00183954523465</v>
      </c>
      <c r="Y129" s="687">
        <f t="shared" si="48"/>
        <v>50.998160454765355</v>
      </c>
      <c r="AA129" s="170">
        <f t="shared" si="49"/>
        <v>1000000000</v>
      </c>
      <c r="AB129" s="170">
        <f t="shared" si="50"/>
        <v>47862874.890000001</v>
      </c>
      <c r="AD129" s="686">
        <f t="shared" si="51"/>
        <v>17.248393341724132</v>
      </c>
      <c r="AE129" s="687">
        <f t="shared" si="52"/>
        <v>-6.3551210689038031</v>
      </c>
      <c r="AG129" s="686">
        <f t="shared" si="53"/>
        <v>47.811074003799455</v>
      </c>
      <c r="AH129" s="687">
        <f t="shared" si="54"/>
        <v>-48.158763565325771</v>
      </c>
      <c r="AJ129" s="170">
        <f t="shared" si="55"/>
        <v>0</v>
      </c>
      <c r="AK129" s="170">
        <f t="shared" si="65"/>
        <v>0</v>
      </c>
      <c r="AM129" s="170" t="str">
        <f t="shared" si="59"/>
        <v>0.455466275196861+0.838738947797239i</v>
      </c>
      <c r="AN129" s="170" t="str">
        <f t="shared" si="60"/>
        <v>0.994963236548819i</v>
      </c>
      <c r="AO129" s="170" t="str">
        <f t="shared" si="61"/>
        <v>0.842984863145831-0.4577719642956i</v>
      </c>
      <c r="AP129" s="170" t="str">
        <f t="shared" si="62"/>
        <v>0.0907556208005232-0.139789824632873i</v>
      </c>
      <c r="AQ129" s="170" t="str">
        <f t="shared" si="63"/>
        <v>0.909244379199477+0.139789824632873i</v>
      </c>
      <c r="AR129" s="170" t="str">
        <f t="shared" si="64"/>
        <v>0.8949905679775-0.137598403034177i</v>
      </c>
    </row>
    <row r="130" spans="7:44">
      <c r="G130" s="688">
        <v>6998.9</v>
      </c>
      <c r="H130" s="676">
        <f t="shared" si="56"/>
        <v>6.9988999999999999</v>
      </c>
      <c r="I130" s="677">
        <f t="shared" si="34"/>
        <v>6.411924819267651</v>
      </c>
      <c r="J130" s="678">
        <f t="shared" si="35"/>
        <v>1.4141976543357355</v>
      </c>
      <c r="K130" s="678">
        <f t="shared" si="36"/>
        <v>1.0000467977008152</v>
      </c>
      <c r="L130" s="679">
        <f t="shared" si="37"/>
        <v>9.6742830088269692E-3</v>
      </c>
      <c r="M130" s="678">
        <f t="shared" si="38"/>
        <v>1.0039499156464506</v>
      </c>
      <c r="N130" s="679">
        <f t="shared" si="39"/>
        <v>-8.873508653467535E-2</v>
      </c>
      <c r="O130" s="677">
        <f t="shared" si="40"/>
        <v>290237.54493644473</v>
      </c>
      <c r="P130" s="680">
        <f t="shared" si="41"/>
        <v>1.5707928813412761</v>
      </c>
      <c r="Q130" s="689">
        <f t="shared" si="42"/>
        <v>11.748882242258935</v>
      </c>
      <c r="R130" s="690">
        <f t="shared" si="43"/>
        <v>1.485578742258892</v>
      </c>
      <c r="S130" s="677">
        <f t="shared" si="44"/>
        <v>1.0003126712018091</v>
      </c>
      <c r="T130" s="680">
        <f t="shared" si="45"/>
        <v>2.5003589907845652E-2</v>
      </c>
      <c r="U130" s="681">
        <f t="shared" si="57"/>
        <v>0.86609874430367184</v>
      </c>
      <c r="V130" s="682">
        <f t="shared" si="58"/>
        <v>-0.65667570216420124</v>
      </c>
      <c r="W130" s="683">
        <f t="shared" si="46"/>
        <v>4.7594088605612006</v>
      </c>
      <c r="X130" s="684">
        <f t="shared" si="47"/>
        <v>-129.49716444711018</v>
      </c>
      <c r="Y130" s="687">
        <f t="shared" si="48"/>
        <v>50.50283555288982</v>
      </c>
      <c r="AA130" s="170">
        <f t="shared" si="49"/>
        <v>1000000000</v>
      </c>
      <c r="AB130" s="170">
        <f t="shared" si="50"/>
        <v>48984601.209999993</v>
      </c>
      <c r="AD130" s="686">
        <f t="shared" si="51"/>
        <v>17.247593882141501</v>
      </c>
      <c r="AE130" s="687">
        <f t="shared" si="52"/>
        <v>-6.3150107058728162</v>
      </c>
      <c r="AG130" s="686">
        <f t="shared" si="53"/>
        <v>47.738933123970249</v>
      </c>
      <c r="AH130" s="687">
        <f t="shared" si="54"/>
        <v>-47.932661169655098</v>
      </c>
      <c r="AJ130" s="170">
        <f t="shared" si="55"/>
        <v>0</v>
      </c>
      <c r="AK130" s="170">
        <f t="shared" si="65"/>
        <v>0</v>
      </c>
      <c r="AM130" s="170" t="str">
        <f t="shared" si="59"/>
        <v>0.465224950834605+0.844994465538177i</v>
      </c>
      <c r="AN130" s="170" t="str">
        <f t="shared" si="60"/>
        <v>1.00655481784275i</v>
      </c>
      <c r="AO130" s="170" t="str">
        <f t="shared" si="61"/>
        <v>0.839491750036198-0.462195344543356i</v>
      </c>
      <c r="AP130" s="170" t="str">
        <f t="shared" si="62"/>
        <v>0.0891291748608992-0.14083241092303i</v>
      </c>
      <c r="AQ130" s="170" t="str">
        <f t="shared" si="63"/>
        <v>0.910870825139101+0.14083241092303i</v>
      </c>
      <c r="AR130" s="170" t="str">
        <f t="shared" si="64"/>
        <v>0.893158381412405-0.138093838027155i</v>
      </c>
    </row>
    <row r="131" spans="7:44">
      <c r="G131" s="688">
        <v>7079.5</v>
      </c>
      <c r="H131" s="676">
        <f t="shared" si="56"/>
        <v>7.0795000000000003</v>
      </c>
      <c r="I131" s="677">
        <f t="shared" si="34"/>
        <v>6.4839790917141382</v>
      </c>
      <c r="J131" s="678">
        <f t="shared" si="35"/>
        <v>1.4159520067106464</v>
      </c>
      <c r="K131" s="678">
        <f t="shared" si="36"/>
        <v>1.0000478817347682</v>
      </c>
      <c r="L131" s="679">
        <f t="shared" si="37"/>
        <v>9.7856859029842539E-3</v>
      </c>
      <c r="M131" s="678">
        <f t="shared" si="38"/>
        <v>1.004041230548159</v>
      </c>
      <c r="N131" s="679">
        <f t="shared" si="39"/>
        <v>-8.975152028074615E-2</v>
      </c>
      <c r="O131" s="677">
        <f t="shared" si="40"/>
        <v>293579.94818861311</v>
      </c>
      <c r="P131" s="680">
        <f t="shared" si="41"/>
        <v>1.5707929205677134</v>
      </c>
      <c r="Q131" s="689">
        <f t="shared" si="42"/>
        <v>11.883208844114334</v>
      </c>
      <c r="R131" s="690">
        <f t="shared" si="43"/>
        <v>1.4865443322325571</v>
      </c>
      <c r="S131" s="677">
        <f t="shared" si="44"/>
        <v>1.000319913012981</v>
      </c>
      <c r="T131" s="680">
        <f t="shared" si="45"/>
        <v>2.5291411558495975E-2</v>
      </c>
      <c r="U131" s="681">
        <f t="shared" si="57"/>
        <v>0.86357346555696313</v>
      </c>
      <c r="V131" s="682">
        <f t="shared" si="58"/>
        <v>-0.66329588021527586</v>
      </c>
      <c r="W131" s="683">
        <f t="shared" si="46"/>
        <v>4.6370069405705552</v>
      </c>
      <c r="X131" s="684">
        <f t="shared" si="47"/>
        <v>-129.99001312774286</v>
      </c>
      <c r="Y131" s="687">
        <f t="shared" si="48"/>
        <v>50.009986872257144</v>
      </c>
      <c r="AA131" s="170">
        <f t="shared" si="49"/>
        <v>1000000000</v>
      </c>
      <c r="AB131" s="170">
        <f t="shared" si="50"/>
        <v>50119320.25</v>
      </c>
      <c r="AD131" s="686">
        <f t="shared" si="51"/>
        <v>17.246818623281051</v>
      </c>
      <c r="AE131" s="687">
        <f t="shared" si="52"/>
        <v>-6.276179688941335</v>
      </c>
      <c r="AG131" s="686">
        <f t="shared" si="53"/>
        <v>47.668031237068966</v>
      </c>
      <c r="AH131" s="687">
        <f t="shared" si="54"/>
        <v>-47.705724342448988</v>
      </c>
      <c r="AJ131" s="170">
        <f t="shared" si="55"/>
        <v>0</v>
      </c>
      <c r="AK131" s="170">
        <f t="shared" si="65"/>
        <v>0</v>
      </c>
      <c r="AM131" s="170" t="str">
        <f t="shared" si="59"/>
        <v>0.47505548058727+0.851136447074462i</v>
      </c>
      <c r="AN131" s="170" t="str">
        <f t="shared" si="60"/>
        <v>1.01814639913669i</v>
      </c>
      <c r="AO131" s="170" t="str">
        <f t="shared" si="61"/>
        <v>0.835966662354412-0.466588578017936i</v>
      </c>
      <c r="AP131" s="170" t="str">
        <f t="shared" si="62"/>
        <v>0.087490753235455-0.14185607451241i</v>
      </c>
      <c r="AQ131" s="170" t="str">
        <f t="shared" si="63"/>
        <v>0.912509246764545+0.14185607451241i</v>
      </c>
      <c r="AR131" s="170" t="str">
        <f t="shared" si="64"/>
        <v>0.891326836349812-0.138563117645618i</v>
      </c>
    </row>
    <row r="132" spans="7:44">
      <c r="G132" s="688">
        <v>7161.95</v>
      </c>
      <c r="H132" s="676">
        <f t="shared" si="56"/>
        <v>7.16195</v>
      </c>
      <c r="I132" s="677">
        <f t="shared" si="34"/>
        <v>6.5577074047355133</v>
      </c>
      <c r="J132" s="678">
        <f t="shared" si="35"/>
        <v>1.4177067307818394</v>
      </c>
      <c r="K132" s="678">
        <f t="shared" si="36"/>
        <v>1.0000490034921428</v>
      </c>
      <c r="L132" s="679">
        <f t="shared" si="37"/>
        <v>9.8996455601130066E-3</v>
      </c>
      <c r="M132" s="678">
        <f t="shared" si="38"/>
        <v>1.0041357144892047</v>
      </c>
      <c r="N132" s="679">
        <f t="shared" si="39"/>
        <v>-9.0791091698789086E-2</v>
      </c>
      <c r="O132" s="677">
        <f t="shared" si="40"/>
        <v>296999.06913329457</v>
      </c>
      <c r="P132" s="680">
        <f t="shared" si="41"/>
        <v>1.5707929597809767</v>
      </c>
      <c r="Q132" s="689">
        <f t="shared" si="42"/>
        <v>12.020629829493132</v>
      </c>
      <c r="R132" s="690">
        <f t="shared" si="43"/>
        <v>1.487509755348339</v>
      </c>
      <c r="S132" s="677">
        <f t="shared" si="44"/>
        <v>1.0003274067858368</v>
      </c>
      <c r="T132" s="680">
        <f t="shared" si="45"/>
        <v>2.5585835200396423E-2</v>
      </c>
      <c r="U132" s="681">
        <f t="shared" si="57"/>
        <v>0.86098167448122342</v>
      </c>
      <c r="V132" s="682">
        <f t="shared" si="58"/>
        <v>-0.67004164632424679</v>
      </c>
      <c r="W132" s="683">
        <f t="shared" si="46"/>
        <v>4.5127486261041181</v>
      </c>
      <c r="X132" s="684">
        <f t="shared" si="47"/>
        <v>-130.49164579564547</v>
      </c>
      <c r="Y132" s="687">
        <f t="shared" si="48"/>
        <v>49.508354204354532</v>
      </c>
      <c r="AA132" s="170">
        <f t="shared" si="49"/>
        <v>1000000000</v>
      </c>
      <c r="AB132" s="170">
        <f t="shared" si="50"/>
        <v>51293527.802499995</v>
      </c>
      <c r="AD132" s="686">
        <f t="shared" si="51"/>
        <v>17.246049454239166</v>
      </c>
      <c r="AE132" s="687">
        <f t="shared" si="52"/>
        <v>-6.2377364977429934</v>
      </c>
      <c r="AG132" s="686">
        <f t="shared" si="53"/>
        <v>47.596757361947965</v>
      </c>
      <c r="AH132" s="687">
        <f t="shared" si="54"/>
        <v>-47.472792345413829</v>
      </c>
      <c r="AJ132" s="170">
        <f t="shared" si="55"/>
        <v>0</v>
      </c>
      <c r="AK132" s="170">
        <f t="shared" si="65"/>
        <v>0</v>
      </c>
      <c r="AM132" s="170" t="str">
        <f t="shared" si="59"/>
        <v>0.485184618778521+0.857301069203686i</v>
      </c>
      <c r="AN132" s="170" t="str">
        <f t="shared" si="60"/>
        <v>1.03000404029903i</v>
      </c>
      <c r="AO132" s="170" t="str">
        <f t="shared" si="61"/>
        <v>0.832327870242912-0.471051180185335i</v>
      </c>
      <c r="AP132" s="170" t="str">
        <f t="shared" si="62"/>
        <v>0.0858025635369132-0.142883511533948i</v>
      </c>
      <c r="AQ132" s="170" t="str">
        <f t="shared" si="63"/>
        <v>0.914197436463087+0.142883511533948i</v>
      </c>
      <c r="AR132" s="170" t="str">
        <f t="shared" si="64"/>
        <v>0.889454322031448-0.13901631290128i</v>
      </c>
    </row>
    <row r="133" spans="7:44">
      <c r="G133" s="688">
        <v>7244.4</v>
      </c>
      <c r="H133" s="676">
        <f t="shared" si="56"/>
        <v>7.2443999999999997</v>
      </c>
      <c r="I133" s="677">
        <f t="shared" si="34"/>
        <v>6.6314554602950624</v>
      </c>
      <c r="J133" s="678">
        <f t="shared" si="35"/>
        <v>1.4194224316563548</v>
      </c>
      <c r="K133" s="678">
        <f t="shared" si="36"/>
        <v>1.0000501382369278</v>
      </c>
      <c r="L133" s="679">
        <f t="shared" si="37"/>
        <v>1.0013604960104441E-2</v>
      </c>
      <c r="M133" s="678">
        <f t="shared" si="38"/>
        <v>1.0042312834036029</v>
      </c>
      <c r="N133" s="679">
        <f t="shared" si="39"/>
        <v>-9.1830466375711892E-2</v>
      </c>
      <c r="O133" s="677">
        <f t="shared" si="40"/>
        <v>300418.19007797632</v>
      </c>
      <c r="P133" s="680">
        <f t="shared" si="41"/>
        <v>1.5707929981016515</v>
      </c>
      <c r="Q133" s="689">
        <f t="shared" si="42"/>
        <v>12.15806176532671</v>
      </c>
      <c r="R133" s="690">
        <f t="shared" si="43"/>
        <v>1.488453353485077</v>
      </c>
      <c r="S133" s="677">
        <f t="shared" si="44"/>
        <v>1.0003349872710512</v>
      </c>
      <c r="T133" s="680">
        <f t="shared" si="45"/>
        <v>2.5880254405565035E-2</v>
      </c>
      <c r="U133" s="681">
        <f t="shared" si="57"/>
        <v>0.85838167462826276</v>
      </c>
      <c r="V133" s="682">
        <f t="shared" si="58"/>
        <v>-0.67676076755392334</v>
      </c>
      <c r="W133" s="683">
        <f t="shared" si="46"/>
        <v>4.3894331522548766</v>
      </c>
      <c r="X133" s="684">
        <f t="shared" si="47"/>
        <v>-130.99075487607996</v>
      </c>
      <c r="Y133" s="687">
        <f t="shared" si="48"/>
        <v>49.009245123920039</v>
      </c>
      <c r="AA133" s="170">
        <f t="shared" si="49"/>
        <v>1000000000</v>
      </c>
      <c r="AB133" s="170">
        <f t="shared" si="50"/>
        <v>52481331.359999992</v>
      </c>
      <c r="AD133" s="686">
        <f t="shared" si="51"/>
        <v>17.24530332779123</v>
      </c>
      <c r="AE133" s="687">
        <f t="shared" si="52"/>
        <v>-6.2005434803856891</v>
      </c>
      <c r="AG133" s="686">
        <f t="shared" si="53"/>
        <v>47.526726831329881</v>
      </c>
      <c r="AH133" s="687">
        <f t="shared" si="54"/>
        <v>-47.23913986533136</v>
      </c>
      <c r="AJ133" s="170">
        <f t="shared" si="55"/>
        <v>0</v>
      </c>
      <c r="AK133" s="170">
        <f t="shared" si="65"/>
        <v>0</v>
      </c>
      <c r="AM133" s="170" t="str">
        <f t="shared" si="59"/>
        <v>0.495386141045354+0.863345153082416i</v>
      </c>
      <c r="AN133" s="170" t="str">
        <f t="shared" si="60"/>
        <v>1.04186168146138i</v>
      </c>
      <c r="AO133" s="170" t="str">
        <f t="shared" si="61"/>
        <v>0.828656210747126-0.475481678480098i</v>
      </c>
      <c r="AP133" s="170" t="str">
        <f t="shared" si="62"/>
        <v>0.0841023098257743-0.143890858847069i</v>
      </c>
      <c r="AQ133" s="170" t="str">
        <f t="shared" si="63"/>
        <v>0.915897690174226+0.143890858847069i</v>
      </c>
      <c r="AR133" s="170" t="str">
        <f t="shared" si="64"/>
        <v>0.887583294920769-0.139442564354722i</v>
      </c>
    </row>
    <row r="134" spans="7:44">
      <c r="G134" s="688">
        <v>7328.75</v>
      </c>
      <c r="H134" s="676">
        <f t="shared" si="56"/>
        <v>7.3287500000000003</v>
      </c>
      <c r="I134" s="677">
        <f t="shared" si="34"/>
        <v>6.7069227369946516</v>
      </c>
      <c r="J134" s="678">
        <f t="shared" si="35"/>
        <v>1.4211386191449373</v>
      </c>
      <c r="K134" s="678">
        <f t="shared" si="36"/>
        <v>1.0000513125708184</v>
      </c>
      <c r="L134" s="679">
        <f t="shared" si="37"/>
        <v>1.0130190202013771E-2</v>
      </c>
      <c r="M134" s="678">
        <f t="shared" si="38"/>
        <v>1.0043301770758575</v>
      </c>
      <c r="N134" s="679">
        <f t="shared" si="39"/>
        <v>-9.289358680572897E-2</v>
      </c>
      <c r="O134" s="677">
        <f t="shared" si="40"/>
        <v>303916.1021663202</v>
      </c>
      <c r="P134" s="680">
        <f t="shared" si="41"/>
        <v>1.5707930364131337</v>
      </c>
      <c r="Q134" s="689">
        <f t="shared" si="42"/>
        <v>12.298671668770229</v>
      </c>
      <c r="R134" s="690">
        <f t="shared" si="43"/>
        <v>1.4893968721968585</v>
      </c>
      <c r="S134" s="677">
        <f t="shared" si="44"/>
        <v>1.0003428321736691</v>
      </c>
      <c r="T134" s="680">
        <f t="shared" si="45"/>
        <v>2.6181453641779491E-2</v>
      </c>
      <c r="U134" s="681">
        <f t="shared" si="57"/>
        <v>0.85571371847190181</v>
      </c>
      <c r="V134" s="682">
        <f t="shared" si="58"/>
        <v>-0.68360717813515171</v>
      </c>
      <c r="W134" s="683">
        <f t="shared" si="46"/>
        <v>4.2642303066167537</v>
      </c>
      <c r="X134" s="684">
        <f t="shared" si="47"/>
        <v>-131.4987880792039</v>
      </c>
      <c r="Y134" s="687">
        <f t="shared" si="48"/>
        <v>48.501211920796095</v>
      </c>
      <c r="AA134" s="170">
        <f t="shared" si="49"/>
        <v>1000000000</v>
      </c>
      <c r="AB134" s="170">
        <f t="shared" si="50"/>
        <v>53710576.5625</v>
      </c>
      <c r="AD134" s="686">
        <f t="shared" si="51"/>
        <v>17.244562748605166</v>
      </c>
      <c r="AE134" s="687">
        <f t="shared" si="52"/>
        <v>-6.1637434803808357</v>
      </c>
      <c r="AG134" s="686">
        <f t="shared" si="53"/>
        <v>47.456342281999824</v>
      </c>
      <c r="AH134" s="687">
        <f t="shared" si="54"/>
        <v>-46.999432205327494</v>
      </c>
      <c r="AJ134" s="170">
        <f t="shared" si="55"/>
        <v>0</v>
      </c>
      <c r="AK134" s="170">
        <f t="shared" si="65"/>
        <v>0</v>
      </c>
      <c r="AM134" s="170" t="str">
        <f t="shared" si="59"/>
        <v>0.505896159512577+0.869402895564294i</v>
      </c>
      <c r="AN134" s="170" t="str">
        <f t="shared" si="60"/>
        <v>1.05399257329939i</v>
      </c>
      <c r="AO134" s="170" t="str">
        <f t="shared" si="61"/>
        <v>0.824866244401266-0.479980762984822i</v>
      </c>
      <c r="AP134" s="170" t="str">
        <f t="shared" si="62"/>
        <v>0.0823506400812372-0.144900482594049i</v>
      </c>
      <c r="AQ134" s="170" t="str">
        <f t="shared" si="63"/>
        <v>0.917649359918763+0.144900482594049i</v>
      </c>
      <c r="AR134" s="170" t="str">
        <f t="shared" si="64"/>
        <v>0.88567110670304-0.139850989262649i</v>
      </c>
    </row>
    <row r="135" spans="7:44">
      <c r="G135" s="688">
        <v>7413.1</v>
      </c>
      <c r="H135" s="676">
        <f t="shared" si="56"/>
        <v>7.4131</v>
      </c>
      <c r="I135" s="677">
        <f t="shared" si="34"/>
        <v>6.7824093279571489</v>
      </c>
      <c r="J135" s="678">
        <f t="shared" si="35"/>
        <v>1.4228166099732447</v>
      </c>
      <c r="K135" s="678">
        <f t="shared" si="36"/>
        <v>1.0000525004974929</v>
      </c>
      <c r="L135" s="679">
        <f t="shared" si="37"/>
        <v>1.0246775168532837E-2</v>
      </c>
      <c r="M135" s="678">
        <f t="shared" si="38"/>
        <v>1.004430205642965</v>
      </c>
      <c r="N135" s="679">
        <f t="shared" si="39"/>
        <v>-9.3956496690130148E-2</v>
      </c>
      <c r="O135" s="677">
        <f t="shared" si="40"/>
        <v>307414.01425466448</v>
      </c>
      <c r="P135" s="680">
        <f t="shared" si="41"/>
        <v>1.5707930738527611</v>
      </c>
      <c r="Q135" s="689">
        <f t="shared" si="42"/>
        <v>12.439292273305069</v>
      </c>
      <c r="R135" s="690">
        <f t="shared" si="43"/>
        <v>1.4903190596048277</v>
      </c>
      <c r="S135" s="677">
        <f t="shared" si="44"/>
        <v>1.0003507678269408</v>
      </c>
      <c r="T135" s="680">
        <f t="shared" si="45"/>
        <v>2.6482648126569069E-2</v>
      </c>
      <c r="U135" s="681">
        <f t="shared" si="57"/>
        <v>0.85303808449658713</v>
      </c>
      <c r="V135" s="682">
        <f t="shared" si="58"/>
        <v>-0.69042575863769251</v>
      </c>
      <c r="W135" s="683">
        <f t="shared" si="46"/>
        <v>4.139971697391073</v>
      </c>
      <c r="X135" s="684">
        <f t="shared" si="47"/>
        <v>-132.00424805274056</v>
      </c>
      <c r="Y135" s="687">
        <f t="shared" si="48"/>
        <v>47.995751947259436</v>
      </c>
      <c r="AA135" s="170">
        <f t="shared" si="49"/>
        <v>1000000000</v>
      </c>
      <c r="AB135" s="170">
        <f t="shared" si="50"/>
        <v>54954051.610000007</v>
      </c>
      <c r="AD135" s="686">
        <f t="shared" si="51"/>
        <v>17.243844107082197</v>
      </c>
      <c r="AE135" s="687">
        <f t="shared" si="52"/>
        <v>-6.1281653518671275</v>
      </c>
      <c r="AG135" s="686">
        <f t="shared" si="53"/>
        <v>47.387205254209249</v>
      </c>
      <c r="AH135" s="687">
        <f t="shared" si="54"/>
        <v>-46.75911853635349</v>
      </c>
      <c r="AJ135" s="170">
        <f t="shared" si="55"/>
        <v>0</v>
      </c>
      <c r="AK135" s="170">
        <f t="shared" si="65"/>
        <v>0</v>
      </c>
      <c r="AM135" s="170" t="str">
        <f t="shared" si="59"/>
        <v>0.516478888686312+0.875332699557132i</v>
      </c>
      <c r="AN135" s="170" t="str">
        <f t="shared" si="60"/>
        <v>1.0661234651374i</v>
      </c>
      <c r="AO135" s="170" t="str">
        <f t="shared" si="61"/>
        <v>0.821042522916725-0.484445662791738i</v>
      </c>
      <c r="AP135" s="170" t="str">
        <f t="shared" si="62"/>
        <v>0.0805868518856147-0.145888783259522i</v>
      </c>
      <c r="AQ135" s="170" t="str">
        <f t="shared" si="63"/>
        <v>0.919413148114385+0.145888783259522i</v>
      </c>
      <c r="AR135" s="170" t="str">
        <f t="shared" si="64"/>
        <v>0.883761310789194-0.140231692996015i</v>
      </c>
    </row>
    <row r="136" spans="7:44">
      <c r="G136" s="688">
        <v>7499.45</v>
      </c>
      <c r="H136" s="676">
        <f t="shared" si="56"/>
        <v>7.4994499999999995</v>
      </c>
      <c r="I136" s="677">
        <f t="shared" si="34"/>
        <v>6.859705101953228</v>
      </c>
      <c r="J136" s="678">
        <f t="shared" si="35"/>
        <v>1.4244961281003572</v>
      </c>
      <c r="K136" s="678">
        <f t="shared" si="36"/>
        <v>1.0000537306707715</v>
      </c>
      <c r="L136" s="679">
        <f t="shared" si="37"/>
        <v>1.0366124161040728E-2</v>
      </c>
      <c r="M136" s="678">
        <f t="shared" si="38"/>
        <v>1.0045337811839969</v>
      </c>
      <c r="N136" s="679">
        <f t="shared" si="39"/>
        <v>-9.5044388408380018E-2</v>
      </c>
      <c r="O136" s="677">
        <f t="shared" si="40"/>
        <v>310994.86438896874</v>
      </c>
      <c r="P136" s="680">
        <f t="shared" si="41"/>
        <v>1.5707931113077149</v>
      </c>
      <c r="Q136" s="689">
        <f t="shared" si="42"/>
        <v>12.583257805037162</v>
      </c>
      <c r="R136" s="690">
        <f t="shared" si="43"/>
        <v>1.4912417618044482</v>
      </c>
      <c r="S136" s="677">
        <f t="shared" si="44"/>
        <v>1.0003589856418926</v>
      </c>
      <c r="T136" s="680">
        <f t="shared" si="45"/>
        <v>2.6790979173510091E-2</v>
      </c>
      <c r="U136" s="681">
        <f t="shared" si="57"/>
        <v>0.85029152715774881</v>
      </c>
      <c r="V136" s="682">
        <f t="shared" si="58"/>
        <v>-0.69737722447081141</v>
      </c>
      <c r="W136" s="683">
        <f t="shared" si="46"/>
        <v>4.0137236250740873</v>
      </c>
      <c r="X136" s="684">
        <f t="shared" si="47"/>
        <v>-132.51906168966596</v>
      </c>
      <c r="Y136" s="687">
        <f t="shared" si="48"/>
        <v>47.480938310334039</v>
      </c>
      <c r="AA136" s="170">
        <f t="shared" si="49"/>
        <v>1000000000</v>
      </c>
      <c r="AB136" s="170">
        <f t="shared" si="50"/>
        <v>56241750.302499995</v>
      </c>
      <c r="AD136" s="686">
        <f t="shared" si="51"/>
        <v>17.243130094471159</v>
      </c>
      <c r="AE136" s="687">
        <f t="shared" si="52"/>
        <v>-6.0929666237345668</v>
      </c>
      <c r="AG136" s="686">
        <f t="shared" si="53"/>
        <v>47.317693973517635</v>
      </c>
      <c r="AH136" s="687">
        <f t="shared" si="54"/>
        <v>-46.512551593167018</v>
      </c>
      <c r="AJ136" s="170">
        <f t="shared" si="55"/>
        <v>0</v>
      </c>
      <c r="AK136" s="170">
        <f t="shared" si="65"/>
        <v>0</v>
      </c>
      <c r="AM136" s="170" t="str">
        <f t="shared" si="59"/>
        <v>0.527386233305833+0.881269667883306i</v>
      </c>
      <c r="AN136" s="170" t="str">
        <f t="shared" si="60"/>
        <v>1.07854198926558i</v>
      </c>
      <c r="AO136" s="170" t="str">
        <f t="shared" si="61"/>
        <v>0.817093517595356-0.488980715219952i</v>
      </c>
      <c r="AP136" s="170" t="str">
        <f t="shared" si="62"/>
        <v>0.0787689611156945-0.146878277980551i</v>
      </c>
      <c r="AQ136" s="170" t="str">
        <f t="shared" si="63"/>
        <v>0.921231038884305+0.146878277980551i</v>
      </c>
      <c r="AR136" s="170" t="str">
        <f t="shared" si="64"/>
        <v>0.881809136297046-0.140592969602594i</v>
      </c>
    </row>
    <row r="137" spans="7:44">
      <c r="G137" s="688">
        <v>7585.8</v>
      </c>
      <c r="H137" s="676">
        <f t="shared" si="56"/>
        <v>7.5857999999999999</v>
      </c>
      <c r="I137" s="677">
        <f t="shared" si="34"/>
        <v>6.9370197944358276</v>
      </c>
      <c r="J137" s="678">
        <f t="shared" si="35"/>
        <v>1.4261382135366538</v>
      </c>
      <c r="K137" s="678">
        <f t="shared" si="36"/>
        <v>1.0000549750889625</v>
      </c>
      <c r="L137" s="679">
        <f t="shared" si="37"/>
        <v>1.0485472858224857E-2</v>
      </c>
      <c r="M137" s="678">
        <f t="shared" si="38"/>
        <v>1.0046385453532272</v>
      </c>
      <c r="N137" s="679">
        <f t="shared" si="39"/>
        <v>-9.6132054521972571E-2</v>
      </c>
      <c r="O137" s="677">
        <f t="shared" si="40"/>
        <v>314575.71452327352</v>
      </c>
      <c r="P137" s="680">
        <f t="shared" si="41"/>
        <v>1.5707931479099611</v>
      </c>
      <c r="Q137" s="689">
        <f t="shared" si="42"/>
        <v>12.727233807524401</v>
      </c>
      <c r="R137" s="690">
        <f t="shared" si="43"/>
        <v>1.4921435887405305</v>
      </c>
      <c r="S137" s="677">
        <f t="shared" si="44"/>
        <v>1.0003672985574392</v>
      </c>
      <c r="T137" s="680">
        <f t="shared" si="45"/>
        <v>2.7099305125384922E-2</v>
      </c>
      <c r="U137" s="681">
        <f t="shared" si="57"/>
        <v>0.84753787220087717</v>
      </c>
      <c r="V137" s="682">
        <f t="shared" si="58"/>
        <v>-0.70429961144772302</v>
      </c>
      <c r="W137" s="683">
        <f t="shared" si="46"/>
        <v>3.8884226287389412</v>
      </c>
      <c r="X137" s="684">
        <f t="shared" si="47"/>
        <v>-133.03124731009578</v>
      </c>
      <c r="Y137" s="687">
        <f t="shared" si="48"/>
        <v>46.968752689904221</v>
      </c>
      <c r="AA137" s="170">
        <f t="shared" si="49"/>
        <v>1000000000</v>
      </c>
      <c r="AB137" s="170">
        <f t="shared" si="50"/>
        <v>57544361.640000001</v>
      </c>
      <c r="AD137" s="686">
        <f t="shared" si="51"/>
        <v>17.242436987614578</v>
      </c>
      <c r="AE137" s="687">
        <f t="shared" si="52"/>
        <v>-6.0589636193179848</v>
      </c>
      <c r="AG137" s="686">
        <f t="shared" si="53"/>
        <v>47.249435594861438</v>
      </c>
      <c r="AH137" s="687">
        <f t="shared" si="54"/>
        <v>-46.26549310124026</v>
      </c>
      <c r="AJ137" s="170">
        <f t="shared" si="55"/>
        <v>0</v>
      </c>
      <c r="AK137" s="170">
        <f t="shared" si="65"/>
        <v>0</v>
      </c>
      <c r="AM137" s="170" t="str">
        <f t="shared" si="59"/>
        <v>0.538366463361589+0.887070728775735i</v>
      </c>
      <c r="AN137" s="170" t="str">
        <f t="shared" si="60"/>
        <v>1.09096051339376i</v>
      </c>
      <c r="AO137" s="170" t="str">
        <f t="shared" si="61"/>
        <v>0.813109840260153-0.493479330142608i</v>
      </c>
      <c r="AP137" s="170" t="str">
        <f t="shared" si="62"/>
        <v>0.0769389227730685-0.147845121462622i</v>
      </c>
      <c r="AQ137" s="170" t="str">
        <f t="shared" si="63"/>
        <v>0.923061077226932+0.147845121462622i</v>
      </c>
      <c r="AR137" s="170" t="str">
        <f t="shared" si="64"/>
        <v>0.879860323786159-0.140925730322313i</v>
      </c>
    </row>
    <row r="138" spans="7:44">
      <c r="G138" s="688">
        <v>7674.15</v>
      </c>
      <c r="H138" s="676">
        <f t="shared" si="56"/>
        <v>7.67415</v>
      </c>
      <c r="I138" s="677">
        <f t="shared" si="34"/>
        <v>7.0161441436944498</v>
      </c>
      <c r="J138" s="678">
        <f t="shared" si="35"/>
        <v>1.4277808705959727</v>
      </c>
      <c r="K138" s="678">
        <f t="shared" si="36"/>
        <v>1.0000562630733889</v>
      </c>
      <c r="L138" s="679">
        <f t="shared" si="37"/>
        <v>1.0607585547235645E-2</v>
      </c>
      <c r="M138" s="678">
        <f t="shared" si="38"/>
        <v>1.0047469658780999</v>
      </c>
      <c r="N138" s="679">
        <f t="shared" si="39"/>
        <v>-9.724467655735064E-2</v>
      </c>
      <c r="O138" s="677">
        <f t="shared" si="40"/>
        <v>318239.50270353816</v>
      </c>
      <c r="P138" s="680">
        <f t="shared" si="41"/>
        <v>1.5707931845074323</v>
      </c>
      <c r="Q138" s="689">
        <f t="shared" si="42"/>
        <v>12.874554988607956</v>
      </c>
      <c r="R138" s="690">
        <f t="shared" si="43"/>
        <v>1.4930454262253223</v>
      </c>
      <c r="S138" s="677">
        <f t="shared" si="44"/>
        <v>1.0003759024406567</v>
      </c>
      <c r="T138" s="680">
        <f t="shared" si="45"/>
        <v>2.7414767050315991E-2</v>
      </c>
      <c r="U138" s="681">
        <f t="shared" si="57"/>
        <v>0.84471357997759999</v>
      </c>
      <c r="V138" s="682">
        <f t="shared" si="58"/>
        <v>-0.71135229029219438</v>
      </c>
      <c r="W138" s="683">
        <f t="shared" si="46"/>
        <v>3.7611784796278247</v>
      </c>
      <c r="X138" s="684">
        <f t="shared" si="47"/>
        <v>-133.55261061663339</v>
      </c>
      <c r="Y138" s="687">
        <f t="shared" si="48"/>
        <v>46.447389383366612</v>
      </c>
      <c r="AA138" s="170">
        <f t="shared" si="49"/>
        <v>1000000000</v>
      </c>
      <c r="AB138" s="170">
        <f t="shared" si="50"/>
        <v>58892578.222499996</v>
      </c>
      <c r="AD138" s="686">
        <f t="shared" si="51"/>
        <v>17.241748455901256</v>
      </c>
      <c r="AE138" s="687">
        <f t="shared" si="52"/>
        <v>-6.0253688713706008</v>
      </c>
      <c r="AG138" s="686">
        <f t="shared" si="53"/>
        <v>47.180865481455413</v>
      </c>
      <c r="AH138" s="687">
        <f t="shared" si="54"/>
        <v>-46.012273690702955</v>
      </c>
      <c r="AJ138" s="170">
        <f t="shared" si="55"/>
        <v>0</v>
      </c>
      <c r="AK138" s="170">
        <f t="shared" si="65"/>
        <v>0</v>
      </c>
      <c r="AM138" s="170" t="str">
        <f t="shared" si="59"/>
        <v>0.549674683551415+0.892864552642495i</v>
      </c>
      <c r="AN138" s="170" t="str">
        <f t="shared" si="60"/>
        <v>1.10366666981211i</v>
      </c>
      <c r="AO138" s="170" t="str">
        <f t="shared" si="61"/>
        <v>0.808998384262612-0.498044109318797i</v>
      </c>
      <c r="AP138" s="170" t="str">
        <f t="shared" si="62"/>
        <v>0.0750542194080975-0.148810758773749i</v>
      </c>
      <c r="AQ138" s="170" t="str">
        <f t="shared" si="63"/>
        <v>0.924945780591902+0.148810758773749i</v>
      </c>
      <c r="AR138" s="170" t="str">
        <f t="shared" si="64"/>
        <v>0.877870287851973-0.141236974513882i</v>
      </c>
    </row>
    <row r="139" spans="7:44">
      <c r="G139" s="688">
        <v>7762.5</v>
      </c>
      <c r="H139" s="676">
        <f t="shared" si="56"/>
        <v>7.7625000000000002</v>
      </c>
      <c r="I139" s="677">
        <f t="shared" si="34"/>
        <v>7.0952870024982371</v>
      </c>
      <c r="J139" s="678">
        <f t="shared" si="35"/>
        <v>1.4293868865761414</v>
      </c>
      <c r="K139" s="678">
        <f t="shared" si="36"/>
        <v>1.0000575659701245</v>
      </c>
      <c r="L139" s="679">
        <f t="shared" si="37"/>
        <v>1.0729697919885175E-2</v>
      </c>
      <c r="M139" s="678">
        <f t="shared" si="38"/>
        <v>1.0048566299378647</v>
      </c>
      <c r="N139" s="679">
        <f t="shared" si="39"/>
        <v>-9.8357057119659516E-2</v>
      </c>
      <c r="O139" s="677">
        <f t="shared" si="40"/>
        <v>321903.29088380327</v>
      </c>
      <c r="P139" s="680">
        <f t="shared" si="41"/>
        <v>1.5707932202718249</v>
      </c>
      <c r="Q139" s="689">
        <f t="shared" si="42"/>
        <v>13.0218864037773</v>
      </c>
      <c r="R139" s="690">
        <f t="shared" si="43"/>
        <v>1.4939268573866622</v>
      </c>
      <c r="S139" s="677">
        <f t="shared" si="44"/>
        <v>1.0003846058757904</v>
      </c>
      <c r="T139" s="680">
        <f t="shared" si="45"/>
        <v>2.773022351754598E-2</v>
      </c>
      <c r="U139" s="681">
        <f t="shared" si="57"/>
        <v>0.8418828391684956</v>
      </c>
      <c r="V139" s="682">
        <f t="shared" si="58"/>
        <v>-0.71837464708325338</v>
      </c>
      <c r="W139" s="683">
        <f t="shared" si="46"/>
        <v>3.6348834647043962</v>
      </c>
      <c r="X139" s="684">
        <f t="shared" si="47"/>
        <v>-134.07129223680158</v>
      </c>
      <c r="Y139" s="687">
        <f t="shared" si="48"/>
        <v>45.928707763198418</v>
      </c>
      <c r="AA139" s="170">
        <f t="shared" si="49"/>
        <v>1000000000</v>
      </c>
      <c r="AB139" s="170">
        <f t="shared" si="50"/>
        <v>60256406.25</v>
      </c>
      <c r="AD139" s="686">
        <f t="shared" si="51"/>
        <v>17.24107981764206</v>
      </c>
      <c r="AE139" s="687">
        <f t="shared" si="52"/>
        <v>-5.9929429591985999</v>
      </c>
      <c r="AG139" s="686">
        <f t="shared" si="53"/>
        <v>47.113551870239888</v>
      </c>
      <c r="AH139" s="687">
        <f t="shared" si="54"/>
        <v>-45.758678409398243</v>
      </c>
      <c r="AJ139" s="170">
        <f t="shared" si="55"/>
        <v>0</v>
      </c>
      <c r="AK139" s="170">
        <f t="shared" si="65"/>
        <v>0</v>
      </c>
      <c r="AM139" s="170" t="str">
        <f t="shared" si="59"/>
        <v>0.561055606169195+0.898514228671147i</v>
      </c>
      <c r="AN139" s="170" t="str">
        <f t="shared" si="60"/>
        <v>1.11637282623046i</v>
      </c>
      <c r="AO139" s="170" t="str">
        <f t="shared" si="61"/>
        <v>0.804851396916446-0.502570102914143i</v>
      </c>
      <c r="AP139" s="170" t="str">
        <f t="shared" si="62"/>
        <v>0.0731573989718008-0.149752371445191i</v>
      </c>
      <c r="AQ139" s="170" t="str">
        <f t="shared" si="63"/>
        <v>0.926842601028199+0.149752371445191i</v>
      </c>
      <c r="AR139" s="170" t="str">
        <f t="shared" si="64"/>
        <v>0.875884642145417-0.141518961394512i</v>
      </c>
    </row>
    <row r="140" spans="7:44">
      <c r="G140" s="688">
        <v>7852.9</v>
      </c>
      <c r="H140" s="676">
        <f t="shared" si="56"/>
        <v>7.8529</v>
      </c>
      <c r="I140" s="677">
        <f t="shared" si="34"/>
        <v>7.1762847464210484</v>
      </c>
      <c r="J140" s="678">
        <f t="shared" si="35"/>
        <v>1.4309934969957216</v>
      </c>
      <c r="K140" s="678">
        <f t="shared" si="36"/>
        <v>1.0000589145334755</v>
      </c>
      <c r="L140" s="679">
        <f t="shared" si="37"/>
        <v>1.0854643355325716E-2</v>
      </c>
      <c r="M140" s="678">
        <f t="shared" si="38"/>
        <v>1.0049701252772796</v>
      </c>
      <c r="N140" s="679">
        <f t="shared" si="39"/>
        <v>-9.9494995705361786E-2</v>
      </c>
      <c r="O140" s="677">
        <f t="shared" si="40"/>
        <v>325652.09056117741</v>
      </c>
      <c r="P140" s="680">
        <f t="shared" si="41"/>
        <v>1.5707932560330959</v>
      </c>
      <c r="Q140" s="689">
        <f t="shared" si="42"/>
        <v>13.17264660955148</v>
      </c>
      <c r="R140" s="690">
        <f t="shared" si="43"/>
        <v>1.4948083312963303</v>
      </c>
      <c r="S140" s="677">
        <f t="shared" si="44"/>
        <v>1.0003936142990866</v>
      </c>
      <c r="T140" s="680">
        <f t="shared" si="45"/>
        <v>2.8052993860101235E-2</v>
      </c>
      <c r="U140" s="681">
        <f t="shared" si="57"/>
        <v>0.8389802451702818</v>
      </c>
      <c r="V140" s="682">
        <f t="shared" si="58"/>
        <v>-0.72552863251058963</v>
      </c>
      <c r="W140" s="683">
        <f t="shared" si="46"/>
        <v>3.5066192903243887</v>
      </c>
      <c r="X140" s="684">
        <f t="shared" si="47"/>
        <v>-134.59926833021413</v>
      </c>
      <c r="Y140" s="687">
        <f t="shared" si="48"/>
        <v>45.40073166978587</v>
      </c>
      <c r="AA140" s="170">
        <f t="shared" si="49"/>
        <v>1000000000</v>
      </c>
      <c r="AB140" s="170">
        <f t="shared" si="50"/>
        <v>61668038.409999996</v>
      </c>
      <c r="AD140" s="686">
        <f t="shared" si="51"/>
        <v>17.240415292001813</v>
      </c>
      <c r="AE140" s="687">
        <f t="shared" si="52"/>
        <v>-5.9609336517374549</v>
      </c>
      <c r="AG140" s="686">
        <f t="shared" si="53"/>
        <v>47.045949103882521</v>
      </c>
      <c r="AH140" s="687">
        <f t="shared" si="54"/>
        <v>-45.498877465966267</v>
      </c>
      <c r="AJ140" s="170">
        <f t="shared" si="55"/>
        <v>0</v>
      </c>
      <c r="AK140" s="170">
        <f t="shared" si="65"/>
        <v>0</v>
      </c>
      <c r="AM140" s="170" t="str">
        <f t="shared" si="59"/>
        <v>0.572773938041593+0.904144840157544i</v>
      </c>
      <c r="AN140" s="170" t="str">
        <f t="shared" si="60"/>
        <v>1.12937380574624i</v>
      </c>
      <c r="AO140" s="170" t="str">
        <f t="shared" si="61"/>
        <v>0.800571817371066-0.507160636387462i</v>
      </c>
      <c r="AP140" s="170" t="str">
        <f t="shared" si="62"/>
        <v>0.0712043436597345-0.150690806692924i</v>
      </c>
      <c r="AQ140" s="170" t="str">
        <f t="shared" si="63"/>
        <v>0.928795656340266+0.150690806692924i</v>
      </c>
      <c r="AR140" s="170" t="str">
        <f t="shared" si="64"/>
        <v>0.873857908605036-0.141777529087025i</v>
      </c>
    </row>
    <row r="141" spans="7:44">
      <c r="G141" s="688">
        <v>7943.3</v>
      </c>
      <c r="H141" s="676">
        <f t="shared" si="56"/>
        <v>7.9432999999999998</v>
      </c>
      <c r="I141" s="677">
        <f t="shared" ref="I141:I204" si="66">SQRT(1+(G141/pole1)^2)</f>
        <v>7.2573006002468823</v>
      </c>
      <c r="J141" s="678">
        <f t="shared" ref="J141:J204" si="67">ATAN(G141/pole1)</f>
        <v>1.4325642410560167</v>
      </c>
      <c r="K141" s="678">
        <f t="shared" ref="K141:K204" si="68">SQRT(1+(G141/Zero1)^2)</f>
        <v>1.0000602787090658</v>
      </c>
      <c r="L141" s="679">
        <f t="shared" ref="L141:L204" si="69">ATAN(G141/Zero1)</f>
        <v>1.0979588451842338E-2</v>
      </c>
      <c r="M141" s="678">
        <f t="shared" ref="M141:M204" si="70">SQRT(1+(G141/z_RHP)^2)</f>
        <v>1.0050849216618747</v>
      </c>
      <c r="N141" s="679">
        <f t="shared" ref="N141:N204" si="71">-ATAN(G141/z_RHP)</f>
        <v>-0.10063267582327888</v>
      </c>
      <c r="O141" s="677">
        <f t="shared" ref="O141:O204" si="72">SQRT(1+(G141/Pole2)^2)</f>
        <v>329400.89023855195</v>
      </c>
      <c r="P141" s="680">
        <f t="shared" ref="P141:P204" si="73">ATAN(G141/Pole2)</f>
        <v>1.5707932909803932</v>
      </c>
      <c r="Q141" s="689">
        <f t="shared" ref="Q141:Q147" si="74">SQRT(1+(G141/Zero2)^2)</f>
        <v>13.323416818789072</v>
      </c>
      <c r="R141" s="690">
        <f t="shared" ref="R141:R147" si="75">ATAN(G141/Zero2)</f>
        <v>1.4956698560244976</v>
      </c>
      <c r="S141" s="677">
        <f t="shared" ref="S141:S204" si="76">SQRT(1+(G141/pole4)^2)</f>
        <v>1.0004027269422007</v>
      </c>
      <c r="T141" s="680">
        <f t="shared" ref="T141:T204" si="77">ATAN(G141/pole4)</f>
        <v>2.8375758356068051E-2</v>
      </c>
      <c r="U141" s="681">
        <f t="shared" si="57"/>
        <v>0.8360719130201536</v>
      </c>
      <c r="V141" s="682">
        <f t="shared" si="58"/>
        <v>-0.73265102805842552</v>
      </c>
      <c r="W141" s="683">
        <f t="shared" ref="W141:W204" si="78">20*LOG10(((K141*Q141*M141*U141)/(I141*O141*S141))*Adc)</f>
        <v>3.3793066504763134</v>
      </c>
      <c r="X141" s="684">
        <f t="shared" ref="X141:X204" si="79">((L141+R141+N141+V141)-(J141+P141+T141))*radconv</f>
        <v>-135.1245072984276</v>
      </c>
      <c r="Y141" s="687">
        <f t="shared" ref="Y141:Y204" si="80">IF(X141&gt;0,X141,X141+180)</f>
        <v>44.875492701572398</v>
      </c>
      <c r="AA141" s="170">
        <f t="shared" ref="AA141:AA204" si="81">IF(W141&lt;0,G141,1000000000)</f>
        <v>1000000000</v>
      </c>
      <c r="AB141" s="170">
        <f t="shared" ref="AB141:AB204" si="82">G141^2</f>
        <v>63096014.890000001</v>
      </c>
      <c r="AD141" s="686">
        <f t="shared" ref="AD141:AD204" si="83">20*LOG10((Q141/(O141*S141))*Aea)</f>
        <v>17.239769690664147</v>
      </c>
      <c r="AE141" s="687">
        <f t="shared" ref="AE141:AE204" si="84">(R141-(P141+T141))*radconv</f>
        <v>-5.9300669665602372</v>
      </c>
      <c r="AG141" s="686">
        <f t="shared" ref="AG141:AG204" si="85">20*LOG10((K141*M141/(I141*U141))*Acs*Am)</f>
        <v>46.979606103278314</v>
      </c>
      <c r="AH141" s="687">
        <f t="shared" ref="AH141:AH204" si="86">(L141+N141-(J141+V141))*radconv</f>
        <v>-45.238816708596822</v>
      </c>
      <c r="AJ141" s="170">
        <f t="shared" ref="AJ141:AJ204" si="87">SUM((W142&lt;0)*(W141&gt;0))*G141</f>
        <v>0</v>
      </c>
      <c r="AK141" s="170">
        <f t="shared" si="65"/>
        <v>0</v>
      </c>
      <c r="AM141" s="170" t="str">
        <f t="shared" si="59"/>
        <v>0.584564480982079+0.909622630291436i</v>
      </c>
      <c r="AN141" s="170" t="str">
        <f t="shared" si="60"/>
        <v>1.14237478526202i</v>
      </c>
      <c r="AO141" s="170" t="str">
        <f t="shared" si="61"/>
        <v>0.796255871563903-0.511709894619217i</v>
      </c>
      <c r="AP141" s="170" t="str">
        <f t="shared" si="62"/>
        <v>0.0692392531696535-0.151603771715239i</v>
      </c>
      <c r="AQ141" s="170" t="str">
        <f t="shared" si="63"/>
        <v>0.930760746830346+0.151603771715239i</v>
      </c>
      <c r="AR141" s="170" t="str">
        <f t="shared" si="64"/>
        <v>0.871836655005426-0.142006123129419i</v>
      </c>
    </row>
    <row r="142" spans="7:44">
      <c r="G142" s="688">
        <v>8035.8</v>
      </c>
      <c r="H142" s="676">
        <f t="shared" ref="H142:H205" si="88">G142/1000</f>
        <v>8.0358000000000001</v>
      </c>
      <c r="I142" s="677">
        <f t="shared" si="66"/>
        <v>7.3402165798432168</v>
      </c>
      <c r="J142" s="678">
        <f t="shared" si="67"/>
        <v>1.4341355787070709</v>
      </c>
      <c r="K142" s="678">
        <f t="shared" si="68"/>
        <v>1.0000616907349715</v>
      </c>
      <c r="L142" s="679">
        <f t="shared" si="69"/>
        <v>1.1107435679115006E-2</v>
      </c>
      <c r="M142" s="678">
        <f t="shared" si="70"/>
        <v>1.0052037310429598</v>
      </c>
      <c r="N142" s="679">
        <f t="shared" si="71"/>
        <v>-0.10179651382801828</v>
      </c>
      <c r="O142" s="677">
        <f t="shared" si="72"/>
        <v>333236.77486418444</v>
      </c>
      <c r="P142" s="680">
        <f t="shared" si="73"/>
        <v>1.5707933259256186</v>
      </c>
      <c r="Q142" s="689">
        <f t="shared" si="74"/>
        <v>13.477699437869168</v>
      </c>
      <c r="R142" s="690">
        <f t="shared" si="75"/>
        <v>1.4965314414096529</v>
      </c>
      <c r="S142" s="677">
        <f t="shared" si="76"/>
        <v>1.0004121591493411</v>
      </c>
      <c r="T142" s="680">
        <f t="shared" si="77"/>
        <v>2.8706014577966277E-2</v>
      </c>
      <c r="U142" s="681">
        <f t="shared" ref="U142:U205" si="89">IMABS(IMPRODUCT(AO142, AR142))</f>
        <v>0.83309059938203178</v>
      </c>
      <c r="V142" s="682">
        <f t="shared" ref="V142:V205" si="90">IMARGUMENT(IMPRODUCT(AO142, AR142))</f>
        <v>-0.73990627108778018</v>
      </c>
      <c r="W142" s="683">
        <f t="shared" si="78"/>
        <v>3.2500004199601369</v>
      </c>
      <c r="X142" s="684">
        <f t="shared" si="79"/>
        <v>-135.65915010234806</v>
      </c>
      <c r="Y142" s="687">
        <f t="shared" si="80"/>
        <v>44.340849897651935</v>
      </c>
      <c r="AA142" s="170">
        <f t="shared" si="81"/>
        <v>1000000000</v>
      </c>
      <c r="AB142" s="170">
        <f t="shared" si="82"/>
        <v>64574081.640000001</v>
      </c>
      <c r="AD142" s="686">
        <f t="shared" si="83"/>
        <v>17.239127759700605</v>
      </c>
      <c r="AE142" s="687">
        <f t="shared" si="84"/>
        <v>-5.8996260501525422</v>
      </c>
      <c r="AG142" s="686">
        <f t="shared" si="85"/>
        <v>46.912997807456811</v>
      </c>
      <c r="AH142" s="687">
        <f t="shared" si="86"/>
        <v>-44.972510818127517</v>
      </c>
      <c r="AJ142" s="170">
        <f t="shared" si="87"/>
        <v>0</v>
      </c>
      <c r="AK142" s="170">
        <f t="shared" si="65"/>
        <v>0</v>
      </c>
      <c r="AM142" s="170" t="str">
        <f t="shared" ref="AM142:AM205" si="91">IMSUB(1,IMEXP(COMPLEX(0,-2*Pi*G142*Tsw)))</f>
        <v>0.596701587135337+0.915068516659187i</v>
      </c>
      <c r="AN142" s="170" t="str">
        <f t="shared" ref="AN142:AN205" si="92">COMPLEX(0, 2*Pi*G142*Tsw)</f>
        <v>1.15567777868248i</v>
      </c>
      <c r="AO142" s="170" t="str">
        <f t="shared" ref="AO142:AO205" si="93">IMDIV(AM142, AN142)</f>
        <v>0.791802467381871-0.516321762122658i</v>
      </c>
      <c r="AP142" s="170" t="str">
        <f t="shared" ref="AP142:AP205" si="94">IMDIV(IMEXP(COMPLEX(0,-2*Pi*G142*Tsw)),6)</f>
        <v>0.0672164021441105-0.152511419443198i</v>
      </c>
      <c r="AQ142" s="170" t="str">
        <f t="shared" ref="AQ142:AQ205" si="95">IMSUB(1, AP142)</f>
        <v>0.932783597855889+0.152511419443198i</v>
      </c>
      <c r="AR142" s="170" t="str">
        <f t="shared" ref="AR142:AR205" si="96">IMDIV(0.833, AQ142)</f>
        <v>0.869774566457601-0.142209354914638i</v>
      </c>
    </row>
    <row r="143" spans="7:44">
      <c r="G143" s="688">
        <v>8128.3</v>
      </c>
      <c r="H143" s="676">
        <f t="shared" si="88"/>
        <v>8.1282999999999994</v>
      </c>
      <c r="I143" s="677">
        <f t="shared" si="66"/>
        <v>7.423150278275874</v>
      </c>
      <c r="J143" s="678">
        <f t="shared" si="67"/>
        <v>1.435671809154164</v>
      </c>
      <c r="K143" s="678">
        <f t="shared" si="68"/>
        <v>1.0000631191067528</v>
      </c>
      <c r="L143" s="679">
        <f t="shared" si="69"/>
        <v>1.1235282543273623E-2</v>
      </c>
      <c r="M143" s="678">
        <f t="shared" si="70"/>
        <v>1.0053239016686017</v>
      </c>
      <c r="N143" s="679">
        <f t="shared" si="71"/>
        <v>-0.1029600751715351</v>
      </c>
      <c r="O143" s="677">
        <f t="shared" si="72"/>
        <v>337072.65948981739</v>
      </c>
      <c r="P143" s="680">
        <f t="shared" si="73"/>
        <v>1.5707933600754911</v>
      </c>
      <c r="Q143" s="689">
        <f t="shared" si="74"/>
        <v>13.631991835372718</v>
      </c>
      <c r="R143" s="690">
        <f t="shared" si="75"/>
        <v>1.4973735238644004</v>
      </c>
      <c r="S143" s="677">
        <f t="shared" si="76"/>
        <v>1.0004217004685432</v>
      </c>
      <c r="T143" s="680">
        <f t="shared" si="77"/>
        <v>2.903626453638046E-2</v>
      </c>
      <c r="U143" s="681">
        <f t="shared" si="89"/>
        <v>0.83010432106062515</v>
      </c>
      <c r="V143" s="682">
        <f t="shared" si="90"/>
        <v>-0.7471286349691193</v>
      </c>
      <c r="W143" s="683">
        <f t="shared" si="78"/>
        <v>3.1216484593399905</v>
      </c>
      <c r="X143" s="684">
        <f t="shared" si="79"/>
        <v>-136.19099877567604</v>
      </c>
      <c r="Y143" s="687">
        <f t="shared" si="80"/>
        <v>43.809001224323964</v>
      </c>
      <c r="AA143" s="170">
        <f t="shared" si="81"/>
        <v>1000000000</v>
      </c>
      <c r="AB143" s="170">
        <f t="shared" si="82"/>
        <v>66069260.890000001</v>
      </c>
      <c r="AD143" s="686">
        <f t="shared" si="83"/>
        <v>17.238503824240418</v>
      </c>
      <c r="AE143" s="687">
        <f t="shared" si="84"/>
        <v>-5.8703021649050529</v>
      </c>
      <c r="AG143" s="686">
        <f t="shared" si="85"/>
        <v>46.847652156084585</v>
      </c>
      <c r="AH143" s="687">
        <f t="shared" si="86"/>
        <v>-44.706061438740349</v>
      </c>
      <c r="AJ143" s="170">
        <f t="shared" si="87"/>
        <v>0</v>
      </c>
      <c r="AK143" s="170">
        <f t="shared" si="65"/>
        <v>0</v>
      </c>
      <c r="AM143" s="170" t="str">
        <f t="shared" si="91"/>
        <v>0.608910063808547+0.920352466074691i</v>
      </c>
      <c r="AN143" s="170" t="str">
        <f t="shared" si="92"/>
        <v>1.16898077210294i</v>
      </c>
      <c r="AO143" s="170" t="str">
        <f t="shared" si="93"/>
        <v>0.787311894291487-0.520889717213353i</v>
      </c>
      <c r="AP143" s="170" t="str">
        <f t="shared" si="94"/>
        <v>0.0651816560319088-0.153392077679115i</v>
      </c>
      <c r="AQ143" s="170" t="str">
        <f t="shared" si="95"/>
        <v>0.934818343968091+0.153392077679115i</v>
      </c>
      <c r="AR143" s="170" t="str">
        <f t="shared" si="96"/>
        <v>0.867719108924663-0.142381926733316i</v>
      </c>
    </row>
    <row r="144" spans="7:44">
      <c r="G144" s="688">
        <v>8222.9500000000007</v>
      </c>
      <c r="H144" s="676">
        <f t="shared" si="88"/>
        <v>8.2229500000000009</v>
      </c>
      <c r="I144" s="677">
        <f t="shared" si="66"/>
        <v>7.5080293537149689</v>
      </c>
      <c r="J144" s="678">
        <f t="shared" si="67"/>
        <v>1.4372086120367364</v>
      </c>
      <c r="K144" s="678">
        <f t="shared" si="68"/>
        <v>1.0000645975986415</v>
      </c>
      <c r="L144" s="679">
        <f t="shared" si="69"/>
        <v>1.1366100602963714E-2</v>
      </c>
      <c r="M144" s="678">
        <f t="shared" si="70"/>
        <v>1.0054482740120134</v>
      </c>
      <c r="N144" s="679">
        <f t="shared" si="71"/>
        <v>-0.1041503918901797</v>
      </c>
      <c r="O144" s="677">
        <f t="shared" si="72"/>
        <v>340997.70251485734</v>
      </c>
      <c r="P144" s="680">
        <f t="shared" si="73"/>
        <v>1.5707933942238188</v>
      </c>
      <c r="Q144" s="689">
        <f t="shared" si="74"/>
        <v>13.789880268198679</v>
      </c>
      <c r="R144" s="690">
        <f t="shared" si="75"/>
        <v>1.4982156725515121</v>
      </c>
      <c r="S144" s="677">
        <f t="shared" si="76"/>
        <v>1.0004315765014042</v>
      </c>
      <c r="T144" s="680">
        <f t="shared" si="77"/>
        <v>2.9374184016399515E-2</v>
      </c>
      <c r="U144" s="681">
        <f t="shared" si="89"/>
        <v>0.82704402613282768</v>
      </c>
      <c r="V144" s="682">
        <f t="shared" si="90"/>
        <v>-0.7544849497779017</v>
      </c>
      <c r="W144" s="683">
        <f t="shared" si="78"/>
        <v>2.9912800136631028</v>
      </c>
      <c r="X144" s="684">
        <f t="shared" si="79"/>
        <v>-136.73235343936165</v>
      </c>
      <c r="Y144" s="687">
        <f t="shared" si="80"/>
        <v>43.267646560638354</v>
      </c>
      <c r="AA144" s="170">
        <f t="shared" si="81"/>
        <v>1000000000</v>
      </c>
      <c r="AB144" s="170">
        <f t="shared" si="82"/>
        <v>67616906.702500015</v>
      </c>
      <c r="AD144" s="686">
        <f t="shared" si="83"/>
        <v>17.237883134223122</v>
      </c>
      <c r="AE144" s="687">
        <f t="shared" si="84"/>
        <v>-5.841413915953459</v>
      </c>
      <c r="AG144" s="686">
        <f t="shared" si="85"/>
        <v>46.782066222184568</v>
      </c>
      <c r="AH144" s="687">
        <f t="shared" si="86"/>
        <v>-44.433332767788691</v>
      </c>
      <c r="AJ144" s="170">
        <f t="shared" si="87"/>
        <v>0</v>
      </c>
      <c r="AK144" s="170">
        <f t="shared" si="65"/>
        <v>0</v>
      </c>
      <c r="AM144" s="170" t="str">
        <f t="shared" si="91"/>
        <v>0.621473929388421+0.92559062974263i</v>
      </c>
      <c r="AN144" s="170" t="str">
        <f t="shared" si="92"/>
        <v>1.18259297023533i</v>
      </c>
      <c r="AO144" s="170" t="str">
        <f t="shared" si="93"/>
        <v>0.782678954668944-0.52551803116566i</v>
      </c>
      <c r="AP144" s="170" t="str">
        <f t="shared" si="94"/>
        <v>0.0630876784352632-0.154265104957105i</v>
      </c>
      <c r="AQ144" s="170" t="str">
        <f t="shared" si="95"/>
        <v>0.936912321564737+0.154265104957105i</v>
      </c>
      <c r="AR144" s="170" t="str">
        <f t="shared" si="96"/>
        <v>0.865623190184081-0.142527159920401i</v>
      </c>
    </row>
    <row r="145" spans="7:44">
      <c r="G145" s="688">
        <v>8270.2750000000015</v>
      </c>
      <c r="H145" s="676">
        <f t="shared" si="88"/>
        <v>8.2702750000000016</v>
      </c>
      <c r="I145" s="677">
        <f t="shared" si="66"/>
        <v>7.5504754288730611</v>
      </c>
      <c r="J145" s="678">
        <f t="shared" si="67"/>
        <v>1.4379640555480422</v>
      </c>
      <c r="K145" s="678">
        <f t="shared" si="68"/>
        <v>1.0000653432624977</v>
      </c>
      <c r="L145" s="679">
        <f t="shared" si="69"/>
        <v>1.1431509487198475E-2</v>
      </c>
      <c r="M145" s="678">
        <f t="shared" si="70"/>
        <v>1.0055109942993854</v>
      </c>
      <c r="N145" s="679">
        <f t="shared" si="71"/>
        <v>-0.10474543940464334</v>
      </c>
      <c r="O145" s="677">
        <f t="shared" si="72"/>
        <v>342960.22402737744</v>
      </c>
      <c r="P145" s="680">
        <f t="shared" si="73"/>
        <v>1.5707934110048722</v>
      </c>
      <c r="Q145" s="689">
        <f t="shared" si="74"/>
        <v>13.868828089475773</v>
      </c>
      <c r="R145" s="690">
        <f t="shared" si="75"/>
        <v>1.4986295562237153</v>
      </c>
      <c r="S145" s="677">
        <f t="shared" si="76"/>
        <v>1.0004365573567702</v>
      </c>
      <c r="T145" s="680">
        <f t="shared" si="77"/>
        <v>2.9543141244876777E-2</v>
      </c>
      <c r="U145" s="681">
        <f t="shared" si="89"/>
        <v>0.82551229805215287</v>
      </c>
      <c r="V145" s="682">
        <f t="shared" si="90"/>
        <v>-0.75815027925592571</v>
      </c>
      <c r="W145" s="683">
        <f t="shared" si="78"/>
        <v>2.9264560594265197</v>
      </c>
      <c r="X145" s="684">
        <f t="shared" si="79"/>
        <v>-137.00195884228987</v>
      </c>
      <c r="Y145" s="687">
        <f t="shared" si="80"/>
        <v>42.998041157710134</v>
      </c>
      <c r="AA145" s="170">
        <f t="shared" si="81"/>
        <v>1000000000</v>
      </c>
      <c r="AB145" s="170">
        <f t="shared" si="82"/>
        <v>68397448.575625017</v>
      </c>
      <c r="AD145" s="686">
        <f t="shared" si="83"/>
        <v>17.237579254881709</v>
      </c>
      <c r="AE145" s="687">
        <f t="shared" si="84"/>
        <v>-5.8273816259043221</v>
      </c>
      <c r="AG145" s="686">
        <f t="shared" si="85"/>
        <v>46.749749406396674</v>
      </c>
      <c r="AH145" s="687">
        <f t="shared" si="86"/>
        <v>-44.296954641054761</v>
      </c>
      <c r="AJ145" s="170">
        <f t="shared" si="87"/>
        <v>0</v>
      </c>
      <c r="AK145" s="170">
        <f t="shared" si="65"/>
        <v>0</v>
      </c>
      <c r="AM145" s="170" t="str">
        <f t="shared" si="91"/>
        <v>0.627782309467595+0.928145457810748i</v>
      </c>
      <c r="AN145" s="170" t="str">
        <f t="shared" si="92"/>
        <v>1.18939906930153i</v>
      </c>
      <c r="AO145" s="170" t="str">
        <f t="shared" si="93"/>
        <v>0.780348229426308-0.527814697077456i</v>
      </c>
      <c r="AP145" s="170" t="str">
        <f t="shared" si="94"/>
        <v>0.0620362817554008-0.154690909635125i</v>
      </c>
      <c r="AQ145" s="170" t="str">
        <f t="shared" si="95"/>
        <v>0.937963718244599+0.154690909635125i</v>
      </c>
      <c r="AR145" s="170" t="str">
        <f t="shared" si="96"/>
        <v>0.864578144468833-0.142588009554177i</v>
      </c>
    </row>
    <row r="146" spans="7:44">
      <c r="G146" s="688">
        <v>8317.6</v>
      </c>
      <c r="H146" s="676">
        <f t="shared" si="88"/>
        <v>8.3176000000000005</v>
      </c>
      <c r="I146" s="677">
        <f t="shared" si="66"/>
        <v>7.5929257648708779</v>
      </c>
      <c r="J146" s="678">
        <f t="shared" si="67"/>
        <v>1.4387110524530036</v>
      </c>
      <c r="K146" s="678">
        <f t="shared" si="68"/>
        <v>1.0000660932049494</v>
      </c>
      <c r="L146" s="679">
        <f t="shared" si="69"/>
        <v>1.1496918273613758E-2</v>
      </c>
      <c r="M146" s="678">
        <f t="shared" si="70"/>
        <v>1.0055740705751561</v>
      </c>
      <c r="N146" s="679">
        <f t="shared" si="71"/>
        <v>-0.10534041247909974</v>
      </c>
      <c r="O146" s="677">
        <f t="shared" si="72"/>
        <v>344922.74553989765</v>
      </c>
      <c r="P146" s="680">
        <f t="shared" si="73"/>
        <v>1.5707934275949658</v>
      </c>
      <c r="Q146" s="689">
        <f t="shared" si="74"/>
        <v>13.947778259584261</v>
      </c>
      <c r="R146" s="690">
        <f t="shared" si="75"/>
        <v>1.4990387544612234</v>
      </c>
      <c r="S146" s="677">
        <f t="shared" si="76"/>
        <v>1.0004415667708586</v>
      </c>
      <c r="T146" s="680">
        <f t="shared" si="77"/>
        <v>2.9712096786170782E-2</v>
      </c>
      <c r="U146" s="681">
        <f t="shared" si="89"/>
        <v>0.82397960430614525</v>
      </c>
      <c r="V146" s="682">
        <f t="shared" si="90"/>
        <v>-0.76180707829430649</v>
      </c>
      <c r="W146" s="683">
        <f t="shared" si="78"/>
        <v>2.8618689022727386</v>
      </c>
      <c r="X146" s="684">
        <f t="shared" si="79"/>
        <v>-137.27085562066344</v>
      </c>
      <c r="Y146" s="687">
        <f t="shared" si="80"/>
        <v>42.72914437933656</v>
      </c>
      <c r="AA146" s="170">
        <f t="shared" si="81"/>
        <v>1000000000</v>
      </c>
      <c r="AB146" s="170">
        <f t="shared" si="82"/>
        <v>69182469.760000005</v>
      </c>
      <c r="AD146" s="686">
        <f t="shared" si="83"/>
        <v>17.237279548730356</v>
      </c>
      <c r="AE146" s="687">
        <f t="shared" si="84"/>
        <v>-5.8136176838790279</v>
      </c>
      <c r="AG146" s="686">
        <f t="shared" si="85"/>
        <v>46.717745381676366</v>
      </c>
      <c r="AH146" s="687">
        <f t="shared" si="86"/>
        <v>-44.16057705812144</v>
      </c>
      <c r="AJ146" s="170">
        <f t="shared" si="87"/>
        <v>0</v>
      </c>
      <c r="AK146" s="170">
        <f t="shared" si="65"/>
        <v>0</v>
      </c>
      <c r="AM146" s="170" t="str">
        <f t="shared" si="91"/>
        <v>0.634107931714519+0.93065729157718i</v>
      </c>
      <c r="AN146" s="170" t="str">
        <f t="shared" si="92"/>
        <v>1.19620516836773i</v>
      </c>
      <c r="AO146" s="170" t="str">
        <f t="shared" si="93"/>
        <v>0.778008084388315-0.530099642170736i</v>
      </c>
      <c r="AP146" s="170" t="str">
        <f t="shared" si="94"/>
        <v>0.0609820113809135-0.155109548596197i</v>
      </c>
      <c r="AQ146" s="170" t="str">
        <f t="shared" si="95"/>
        <v>0.939017988619086+0.155109548596197i</v>
      </c>
      <c r="AR146" s="170" t="str">
        <f t="shared" si="96"/>
        <v>0.863535114352426-0.142641081861643i</v>
      </c>
    </row>
    <row r="147" spans="7:44">
      <c r="G147" s="688">
        <v>8366.0499999999993</v>
      </c>
      <c r="H147" s="676">
        <f t="shared" si="88"/>
        <v>8.3660499999999995</v>
      </c>
      <c r="I147" s="677">
        <f t="shared" si="66"/>
        <v>7.6363895611564958</v>
      </c>
      <c r="J147" s="678">
        <f t="shared" si="67"/>
        <v>1.4394672028516522</v>
      </c>
      <c r="K147" s="678">
        <f t="shared" si="68"/>
        <v>1.0000668654072353</v>
      </c>
      <c r="L147" s="679">
        <f t="shared" si="69"/>
        <v>1.1563881842097442E-2</v>
      </c>
      <c r="M147" s="678">
        <f t="shared" si="70"/>
        <v>1.0056390149997199</v>
      </c>
      <c r="N147" s="679">
        <f t="shared" si="71"/>
        <v>-0.1059494515884597</v>
      </c>
      <c r="O147" s="677">
        <f t="shared" si="72"/>
        <v>346931.91970327019</v>
      </c>
      <c r="P147" s="680">
        <f t="shared" si="73"/>
        <v>1.5707934443849965</v>
      </c>
      <c r="Q147" s="689">
        <f t="shared" si="74"/>
        <v>14.02860760846276</v>
      </c>
      <c r="R147" s="690">
        <f t="shared" si="75"/>
        <v>1.4994529086999682</v>
      </c>
      <c r="S147" s="677">
        <f t="shared" si="76"/>
        <v>1.0004467248523723</v>
      </c>
      <c r="T147" s="680">
        <f t="shared" si="77"/>
        <v>2.9885066945381993E-2</v>
      </c>
      <c r="U147" s="681">
        <f t="shared" si="89"/>
        <v>0.82240954331056326</v>
      </c>
      <c r="V147" s="682">
        <f t="shared" si="90"/>
        <v>-0.76554198639710747</v>
      </c>
      <c r="W147" s="683">
        <f t="shared" si="78"/>
        <v>2.7959891119072147</v>
      </c>
      <c r="X147" s="684">
        <f t="shared" si="79"/>
        <v>-137.54541509148098</v>
      </c>
      <c r="Y147" s="687">
        <f t="shared" si="80"/>
        <v>42.454584908519024</v>
      </c>
      <c r="AA147" s="170">
        <f t="shared" si="81"/>
        <v>1000000000</v>
      </c>
      <c r="AB147" s="170">
        <f t="shared" si="82"/>
        <v>69990792.602499992</v>
      </c>
      <c r="AD147" s="686">
        <f t="shared" si="83"/>
        <v>17.23697693750378</v>
      </c>
      <c r="AE147" s="687">
        <f t="shared" si="84"/>
        <v>-5.7997998160181155</v>
      </c>
      <c r="AG147" s="686">
        <f t="shared" si="85"/>
        <v>46.68530102702541</v>
      </c>
      <c r="AH147" s="687">
        <f t="shared" si="86"/>
        <v>-44.02096545399138</v>
      </c>
      <c r="AJ147" s="170">
        <f t="shared" si="87"/>
        <v>0</v>
      </c>
      <c r="AK147" s="170">
        <f t="shared" si="65"/>
        <v>0</v>
      </c>
      <c r="AM147" s="170" t="str">
        <f t="shared" si="91"/>
        <v>0.640601481223531+0.933184175123689i</v>
      </c>
      <c r="AN147" s="170" t="str">
        <f t="shared" si="92"/>
        <v>1.20317306059715i</v>
      </c>
      <c r="AO147" s="170" t="str">
        <f t="shared" si="93"/>
        <v>0.775602617515836-0.532426715825562i</v>
      </c>
      <c r="AP147" s="170" t="str">
        <f t="shared" si="94"/>
        <v>0.0598997531294115-0.155530695853948i</v>
      </c>
      <c r="AQ147" s="170" t="str">
        <f t="shared" si="95"/>
        <v>0.940100246870588+0.155530695853948i</v>
      </c>
      <c r="AR147" s="170" t="str">
        <f t="shared" si="96"/>
        <v>0.862469433693769-0.142687411924079i</v>
      </c>
    </row>
    <row r="148" spans="7:44">
      <c r="G148" s="691">
        <v>8414.5</v>
      </c>
      <c r="H148" s="676">
        <f t="shared" si="88"/>
        <v>8.4145000000000003</v>
      </c>
      <c r="I148" s="677">
        <f t="shared" si="66"/>
        <v>7.6798576742282192</v>
      </c>
      <c r="J148" s="678">
        <f t="shared" si="67"/>
        <v>1.4402147940278491</v>
      </c>
      <c r="K148" s="678">
        <f t="shared" si="68"/>
        <v>1.0000676420939336</v>
      </c>
      <c r="L148" s="679">
        <f t="shared" si="69"/>
        <v>1.1630845306869008E-2</v>
      </c>
      <c r="M148" s="678">
        <f t="shared" si="70"/>
        <v>1.0057043323963355</v>
      </c>
      <c r="N148" s="679">
        <f t="shared" si="71"/>
        <v>-0.10655841181325013</v>
      </c>
      <c r="O148" s="677">
        <f t="shared" si="72"/>
        <v>348941.09386664291</v>
      </c>
      <c r="P148" s="680">
        <f t="shared" si="73"/>
        <v>1.570793460981676</v>
      </c>
      <c r="Q148" s="689">
        <f t="shared" ref="Q148:Q157" si="97">SQRT(1+(G148/Zero2)^2)</f>
        <v>14.109439336010725</v>
      </c>
      <c r="R148" s="690">
        <f t="shared" ref="R148:R157" si="98">ATAN(G148/Zero2)</f>
        <v>1.4998623177024064</v>
      </c>
      <c r="S148" s="677">
        <f t="shared" si="76"/>
        <v>1.0004519128656184</v>
      </c>
      <c r="T148" s="680">
        <f t="shared" si="77"/>
        <v>3.0058035315835892E-2</v>
      </c>
      <c r="U148" s="681">
        <f t="shared" si="89"/>
        <v>0.82083860752266813</v>
      </c>
      <c r="V148" s="682">
        <f t="shared" si="90"/>
        <v>-0.76926798954579001</v>
      </c>
      <c r="W148" s="683">
        <f t="shared" si="78"/>
        <v>2.7303523002470236</v>
      </c>
      <c r="X148" s="684">
        <f t="shared" si="79"/>
        <v>-137.81924119332356</v>
      </c>
      <c r="Y148" s="687">
        <f t="shared" si="80"/>
        <v>42.180758806676437</v>
      </c>
      <c r="AA148" s="170">
        <f t="shared" si="81"/>
        <v>1000000000</v>
      </c>
      <c r="AB148" s="170">
        <f t="shared" si="82"/>
        <v>70803810.25</v>
      </c>
      <c r="AD148" s="686">
        <f t="shared" si="83"/>
        <v>17.236678492560749</v>
      </c>
      <c r="AE148" s="687">
        <f t="shared" si="84"/>
        <v>-5.7862537166042207</v>
      </c>
      <c r="AG148" s="686">
        <f t="shared" si="85"/>
        <v>46.653177312719826</v>
      </c>
      <c r="AH148" s="687">
        <f t="shared" si="86"/>
        <v>-43.881369145016059</v>
      </c>
      <c r="AJ148" s="170">
        <f t="shared" si="87"/>
        <v>0</v>
      </c>
      <c r="AK148" s="170">
        <f t="shared" si="65"/>
        <v>0</v>
      </c>
      <c r="AM148" s="170" t="str">
        <f t="shared" si="91"/>
        <v>0.647112480007078+0.935665751341388i</v>
      </c>
      <c r="AN148" s="170" t="str">
        <f t="shared" si="92"/>
        <v>1.21014095282657i</v>
      </c>
      <c r="AO148" s="170" t="str">
        <f t="shared" si="93"/>
        <v>0.773187411892738-0.534741410490732i</v>
      </c>
      <c r="AP148" s="170" t="str">
        <f t="shared" si="94"/>
        <v>0.058814586665487-0.155944291890231i</v>
      </c>
      <c r="AQ148" s="170" t="str">
        <f t="shared" si="95"/>
        <v>0.941185413334513+0.155944291890231i</v>
      </c>
      <c r="AR148" s="170" t="str">
        <f t="shared" si="96"/>
        <v>0.86140597862497-0.142725698319911i</v>
      </c>
    </row>
    <row r="149" spans="7:44">
      <c r="G149" s="691">
        <v>8462.9500000000007</v>
      </c>
      <c r="H149" s="676">
        <f t="shared" si="88"/>
        <v>8.4629500000000011</v>
      </c>
      <c r="I149" s="677">
        <f t="shared" si="66"/>
        <v>7.7233300311993958</v>
      </c>
      <c r="J149" s="678">
        <f t="shared" si="67"/>
        <v>1.4409539696708624</v>
      </c>
      <c r="K149" s="678">
        <f t="shared" si="68"/>
        <v>1.0000684232650336</v>
      </c>
      <c r="L149" s="679">
        <f t="shared" si="69"/>
        <v>1.1697808667328157E-2</v>
      </c>
      <c r="M149" s="678">
        <f t="shared" si="70"/>
        <v>1.0057700226923374</v>
      </c>
      <c r="N149" s="679">
        <f t="shared" si="71"/>
        <v>-0.10716729271723956</v>
      </c>
      <c r="O149" s="677">
        <f t="shared" si="72"/>
        <v>350950.26803001575</v>
      </c>
      <c r="P149" s="680">
        <f t="shared" si="73"/>
        <v>1.5707934773883252</v>
      </c>
      <c r="Q149" s="689">
        <f t="shared" si="97"/>
        <v>14.190273401579473</v>
      </c>
      <c r="R149" s="690">
        <f t="shared" si="98"/>
        <v>1.500267062422991</v>
      </c>
      <c r="S149" s="677">
        <f t="shared" si="76"/>
        <v>1.0004571308101309</v>
      </c>
      <c r="T149" s="680">
        <f t="shared" si="77"/>
        <v>3.0231001887210632E-2</v>
      </c>
      <c r="U149" s="681">
        <f t="shared" si="89"/>
        <v>0.81926686519906577</v>
      </c>
      <c r="V149" s="682">
        <f t="shared" si="90"/>
        <v>-0.7729851065907265</v>
      </c>
      <c r="W149" s="683">
        <f t="shared" si="78"/>
        <v>2.6649559029941594</v>
      </c>
      <c r="X149" s="684">
        <f t="shared" si="79"/>
        <v>-138.0923385753172</v>
      </c>
      <c r="Y149" s="687">
        <f t="shared" si="80"/>
        <v>41.9076614246828</v>
      </c>
      <c r="AA149" s="170">
        <f t="shared" si="81"/>
        <v>1000000000</v>
      </c>
      <c r="AB149" s="170">
        <f t="shared" si="82"/>
        <v>71621522.702500015</v>
      </c>
      <c r="AD149" s="686">
        <f t="shared" si="83"/>
        <v>17.236384113267668</v>
      </c>
      <c r="AE149" s="687">
        <f t="shared" si="84"/>
        <v>-5.7729747468877237</v>
      </c>
      <c r="AG149" s="686">
        <f t="shared" si="85"/>
        <v>46.621370676718222</v>
      </c>
      <c r="AH149" s="687">
        <f t="shared" si="86"/>
        <v>-43.741795258977483</v>
      </c>
      <c r="AJ149" s="170">
        <f t="shared" si="87"/>
        <v>0</v>
      </c>
      <c r="AK149" s="170">
        <f t="shared" si="65"/>
        <v>0</v>
      </c>
      <c r="AM149" s="170" t="str">
        <f t="shared" si="91"/>
        <v>0.653640611947538+0.938101899746464i</v>
      </c>
      <c r="AN149" s="170" t="str">
        <f t="shared" si="92"/>
        <v>1.21710884505599i</v>
      </c>
      <c r="AO149" s="170" t="str">
        <f t="shared" si="93"/>
        <v>0.770762535788908-0.537043679045377i</v>
      </c>
      <c r="AP149" s="170" t="str">
        <f t="shared" si="94"/>
        <v>0.0577265646754103-0.156350316624411i</v>
      </c>
      <c r="AQ149" s="170" t="str">
        <f t="shared" si="95"/>
        <v>0.94227343532459+0.156350316624411i</v>
      </c>
      <c r="AR149" s="170" t="str">
        <f t="shared" si="96"/>
        <v>0.860344804866055-0.142755995875696i</v>
      </c>
    </row>
    <row r="150" spans="7:44">
      <c r="G150" s="691">
        <v>8511.4</v>
      </c>
      <c r="H150" s="676">
        <f t="shared" si="88"/>
        <v>8.5114000000000001</v>
      </c>
      <c r="I150" s="677">
        <f t="shared" si="66"/>
        <v>7.7668065608081855</v>
      </c>
      <c r="J150" s="678">
        <f t="shared" si="67"/>
        <v>1.4416848702898808</v>
      </c>
      <c r="K150" s="678">
        <f t="shared" si="68"/>
        <v>1.0000692089205252</v>
      </c>
      <c r="L150" s="679">
        <f t="shared" si="69"/>
        <v>1.176477192287459E-2</v>
      </c>
      <c r="M150" s="678">
        <f t="shared" si="70"/>
        <v>1.0058360858146647</v>
      </c>
      <c r="N150" s="679">
        <f t="shared" si="71"/>
        <v>-0.10777609386454545</v>
      </c>
      <c r="O150" s="677">
        <f t="shared" si="72"/>
        <v>352959.44219338859</v>
      </c>
      <c r="P150" s="680">
        <f t="shared" si="73"/>
        <v>1.5707934936081889</v>
      </c>
      <c r="Q150" s="689">
        <f t="shared" si="97"/>
        <v>14.271109765440123</v>
      </c>
      <c r="R150" s="690">
        <f t="shared" si="98"/>
        <v>1.5006672219881552</v>
      </c>
      <c r="S150" s="677">
        <f t="shared" si="76"/>
        <v>1.0004623786854419</v>
      </c>
      <c r="T150" s="680">
        <f t="shared" si="77"/>
        <v>3.0403966649185005E-2</v>
      </c>
      <c r="U150" s="681">
        <f t="shared" si="89"/>
        <v>0.81769438378123582</v>
      </c>
      <c r="V150" s="682">
        <f t="shared" si="90"/>
        <v>-0.7766933568443054</v>
      </c>
      <c r="W150" s="683">
        <f t="shared" si="78"/>
        <v>2.5997974024380444</v>
      </c>
      <c r="X150" s="684">
        <f t="shared" si="79"/>
        <v>-138.36471183560784</v>
      </c>
      <c r="Y150" s="687">
        <f t="shared" si="80"/>
        <v>41.635288164392165</v>
      </c>
      <c r="AA150" s="170">
        <f t="shared" si="81"/>
        <v>1000000000</v>
      </c>
      <c r="AB150" s="170">
        <f t="shared" si="82"/>
        <v>72443929.959999993</v>
      </c>
      <c r="AD150" s="686">
        <f t="shared" si="83"/>
        <v>17.23609370183312</v>
      </c>
      <c r="AE150" s="687">
        <f t="shared" si="84"/>
        <v>-5.7599583728525028</v>
      </c>
      <c r="AG150" s="686">
        <f t="shared" si="85"/>
        <v>46.58987760918103</v>
      </c>
      <c r="AH150" s="687">
        <f t="shared" si="86"/>
        <v>-43.60225071500097</v>
      </c>
      <c r="AJ150" s="170">
        <f t="shared" si="87"/>
        <v>0</v>
      </c>
      <c r="AK150" s="170">
        <f t="shared" si="65"/>
        <v>0</v>
      </c>
      <c r="AM150" s="170" t="str">
        <f t="shared" si="91"/>
        <v>0.660185560095441+0.940492502060676i</v>
      </c>
      <c r="AN150" s="170" t="str">
        <f t="shared" si="92"/>
        <v>1.2240767372854i</v>
      </c>
      <c r="AO150" s="170" t="str">
        <f t="shared" si="93"/>
        <v>0.768328057721593-0.539333474761979i</v>
      </c>
      <c r="AP150" s="170" t="str">
        <f t="shared" si="94"/>
        <v>0.0566357399840932-0.156748750343446i</v>
      </c>
      <c r="AQ150" s="170" t="str">
        <f t="shared" si="95"/>
        <v>0.943364260015907+0.156748750343446i</v>
      </c>
      <c r="AR150" s="170" t="str">
        <f t="shared" si="96"/>
        <v>0.859285967166588-0.142778359590124i</v>
      </c>
    </row>
    <row r="151" spans="7:44">
      <c r="G151" s="691">
        <v>8560.9500000000007</v>
      </c>
      <c r="H151" s="676">
        <f t="shared" si="88"/>
        <v>8.5609500000000001</v>
      </c>
      <c r="I151" s="677">
        <f t="shared" si="66"/>
        <v>7.8112744168545936</v>
      </c>
      <c r="J151" s="678">
        <f t="shared" si="67"/>
        <v>1.4424239493641671</v>
      </c>
      <c r="K151" s="678">
        <f t="shared" si="68"/>
        <v>1.0000700170516517</v>
      </c>
      <c r="L151" s="679">
        <f t="shared" si="69"/>
        <v>1.1833255390874162E-2</v>
      </c>
      <c r="M151" s="678">
        <f t="shared" si="70"/>
        <v>1.0059040343648535</v>
      </c>
      <c r="N151" s="679">
        <f t="shared" si="71"/>
        <v>-0.10839863417522813</v>
      </c>
      <c r="O151" s="677">
        <f t="shared" si="72"/>
        <v>355014.23228203942</v>
      </c>
      <c r="P151" s="680">
        <f t="shared" si="73"/>
        <v>1.5707935100064159</v>
      </c>
      <c r="Q151" s="689">
        <f t="shared" si="97"/>
        <v>14.353783760111474</v>
      </c>
      <c r="R151" s="690">
        <f t="shared" si="98"/>
        <v>1.5010718048144018</v>
      </c>
      <c r="S151" s="677">
        <f t="shared" si="76"/>
        <v>1.0004677766648973</v>
      </c>
      <c r="T151" s="680">
        <f t="shared" si="77"/>
        <v>3.0580856489456954E-2</v>
      </c>
      <c r="U151" s="681">
        <f t="shared" si="89"/>
        <v>0.81608550600700736</v>
      </c>
      <c r="V151" s="682">
        <f t="shared" si="90"/>
        <v>-0.78047664809844075</v>
      </c>
      <c r="W151" s="683">
        <f t="shared" si="78"/>
        <v>2.5334030387338915</v>
      </c>
      <c r="X151" s="684">
        <f t="shared" si="79"/>
        <v>-138.64252478026322</v>
      </c>
      <c r="Y151" s="687">
        <f t="shared" si="80"/>
        <v>41.357475219736784</v>
      </c>
      <c r="AA151" s="170">
        <f t="shared" si="81"/>
        <v>1000000000</v>
      </c>
      <c r="AB151" s="170">
        <f t="shared" si="82"/>
        <v>73289864.902500018</v>
      </c>
      <c r="AD151" s="686">
        <f t="shared" si="83"/>
        <v>17.235800701925179</v>
      </c>
      <c r="AE151" s="687">
        <f t="shared" si="84"/>
        <v>-5.7469134652657079</v>
      </c>
      <c r="AG151" s="686">
        <f t="shared" si="85"/>
        <v>46.557990252773934</v>
      </c>
      <c r="AH151" s="687">
        <f t="shared" si="86"/>
        <v>-43.459575323686359</v>
      </c>
      <c r="AJ151" s="170">
        <f t="shared" si="87"/>
        <v>0</v>
      </c>
      <c r="AK151" s="170">
        <f t="shared" ref="AK151:AK214" si="99">IF(AJ151&gt;0,Y151,0)</f>
        <v>0</v>
      </c>
      <c r="AM151" s="170" t="str">
        <f t="shared" si="91"/>
        <v>0.666896165625385+0.942890150295849i</v>
      </c>
      <c r="AN151" s="170" t="str">
        <f t="shared" si="92"/>
        <v>1.23120282727442i</v>
      </c>
      <c r="AO151" s="170" t="str">
        <f t="shared" si="93"/>
        <v>0.765828447927768-0.541662308477417i</v>
      </c>
      <c r="AP151" s="170" t="str">
        <f t="shared" si="94"/>
        <v>0.0555173057291025-0.157148358382641i</v>
      </c>
      <c r="AQ151" s="170" t="str">
        <f t="shared" si="95"/>
        <v>0.944482694270897+0.157148358382641i</v>
      </c>
      <c r="AR151" s="170" t="str">
        <f t="shared" si="96"/>
        <v>0.858205562072768-0.142793082448904i</v>
      </c>
    </row>
    <row r="152" spans="7:44">
      <c r="G152" s="691">
        <v>8610.5</v>
      </c>
      <c r="H152" s="676">
        <f t="shared" si="88"/>
        <v>8.6105</v>
      </c>
      <c r="I152" s="677">
        <f t="shared" si="66"/>
        <v>7.8557464914085733</v>
      </c>
      <c r="J152" s="678">
        <f t="shared" si="67"/>
        <v>1.443154660850037</v>
      </c>
      <c r="K152" s="678">
        <f t="shared" si="68"/>
        <v>1.0000708298730843</v>
      </c>
      <c r="L152" s="679">
        <f t="shared" si="69"/>
        <v>1.190173874787314E-2</v>
      </c>
      <c r="M152" s="678">
        <f t="shared" si="70"/>
        <v>1.0059723727068752</v>
      </c>
      <c r="N152" s="679">
        <f t="shared" si="71"/>
        <v>-0.10902109014552783</v>
      </c>
      <c r="O152" s="677">
        <f t="shared" si="72"/>
        <v>357069.02237069031</v>
      </c>
      <c r="P152" s="680">
        <f t="shared" si="73"/>
        <v>1.5707935262159123</v>
      </c>
      <c r="Q152" s="689">
        <f t="shared" si="97"/>
        <v>14.436460077403822</v>
      </c>
      <c r="R152" s="690">
        <f t="shared" si="98"/>
        <v>1.5014717536860802</v>
      </c>
      <c r="S152" s="677">
        <f t="shared" si="76"/>
        <v>1.0004732059486667</v>
      </c>
      <c r="T152" s="680">
        <f t="shared" si="77"/>
        <v>3.0757744415401883E-2</v>
      </c>
      <c r="U152" s="681">
        <f t="shared" si="89"/>
        <v>0.81447599527444936</v>
      </c>
      <c r="V152" s="682">
        <f t="shared" si="90"/>
        <v>-0.78425070767225113</v>
      </c>
      <c r="W152" s="683">
        <f t="shared" si="78"/>
        <v>2.4672523146784573</v>
      </c>
      <c r="X152" s="684">
        <f t="shared" si="79"/>
        <v>-138.91958992065116</v>
      </c>
      <c r="Y152" s="687">
        <f t="shared" si="80"/>
        <v>41.080410079348837</v>
      </c>
      <c r="AA152" s="170">
        <f t="shared" si="81"/>
        <v>1000000000</v>
      </c>
      <c r="AB152" s="170">
        <f t="shared" si="82"/>
        <v>74140710.25</v>
      </c>
      <c r="AD152" s="686">
        <f t="shared" si="83"/>
        <v>17.235511653897021</v>
      </c>
      <c r="AE152" s="687">
        <f t="shared" si="84"/>
        <v>-5.7341339432221154</v>
      </c>
      <c r="AG152" s="686">
        <f t="shared" si="85"/>
        <v>46.526423602414212</v>
      </c>
      <c r="AH152" s="687">
        <f t="shared" si="86"/>
        <v>-43.316944615203148</v>
      </c>
      <c r="AJ152" s="170">
        <f t="shared" si="87"/>
        <v>0</v>
      </c>
      <c r="AK152" s="170">
        <f t="shared" si="99"/>
        <v>0</v>
      </c>
      <c r="AM152" s="170" t="str">
        <f t="shared" si="91"/>
        <v>0.673623686482358+0.94523991767944i</v>
      </c>
      <c r="AN152" s="170" t="str">
        <f t="shared" si="92"/>
        <v>1.23832891726343i</v>
      </c>
      <c r="AO152" s="170" t="str">
        <f t="shared" si="93"/>
        <v>0.763318940954973-0.543977998972189i</v>
      </c>
      <c r="AP152" s="170" t="str">
        <f t="shared" si="94"/>
        <v>0.0543960522529403-0.157539986279907i</v>
      </c>
      <c r="AQ152" s="170" t="str">
        <f t="shared" si="95"/>
        <v>0.94560394774706+0.157539986279907i</v>
      </c>
      <c r="AR152" s="170" t="str">
        <f t="shared" si="96"/>
        <v>0.857127713067459-0.1427996239636i</v>
      </c>
    </row>
    <row r="153" spans="7:44">
      <c r="G153" s="691">
        <v>8660.0499999999993</v>
      </c>
      <c r="H153" s="676">
        <f t="shared" si="88"/>
        <v>8.66005</v>
      </c>
      <c r="I153" s="677">
        <f t="shared" si="66"/>
        <v>7.9002227132294323</v>
      </c>
      <c r="J153" s="678">
        <f t="shared" si="67"/>
        <v>1.4438771452826273</v>
      </c>
      <c r="K153" s="678">
        <f t="shared" si="68"/>
        <v>1.0000716473848119</v>
      </c>
      <c r="L153" s="679">
        <f t="shared" si="69"/>
        <v>1.1970221993229429E-2</v>
      </c>
      <c r="M153" s="678">
        <f t="shared" si="70"/>
        <v>1.0060411007612962</v>
      </c>
      <c r="N153" s="679">
        <f t="shared" si="71"/>
        <v>-0.1096434613103382</v>
      </c>
      <c r="O153" s="677">
        <f t="shared" si="72"/>
        <v>359123.81245934125</v>
      </c>
      <c r="P153" s="680">
        <f t="shared" si="73"/>
        <v>1.5707935422399177</v>
      </c>
      <c r="Q153" s="689">
        <f t="shared" si="97"/>
        <v>14.519138677640074</v>
      </c>
      <c r="R153" s="690">
        <f t="shared" si="98"/>
        <v>1.501867147637689</v>
      </c>
      <c r="S153" s="677">
        <f t="shared" si="76"/>
        <v>1.0004786665362404</v>
      </c>
      <c r="T153" s="680">
        <f t="shared" si="77"/>
        <v>3.0934630415981646E-2</v>
      </c>
      <c r="U153" s="681">
        <f t="shared" si="89"/>
        <v>0.81286592109124822</v>
      </c>
      <c r="V153" s="682">
        <f t="shared" si="90"/>
        <v>-0.78801555767035047</v>
      </c>
      <c r="W153" s="683">
        <f t="shared" si="78"/>
        <v>2.4013426812724434</v>
      </c>
      <c r="X153" s="684">
        <f t="shared" si="79"/>
        <v>-139.19591201994103</v>
      </c>
      <c r="Y153" s="687">
        <f t="shared" si="80"/>
        <v>40.804087980058966</v>
      </c>
      <c r="AA153" s="170">
        <f t="shared" si="81"/>
        <v>1000000000</v>
      </c>
      <c r="AB153" s="170">
        <f t="shared" si="82"/>
        <v>74996466.002499983</v>
      </c>
      <c r="AD153" s="686">
        <f t="shared" si="83"/>
        <v>17.235226461757726</v>
      </c>
      <c r="AE153" s="687">
        <f t="shared" si="84"/>
        <v>-5.7216152779316776</v>
      </c>
      <c r="AG153" s="686">
        <f t="shared" si="85"/>
        <v>46.495174066843667</v>
      </c>
      <c r="AH153" s="687">
        <f t="shared" si="86"/>
        <v>-43.17436534850863</v>
      </c>
      <c r="AJ153" s="170">
        <f t="shared" si="87"/>
        <v>0</v>
      </c>
      <c r="AK153" s="170">
        <f t="shared" si="99"/>
        <v>0</v>
      </c>
      <c r="AM153" s="170" t="str">
        <f t="shared" si="91"/>
        <v>0.680367781036522+0.947541684888049i</v>
      </c>
      <c r="AN153" s="170" t="str">
        <f t="shared" si="92"/>
        <v>1.24545500725245i</v>
      </c>
      <c r="AO153" s="170" t="str">
        <f t="shared" si="93"/>
        <v>0.760799610881475-0.546280497548807i</v>
      </c>
      <c r="AP153" s="170" t="str">
        <f t="shared" si="94"/>
        <v>0.053272036493913-0.157923614148008i</v>
      </c>
      <c r="AQ153" s="170" t="str">
        <f t="shared" si="95"/>
        <v>0.946727963506087+0.157923614148008i</v>
      </c>
      <c r="AR153" s="170" t="str">
        <f t="shared" si="96"/>
        <v>0.85605247560974-0.142798043429474i</v>
      </c>
    </row>
    <row r="154" spans="7:44">
      <c r="G154" s="691">
        <v>8709.6</v>
      </c>
      <c r="H154" s="676">
        <f t="shared" si="88"/>
        <v>8.7096</v>
      </c>
      <c r="I154" s="677">
        <f t="shared" si="66"/>
        <v>7.944703012665193</v>
      </c>
      <c r="J154" s="678">
        <f t="shared" si="67"/>
        <v>1.444591540084595</v>
      </c>
      <c r="K154" s="678">
        <f t="shared" si="68"/>
        <v>1.0000724695868226</v>
      </c>
      <c r="L154" s="679">
        <f t="shared" si="69"/>
        <v>1.2038705126300942E-2</v>
      </c>
      <c r="M154" s="678">
        <f t="shared" si="70"/>
        <v>1.0061102184482518</v>
      </c>
      <c r="N154" s="679">
        <f t="shared" si="71"/>
        <v>-0.11026574720494249</v>
      </c>
      <c r="O154" s="677">
        <f t="shared" si="72"/>
        <v>361178.60254799237</v>
      </c>
      <c r="P154" s="680">
        <f t="shared" si="73"/>
        <v>1.5707935580815982</v>
      </c>
      <c r="Q154" s="689">
        <f t="shared" si="97"/>
        <v>14.601819522040696</v>
      </c>
      <c r="R154" s="690">
        <f t="shared" si="98"/>
        <v>1.5022580639194087</v>
      </c>
      <c r="S154" s="677">
        <f t="shared" si="76"/>
        <v>1.0004841584271058</v>
      </c>
      <c r="T154" s="680">
        <f t="shared" si="77"/>
        <v>3.1111514480158812E-2</v>
      </c>
      <c r="U154" s="681">
        <f t="shared" si="89"/>
        <v>0.81125535208280808</v>
      </c>
      <c r="V154" s="682">
        <f t="shared" si="90"/>
        <v>-0.79177122066735417</v>
      </c>
      <c r="W154" s="683">
        <f t="shared" si="78"/>
        <v>2.3356716358081835</v>
      </c>
      <c r="X154" s="684">
        <f t="shared" si="79"/>
        <v>-139.47149579215147</v>
      </c>
      <c r="Y154" s="687">
        <f t="shared" si="80"/>
        <v>40.528504207848528</v>
      </c>
      <c r="AA154" s="170">
        <f t="shared" si="81"/>
        <v>1000000000</v>
      </c>
      <c r="AB154" s="170">
        <f t="shared" si="82"/>
        <v>75857132.160000011</v>
      </c>
      <c r="AD154" s="686">
        <f t="shared" si="83"/>
        <v>17.234945032226516</v>
      </c>
      <c r="AE154" s="687">
        <f t="shared" si="84"/>
        <v>-5.7093530428340786</v>
      </c>
      <c r="AG154" s="686">
        <f t="shared" si="85"/>
        <v>46.464238107736477</v>
      </c>
      <c r="AH154" s="687">
        <f t="shared" si="86"/>
        <v>-43.03184407732136</v>
      </c>
      <c r="AJ154" s="170">
        <f t="shared" si="87"/>
        <v>0</v>
      </c>
      <c r="AK154" s="170">
        <f t="shared" si="99"/>
        <v>0</v>
      </c>
      <c r="AM154" s="170" t="str">
        <f t="shared" si="91"/>
        <v>0.687128106816373+0.949795335035761i</v>
      </c>
      <c r="AN154" s="170" t="str">
        <f t="shared" si="92"/>
        <v>1.25258109724146i</v>
      </c>
      <c r="AO154" s="170" t="str">
        <f t="shared" si="93"/>
        <v>0.758270532045774-0.548569755946042i</v>
      </c>
      <c r="AP154" s="170" t="str">
        <f t="shared" si="94"/>
        <v>0.0521453155306045-0.15829922250596i</v>
      </c>
      <c r="AQ154" s="170" t="str">
        <f t="shared" si="95"/>
        <v>0.947854684469395+0.15829922250596i</v>
      </c>
      <c r="AR154" s="170" t="str">
        <f t="shared" si="96"/>
        <v>0.854979904127821-0.142788400267725i</v>
      </c>
    </row>
    <row r="155" spans="7:44">
      <c r="G155" s="691">
        <v>8760.3250000000007</v>
      </c>
      <c r="H155" s="676">
        <f t="shared" si="88"/>
        <v>8.7603249999999999</v>
      </c>
      <c r="I155" s="677">
        <f t="shared" si="66"/>
        <v>7.9902422448637251</v>
      </c>
      <c r="J155" s="678">
        <f t="shared" si="67"/>
        <v>1.4453146362724891</v>
      </c>
      <c r="K155" s="678">
        <f t="shared" si="68"/>
        <v>1.0000733161444795</v>
      </c>
      <c r="L155" s="679">
        <f t="shared" si="69"/>
        <v>1.2108812111743096E-2</v>
      </c>
      <c r="M155" s="678">
        <f t="shared" si="70"/>
        <v>1.0061813786695335</v>
      </c>
      <c r="N155" s="679">
        <f t="shared" si="71"/>
        <v>-0.11090270081479063</v>
      </c>
      <c r="O155" s="677">
        <f t="shared" si="72"/>
        <v>363282.11873864487</v>
      </c>
      <c r="P155" s="680">
        <f t="shared" si="73"/>
        <v>1.5707935741133072</v>
      </c>
      <c r="Q155" s="689">
        <f t="shared" si="97"/>
        <v>14.686463297144872</v>
      </c>
      <c r="R155" s="690">
        <f t="shared" si="98"/>
        <v>1.5026536907942771</v>
      </c>
      <c r="S155" s="677">
        <f t="shared" si="76"/>
        <v>1.0004898129745072</v>
      </c>
      <c r="T155" s="680">
        <f t="shared" si="77"/>
        <v>3.1292591053232441E-2</v>
      </c>
      <c r="U155" s="681">
        <f t="shared" si="89"/>
        <v>0.80960614913236961</v>
      </c>
      <c r="V155" s="682">
        <f t="shared" si="90"/>
        <v>-0.79560645096752602</v>
      </c>
      <c r="W155" s="683">
        <f t="shared" si="78"/>
        <v>2.2686878813658868</v>
      </c>
      <c r="X155" s="684">
        <f t="shared" si="79"/>
        <v>-139.75285467285468</v>
      </c>
      <c r="Y155" s="687">
        <f t="shared" si="80"/>
        <v>40.247145327145319</v>
      </c>
      <c r="AA155" s="170">
        <f t="shared" si="81"/>
        <v>1000000000</v>
      </c>
      <c r="AB155" s="170">
        <f t="shared" si="82"/>
        <v>76743294.105625018</v>
      </c>
      <c r="AD155" s="686">
        <f t="shared" si="83"/>
        <v>17.234660731902149</v>
      </c>
      <c r="AE155" s="687">
        <f t="shared" si="84"/>
        <v>-5.6970611345832047</v>
      </c>
      <c r="AG155" s="686">
        <f t="shared" si="85"/>
        <v>46.432889730193367</v>
      </c>
      <c r="AH155" s="687">
        <f t="shared" si="86"/>
        <v>-42.886009846452211</v>
      </c>
      <c r="AJ155" s="170">
        <f t="shared" si="87"/>
        <v>0</v>
      </c>
      <c r="AK155" s="170">
        <f t="shared" si="99"/>
        <v>0</v>
      </c>
      <c r="AM155" s="170" t="str">
        <f t="shared" si="91"/>
        <v>0.694065197763058+0.952052465350646i</v>
      </c>
      <c r="AN155" s="170" t="str">
        <f t="shared" si="92"/>
        <v>1.25987617120095i</v>
      </c>
      <c r="AO155" s="170" t="str">
        <f t="shared" si="93"/>
        <v>0.755671459714269-0.550899535707112i</v>
      </c>
      <c r="AP155" s="170" t="str">
        <f t="shared" si="94"/>
        <v>0.050989133706157-0.158675410891774i</v>
      </c>
      <c r="AQ155" s="170" t="str">
        <f t="shared" si="95"/>
        <v>0.949010866293843+0.158675410891774i</v>
      </c>
      <c r="AR155" s="170" t="str">
        <f t="shared" si="96"/>
        <v>0.853884715612679-0.142770238904826i</v>
      </c>
    </row>
    <row r="156" spans="7:44">
      <c r="G156" s="691">
        <v>8811.0499999999993</v>
      </c>
      <c r="H156" s="676">
        <f t="shared" si="88"/>
        <v>8.8110499999999998</v>
      </c>
      <c r="I156" s="677">
        <f t="shared" si="66"/>
        <v>8.0357856075516221</v>
      </c>
      <c r="J156" s="678">
        <f t="shared" si="67"/>
        <v>1.4460295364367901</v>
      </c>
      <c r="K156" s="678">
        <f t="shared" si="68"/>
        <v>1.0000741676174776</v>
      </c>
      <c r="L156" s="679">
        <f t="shared" si="69"/>
        <v>1.2178918978150266E-2</v>
      </c>
      <c r="M156" s="678">
        <f t="shared" si="70"/>
        <v>1.0062529470507293</v>
      </c>
      <c r="N156" s="679">
        <f t="shared" si="71"/>
        <v>-0.11153956407806027</v>
      </c>
      <c r="O156" s="677">
        <f t="shared" si="72"/>
        <v>365385.63492929738</v>
      </c>
      <c r="P156" s="680">
        <f t="shared" si="73"/>
        <v>1.5707935899604279</v>
      </c>
      <c r="Q156" s="689">
        <f t="shared" si="97"/>
        <v>14.771109344638084</v>
      </c>
      <c r="R156" s="690">
        <f t="shared" si="98"/>
        <v>1.5030447834391607</v>
      </c>
      <c r="S156" s="677">
        <f t="shared" si="76"/>
        <v>1.000495500326323</v>
      </c>
      <c r="T156" s="680">
        <f t="shared" si="77"/>
        <v>3.1473665573570939E-2</v>
      </c>
      <c r="U156" s="681">
        <f t="shared" si="89"/>
        <v>0.80795657033295065</v>
      </c>
      <c r="V156" s="682">
        <f t="shared" si="90"/>
        <v>-0.79943210273824383</v>
      </c>
      <c r="W156" s="683">
        <f t="shared" si="78"/>
        <v>2.2019490005851439</v>
      </c>
      <c r="X156" s="684">
        <f t="shared" si="79"/>
        <v>-140.03344964107959</v>
      </c>
      <c r="Y156" s="687">
        <f t="shared" si="80"/>
        <v>39.966550358920415</v>
      </c>
      <c r="AA156" s="170">
        <f t="shared" si="81"/>
        <v>1000000000</v>
      </c>
      <c r="AB156" s="170">
        <f t="shared" si="82"/>
        <v>77634602.102499992</v>
      </c>
      <c r="AD156" s="686">
        <f t="shared" si="83"/>
        <v>17.23438018522938</v>
      </c>
      <c r="AE156" s="687">
        <f t="shared" si="84"/>
        <v>-5.685028890384908</v>
      </c>
      <c r="AG156" s="686">
        <f t="shared" si="85"/>
        <v>46.401862638894293</v>
      </c>
      <c r="AH156" s="687">
        <f t="shared" si="86"/>
        <v>-42.740249657676692</v>
      </c>
      <c r="AJ156" s="170">
        <f t="shared" si="87"/>
        <v>0</v>
      </c>
      <c r="AK156" s="170">
        <f t="shared" si="99"/>
        <v>0</v>
      </c>
      <c r="AM156" s="170" t="str">
        <f t="shared" si="91"/>
        <v>0.701018569907685+0.954258929463044i</v>
      </c>
      <c r="AN156" s="170" t="str">
        <f t="shared" si="92"/>
        <v>1.26717124516044i</v>
      </c>
      <c r="AO156" s="170" t="str">
        <f t="shared" si="93"/>
        <v>0.753062329268861-0.553215338956754i</v>
      </c>
      <c r="AP156" s="170" t="str">
        <f t="shared" si="94"/>
        <v>0.0498302383487192-0.159043154910507i</v>
      </c>
      <c r="AQ156" s="170" t="str">
        <f t="shared" si="95"/>
        <v>0.950169761651281+0.159043154910507i</v>
      </c>
      <c r="AR156" s="170" t="str">
        <f t="shared" si="96"/>
        <v>0.852792433170044-0.142743754357602i</v>
      </c>
    </row>
    <row r="157" spans="7:44">
      <c r="G157" s="691">
        <v>8861.7749999999996</v>
      </c>
      <c r="H157" s="676">
        <f t="shared" si="88"/>
        <v>8.8617749999999997</v>
      </c>
      <c r="I157" s="677">
        <f t="shared" si="66"/>
        <v>8.0813330308952231</v>
      </c>
      <c r="J157" s="678">
        <f t="shared" si="67"/>
        <v>1.4467363784220062</v>
      </c>
      <c r="K157" s="678">
        <f t="shared" si="68"/>
        <v>1.0000750240058047</v>
      </c>
      <c r="L157" s="679">
        <f t="shared" si="69"/>
        <v>1.2249025724833613E-2</v>
      </c>
      <c r="M157" s="678">
        <f t="shared" si="70"/>
        <v>1.0063249235047562</v>
      </c>
      <c r="N157" s="679">
        <f t="shared" si="71"/>
        <v>-0.11217633649746586</v>
      </c>
      <c r="O157" s="677">
        <f t="shared" si="72"/>
        <v>367489.15111995011</v>
      </c>
      <c r="P157" s="680">
        <f t="shared" si="73"/>
        <v>1.5707936056261302</v>
      </c>
      <c r="Q157" s="689">
        <f t="shared" si="97"/>
        <v>14.855757625677068</v>
      </c>
      <c r="R157" s="690">
        <f t="shared" si="98"/>
        <v>1.5034314192416742</v>
      </c>
      <c r="S157" s="677">
        <f t="shared" si="76"/>
        <v>1.0005012204819936</v>
      </c>
      <c r="T157" s="680">
        <f t="shared" si="77"/>
        <v>3.1654738029335279E-2</v>
      </c>
      <c r="U157" s="681">
        <f t="shared" si="89"/>
        <v>0.80630668645470349</v>
      </c>
      <c r="V157" s="682">
        <f t="shared" si="90"/>
        <v>-0.80324820167173261</v>
      </c>
      <c r="W157" s="683">
        <f t="shared" si="78"/>
        <v>2.1354524520962697</v>
      </c>
      <c r="X157" s="684">
        <f t="shared" si="79"/>
        <v>-140.31328560385742</v>
      </c>
      <c r="Y157" s="687">
        <f t="shared" si="80"/>
        <v>39.686714396142577</v>
      </c>
      <c r="AA157" s="170">
        <f t="shared" si="81"/>
        <v>1000000000</v>
      </c>
      <c r="AB157" s="170">
        <f t="shared" si="82"/>
        <v>78531056.15062499</v>
      </c>
      <c r="AD157" s="686">
        <f t="shared" si="83"/>
        <v>17.234103300374684</v>
      </c>
      <c r="AE157" s="687">
        <f t="shared" si="84"/>
        <v>-5.6732518757587584</v>
      </c>
      <c r="AG157" s="686">
        <f t="shared" si="85"/>
        <v>46.371153203748236</v>
      </c>
      <c r="AH157" s="687">
        <f t="shared" si="86"/>
        <v>-42.594569908394405</v>
      </c>
      <c r="AJ157" s="170">
        <f t="shared" si="87"/>
        <v>0</v>
      </c>
      <c r="AK157" s="170">
        <f t="shared" si="99"/>
        <v>0</v>
      </c>
      <c r="AM157" s="170" t="str">
        <f t="shared" si="91"/>
        <v>0.707987853206611+0.956414609949637i</v>
      </c>
      <c r="AN157" s="170" t="str">
        <f t="shared" si="92"/>
        <v>1.27446631911993i</v>
      </c>
      <c r="AO157" s="170" t="str">
        <f t="shared" si="93"/>
        <v>0.750443221292878-0.555517115348725i</v>
      </c>
      <c r="AP157" s="170" t="str">
        <f t="shared" si="94"/>
        <v>0.0486686911322315-0.159402434991606i</v>
      </c>
      <c r="AQ157" s="170" t="str">
        <f t="shared" si="95"/>
        <v>0.951331308867769+0.159402434991606i</v>
      </c>
      <c r="AR157" s="170" t="str">
        <f t="shared" si="96"/>
        <v>0.851703111889998-0.142709010688162i</v>
      </c>
    </row>
    <row r="158" spans="7:44">
      <c r="G158" s="688">
        <v>8912.5</v>
      </c>
      <c r="H158" s="676">
        <f t="shared" si="88"/>
        <v>8.9124999999999996</v>
      </c>
      <c r="I158" s="677">
        <f t="shared" si="66"/>
        <v>8.1268844466202417</v>
      </c>
      <c r="J158" s="678">
        <f t="shared" si="67"/>
        <v>1.4474352970147799</v>
      </c>
      <c r="K158" s="678">
        <f t="shared" si="68"/>
        <v>1.000075885309448</v>
      </c>
      <c r="L158" s="679">
        <f t="shared" si="69"/>
        <v>1.2319132351104304E-2</v>
      </c>
      <c r="M158" s="678">
        <f t="shared" si="70"/>
        <v>1.0063973079440596</v>
      </c>
      <c r="N158" s="679">
        <f t="shared" si="71"/>
        <v>-0.11281301757615841</v>
      </c>
      <c r="O158" s="677">
        <f t="shared" si="72"/>
        <v>369592.6673106029</v>
      </c>
      <c r="P158" s="680">
        <f t="shared" si="73"/>
        <v>1.5707936211135116</v>
      </c>
      <c r="Q158" s="689">
        <f t="shared" ref="Q158:Q214" si="100">SQRT(1+(G158/Zero2)^2)</f>
        <v>14.940408102297837</v>
      </c>
      <c r="R158" s="690">
        <f t="shared" ref="R158:R214" si="101">ATAN(G158/Zero2)</f>
        <v>1.5038136738409575</v>
      </c>
      <c r="S158" s="677">
        <f t="shared" si="76"/>
        <v>1.0005069734409562</v>
      </c>
      <c r="T158" s="680">
        <f t="shared" si="77"/>
        <v>3.1835808408687237E-2</v>
      </c>
      <c r="U158" s="681">
        <f t="shared" si="89"/>
        <v>0.80465656731251078</v>
      </c>
      <c r="V158" s="682">
        <f t="shared" si="90"/>
        <v>-0.80705477393787906</v>
      </c>
      <c r="W158" s="683">
        <f t="shared" si="78"/>
        <v>2.0691957406677752</v>
      </c>
      <c r="X158" s="684">
        <f t="shared" si="79"/>
        <v>-140.59236742058576</v>
      </c>
      <c r="Y158" s="687">
        <f t="shared" si="80"/>
        <v>39.407632579414241</v>
      </c>
      <c r="AA158" s="170">
        <f t="shared" si="81"/>
        <v>1000000000</v>
      </c>
      <c r="AB158" s="170">
        <f t="shared" si="82"/>
        <v>79432656.25</v>
      </c>
      <c r="AD158" s="686">
        <f t="shared" si="83"/>
        <v>17.233829988098986</v>
      </c>
      <c r="AE158" s="687">
        <f t="shared" si="84"/>
        <v>-5.6617257564004744</v>
      </c>
      <c r="AG158" s="686">
        <f t="shared" si="85"/>
        <v>46.340757848550844</v>
      </c>
      <c r="AH158" s="687">
        <f t="shared" si="86"/>
        <v>-42.44897679345916</v>
      </c>
      <c r="AJ158" s="170">
        <f t="shared" si="87"/>
        <v>0</v>
      </c>
      <c r="AK158" s="170">
        <f t="shared" si="99"/>
        <v>0</v>
      </c>
      <c r="AM158" s="170" t="str">
        <f t="shared" si="91"/>
        <v>0.714972676769437+0.958519392089706i</v>
      </c>
      <c r="AN158" s="170" t="str">
        <f t="shared" si="92"/>
        <v>1.28176139307942i</v>
      </c>
      <c r="AO158" s="170" t="str">
        <f t="shared" si="93"/>
        <v>0.747814216643608-0.557804815022335i</v>
      </c>
      <c r="AP158" s="170" t="str">
        <f t="shared" si="94"/>
        <v>0.0475045538717605-0.159753232014951i</v>
      </c>
      <c r="AQ158" s="170" t="str">
        <f t="shared" si="95"/>
        <v>0.95249544612824+0.159753232014951i</v>
      </c>
      <c r="AR158" s="170" t="str">
        <f t="shared" si="96"/>
        <v>0.850616805767805-0.142666072032165i</v>
      </c>
    </row>
    <row r="159" spans="7:44">
      <c r="G159" s="688">
        <v>8964.4</v>
      </c>
      <c r="H159" s="676">
        <f t="shared" si="88"/>
        <v>8.9643999999999995</v>
      </c>
      <c r="I159" s="677">
        <f t="shared" si="66"/>
        <v>8.1734950833694189</v>
      </c>
      <c r="J159" s="678">
        <f t="shared" si="67"/>
        <v>1.4481423420799209</v>
      </c>
      <c r="K159" s="678">
        <f t="shared" si="68"/>
        <v>1.0000767716518428</v>
      </c>
      <c r="L159" s="679">
        <f t="shared" si="69"/>
        <v>1.2390862810349393E-2</v>
      </c>
      <c r="M159" s="678">
        <f t="shared" si="70"/>
        <v>1.0064717912840693</v>
      </c>
      <c r="N159" s="679">
        <f t="shared" si="71"/>
        <v>-0.11346435175520672</v>
      </c>
      <c r="O159" s="677">
        <f t="shared" si="72"/>
        <v>371744.90960325702</v>
      </c>
      <c r="P159" s="680">
        <f t="shared" si="73"/>
        <v>1.5707936367782369</v>
      </c>
      <c r="Q159" s="689">
        <f t="shared" si="100"/>
        <v>15.027021666497411</v>
      </c>
      <c r="R159" s="690">
        <f t="shared" si="101"/>
        <v>1.5042003255325413</v>
      </c>
      <c r="S159" s="677">
        <f t="shared" si="76"/>
        <v>1.000512893613444</v>
      </c>
      <c r="T159" s="680">
        <f t="shared" si="77"/>
        <v>3.2021070962618019E-2</v>
      </c>
      <c r="U159" s="681">
        <f t="shared" si="89"/>
        <v>0.80296805292986351</v>
      </c>
      <c r="V159" s="682">
        <f t="shared" si="90"/>
        <v>-0.81093968964959817</v>
      </c>
      <c r="W159" s="683">
        <f t="shared" si="78"/>
        <v>2.0016499303254456</v>
      </c>
      <c r="X159" s="684">
        <f t="shared" si="79"/>
        <v>-140.87713838994503</v>
      </c>
      <c r="Y159" s="687">
        <f t="shared" si="80"/>
        <v>39.122861610054969</v>
      </c>
      <c r="AA159" s="170">
        <f t="shared" si="81"/>
        <v>1000000000</v>
      </c>
      <c r="AB159" s="170">
        <f t="shared" si="82"/>
        <v>80360467.359999999</v>
      </c>
      <c r="AD159" s="686">
        <f t="shared" si="83"/>
        <v>17.233553952008489</v>
      </c>
      <c r="AE159" s="687">
        <f t="shared" si="84"/>
        <v>-5.650187906282647</v>
      </c>
      <c r="AG159" s="686">
        <f t="shared" si="85"/>
        <v>46.309979814443778</v>
      </c>
      <c r="AH159" s="687">
        <f t="shared" si="86"/>
        <v>-42.300107064336423</v>
      </c>
      <c r="AJ159" s="170">
        <f t="shared" si="87"/>
        <v>0</v>
      </c>
      <c r="AK159" s="170">
        <f t="shared" si="99"/>
        <v>0</v>
      </c>
      <c r="AM159" s="170" t="str">
        <f t="shared" si="91"/>
        <v>0.722134994314755+0.960620132318462i</v>
      </c>
      <c r="AN159" s="170" t="str">
        <f t="shared" si="92"/>
        <v>1.28922545100939i</v>
      </c>
      <c r="AO159" s="170" t="str">
        <f t="shared" si="93"/>
        <v>0.745114154833316-0.560130886145138i</v>
      </c>
      <c r="AP159" s="170" t="str">
        <f t="shared" si="94"/>
        <v>0.0463108342808742-0.16010335538641i</v>
      </c>
      <c r="AQ159" s="170" t="str">
        <f t="shared" si="95"/>
        <v>0.953689165719126+0.16010335538641i</v>
      </c>
      <c r="AR159" s="170" t="str">
        <f t="shared" si="96"/>
        <v>0.849508512231205-0.142613723764992i</v>
      </c>
    </row>
    <row r="160" spans="7:44">
      <c r="G160" s="688">
        <v>9016.2999999999993</v>
      </c>
      <c r="H160" s="676">
        <f t="shared" si="88"/>
        <v>9.0162999999999993</v>
      </c>
      <c r="I160" s="677">
        <f t="shared" si="66"/>
        <v>8.2201097598133792</v>
      </c>
      <c r="J160" s="678">
        <f t="shared" si="67"/>
        <v>1.4488413684554868</v>
      </c>
      <c r="K160" s="678">
        <f t="shared" si="68"/>
        <v>1.0000776631398822</v>
      </c>
      <c r="L160" s="679">
        <f t="shared" si="69"/>
        <v>1.2462593142079793E-2</v>
      </c>
      <c r="M160" s="678">
        <f t="shared" si="70"/>
        <v>1.006546701542562</v>
      </c>
      <c r="N160" s="679">
        <f t="shared" si="71"/>
        <v>-0.11411558926196907</v>
      </c>
      <c r="O160" s="677">
        <f t="shared" si="72"/>
        <v>373897.15189591126</v>
      </c>
      <c r="P160" s="680">
        <f t="shared" si="73"/>
        <v>1.5707936522626225</v>
      </c>
      <c r="Q160" s="689">
        <f t="shared" si="100"/>
        <v>15.113637451480521</v>
      </c>
      <c r="R160" s="690">
        <f t="shared" si="101"/>
        <v>1.5045825455031456</v>
      </c>
      <c r="S160" s="677">
        <f t="shared" si="76"/>
        <v>1.000518848125342</v>
      </c>
      <c r="T160" s="680">
        <f t="shared" si="77"/>
        <v>3.2206331317755257E-2</v>
      </c>
      <c r="U160" s="681">
        <f t="shared" si="89"/>
        <v>0.80127943707907501</v>
      </c>
      <c r="V160" s="682">
        <f t="shared" si="90"/>
        <v>-0.81481468914588229</v>
      </c>
      <c r="W160" s="683">
        <f t="shared" si="78"/>
        <v>1.9343500552707136</v>
      </c>
      <c r="X160" s="684">
        <f t="shared" si="79"/>
        <v>-141.1611300159262</v>
      </c>
      <c r="Y160" s="687">
        <f t="shared" si="80"/>
        <v>38.838869984073796</v>
      </c>
      <c r="AA160" s="170">
        <f t="shared" si="81"/>
        <v>1000000000</v>
      </c>
      <c r="AB160" s="170">
        <f t="shared" si="82"/>
        <v>81293665.689999983</v>
      </c>
      <c r="AD160" s="686">
        <f t="shared" si="83"/>
        <v>17.233281474862927</v>
      </c>
      <c r="AE160" s="687">
        <f t="shared" si="84"/>
        <v>-5.638903838758905</v>
      </c>
      <c r="AG160" s="686">
        <f t="shared" si="85"/>
        <v>46.279523173675727</v>
      </c>
      <c r="AH160" s="687">
        <f t="shared" si="86"/>
        <v>-42.15134052382917</v>
      </c>
      <c r="AJ160" s="170">
        <f t="shared" si="87"/>
        <v>0</v>
      </c>
      <c r="AK160" s="170">
        <f t="shared" si="99"/>
        <v>0</v>
      </c>
      <c r="AM160" s="170" t="str">
        <f t="shared" si="91"/>
        <v>0.729312792248066+0.96266735457242i</v>
      </c>
      <c r="AN160" s="170" t="str">
        <f t="shared" si="92"/>
        <v>1.29668950893935i</v>
      </c>
      <c r="AO160" s="170" t="str">
        <f t="shared" si="93"/>
        <v>0.74240390466323-0.562442116806066i</v>
      </c>
      <c r="AP160" s="170" t="str">
        <f t="shared" si="94"/>
        <v>0.0451145346253223-0.160444559095403i</v>
      </c>
      <c r="AQ160" s="170" t="str">
        <f t="shared" si="95"/>
        <v>0.954885465374678+0.160444559095403i</v>
      </c>
      <c r="AR160" s="170" t="str">
        <f t="shared" si="96"/>
        <v>0.848403486051079-0.142552932461965i</v>
      </c>
    </row>
    <row r="161" spans="7:44">
      <c r="G161" s="688">
        <v>9068.2000000000007</v>
      </c>
      <c r="H161" s="676">
        <f t="shared" si="88"/>
        <v>9.0682000000000009</v>
      </c>
      <c r="I161" s="677">
        <f t="shared" si="66"/>
        <v>8.2667284076146661</v>
      </c>
      <c r="J161" s="678">
        <f t="shared" si="67"/>
        <v>1.4495325111121311</v>
      </c>
      <c r="K161" s="678">
        <f t="shared" si="68"/>
        <v>1.0000785597735524</v>
      </c>
      <c r="L161" s="679">
        <f t="shared" si="69"/>
        <v>1.2534323345557707E-2</v>
      </c>
      <c r="M161" s="678">
        <f t="shared" si="70"/>
        <v>1.0066220386242268</v>
      </c>
      <c r="N161" s="679">
        <f t="shared" si="71"/>
        <v>-0.11476672956569664</v>
      </c>
      <c r="O161" s="677">
        <f t="shared" si="72"/>
        <v>376049.39418856561</v>
      </c>
      <c r="P161" s="680">
        <f t="shared" si="73"/>
        <v>1.5707936675697642</v>
      </c>
      <c r="Q161" s="689">
        <f t="shared" si="100"/>
        <v>15.200255419283017</v>
      </c>
      <c r="R161" s="690">
        <f t="shared" si="101"/>
        <v>1.5049604094020101</v>
      </c>
      <c r="S161" s="677">
        <f t="shared" si="76"/>
        <v>1.0005248369760376</v>
      </c>
      <c r="T161" s="680">
        <f t="shared" si="77"/>
        <v>3.2391589461421552E-2</v>
      </c>
      <c r="U161" s="681">
        <f t="shared" si="89"/>
        <v>0.79959079146130008</v>
      </c>
      <c r="V161" s="682">
        <f t="shared" si="90"/>
        <v>-0.818679801948064</v>
      </c>
      <c r="W161" s="683">
        <f t="shared" si="78"/>
        <v>1.8672935856509374</v>
      </c>
      <c r="X161" s="684">
        <f t="shared" si="79"/>
        <v>-141.44434735792743</v>
      </c>
      <c r="Y161" s="687">
        <f t="shared" si="80"/>
        <v>38.555652642072573</v>
      </c>
      <c r="AA161" s="170">
        <f t="shared" si="81"/>
        <v>1000000000</v>
      </c>
      <c r="AB161" s="170">
        <f t="shared" si="82"/>
        <v>82232251.24000001</v>
      </c>
      <c r="AD161" s="686">
        <f t="shared" si="83"/>
        <v>17.233012468951877</v>
      </c>
      <c r="AE161" s="687">
        <f t="shared" si="84"/>
        <v>-5.6278692188981303</v>
      </c>
      <c r="AG161" s="686">
        <f t="shared" si="85"/>
        <v>46.249384264365162</v>
      </c>
      <c r="AH161" s="687">
        <f t="shared" si="86"/>
        <v>-42.002683183371047</v>
      </c>
      <c r="AJ161" s="170">
        <f t="shared" si="87"/>
        <v>0</v>
      </c>
      <c r="AK161" s="170">
        <f t="shared" si="99"/>
        <v>0</v>
      </c>
      <c r="AM161" s="170" t="str">
        <f t="shared" si="91"/>
        <v>0.736505670680612+0.964660944796941i</v>
      </c>
      <c r="AN161" s="170" t="str">
        <f t="shared" si="92"/>
        <v>1.30415356686932i</v>
      </c>
      <c r="AO161" s="170" t="str">
        <f t="shared" si="93"/>
        <v>0.739683553611446-0.564738455187166i</v>
      </c>
      <c r="AP161" s="170" t="str">
        <f t="shared" si="94"/>
        <v>0.0439157215532313-0.160776824132823i</v>
      </c>
      <c r="AQ161" s="170" t="str">
        <f t="shared" si="95"/>
        <v>0.956084278446769+0.160776824132823i</v>
      </c>
      <c r="AR161" s="170" t="str">
        <f t="shared" si="96"/>
        <v>0.847301781568895-0.142483766958327i</v>
      </c>
    </row>
    <row r="162" spans="7:44">
      <c r="G162" s="688">
        <v>9120.1</v>
      </c>
      <c r="H162" s="676">
        <f t="shared" si="88"/>
        <v>9.1201000000000008</v>
      </c>
      <c r="I162" s="677">
        <f t="shared" si="66"/>
        <v>8.3133509599629214</v>
      </c>
      <c r="J162" s="678">
        <f t="shared" si="67"/>
        <v>1.4502159020232785</v>
      </c>
      <c r="K162" s="678">
        <f t="shared" si="68"/>
        <v>1.0000794615528397</v>
      </c>
      <c r="L162" s="679">
        <f t="shared" si="69"/>
        <v>1.2606053420045341E-2</v>
      </c>
      <c r="M162" s="678">
        <f t="shared" si="70"/>
        <v>1.0066978024332394</v>
      </c>
      <c r="N162" s="679">
        <f t="shared" si="71"/>
        <v>-0.11541777213612875</v>
      </c>
      <c r="O162" s="677">
        <f t="shared" si="72"/>
        <v>378201.63648122014</v>
      </c>
      <c r="P162" s="680">
        <f t="shared" si="73"/>
        <v>1.5707936827026887</v>
      </c>
      <c r="Q162" s="689">
        <f t="shared" si="100"/>
        <v>15.28687553280025</v>
      </c>
      <c r="R162" s="690">
        <f t="shared" si="101"/>
        <v>1.5053339911688091</v>
      </c>
      <c r="S162" s="677">
        <f t="shared" si="76"/>
        <v>1.0005308601649139</v>
      </c>
      <c r="T162" s="680">
        <f t="shared" si="77"/>
        <v>3.257684538094037E-2</v>
      </c>
      <c r="U162" s="681">
        <f t="shared" si="89"/>
        <v>0.79790218674938507</v>
      </c>
      <c r="V162" s="682">
        <f t="shared" si="90"/>
        <v>-0.82253505805920191</v>
      </c>
      <c r="W162" s="683">
        <f t="shared" si="78"/>
        <v>1.8004780374579001</v>
      </c>
      <c r="X162" s="684">
        <f t="shared" si="79"/>
        <v>-141.72679542919388</v>
      </c>
      <c r="Y162" s="687">
        <f t="shared" si="80"/>
        <v>38.273204570806115</v>
      </c>
      <c r="AA162" s="170">
        <f t="shared" si="81"/>
        <v>1000000000</v>
      </c>
      <c r="AB162" s="170">
        <f t="shared" si="82"/>
        <v>83176224.010000005</v>
      </c>
      <c r="AD162" s="686">
        <f t="shared" si="83"/>
        <v>17.232746849043089</v>
      </c>
      <c r="AE162" s="687">
        <f t="shared" si="84"/>
        <v>-5.6170798097161292</v>
      </c>
      <c r="AG162" s="686">
        <f t="shared" si="85"/>
        <v>46.219559479371469</v>
      </c>
      <c r="AH162" s="687">
        <f t="shared" si="86"/>
        <v>-41.854140855094244</v>
      </c>
      <c r="AJ162" s="170">
        <f t="shared" si="87"/>
        <v>0</v>
      </c>
      <c r="AK162" s="170">
        <f t="shared" si="99"/>
        <v>0</v>
      </c>
      <c r="AM162" s="170" t="str">
        <f t="shared" si="91"/>
        <v>0.743713228883435+0.966600791925315i</v>
      </c>
      <c r="AN162" s="170" t="str">
        <f t="shared" si="92"/>
        <v>1.31161762479928i</v>
      </c>
      <c r="AO162" s="170" t="str">
        <f t="shared" si="93"/>
        <v>0.736953189442873-0.567019850009447i</v>
      </c>
      <c r="AP162" s="170" t="str">
        <f t="shared" si="94"/>
        <v>0.0427144618527608-0.161100131987552i</v>
      </c>
      <c r="AQ162" s="170" t="str">
        <f t="shared" si="95"/>
        <v>0.957285538147239+0.161100131987552i</v>
      </c>
      <c r="AR162" s="170" t="str">
        <f t="shared" si="96"/>
        <v>0.846203451970778-0.142406296103312i</v>
      </c>
    </row>
    <row r="163" spans="7:44">
      <c r="G163" s="688">
        <v>9173.2000000000007</v>
      </c>
      <c r="H163" s="676">
        <f t="shared" si="88"/>
        <v>9.1732000000000014</v>
      </c>
      <c r="I163" s="677">
        <f t="shared" si="66"/>
        <v>8.3610554632877054</v>
      </c>
      <c r="J163" s="678">
        <f t="shared" si="67"/>
        <v>1.4509072057974337</v>
      </c>
      <c r="K163" s="678">
        <f t="shared" si="68"/>
        <v>1.000080389507954</v>
      </c>
      <c r="L163" s="679">
        <f t="shared" si="69"/>
        <v>1.2679441859097201E-2</v>
      </c>
      <c r="M163" s="678">
        <f t="shared" si="70"/>
        <v>1.0067757595473485</v>
      </c>
      <c r="N163" s="679">
        <f t="shared" si="71"/>
        <v>-0.11608376601244819</v>
      </c>
      <c r="O163" s="677">
        <f t="shared" si="72"/>
        <v>380403.64160145045</v>
      </c>
      <c r="P163" s="680">
        <f t="shared" si="73"/>
        <v>1.5707936980082851</v>
      </c>
      <c r="Q163" s="689">
        <f t="shared" si="100"/>
        <v>15.375500606393494</v>
      </c>
      <c r="R163" s="690">
        <f t="shared" si="101"/>
        <v>1.5057118542452603</v>
      </c>
      <c r="S163" s="677">
        <f t="shared" si="76"/>
        <v>1.0005370581559048</v>
      </c>
      <c r="T163" s="680">
        <f t="shared" si="77"/>
        <v>3.276638235922115E-2</v>
      </c>
      <c r="U163" s="681">
        <f t="shared" si="89"/>
        <v>0.79617465412277311</v>
      </c>
      <c r="V163" s="682">
        <f t="shared" si="90"/>
        <v>-0.82646928364912209</v>
      </c>
      <c r="W163" s="683">
        <f t="shared" si="78"/>
        <v>1.7323644188597043</v>
      </c>
      <c r="X163" s="684">
        <f t="shared" si="79"/>
        <v>-142.01498311691918</v>
      </c>
      <c r="Y163" s="687">
        <f t="shared" si="80"/>
        <v>37.985016883080817</v>
      </c>
      <c r="AA163" s="170">
        <f t="shared" si="81"/>
        <v>1000000000</v>
      </c>
      <c r="AB163" s="170">
        <f t="shared" si="82"/>
        <v>84147598.24000001</v>
      </c>
      <c r="AD163" s="686">
        <f t="shared" si="83"/>
        <v>17.232478505595136</v>
      </c>
      <c r="AE163" s="687">
        <f t="shared" si="84"/>
        <v>-5.6062903960525476</v>
      </c>
      <c r="AG163" s="686">
        <f t="shared" si="85"/>
        <v>46.18936650110038</v>
      </c>
      <c r="AH163" s="687">
        <f t="shared" si="86"/>
        <v>-41.702288912058428</v>
      </c>
      <c r="AJ163" s="170">
        <f t="shared" si="87"/>
        <v>0</v>
      </c>
      <c r="AK163" s="170">
        <f t="shared" si="99"/>
        <v>0</v>
      </c>
      <c r="AM163" s="170" t="str">
        <f t="shared" si="91"/>
        <v>0.751102209861655+0.968529756932769i</v>
      </c>
      <c r="AN163" s="170" t="str">
        <f t="shared" si="92"/>
        <v>1.31925426210335i</v>
      </c>
      <c r="AO163" s="170" t="str">
        <f t="shared" si="93"/>
        <v>0.734149424227439-0.569338475104971i</v>
      </c>
      <c r="AP163" s="170" t="str">
        <f t="shared" si="94"/>
        <v>0.0414829650230575-0.161421626155461i</v>
      </c>
      <c r="AQ163" s="170" t="str">
        <f t="shared" si="95"/>
        <v>0.958517034976943+0.161421626155461i</v>
      </c>
      <c r="AR163" s="170" t="str">
        <f t="shared" si="96"/>
        <v>0.845083274572315-0.142318510198962i</v>
      </c>
    </row>
    <row r="164" spans="7:44">
      <c r="G164" s="688">
        <v>9226.2999999999993</v>
      </c>
      <c r="H164" s="676">
        <f t="shared" si="88"/>
        <v>9.2262999999999984</v>
      </c>
      <c r="I164" s="677">
        <f t="shared" si="66"/>
        <v>8.4087639170300257</v>
      </c>
      <c r="J164" s="678">
        <f t="shared" si="67"/>
        <v>1.4515906654522506</v>
      </c>
      <c r="K164" s="678">
        <f t="shared" si="68"/>
        <v>1.0000813228493539</v>
      </c>
      <c r="L164" s="679">
        <f t="shared" si="69"/>
        <v>1.2752830161562518E-2</v>
      </c>
      <c r="M164" s="678">
        <f t="shared" si="70"/>
        <v>1.0068541631454089</v>
      </c>
      <c r="N164" s="679">
        <f t="shared" si="71"/>
        <v>-0.11674965646237676</v>
      </c>
      <c r="O164" s="677">
        <f t="shared" si="72"/>
        <v>382605.64672168082</v>
      </c>
      <c r="P164" s="680">
        <f t="shared" si="73"/>
        <v>1.5707937131377052</v>
      </c>
      <c r="Q164" s="689">
        <f t="shared" si="100"/>
        <v>15.464127850145468</v>
      </c>
      <c r="R164" s="690">
        <f t="shared" si="101"/>
        <v>1.5060853861942325</v>
      </c>
      <c r="S164" s="677">
        <f t="shared" si="76"/>
        <v>1.0005432920900095</v>
      </c>
      <c r="T164" s="680">
        <f t="shared" si="77"/>
        <v>3.2955916982471863E-2</v>
      </c>
      <c r="U164" s="681">
        <f t="shared" si="89"/>
        <v>0.79444731070990893</v>
      </c>
      <c r="V164" s="682">
        <f t="shared" si="90"/>
        <v>-0.83039325651695184</v>
      </c>
      <c r="W164" s="683">
        <f t="shared" si="78"/>
        <v>1.6644978730166813</v>
      </c>
      <c r="X164" s="684">
        <f t="shared" si="79"/>
        <v>-142.302376024235</v>
      </c>
      <c r="Y164" s="687">
        <f t="shared" si="80"/>
        <v>37.697623975764998</v>
      </c>
      <c r="AA164" s="170">
        <f t="shared" si="81"/>
        <v>1000000000</v>
      </c>
      <c r="AB164" s="170">
        <f t="shared" si="82"/>
        <v>85124611.689999983</v>
      </c>
      <c r="AD164" s="686">
        <f t="shared" si="83"/>
        <v>17.232213533623845</v>
      </c>
      <c r="AE164" s="687">
        <f t="shared" si="84"/>
        <v>-5.5957489926868824</v>
      </c>
      <c r="AG164" s="686">
        <f t="shared" si="85"/>
        <v>46.159494873075666</v>
      </c>
      <c r="AH164" s="687">
        <f t="shared" si="86"/>
        <v>-41.550569053725127</v>
      </c>
      <c r="AJ164" s="170">
        <f t="shared" si="87"/>
        <v>0</v>
      </c>
      <c r="AK164" s="170">
        <f t="shared" si="99"/>
        <v>0</v>
      </c>
      <c r="AM164" s="170" t="str">
        <f t="shared" si="91"/>
        <v>0.758505706047733+0.970402239274259i</v>
      </c>
      <c r="AN164" s="170" t="str">
        <f t="shared" si="92"/>
        <v>1.32689089940742i</v>
      </c>
      <c r="AO164" s="170" t="str">
        <f t="shared" si="93"/>
        <v>0.731335364277224-0.571641350759491i</v>
      </c>
      <c r="AP164" s="170" t="str">
        <f t="shared" si="94"/>
        <v>0.0402490489920445-0.16173370654571i</v>
      </c>
      <c r="AQ164" s="170" t="str">
        <f t="shared" si="95"/>
        <v>0.959750951007955+0.16173370654571i</v>
      </c>
      <c r="AR164" s="170" t="str">
        <f t="shared" si="96"/>
        <v>0.843966738908352-0.142222176223519i</v>
      </c>
    </row>
    <row r="165" spans="7:44">
      <c r="G165" s="688">
        <v>9279.4</v>
      </c>
      <c r="H165" s="676">
        <f t="shared" si="88"/>
        <v>9.279399999999999</v>
      </c>
      <c r="I165" s="677">
        <f t="shared" si="66"/>
        <v>8.4564762543293011</v>
      </c>
      <c r="J165" s="678">
        <f t="shared" si="67"/>
        <v>1.4522664131158158</v>
      </c>
      <c r="K165" s="678">
        <f t="shared" si="68"/>
        <v>1.0000822615770248</v>
      </c>
      <c r="L165" s="679">
        <f t="shared" si="69"/>
        <v>1.2826218326651168E-2</v>
      </c>
      <c r="M165" s="678">
        <f t="shared" si="70"/>
        <v>1.0069330131231256</v>
      </c>
      <c r="N165" s="679">
        <f t="shared" si="71"/>
        <v>-0.11741544291961822</v>
      </c>
      <c r="O165" s="677">
        <f t="shared" si="72"/>
        <v>384807.65184191137</v>
      </c>
      <c r="P165" s="680">
        <f t="shared" si="73"/>
        <v>1.5707937280939737</v>
      </c>
      <c r="Q165" s="689">
        <f t="shared" si="100"/>
        <v>15.552757226956285</v>
      </c>
      <c r="R165" s="690">
        <f t="shared" si="101"/>
        <v>1.5064546609550413</v>
      </c>
      <c r="S165" s="677">
        <f t="shared" si="76"/>
        <v>1.0005495619665556</v>
      </c>
      <c r="T165" s="680">
        <f t="shared" si="77"/>
        <v>3.3145449237119193E-2</v>
      </c>
      <c r="U165" s="681">
        <f t="shared" si="89"/>
        <v>0.7927202288925429</v>
      </c>
      <c r="V165" s="682">
        <f t="shared" si="90"/>
        <v>-0.83430701029393961</v>
      </c>
      <c r="W165" s="683">
        <f t="shared" si="78"/>
        <v>1.5968758814370965</v>
      </c>
      <c r="X165" s="684">
        <f t="shared" si="79"/>
        <v>-142.58897937903544</v>
      </c>
      <c r="Y165" s="687">
        <f t="shared" si="80"/>
        <v>37.411020620964564</v>
      </c>
      <c r="AA165" s="170">
        <f t="shared" si="81"/>
        <v>1000000000</v>
      </c>
      <c r="AB165" s="170">
        <f t="shared" si="82"/>
        <v>86107264.359999999</v>
      </c>
      <c r="AD165" s="686">
        <f t="shared" si="83"/>
        <v>17.231951849368052</v>
      </c>
      <c r="AE165" s="687">
        <f t="shared" si="84"/>
        <v>-5.5854513626040241</v>
      </c>
      <c r="AG165" s="686">
        <f t="shared" si="85"/>
        <v>46.129940903414735</v>
      </c>
      <c r="AH165" s="687">
        <f t="shared" si="86"/>
        <v>-41.398986891146365</v>
      </c>
      <c r="AJ165" s="170">
        <f t="shared" si="87"/>
        <v>0</v>
      </c>
      <c r="AK165" s="170">
        <f t="shared" si="99"/>
        <v>0</v>
      </c>
      <c r="AM165" s="170" t="str">
        <f t="shared" si="91"/>
        <v>0.765923285684981+0.972218129750461i</v>
      </c>
      <c r="AN165" s="170" t="str">
        <f t="shared" si="92"/>
        <v>1.33452753671149i</v>
      </c>
      <c r="AO165" s="170" t="str">
        <f t="shared" si="93"/>
        <v>0.728511104496335-0.573928423816829i</v>
      </c>
      <c r="AP165" s="170" t="str">
        <f t="shared" si="94"/>
        <v>0.0390127857191698-0.16203635495841i</v>
      </c>
      <c r="AQ165" s="170" t="str">
        <f t="shared" si="95"/>
        <v>0.96098721428083+0.16203635495841i</v>
      </c>
      <c r="AR165" s="170" t="str">
        <f t="shared" si="96"/>
        <v>0.84285389826179-0.142117367855964i</v>
      </c>
    </row>
    <row r="166" spans="7:44">
      <c r="G166" s="688">
        <v>9332.5</v>
      </c>
      <c r="H166" s="676">
        <f t="shared" si="88"/>
        <v>9.3324999999999996</v>
      </c>
      <c r="I166" s="677">
        <f t="shared" si="66"/>
        <v>8.5041924098200408</v>
      </c>
      <c r="J166" s="678">
        <f t="shared" si="67"/>
        <v>1.4529345779793241</v>
      </c>
      <c r="K166" s="678">
        <f t="shared" si="68"/>
        <v>1.0000832056909514</v>
      </c>
      <c r="L166" s="679">
        <f t="shared" si="69"/>
        <v>1.2899606353573024E-2</v>
      </c>
      <c r="M166" s="678">
        <f t="shared" si="70"/>
        <v>1.0070123093756431</v>
      </c>
      <c r="N166" s="679">
        <f t="shared" si="71"/>
        <v>-0.11808112481842188</v>
      </c>
      <c r="O166" s="677">
        <f t="shared" si="72"/>
        <v>387009.65696214198</v>
      </c>
      <c r="P166" s="680">
        <f t="shared" si="73"/>
        <v>1.5707937428800458</v>
      </c>
      <c r="Q166" s="689">
        <f t="shared" si="100"/>
        <v>15.641388700566052</v>
      </c>
      <c r="R166" s="690">
        <f t="shared" si="101"/>
        <v>1.5068197507958079</v>
      </c>
      <c r="S166" s="677">
        <f t="shared" si="76"/>
        <v>1.0005558677848676</v>
      </c>
      <c r="T166" s="680">
        <f t="shared" si="77"/>
        <v>3.3334979109590872E-2</v>
      </c>
      <c r="U166" s="681">
        <f t="shared" si="89"/>
        <v>0.79099347994968527</v>
      </c>
      <c r="V166" s="682">
        <f t="shared" si="90"/>
        <v>-0.83821057909424579</v>
      </c>
      <c r="W166" s="683">
        <f t="shared" si="78"/>
        <v>1.5294959711330482</v>
      </c>
      <c r="X166" s="684">
        <f t="shared" si="79"/>
        <v>-142.87479836439155</v>
      </c>
      <c r="Y166" s="687">
        <f t="shared" si="80"/>
        <v>37.125201635608448</v>
      </c>
      <c r="AA166" s="170">
        <f t="shared" si="81"/>
        <v>1000000000</v>
      </c>
      <c r="AB166" s="170">
        <f t="shared" si="82"/>
        <v>87095556.25</v>
      </c>
      <c r="AD166" s="686">
        <f t="shared" si="83"/>
        <v>17.231693371433305</v>
      </c>
      <c r="AE166" s="687">
        <f t="shared" si="84"/>
        <v>-5.5753933645373133</v>
      </c>
      <c r="AG166" s="686">
        <f t="shared" si="85"/>
        <v>46.100700955836189</v>
      </c>
      <c r="AH166" s="687">
        <f t="shared" si="86"/>
        <v>-41.247547839465078</v>
      </c>
      <c r="AJ166" s="170">
        <f t="shared" si="87"/>
        <v>0</v>
      </c>
      <c r="AK166" s="170">
        <f t="shared" si="99"/>
        <v>0</v>
      </c>
      <c r="AM166" s="170" t="str">
        <f t="shared" si="91"/>
        <v>0.77335451619539+0.973977322462373i</v>
      </c>
      <c r="AN166" s="170" t="str">
        <f t="shared" si="92"/>
        <v>1.34216417401556i</v>
      </c>
      <c r="AO166" s="170" t="str">
        <f t="shared" si="93"/>
        <v>0.725676740087894-0.576199641718662i</v>
      </c>
      <c r="AP166" s="170" t="str">
        <f t="shared" si="94"/>
        <v>0.0377742473007683-0.162329553743729i</v>
      </c>
      <c r="AQ166" s="170" t="str">
        <f t="shared" si="95"/>
        <v>0.962225752699232+0.162329553743729i</v>
      </c>
      <c r="AR166" s="170" t="str">
        <f t="shared" si="96"/>
        <v>0.841744804701737-0.142004158722663i</v>
      </c>
    </row>
    <row r="167" spans="7:44">
      <c r="G167" s="688">
        <v>9386.85</v>
      </c>
      <c r="H167" s="676">
        <f t="shared" si="88"/>
        <v>9.3868500000000008</v>
      </c>
      <c r="I167" s="677">
        <f t="shared" si="66"/>
        <v>8.5530357143504911</v>
      </c>
      <c r="J167" s="678">
        <f t="shared" si="67"/>
        <v>1.4536107509560672</v>
      </c>
      <c r="K167" s="678">
        <f t="shared" si="68"/>
        <v>1.000084177607707</v>
      </c>
      <c r="L167" s="679">
        <f t="shared" si="69"/>
        <v>1.2974721826673995E-2</v>
      </c>
      <c r="M167" s="678">
        <f t="shared" si="70"/>
        <v>1.0070939343474883</v>
      </c>
      <c r="N167" s="679">
        <f t="shared" si="71"/>
        <v>-0.11876236832571939</v>
      </c>
      <c r="O167" s="677">
        <f t="shared" si="72"/>
        <v>389263.49836109753</v>
      </c>
      <c r="P167" s="680">
        <f t="shared" si="73"/>
        <v>1.570793757840951</v>
      </c>
      <c r="Q167" s="689">
        <f t="shared" si="100"/>
        <v>15.732108736893762</v>
      </c>
      <c r="R167" s="690">
        <f t="shared" si="101"/>
        <v>1.5071891749001767</v>
      </c>
      <c r="S167" s="677">
        <f t="shared" si="76"/>
        <v>1.0005623592653761</v>
      </c>
      <c r="T167" s="680">
        <f t="shared" si="77"/>
        <v>3.3528968126945786E-2</v>
      </c>
      <c r="U167" s="681">
        <f t="shared" si="89"/>
        <v>0.78922650045604625</v>
      </c>
      <c r="V167" s="682">
        <f t="shared" si="90"/>
        <v>-0.84219552847847223</v>
      </c>
      <c r="W167" s="683">
        <f t="shared" si="78"/>
        <v>1.4607780666719927</v>
      </c>
      <c r="X167" s="684">
        <f t="shared" si="79"/>
        <v>-143.16653874913885</v>
      </c>
      <c r="Y167" s="687">
        <f t="shared" si="80"/>
        <v>36.833461250861149</v>
      </c>
      <c r="AA167" s="170">
        <f t="shared" si="81"/>
        <v>1000000000</v>
      </c>
      <c r="AB167" s="170">
        <f t="shared" si="82"/>
        <v>88112952.922499999</v>
      </c>
      <c r="AD167" s="686">
        <f t="shared" si="83"/>
        <v>17.231432046676534</v>
      </c>
      <c r="AE167" s="687">
        <f t="shared" si="84"/>
        <v>-5.56534253165814</v>
      </c>
      <c r="AG167" s="686">
        <f t="shared" si="85"/>
        <v>46.071094145053792</v>
      </c>
      <c r="AH167" s="687">
        <f t="shared" si="86"/>
        <v>-41.092697493990904</v>
      </c>
      <c r="AJ167" s="170">
        <f t="shared" si="87"/>
        <v>0</v>
      </c>
      <c r="AK167" s="170">
        <f t="shared" si="99"/>
        <v>0</v>
      </c>
      <c r="AM167" s="170" t="str">
        <f t="shared" si="91"/>
        <v>0.780974365865193+0.975719104861561i</v>
      </c>
      <c r="AN167" s="170" t="str">
        <f t="shared" si="92"/>
        <v>1.34998058150099i</v>
      </c>
      <c r="AO167" s="170" t="str">
        <f t="shared" si="93"/>
        <v>0.722765288798967-0.578507851569878i</v>
      </c>
      <c r="AP167" s="170" t="str">
        <f t="shared" si="94"/>
        <v>0.0365042723558012-0.16261985081026i</v>
      </c>
      <c r="AQ167" s="170" t="str">
        <f t="shared" si="95"/>
        <v>0.963495727644199+0.16261985081026i</v>
      </c>
      <c r="AR167" s="170" t="str">
        <f t="shared" si="96"/>
        <v>0.840613536058498-0.141879661632915i</v>
      </c>
    </row>
    <row r="168" spans="7:44">
      <c r="G168" s="688">
        <v>9441.2000000000007</v>
      </c>
      <c r="H168" s="676">
        <f t="shared" si="88"/>
        <v>9.4412000000000003</v>
      </c>
      <c r="I168" s="677">
        <f t="shared" si="66"/>
        <v>8.6018828850028068</v>
      </c>
      <c r="J168" s="678">
        <f t="shared" si="67"/>
        <v>1.4542792447223183</v>
      </c>
      <c r="K168" s="678">
        <f t="shared" si="68"/>
        <v>1.0000851551672609</v>
      </c>
      <c r="L168" s="679">
        <f t="shared" si="69"/>
        <v>1.3049837153351597E-2</v>
      </c>
      <c r="M168" s="678">
        <f t="shared" si="70"/>
        <v>1.0071760266284093</v>
      </c>
      <c r="N168" s="679">
        <f t="shared" si="71"/>
        <v>-0.11944350109633357</v>
      </c>
      <c r="O168" s="677">
        <f t="shared" si="72"/>
        <v>391517.33976005315</v>
      </c>
      <c r="P168" s="680">
        <f t="shared" si="73"/>
        <v>1.5707937726296057</v>
      </c>
      <c r="Q168" s="689">
        <f t="shared" si="100"/>
        <v>15.82283089562786</v>
      </c>
      <c r="R168" s="690">
        <f t="shared" si="101"/>
        <v>1.5075543627762849</v>
      </c>
      <c r="S168" s="677">
        <f t="shared" si="76"/>
        <v>1.0005688883982964</v>
      </c>
      <c r="T168" s="680">
        <f t="shared" si="77"/>
        <v>3.3722954619880771E-2</v>
      </c>
      <c r="U168" s="681">
        <f t="shared" si="89"/>
        <v>0.7874600172896753</v>
      </c>
      <c r="V168" s="682">
        <f t="shared" si="90"/>
        <v>-0.8461698815450559</v>
      </c>
      <c r="W168" s="683">
        <f t="shared" si="78"/>
        <v>1.3923086737465544</v>
      </c>
      <c r="X168" s="684">
        <f t="shared" si="79"/>
        <v>-143.45746825039217</v>
      </c>
      <c r="Y168" s="687">
        <f t="shared" si="80"/>
        <v>36.542531749607832</v>
      </c>
      <c r="AA168" s="170">
        <f t="shared" si="81"/>
        <v>1000000000</v>
      </c>
      <c r="AB168" s="170">
        <f t="shared" si="82"/>
        <v>89136257.440000013</v>
      </c>
      <c r="AD168" s="686">
        <f t="shared" si="83"/>
        <v>17.231173915678269</v>
      </c>
      <c r="AE168" s="687">
        <f t="shared" si="84"/>
        <v>-5.5555342622718094</v>
      </c>
      <c r="AG168" s="686">
        <f t="shared" si="85"/>
        <v>46.041808780133657</v>
      </c>
      <c r="AH168" s="687">
        <f t="shared" si="86"/>
        <v>-40.93800795008989</v>
      </c>
      <c r="AJ168" s="170">
        <f t="shared" si="87"/>
        <v>0</v>
      </c>
      <c r="AK168" s="170">
        <f t="shared" si="99"/>
        <v>0</v>
      </c>
      <c r="AM168" s="170" t="str">
        <f t="shared" si="91"/>
        <v>0.788607597106494+0.977401274809333i</v>
      </c>
      <c r="AN168" s="170" t="str">
        <f t="shared" si="92"/>
        <v>1.35779698898641i</v>
      </c>
      <c r="AO168" s="170" t="str">
        <f t="shared" si="93"/>
        <v>0.719843454314153-0.580799341509209i</v>
      </c>
      <c r="AP168" s="170" t="str">
        <f t="shared" si="94"/>
        <v>0.0352320671489177-0.162900212468222i</v>
      </c>
      <c r="AQ168" s="170" t="str">
        <f t="shared" si="95"/>
        <v>0.964767932851082+0.162900212468222i</v>
      </c>
      <c r="AR168" s="170" t="str">
        <f t="shared" si="96"/>
        <v>0.839486299540857-0.141746519450782i</v>
      </c>
    </row>
    <row r="169" spans="7:44">
      <c r="G169" s="688">
        <v>9495.5499999999993</v>
      </c>
      <c r="H169" s="676">
        <f t="shared" si="88"/>
        <v>9.4955499999999997</v>
      </c>
      <c r="I169" s="677">
        <f t="shared" si="66"/>
        <v>8.6507338562857363</v>
      </c>
      <c r="J169" s="678">
        <f t="shared" si="67"/>
        <v>1.454940188769724</v>
      </c>
      <c r="K169" s="678">
        <f t="shared" si="68"/>
        <v>1.0000861383695965</v>
      </c>
      <c r="L169" s="679">
        <f t="shared" si="69"/>
        <v>1.3124952332758613E-2</v>
      </c>
      <c r="M169" s="678">
        <f t="shared" si="70"/>
        <v>1.0072585861041485</v>
      </c>
      <c r="N169" s="679">
        <f t="shared" si="71"/>
        <v>-0.12012452252540536</v>
      </c>
      <c r="O169" s="677">
        <f t="shared" si="72"/>
        <v>393771.18115900882</v>
      </c>
      <c r="P169" s="680">
        <f t="shared" si="73"/>
        <v>1.5707937872489679</v>
      </c>
      <c r="Q169" s="689">
        <f t="shared" si="100"/>
        <v>15.913555140469233</v>
      </c>
      <c r="R169" s="690">
        <f t="shared" si="101"/>
        <v>1.5079153867789492</v>
      </c>
      <c r="S169" s="677">
        <f t="shared" si="76"/>
        <v>1.0005754551828916</v>
      </c>
      <c r="T169" s="680">
        <f t="shared" si="77"/>
        <v>3.391693857384568E-2</v>
      </c>
      <c r="U169" s="681">
        <f t="shared" si="89"/>
        <v>0.7856941033372844</v>
      </c>
      <c r="V169" s="682">
        <f t="shared" si="90"/>
        <v>-0.85013367637406412</v>
      </c>
      <c r="W169" s="683">
        <f t="shared" si="78"/>
        <v>1.3240852814952033</v>
      </c>
      <c r="X169" s="684">
        <f t="shared" si="79"/>
        <v>-143.74759228840625</v>
      </c>
      <c r="Y169" s="687">
        <f t="shared" si="80"/>
        <v>36.252407711593747</v>
      </c>
      <c r="AA169" s="170">
        <f t="shared" si="81"/>
        <v>1000000000</v>
      </c>
      <c r="AB169" s="170">
        <f t="shared" si="82"/>
        <v>90165469.80249998</v>
      </c>
      <c r="AD169" s="686">
        <f t="shared" si="83"/>
        <v>17.230918898352307</v>
      </c>
      <c r="AE169" s="687">
        <f t="shared" si="84"/>
        <v>-5.5459644100884846</v>
      </c>
      <c r="AG169" s="686">
        <f t="shared" si="85"/>
        <v>46.012841136140459</v>
      </c>
      <c r="AH169" s="687">
        <f t="shared" si="86"/>
        <v>-40.783484410652399</v>
      </c>
      <c r="AJ169" s="170">
        <f t="shared" si="87"/>
        <v>0</v>
      </c>
      <c r="AK169" s="170">
        <f t="shared" si="99"/>
        <v>0</v>
      </c>
      <c r="AM169" s="170" t="str">
        <f t="shared" si="91"/>
        <v>0.796253743560066+0.979023729531983i</v>
      </c>
      <c r="AN169" s="170" t="str">
        <f t="shared" si="92"/>
        <v>1.36561339647184i</v>
      </c>
      <c r="AO169" s="170" t="str">
        <f t="shared" si="93"/>
        <v>0.716911339667113-0.583074057135969i</v>
      </c>
      <c r="AP169" s="170" t="str">
        <f t="shared" si="94"/>
        <v>0.0339577094066557-0.163170621588664i</v>
      </c>
      <c r="AQ169" s="170" t="str">
        <f t="shared" si="95"/>
        <v>0.966042290593344+0.163170621588664i</v>
      </c>
      <c r="AR169" s="170" t="str">
        <f t="shared" si="96"/>
        <v>0.838363147120811-0.141604810850166i</v>
      </c>
    </row>
    <row r="170" spans="7:44">
      <c r="G170" s="688">
        <v>9549.9</v>
      </c>
      <c r="H170" s="676">
        <f t="shared" si="88"/>
        <v>9.5498999999999992</v>
      </c>
      <c r="I170" s="677">
        <f t="shared" si="66"/>
        <v>8.699588564174018</v>
      </c>
      <c r="J170" s="678">
        <f t="shared" si="67"/>
        <v>1.4555937097078853</v>
      </c>
      <c r="K170" s="678">
        <f t="shared" si="68"/>
        <v>1.0000871272146969</v>
      </c>
      <c r="L170" s="679">
        <f t="shared" si="69"/>
        <v>1.3200067364047836E-2</v>
      </c>
      <c r="M170" s="678">
        <f t="shared" si="70"/>
        <v>1.0073416126598351</v>
      </c>
      <c r="N170" s="679">
        <f t="shared" si="71"/>
        <v>-0.12080543200868663</v>
      </c>
      <c r="O170" s="677">
        <f t="shared" si="72"/>
        <v>396025.02255796455</v>
      </c>
      <c r="P170" s="680">
        <f t="shared" si="73"/>
        <v>1.5707938017019276</v>
      </c>
      <c r="Q170" s="689">
        <f t="shared" si="100"/>
        <v>16.004281435941035</v>
      </c>
      <c r="R170" s="690">
        <f t="shared" si="101"/>
        <v>1.5082723176267034</v>
      </c>
      <c r="S170" s="677">
        <f t="shared" si="76"/>
        <v>1.0005820596184205</v>
      </c>
      <c r="T170" s="680">
        <f t="shared" si="77"/>
        <v>3.4110919974291498E-2</v>
      </c>
      <c r="U170" s="681">
        <f t="shared" si="89"/>
        <v>0.78392883030537552</v>
      </c>
      <c r="V170" s="682">
        <f t="shared" si="90"/>
        <v>-0.85408695152724412</v>
      </c>
      <c r="W170" s="683">
        <f t="shared" si="78"/>
        <v>1.2561054242543621</v>
      </c>
      <c r="X170" s="684">
        <f t="shared" si="79"/>
        <v>-144.03691623968851</v>
      </c>
      <c r="Y170" s="687">
        <f t="shared" si="80"/>
        <v>35.963083760311491</v>
      </c>
      <c r="AA170" s="170">
        <f t="shared" si="81"/>
        <v>1000000000</v>
      </c>
      <c r="AB170" s="170">
        <f t="shared" si="82"/>
        <v>91200590.00999999</v>
      </c>
      <c r="AD170" s="686">
        <f t="shared" si="83"/>
        <v>17.230666916876341</v>
      </c>
      <c r="AE170" s="687">
        <f t="shared" si="84"/>
        <v>-5.5366289225666536</v>
      </c>
      <c r="AG170" s="686">
        <f t="shared" si="85"/>
        <v>45.984187544707503</v>
      </c>
      <c r="AH170" s="687">
        <f t="shared" si="86"/>
        <v>-40.629131885876539</v>
      </c>
      <c r="AJ170" s="170">
        <f t="shared" si="87"/>
        <v>0</v>
      </c>
      <c r="AK170" s="170">
        <f t="shared" si="99"/>
        <v>0</v>
      </c>
      <c r="AM170" s="170" t="str">
        <f t="shared" si="91"/>
        <v>0.803912338077586+0.980586369904151i</v>
      </c>
      <c r="AN170" s="170" t="str">
        <f t="shared" si="92"/>
        <v>1.37342980395727i</v>
      </c>
      <c r="AO170" s="170" t="str">
        <f t="shared" si="93"/>
        <v>0.713969048202378-0.585331944713351i</v>
      </c>
      <c r="AP170" s="170" t="str">
        <f t="shared" si="94"/>
        <v>0.032681276987069-0.163431061650692i</v>
      </c>
      <c r="AQ170" s="170" t="str">
        <f t="shared" si="95"/>
        <v>0.967318723012931+0.163431061650692i</v>
      </c>
      <c r="AR170" s="170" t="str">
        <f t="shared" si="96"/>
        <v>0.837244129498696-0.14145461437838i</v>
      </c>
    </row>
    <row r="171" spans="7:44">
      <c r="G171" s="688">
        <v>9605.5249999999996</v>
      </c>
      <c r="H171" s="676">
        <f t="shared" si="88"/>
        <v>9.6055250000000001</v>
      </c>
      <c r="I171" s="677">
        <f t="shared" si="66"/>
        <v>8.749593161467029</v>
      </c>
      <c r="J171" s="678">
        <f t="shared" si="67"/>
        <v>1.4562550044567157</v>
      </c>
      <c r="K171" s="678">
        <f t="shared" si="68"/>
        <v>1.0000881451000372</v>
      </c>
      <c r="L171" s="679">
        <f t="shared" si="69"/>
        <v>1.3276944369231275E-2</v>
      </c>
      <c r="M171" s="678">
        <f t="shared" si="70"/>
        <v>1.0074270704644486</v>
      </c>
      <c r="N171" s="679">
        <f t="shared" si="71"/>
        <v>-0.12150219844377165</v>
      </c>
      <c r="O171" s="677">
        <f t="shared" si="72"/>
        <v>398331.73696121975</v>
      </c>
      <c r="P171" s="680">
        <f t="shared" si="73"/>
        <v>1.5707938163245845</v>
      </c>
      <c r="Q171" s="689">
        <f t="shared" si="100"/>
        <v>16.097138172340408</v>
      </c>
      <c r="R171" s="690">
        <f t="shared" si="101"/>
        <v>1.5086334555536043</v>
      </c>
      <c r="S171" s="677">
        <f t="shared" si="76"/>
        <v>1.0005888579732085</v>
      </c>
      <c r="T171" s="680">
        <f t="shared" si="77"/>
        <v>3.4309449337108874E-2</v>
      </c>
      <c r="U171" s="681">
        <f t="shared" si="89"/>
        <v>0.78212288287425547</v>
      </c>
      <c r="V171" s="682">
        <f t="shared" si="90"/>
        <v>-0.8581221147975191</v>
      </c>
      <c r="W171" s="683">
        <f t="shared" si="78"/>
        <v>1.1867804682246033</v>
      </c>
      <c r="X171" s="684">
        <f t="shared" si="79"/>
        <v>-144.33220456466103</v>
      </c>
      <c r="Y171" s="687">
        <f t="shared" si="80"/>
        <v>35.667795435338974</v>
      </c>
      <c r="AA171" s="170">
        <f t="shared" si="81"/>
        <v>1000000000</v>
      </c>
      <c r="AB171" s="170">
        <f t="shared" si="82"/>
        <v>92266110.52562499</v>
      </c>
      <c r="AD171" s="686">
        <f t="shared" si="83"/>
        <v>17.230412088747691</v>
      </c>
      <c r="AE171" s="687">
        <f t="shared" si="84"/>
        <v>-5.5273129759378614</v>
      </c>
      <c r="AG171" s="686">
        <f t="shared" si="85"/>
        <v>45.955183187049435</v>
      </c>
      <c r="AH171" s="687">
        <f t="shared" si="86"/>
        <v>-40.471340506883557</v>
      </c>
      <c r="AJ171" s="170">
        <f t="shared" si="87"/>
        <v>0</v>
      </c>
      <c r="AK171" s="170">
        <f t="shared" si="99"/>
        <v>0</v>
      </c>
      <c r="AM171" s="170" t="str">
        <f t="shared" si="91"/>
        <v>0.811762997259181+0.982123633153766i</v>
      </c>
      <c r="AN171" s="170" t="str">
        <f t="shared" si="92"/>
        <v>1.38142957702768i</v>
      </c>
      <c r="AO171" s="170" t="str">
        <f t="shared" si="93"/>
        <v>0.710947303782889-0.587625320000598i</v>
      </c>
      <c r="AP171" s="170" t="str">
        <f t="shared" si="94"/>
        <v>0.0313728337901365-0.163687272192294i</v>
      </c>
      <c r="AQ171" s="170" t="str">
        <f t="shared" si="95"/>
        <v>0.968627166209864+0.163687272192294i</v>
      </c>
      <c r="AR171" s="170" t="str">
        <f t="shared" si="96"/>
        <v>0.836103193797025-0.141292187374237i</v>
      </c>
    </row>
    <row r="172" spans="7:44">
      <c r="G172" s="688">
        <v>9661.15</v>
      </c>
      <c r="H172" s="676">
        <f t="shared" si="88"/>
        <v>9.6611499999999992</v>
      </c>
      <c r="I172" s="677">
        <f t="shared" si="66"/>
        <v>8.7996015415636268</v>
      </c>
      <c r="J172" s="678">
        <f t="shared" si="67"/>
        <v>1.4569087831758798</v>
      </c>
      <c r="K172" s="678">
        <f t="shared" si="68"/>
        <v>1.0000891688959601</v>
      </c>
      <c r="L172" s="679">
        <f t="shared" si="69"/>
        <v>1.3353821217470365E-2</v>
      </c>
      <c r="M172" s="678">
        <f t="shared" si="70"/>
        <v>1.007513017275139</v>
      </c>
      <c r="N172" s="679">
        <f t="shared" si="71"/>
        <v>-0.12219884634043579</v>
      </c>
      <c r="O172" s="677">
        <f t="shared" si="72"/>
        <v>400638.45136447501</v>
      </c>
      <c r="P172" s="680">
        <f t="shared" si="73"/>
        <v>1.5707938307788587</v>
      </c>
      <c r="Q172" s="689">
        <f t="shared" si="100"/>
        <v>16.189996984056137</v>
      </c>
      <c r="R172" s="690">
        <f t="shared" si="101"/>
        <v>1.5089904508651009</v>
      </c>
      <c r="S172" s="677">
        <f t="shared" si="76"/>
        <v>1.000595695764577</v>
      </c>
      <c r="T172" s="680">
        <f t="shared" si="77"/>
        <v>3.4507975994362505E-2</v>
      </c>
      <c r="U172" s="681">
        <f t="shared" si="89"/>
        <v>0.78031775501811029</v>
      </c>
      <c r="V172" s="682">
        <f t="shared" si="90"/>
        <v>-0.86214634226572462</v>
      </c>
      <c r="W172" s="683">
        <f t="shared" si="78"/>
        <v>1.1177055216640277</v>
      </c>
      <c r="X172" s="684">
        <f t="shared" si="79"/>
        <v>-144.62666608450465</v>
      </c>
      <c r="Y172" s="687">
        <f t="shared" si="80"/>
        <v>35.373333915495351</v>
      </c>
      <c r="AA172" s="170">
        <f t="shared" si="81"/>
        <v>1000000000</v>
      </c>
      <c r="AB172" s="170">
        <f t="shared" si="82"/>
        <v>93337819.32249999</v>
      </c>
      <c r="AD172" s="686">
        <f t="shared" si="83"/>
        <v>17.230160282568754</v>
      </c>
      <c r="AE172" s="687">
        <f t="shared" si="84"/>
        <v>-5.5182342190231628</v>
      </c>
      <c r="AG172" s="686">
        <f t="shared" si="85"/>
        <v>45.926500191353966</v>
      </c>
      <c r="AH172" s="687">
        <f t="shared" si="86"/>
        <v>-40.313738283657401</v>
      </c>
      <c r="AJ172" s="170">
        <f t="shared" si="87"/>
        <v>0</v>
      </c>
      <c r="AK172" s="170">
        <f t="shared" si="99"/>
        <v>0</v>
      </c>
      <c r="AM172" s="170" t="str">
        <f t="shared" si="91"/>
        <v>0.819625702861252+0.983598044391967i</v>
      </c>
      <c r="AN172" s="170" t="str">
        <f t="shared" si="92"/>
        <v>1.38942935009809i</v>
      </c>
      <c r="AO172" s="170" t="str">
        <f t="shared" si="93"/>
        <v>0.707915119485944-0.589900956679365i</v>
      </c>
      <c r="AP172" s="170" t="str">
        <f t="shared" si="94"/>
        <v>0.030062382856458-0.163933007398661i</v>
      </c>
      <c r="AQ172" s="170" t="str">
        <f t="shared" si="95"/>
        <v>0.969937617143542+0.163933007398661i</v>
      </c>
      <c r="AR172" s="170" t="str">
        <f t="shared" si="96"/>
        <v>0.834966692612758-0.141121035599i</v>
      </c>
    </row>
    <row r="173" spans="7:44">
      <c r="G173" s="688">
        <v>9716.7749999999996</v>
      </c>
      <c r="H173" s="676">
        <f t="shared" si="88"/>
        <v>9.7167750000000002</v>
      </c>
      <c r="I173" s="677">
        <f t="shared" si="66"/>
        <v>8.8496136403349475</v>
      </c>
      <c r="J173" s="678">
        <f t="shared" si="67"/>
        <v>1.4575551727284224</v>
      </c>
      <c r="K173" s="678">
        <f t="shared" si="68"/>
        <v>1.0000901986024475</v>
      </c>
      <c r="L173" s="679">
        <f t="shared" si="69"/>
        <v>1.3430697907856897E-2</v>
      </c>
      <c r="M173" s="678">
        <f t="shared" si="70"/>
        <v>1.0075994529667718</v>
      </c>
      <c r="N173" s="679">
        <f t="shared" si="71"/>
        <v>-0.12289537505290751</v>
      </c>
      <c r="O173" s="677">
        <f t="shared" si="72"/>
        <v>402945.16576773039</v>
      </c>
      <c r="P173" s="680">
        <f t="shared" si="73"/>
        <v>1.570793845067642</v>
      </c>
      <c r="Q173" s="689">
        <f t="shared" si="100"/>
        <v>16.282857835582519</v>
      </c>
      <c r="R173" s="690">
        <f t="shared" si="101"/>
        <v>1.5093433743451983</v>
      </c>
      <c r="S173" s="677">
        <f t="shared" si="76"/>
        <v>1.0006025729917172</v>
      </c>
      <c r="T173" s="680">
        <f t="shared" si="77"/>
        <v>3.470649993045901E-2</v>
      </c>
      <c r="U173" s="681">
        <f t="shared" si="89"/>
        <v>0.778513519822573</v>
      </c>
      <c r="V173" s="682">
        <f t="shared" si="90"/>
        <v>-0.86615967676173611</v>
      </c>
      <c r="W173" s="683">
        <f t="shared" si="78"/>
        <v>1.0488780811439229</v>
      </c>
      <c r="X173" s="684">
        <f t="shared" si="79"/>
        <v>-144.9203064286072</v>
      </c>
      <c r="Y173" s="687">
        <f t="shared" si="80"/>
        <v>35.079693571392795</v>
      </c>
      <c r="AA173" s="170">
        <f t="shared" si="81"/>
        <v>1000000000</v>
      </c>
      <c r="AB173" s="170">
        <f t="shared" si="82"/>
        <v>94415716.40062499</v>
      </c>
      <c r="AD173" s="686">
        <f t="shared" si="83"/>
        <v>17.229911421789041</v>
      </c>
      <c r="AE173" s="687">
        <f t="shared" si="84"/>
        <v>-5.5093885954700301</v>
      </c>
      <c r="AG173" s="686">
        <f t="shared" si="85"/>
        <v>45.898134802201909</v>
      </c>
      <c r="AH173" s="687">
        <f t="shared" si="86"/>
        <v>-40.156329993996074</v>
      </c>
      <c r="AJ173" s="170">
        <f t="shared" si="87"/>
        <v>0</v>
      </c>
      <c r="AK173" s="170">
        <f t="shared" si="99"/>
        <v>0</v>
      </c>
      <c r="AM173" s="170" t="str">
        <f t="shared" si="91"/>
        <v>0.827499951701873+0.985009509262293i</v>
      </c>
      <c r="AN173" s="170" t="str">
        <f t="shared" si="92"/>
        <v>1.3974291231685i</v>
      </c>
      <c r="AO173" s="170" t="str">
        <f t="shared" si="93"/>
        <v>0.704872607083574-0.592158799313999i</v>
      </c>
      <c r="AP173" s="170" t="str">
        <f t="shared" si="94"/>
        <v>0.0287500080496878-0.164168251543716i</v>
      </c>
      <c r="AQ173" s="170" t="str">
        <f t="shared" si="95"/>
        <v>0.971249991950312+0.164168251543716i</v>
      </c>
      <c r="AR173" s="170" t="str">
        <f t="shared" si="96"/>
        <v>0.833834676263321-0.140941242742036i</v>
      </c>
    </row>
    <row r="174" spans="7:44">
      <c r="G174" s="688">
        <v>9772.4</v>
      </c>
      <c r="H174" s="676">
        <f t="shared" si="88"/>
        <v>9.7723999999999993</v>
      </c>
      <c r="I174" s="677">
        <f t="shared" si="66"/>
        <v>8.8996293950889243</v>
      </c>
      <c r="J174" s="678">
        <f t="shared" si="67"/>
        <v>1.4581942971505346</v>
      </c>
      <c r="K174" s="678">
        <f t="shared" si="68"/>
        <v>1.0000912342194814</v>
      </c>
      <c r="L174" s="679">
        <f t="shared" si="69"/>
        <v>1.3507574439482681E-2</v>
      </c>
      <c r="M174" s="678">
        <f t="shared" si="70"/>
        <v>1.0076863774135434</v>
      </c>
      <c r="N174" s="679">
        <f t="shared" si="71"/>
        <v>-0.12359178393609879</v>
      </c>
      <c r="O174" s="677">
        <f t="shared" si="72"/>
        <v>405251.88017098577</v>
      </c>
      <c r="P174" s="680">
        <f t="shared" si="73"/>
        <v>1.5707938591937602</v>
      </c>
      <c r="Q174" s="689">
        <f t="shared" si="100"/>
        <v>16.375720692218447</v>
      </c>
      <c r="R174" s="690">
        <f t="shared" si="101"/>
        <v>1.5096922951764153</v>
      </c>
      <c r="S174" s="677">
        <f t="shared" si="76"/>
        <v>1.000609489653816</v>
      </c>
      <c r="T174" s="680">
        <f t="shared" si="77"/>
        <v>3.490502112980632E-2</v>
      </c>
      <c r="U174" s="681">
        <f t="shared" si="89"/>
        <v>0.77671024911511677</v>
      </c>
      <c r="V174" s="682">
        <f t="shared" si="90"/>
        <v>-0.87016216159227444</v>
      </c>
      <c r="W174" s="683">
        <f t="shared" si="78"/>
        <v>0.98029568807279843</v>
      </c>
      <c r="X174" s="684">
        <f t="shared" si="79"/>
        <v>-145.21313118350457</v>
      </c>
      <c r="Y174" s="687">
        <f t="shared" si="80"/>
        <v>34.786868816495428</v>
      </c>
      <c r="AA174" s="170">
        <f t="shared" si="81"/>
        <v>1000000000</v>
      </c>
      <c r="AB174" s="170">
        <f t="shared" si="82"/>
        <v>95499801.75999999</v>
      </c>
      <c r="AD174" s="686">
        <f t="shared" si="83"/>
        <v>17.229665432022809</v>
      </c>
      <c r="AE174" s="687">
        <f t="shared" si="84"/>
        <v>-5.500772140680688</v>
      </c>
      <c r="AG174" s="686">
        <f t="shared" si="85"/>
        <v>45.870083321709032</v>
      </c>
      <c r="AH174" s="687">
        <f t="shared" si="86"/>
        <v>-39.999120226448746</v>
      </c>
      <c r="AJ174" s="170">
        <f t="shared" si="87"/>
        <v>0</v>
      </c>
      <c r="AK174" s="170">
        <f t="shared" si="99"/>
        <v>0</v>
      </c>
      <c r="AM174" s="170" t="str">
        <f t="shared" si="91"/>
        <v>0.835385239860394+0.986357937436598i</v>
      </c>
      <c r="AN174" s="170" t="str">
        <f t="shared" si="92"/>
        <v>1.40542889623891i</v>
      </c>
      <c r="AO174" s="170" t="str">
        <f t="shared" si="93"/>
        <v>0.701819878669213-0.594398793205392i</v>
      </c>
      <c r="AP174" s="170" t="str">
        <f t="shared" si="94"/>
        <v>0.027435793356601-0.164392989572766i</v>
      </c>
      <c r="AQ174" s="170" t="str">
        <f t="shared" si="95"/>
        <v>0.972564206643399+0.164392989572766i</v>
      </c>
      <c r="AR174" s="170" t="str">
        <f t="shared" si="96"/>
        <v>0.832707193740305-0.140752892284786i</v>
      </c>
    </row>
    <row r="175" spans="7:44">
      <c r="G175" s="688">
        <v>9829.2999999999993</v>
      </c>
      <c r="H175" s="676">
        <f t="shared" si="88"/>
        <v>9.8292999999999999</v>
      </c>
      <c r="I175" s="677">
        <f t="shared" si="66"/>
        <v>8.9507952971268665</v>
      </c>
      <c r="J175" s="678">
        <f t="shared" si="67"/>
        <v>1.4588406807693262</v>
      </c>
      <c r="K175" s="678">
        <f t="shared" si="68"/>
        <v>1.0000922996895505</v>
      </c>
      <c r="L175" s="679">
        <f t="shared" si="69"/>
        <v>1.3586212919659271E-2</v>
      </c>
      <c r="M175" s="678">
        <f t="shared" si="70"/>
        <v>1.0077757998419021</v>
      </c>
      <c r="N175" s="679">
        <f t="shared" si="71"/>
        <v>-0.12430403079732294</v>
      </c>
      <c r="O175" s="677">
        <f t="shared" si="72"/>
        <v>407611.46757854067</v>
      </c>
      <c r="P175" s="680">
        <f t="shared" si="73"/>
        <v>1.5707938734782469</v>
      </c>
      <c r="Q175" s="689">
        <f t="shared" si="100"/>
        <v>16.470714129954967</v>
      </c>
      <c r="R175" s="690">
        <f t="shared" si="101"/>
        <v>1.5100451429184238</v>
      </c>
      <c r="S175" s="677">
        <f t="shared" si="76"/>
        <v>1.0006166056554551</v>
      </c>
      <c r="T175" s="680">
        <f t="shared" si="77"/>
        <v>3.5108089854894428E-2</v>
      </c>
      <c r="U175" s="681">
        <f t="shared" si="89"/>
        <v>0.77486671648891936</v>
      </c>
      <c r="V175" s="682">
        <f t="shared" si="90"/>
        <v>-0.87424520885876533</v>
      </c>
      <c r="W175" s="683">
        <f t="shared" si="78"/>
        <v>0.91039231376089991</v>
      </c>
      <c r="X175" s="684">
        <f t="shared" si="79"/>
        <v>-145.51182981208112</v>
      </c>
      <c r="Y175" s="687">
        <f t="shared" si="80"/>
        <v>34.488170187918882</v>
      </c>
      <c r="AA175" s="170">
        <f t="shared" si="81"/>
        <v>1000000000</v>
      </c>
      <c r="AB175" s="170">
        <f t="shared" si="82"/>
        <v>96615138.48999998</v>
      </c>
      <c r="AD175" s="686">
        <f t="shared" si="83"/>
        <v>17.229416698960456</v>
      </c>
      <c r="AE175" s="687">
        <f t="shared" si="84"/>
        <v>-5.4921912535825221</v>
      </c>
      <c r="AG175" s="686">
        <f t="shared" si="85"/>
        <v>45.841709851360008</v>
      </c>
      <c r="AH175" s="687">
        <f t="shared" si="86"/>
        <v>-39.838516989744164</v>
      </c>
      <c r="AJ175" s="170">
        <f t="shared" si="87"/>
        <v>0</v>
      </c>
      <c r="AK175" s="170">
        <f t="shared" si="99"/>
        <v>0</v>
      </c>
      <c r="AM175" s="170" t="str">
        <f t="shared" si="91"/>
        <v>0.843462165124301+0.987671962876556i</v>
      </c>
      <c r="AN175" s="170" t="str">
        <f t="shared" si="92"/>
        <v>1.41361203489431i</v>
      </c>
      <c r="AO175" s="170" t="str">
        <f t="shared" si="93"/>
        <v>0.698686724855452-0.596671607416927i</v>
      </c>
      <c r="AP175" s="170" t="str">
        <f t="shared" si="94"/>
        <v>0.0260896391459498-0.164611993812759i</v>
      </c>
      <c r="AQ175" s="170" t="str">
        <f t="shared" si="95"/>
        <v>0.97391036085405+0.164611993812759i</v>
      </c>
      <c r="AR175" s="170" t="str">
        <f t="shared" si="96"/>
        <v>0.831558608401864-0.140551457303685i</v>
      </c>
    </row>
    <row r="176" spans="7:44">
      <c r="G176" s="688">
        <v>9886.2000000000007</v>
      </c>
      <c r="H176" s="676">
        <f t="shared" si="88"/>
        <v>9.8862000000000005</v>
      </c>
      <c r="I176" s="677">
        <f t="shared" si="66"/>
        <v>9.0019648963992456</v>
      </c>
      <c r="J176" s="678">
        <f t="shared" si="67"/>
        <v>1.4594797162145261</v>
      </c>
      <c r="K176" s="678">
        <f t="shared" si="68"/>
        <v>1.000093371344188</v>
      </c>
      <c r="L176" s="679">
        <f t="shared" si="69"/>
        <v>1.3664851231791317E-2</v>
      </c>
      <c r="M176" s="678">
        <f t="shared" si="70"/>
        <v>1.0078657334196111</v>
      </c>
      <c r="N176" s="679">
        <f t="shared" si="71"/>
        <v>-0.12501615090974544</v>
      </c>
      <c r="O176" s="677">
        <f t="shared" si="72"/>
        <v>409971.0549860957</v>
      </c>
      <c r="P176" s="680">
        <f t="shared" si="73"/>
        <v>1.570793887598305</v>
      </c>
      <c r="Q176" s="689">
        <f t="shared" si="100"/>
        <v>16.565709594802417</v>
      </c>
      <c r="R176" s="690">
        <f t="shared" si="101"/>
        <v>1.510393943918116</v>
      </c>
      <c r="S176" s="677">
        <f t="shared" si="76"/>
        <v>1.0006237629188404</v>
      </c>
      <c r="T176" s="680">
        <f t="shared" si="77"/>
        <v>3.5311155683335593E-2</v>
      </c>
      <c r="U176" s="681">
        <f t="shared" si="89"/>
        <v>0.77302434112255036</v>
      </c>
      <c r="V176" s="682">
        <f t="shared" si="90"/>
        <v>-0.87831699652308814</v>
      </c>
      <c r="W176" s="683">
        <f t="shared" si="78"/>
        <v>0.84074028398174216</v>
      </c>
      <c r="X176" s="684">
        <f t="shared" si="79"/>
        <v>-145.80968672696528</v>
      </c>
      <c r="Y176" s="687">
        <f t="shared" si="80"/>
        <v>34.190313273034718</v>
      </c>
      <c r="AA176" s="170">
        <f t="shared" si="81"/>
        <v>1000000000</v>
      </c>
      <c r="AB176" s="170">
        <f t="shared" si="82"/>
        <v>97736950.440000013</v>
      </c>
      <c r="AD176" s="686">
        <f t="shared" si="83"/>
        <v>17.229170819204811</v>
      </c>
      <c r="AE176" s="687">
        <f t="shared" si="84"/>
        <v>-5.483842052353423</v>
      </c>
      <c r="AG176" s="686">
        <f t="shared" si="85"/>
        <v>45.81365719732689</v>
      </c>
      <c r="AH176" s="687">
        <f t="shared" si="86"/>
        <v>-39.678130608845983</v>
      </c>
      <c r="AJ176" s="170">
        <f t="shared" si="87"/>
        <v>0</v>
      </c>
      <c r="AK176" s="170">
        <f t="shared" si="99"/>
        <v>0</v>
      </c>
      <c r="AM176" s="170" t="str">
        <f t="shared" si="91"/>
        <v>0.851549572691446+0.988919850459029i</v>
      </c>
      <c r="AN176" s="170" t="str">
        <f t="shared" si="92"/>
        <v>1.42179517354971i</v>
      </c>
      <c r="AO176" s="170" t="str">
        <f t="shared" si="93"/>
        <v>0.695543119611282-0.598925631858374i</v>
      </c>
      <c r="AP176" s="170" t="str">
        <f t="shared" si="94"/>
        <v>0.024741737884759-0.164819975076505i</v>
      </c>
      <c r="AQ176" s="170" t="str">
        <f t="shared" si="95"/>
        <v>0.975258262115241+0.164819975076505i</v>
      </c>
      <c r="AR176" s="170" t="str">
        <f t="shared" si="96"/>
        <v>0.830414866645249-0.140341243894488i</v>
      </c>
    </row>
    <row r="177" spans="7:44">
      <c r="G177" s="688">
        <v>9943.1</v>
      </c>
      <c r="H177" s="676">
        <f t="shared" si="88"/>
        <v>9.9431000000000012</v>
      </c>
      <c r="I177" s="677">
        <f t="shared" si="66"/>
        <v>9.0531381302142009</v>
      </c>
      <c r="J177" s="678">
        <f t="shared" si="67"/>
        <v>1.4601115275672936</v>
      </c>
      <c r="K177" s="678">
        <f t="shared" si="68"/>
        <v>1.0000944491833734</v>
      </c>
      <c r="L177" s="679">
        <f t="shared" si="69"/>
        <v>1.3743489374906758E-2</v>
      </c>
      <c r="M177" s="678">
        <f t="shared" si="70"/>
        <v>1.0079561780098498</v>
      </c>
      <c r="N177" s="679">
        <f t="shared" si="71"/>
        <v>-0.1257281435851367</v>
      </c>
      <c r="O177" s="677">
        <f t="shared" si="72"/>
        <v>412330.64239365066</v>
      </c>
      <c r="P177" s="680">
        <f t="shared" si="73"/>
        <v>1.5707939015567571</v>
      </c>
      <c r="Q177" s="689">
        <f t="shared" si="100"/>
        <v>16.660707052086455</v>
      </c>
      <c r="R177" s="690">
        <f t="shared" si="101"/>
        <v>1.5107387673120793</v>
      </c>
      <c r="S177" s="677">
        <f t="shared" si="76"/>
        <v>1.0006309614430862</v>
      </c>
      <c r="T177" s="680">
        <f t="shared" si="77"/>
        <v>3.5514218598445002E-2</v>
      </c>
      <c r="U177" s="681">
        <f t="shared" si="89"/>
        <v>0.77118319587474216</v>
      </c>
      <c r="V177" s="682">
        <f t="shared" si="90"/>
        <v>-0.88237757240523351</v>
      </c>
      <c r="W177" s="683">
        <f t="shared" si="78"/>
        <v>0.77133710560599356</v>
      </c>
      <c r="X177" s="684">
        <f t="shared" si="79"/>
        <v>-146.10670777596147</v>
      </c>
      <c r="Y177" s="687">
        <f t="shared" si="80"/>
        <v>33.893292224038532</v>
      </c>
      <c r="AA177" s="170">
        <f t="shared" si="81"/>
        <v>1000000000</v>
      </c>
      <c r="AB177" s="170">
        <f t="shared" si="82"/>
        <v>98865237.610000014</v>
      </c>
      <c r="AD177" s="686">
        <f t="shared" si="83"/>
        <v>17.228927719701673</v>
      </c>
      <c r="AE177" s="687">
        <f t="shared" si="84"/>
        <v>-5.4757205749644502</v>
      </c>
      <c r="AG177" s="686">
        <f t="shared" si="85"/>
        <v>45.785921581487436</v>
      </c>
      <c r="AH177" s="687">
        <f t="shared" si="86"/>
        <v>-39.517965413820342</v>
      </c>
      <c r="AJ177" s="170">
        <f t="shared" si="87"/>
        <v>0</v>
      </c>
      <c r="AK177" s="170">
        <f t="shared" si="99"/>
        <v>0</v>
      </c>
      <c r="AM177" s="170" t="str">
        <f t="shared" si="91"/>
        <v>0.859646921001634+0.990101516621239i</v>
      </c>
      <c r="AN177" s="170" t="str">
        <f t="shared" si="92"/>
        <v>1.4299783122051i</v>
      </c>
      <c r="AO177" s="170" t="str">
        <f t="shared" si="93"/>
        <v>0.692389183927169-0.601160810387407i</v>
      </c>
      <c r="AP177" s="170" t="str">
        <f t="shared" si="94"/>
        <v>0.023392179833061-0.165016919436873i</v>
      </c>
      <c r="AQ177" s="170" t="str">
        <f t="shared" si="95"/>
        <v>0.976607820166939+0.165016919436873i</v>
      </c>
      <c r="AR177" s="170" t="str">
        <f t="shared" si="96"/>
        <v>0.829276016718867-0.140122340632534i</v>
      </c>
    </row>
    <row r="178" spans="7:44" s="327" customFormat="1">
      <c r="G178" s="762">
        <v>10000</v>
      </c>
      <c r="H178" s="763">
        <f t="shared" si="88"/>
        <v>10</v>
      </c>
      <c r="I178" s="764">
        <f t="shared" si="66"/>
        <v>9.1043149372849843</v>
      </c>
      <c r="J178" s="765">
        <f t="shared" si="67"/>
        <v>1.460736236142236</v>
      </c>
      <c r="K178" s="765">
        <f t="shared" si="68"/>
        <v>1.0000955332070873</v>
      </c>
      <c r="L178" s="766">
        <f t="shared" si="69"/>
        <v>1.3822127348033553E-2</v>
      </c>
      <c r="M178" s="765">
        <f t="shared" si="70"/>
        <v>1.0080471334750707</v>
      </c>
      <c r="N178" s="766">
        <f t="shared" si="71"/>
        <v>-0.12644000813603026</v>
      </c>
      <c r="O178" s="764">
        <f t="shared" si="72"/>
        <v>414690.22980120574</v>
      </c>
      <c r="P178" s="767">
        <f t="shared" si="73"/>
        <v>1.5707939153563621</v>
      </c>
      <c r="Q178" s="768">
        <f t="shared" si="100"/>
        <v>16.755706467918376</v>
      </c>
      <c r="R178" s="769">
        <f t="shared" si="101"/>
        <v>1.5110796806728066</v>
      </c>
      <c r="S178" s="764">
        <f t="shared" si="76"/>
        <v>1.0006382012273023</v>
      </c>
      <c r="T178" s="767">
        <f t="shared" si="77"/>
        <v>3.5717278583539305E-2</v>
      </c>
      <c r="U178" s="770">
        <f t="shared" si="89"/>
        <v>0.76934335227067463</v>
      </c>
      <c r="V178" s="771">
        <f t="shared" si="90"/>
        <v>-0.88642698479242577</v>
      </c>
      <c r="W178" s="772">
        <f t="shared" si="78"/>
        <v>0.70218032984999779</v>
      </c>
      <c r="X178" s="773">
        <f t="shared" si="79"/>
        <v>-146.40289876478911</v>
      </c>
      <c r="Y178" s="774">
        <f t="shared" si="80"/>
        <v>33.597101235210886</v>
      </c>
      <c r="AA178" s="327">
        <f t="shared" si="81"/>
        <v>1000000000</v>
      </c>
      <c r="AB178" s="327">
        <f t="shared" si="82"/>
        <v>100000000</v>
      </c>
      <c r="AD178" s="775">
        <f t="shared" si="83"/>
        <v>17.228687329462385</v>
      </c>
      <c r="AE178" s="774">
        <f t="shared" si="84"/>
        <v>-5.4678229489991566</v>
      </c>
      <c r="AG178" s="775">
        <f>20*LOG10((K178*M178/(I178*U178))*Acs*Am)</f>
        <v>45.758499284114656</v>
      </c>
      <c r="AH178" s="774">
        <f t="shared" si="86"/>
        <v>-39.358025549494855</v>
      </c>
      <c r="AJ178" s="327">
        <f t="shared" si="87"/>
        <v>0</v>
      </c>
      <c r="AK178" s="170">
        <f t="shared" si="99"/>
        <v>0</v>
      </c>
      <c r="AM178" s="327" t="str">
        <f t="shared" si="91"/>
        <v>0.867753667829038+0.991216882234825i</v>
      </c>
      <c r="AN178" s="327" t="str">
        <f t="shared" si="92"/>
        <v>1.4381614508605i</v>
      </c>
      <c r="AO178" s="327" t="str">
        <f t="shared" si="93"/>
        <v>0.689225039123213-0.603377087676653i</v>
      </c>
      <c r="AP178" s="327" t="str">
        <f t="shared" si="94"/>
        <v>0.022041055361827-0.165202813705804i</v>
      </c>
      <c r="AQ178" s="327" t="str">
        <f t="shared" si="95"/>
        <v>0.977958944638173+0.165202813705804i</v>
      </c>
      <c r="AR178" s="327" t="str">
        <f t="shared" si="96"/>
        <v>0.828142105498139-0.139894835797181i</v>
      </c>
    </row>
    <row r="179" spans="7:44">
      <c r="G179" s="688">
        <v>10058.25</v>
      </c>
      <c r="H179" s="676">
        <f t="shared" si="88"/>
        <v>10.058249999999999</v>
      </c>
      <c r="I179" s="677">
        <f t="shared" si="66"/>
        <v>9.1567095957024183</v>
      </c>
      <c r="J179" s="678">
        <f t="shared" si="67"/>
        <v>1.4613685327286832</v>
      </c>
      <c r="K179" s="678">
        <f t="shared" si="68"/>
        <v>1.0000966493565164</v>
      </c>
      <c r="L179" s="679">
        <f t="shared" si="69"/>
        <v>1.3902630895618563E-2</v>
      </c>
      <c r="M179" s="678">
        <f t="shared" si="70"/>
        <v>1.0081407759904353</v>
      </c>
      <c r="N179" s="679">
        <f t="shared" si="71"/>
        <v>-0.1271686288303539</v>
      </c>
      <c r="O179" s="677">
        <f t="shared" si="72"/>
        <v>417105.80038978375</v>
      </c>
      <c r="P179" s="680">
        <f t="shared" si="73"/>
        <v>1.570793929321644</v>
      </c>
      <c r="Q179" s="689">
        <f t="shared" si="100"/>
        <v>16.852961818417491</v>
      </c>
      <c r="R179" s="690">
        <f t="shared" si="101"/>
        <v>1.5114247011542201</v>
      </c>
      <c r="S179" s="677">
        <f t="shared" si="76"/>
        <v>1.0006456555204819</v>
      </c>
      <c r="T179" s="680">
        <f t="shared" si="77"/>
        <v>3.5925153283761703E-2</v>
      </c>
      <c r="U179" s="681">
        <f t="shared" si="89"/>
        <v>0.76746127846349665</v>
      </c>
      <c r="V179" s="682">
        <f t="shared" si="90"/>
        <v>-0.89056095982851358</v>
      </c>
      <c r="W179" s="683">
        <f t="shared" si="78"/>
        <v>0.63163548170439543</v>
      </c>
      <c r="X179" s="684">
        <f t="shared" si="79"/>
        <v>-146.70526331596849</v>
      </c>
      <c r="Y179" s="687">
        <f t="shared" si="80"/>
        <v>33.294736684031506</v>
      </c>
      <c r="AA179" s="170">
        <f t="shared" si="81"/>
        <v>1000000000</v>
      </c>
      <c r="AB179" s="170">
        <f t="shared" si="82"/>
        <v>101168393.0625</v>
      </c>
      <c r="AD179" s="686">
        <f t="shared" si="83"/>
        <v>17.228443970188998</v>
      </c>
      <c r="AE179" s="687">
        <f t="shared" si="84"/>
        <v>-5.4599658747016075</v>
      </c>
      <c r="AG179" s="686">
        <f t="shared" si="85"/>
        <v>45.730747103659716</v>
      </c>
      <c r="AH179" s="687">
        <f t="shared" si="86"/>
        <v>-39.194528530069888</v>
      </c>
      <c r="AJ179" s="170">
        <f t="shared" si="87"/>
        <v>0</v>
      </c>
      <c r="AK179" s="170">
        <f t="shared" si="99"/>
        <v>0</v>
      </c>
      <c r="AM179" s="170" t="str">
        <f t="shared" si="91"/>
        <v>0.876061922857918+0.992289954113375i</v>
      </c>
      <c r="AN179" s="170" t="str">
        <f t="shared" si="92"/>
        <v>1.44653874131176i</v>
      </c>
      <c r="AO179" s="170" t="str">
        <f t="shared" si="93"/>
        <v>0.685975374025268-0.605626311856315i</v>
      </c>
      <c r="AP179" s="170" t="str">
        <f t="shared" si="94"/>
        <v>0.020656346190347-0.165381659018896i</v>
      </c>
      <c r="AQ179" s="170" t="str">
        <f t="shared" si="95"/>
        <v>0.979343653809653+0.165381659018896i</v>
      </c>
      <c r="AR179" s="170" t="str">
        <f t="shared" si="96"/>
        <v>0.826986454665101-0.139653114947587i</v>
      </c>
    </row>
    <row r="180" spans="7:44">
      <c r="G180" s="688">
        <v>10116.5</v>
      </c>
      <c r="H180" s="676">
        <f t="shared" si="88"/>
        <v>10.1165</v>
      </c>
      <c r="I180" s="677">
        <f t="shared" si="66"/>
        <v>9.2091078733058094</v>
      </c>
      <c r="J180" s="678">
        <f t="shared" si="67"/>
        <v>1.4619936342398503</v>
      </c>
      <c r="K180" s="678">
        <f t="shared" si="68"/>
        <v>1.0000977719873785</v>
      </c>
      <c r="L180" s="679">
        <f t="shared" si="69"/>
        <v>1.3983134262991437E-2</v>
      </c>
      <c r="M180" s="678">
        <f t="shared" si="70"/>
        <v>1.0082349536161737</v>
      </c>
      <c r="N180" s="679">
        <f t="shared" si="71"/>
        <v>-0.12789711379275781</v>
      </c>
      <c r="O180" s="677">
        <f t="shared" si="72"/>
        <v>419521.37097836187</v>
      </c>
      <c r="P180" s="680">
        <f t="shared" si="73"/>
        <v>1.5707939431261035</v>
      </c>
      <c r="Q180" s="689">
        <f t="shared" si="100"/>
        <v>16.950219152056896</v>
      </c>
      <c r="R180" s="690">
        <f t="shared" si="101"/>
        <v>1.5117657623439018</v>
      </c>
      <c r="S180" s="677">
        <f t="shared" si="76"/>
        <v>1.0006531530528071</v>
      </c>
      <c r="T180" s="680">
        <f t="shared" si="77"/>
        <v>3.613302487790656E-2</v>
      </c>
      <c r="U180" s="681">
        <f t="shared" si="89"/>
        <v>0.76558071626337398</v>
      </c>
      <c r="V180" s="682">
        <f t="shared" si="90"/>
        <v>-0.8946833392136927</v>
      </c>
      <c r="W180" s="683">
        <f t="shared" si="78"/>
        <v>0.56134381108963283</v>
      </c>
      <c r="X180" s="684">
        <f t="shared" si="79"/>
        <v>-147.006770134828</v>
      </c>
      <c r="Y180" s="687">
        <f t="shared" si="80"/>
        <v>32.993229865171998</v>
      </c>
      <c r="AA180" s="170">
        <f t="shared" si="81"/>
        <v>1000000000</v>
      </c>
      <c r="AB180" s="170">
        <f t="shared" si="82"/>
        <v>102343572.25</v>
      </c>
      <c r="AD180" s="686">
        <f t="shared" si="83"/>
        <v>17.228203306038754</v>
      </c>
      <c r="AE180" s="687">
        <f t="shared" si="84"/>
        <v>-5.4523354639308499</v>
      </c>
      <c r="AG180" s="686">
        <f t="shared" si="85"/>
        <v>45.703315579184789</v>
      </c>
      <c r="AH180" s="687">
        <f t="shared" si="86"/>
        <v>-39.031275878515409</v>
      </c>
      <c r="AJ180" s="170">
        <f t="shared" si="87"/>
        <v>0</v>
      </c>
      <c r="AK180" s="170">
        <f t="shared" si="99"/>
        <v>0</v>
      </c>
      <c r="AM180" s="170" t="str">
        <f t="shared" si="91"/>
        <v>0.884378875685666+0.993293388487153i</v>
      </c>
      <c r="AN180" s="170" t="str">
        <f t="shared" si="92"/>
        <v>1.45491603176302i</v>
      </c>
      <c r="AO180" s="170" t="str">
        <f t="shared" si="93"/>
        <v>0.682715267961899-0.607855612542811i</v>
      </c>
      <c r="AP180" s="170" t="str">
        <f t="shared" si="94"/>
        <v>0.0192701873857223-0.165548898081192i</v>
      </c>
      <c r="AQ180" s="170" t="str">
        <f t="shared" si="95"/>
        <v>0.980729812614278+0.165548898081192i</v>
      </c>
      <c r="AR180" s="170" t="str">
        <f t="shared" si="96"/>
        <v>0.825836074763201-0.139402565736538i</v>
      </c>
    </row>
    <row r="181" spans="7:44">
      <c r="G181" s="688">
        <v>10174.75</v>
      </c>
      <c r="H181" s="676">
        <f t="shared" si="88"/>
        <v>10.17475</v>
      </c>
      <c r="I181" s="677">
        <f t="shared" si="66"/>
        <v>9.2615097086670186</v>
      </c>
      <c r="J181" s="678">
        <f t="shared" si="67"/>
        <v>1.4626116623127299</v>
      </c>
      <c r="K181" s="678">
        <f t="shared" si="68"/>
        <v>1.0000989010996517</v>
      </c>
      <c r="L181" s="679">
        <f t="shared" si="69"/>
        <v>1.4063637449109332E-2</v>
      </c>
      <c r="M181" s="678">
        <f t="shared" si="70"/>
        <v>1.0083296662023482</v>
      </c>
      <c r="N181" s="679">
        <f t="shared" si="71"/>
        <v>-0.12862546228818283</v>
      </c>
      <c r="O181" s="677">
        <f t="shared" si="72"/>
        <v>421936.94156693999</v>
      </c>
      <c r="P181" s="680">
        <f t="shared" si="73"/>
        <v>1.5707939567725036</v>
      </c>
      <c r="Q181" s="689">
        <f t="shared" si="100"/>
        <v>17.047478434894629</v>
      </c>
      <c r="R181" s="690">
        <f t="shared" si="101"/>
        <v>1.5121029319274781</v>
      </c>
      <c r="S181" s="677">
        <f t="shared" si="76"/>
        <v>1.000660693823306</v>
      </c>
      <c r="T181" s="680">
        <f t="shared" si="77"/>
        <v>3.6340893348079384E-2</v>
      </c>
      <c r="U181" s="681">
        <f t="shared" si="89"/>
        <v>0.76370173814124787</v>
      </c>
      <c r="V181" s="682">
        <f t="shared" si="90"/>
        <v>-0.89879417618877644</v>
      </c>
      <c r="W181" s="683">
        <f t="shared" si="78"/>
        <v>0.49130282798252412</v>
      </c>
      <c r="X181" s="684">
        <f t="shared" si="79"/>
        <v>-147.30742532010419</v>
      </c>
      <c r="Y181" s="687">
        <f t="shared" si="80"/>
        <v>32.692574679895813</v>
      </c>
      <c r="AA181" s="170">
        <f t="shared" si="81"/>
        <v>1000000000</v>
      </c>
      <c r="AB181" s="170">
        <f t="shared" si="82"/>
        <v>103525537.5625</v>
      </c>
      <c r="AD181" s="686">
        <f t="shared" si="83"/>
        <v>17.227965267130521</v>
      </c>
      <c r="AE181" s="687">
        <f t="shared" si="84"/>
        <v>-5.4449278377191428</v>
      </c>
      <c r="AG181" s="686">
        <f t="shared" si="85"/>
        <v>45.67620090298184</v>
      </c>
      <c r="AH181" s="687">
        <f t="shared" si="86"/>
        <v>-38.868271471587775</v>
      </c>
      <c r="AJ181" s="170">
        <f t="shared" si="87"/>
        <v>0</v>
      </c>
      <c r="AK181" s="170">
        <f t="shared" si="99"/>
        <v>0</v>
      </c>
      <c r="AM181" s="170" t="str">
        <f t="shared" si="91"/>
        <v>0.89270394264031+0.994227114936555i</v>
      </c>
      <c r="AN181" s="170" t="str">
        <f t="shared" si="92"/>
        <v>1.46329332221429i</v>
      </c>
      <c r="AO181" s="170" t="str">
        <f t="shared" si="93"/>
        <v>0.679444852131264-0.610064933043943i</v>
      </c>
      <c r="AP181" s="170" t="str">
        <f t="shared" si="94"/>
        <v>0.017882676226615-0.165704519156092i</v>
      </c>
      <c r="AQ181" s="170" t="str">
        <f t="shared" si="95"/>
        <v>0.982117323773385+0.165704519156092i</v>
      </c>
      <c r="AR181" s="170" t="str">
        <f t="shared" si="96"/>
        <v>0.824691011743707-0.139143281811078i</v>
      </c>
    </row>
    <row r="182" spans="7:44">
      <c r="G182" s="688">
        <v>10233</v>
      </c>
      <c r="H182" s="676">
        <f t="shared" si="88"/>
        <v>10.233000000000001</v>
      </c>
      <c r="I182" s="677">
        <f t="shared" si="66"/>
        <v>9.3139150417362035</v>
      </c>
      <c r="J182" s="678">
        <f t="shared" si="67"/>
        <v>1.4632227358686156</v>
      </c>
      <c r="K182" s="678">
        <f t="shared" si="68"/>
        <v>1.0001000366933144</v>
      </c>
      <c r="L182" s="679">
        <f t="shared" si="69"/>
        <v>1.4144140452929419E-2</v>
      </c>
      <c r="M182" s="678">
        <f t="shared" si="70"/>
        <v>1.0084249135982264</v>
      </c>
      <c r="N182" s="679">
        <f t="shared" si="71"/>
        <v>-0.12935367358242442</v>
      </c>
      <c r="O182" s="677">
        <f t="shared" si="72"/>
        <v>424352.51215551828</v>
      </c>
      <c r="P182" s="680">
        <f t="shared" si="73"/>
        <v>1.5707939702635427</v>
      </c>
      <c r="Q182" s="689">
        <f t="shared" si="100"/>
        <v>17.144739633758249</v>
      </c>
      <c r="R182" s="690">
        <f t="shared" si="101"/>
        <v>1.5124362760582535</v>
      </c>
      <c r="S182" s="677">
        <f t="shared" si="76"/>
        <v>1.0006682778310012</v>
      </c>
      <c r="T182" s="680">
        <f t="shared" si="77"/>
        <v>3.6548758676387294E-2</v>
      </c>
      <c r="U182" s="681">
        <f t="shared" si="89"/>
        <v>0.76182441515532529</v>
      </c>
      <c r="V182" s="682">
        <f t="shared" si="90"/>
        <v>-0.90289352444952842</v>
      </c>
      <c r="W182" s="683">
        <f t="shared" si="78"/>
        <v>0.42151008631690057</v>
      </c>
      <c r="X182" s="684">
        <f t="shared" si="79"/>
        <v>-147.60723492884307</v>
      </c>
      <c r="Y182" s="687">
        <f t="shared" si="80"/>
        <v>32.39276507115693</v>
      </c>
      <c r="AA182" s="170">
        <f t="shared" si="81"/>
        <v>1000000000</v>
      </c>
      <c r="AB182" s="170">
        <f t="shared" si="82"/>
        <v>104714289</v>
      </c>
      <c r="AD182" s="686">
        <f t="shared" si="83"/>
        <v>17.227729785560214</v>
      </c>
      <c r="AE182" s="687">
        <f t="shared" si="84"/>
        <v>-5.4377392048907982</v>
      </c>
      <c r="AG182" s="686">
        <f t="shared" si="85"/>
        <v>45.649399326797521</v>
      </c>
      <c r="AH182" s="687">
        <f t="shared" si="86"/>
        <v>-38.705519004427508</v>
      </c>
      <c r="AJ182" s="170">
        <f t="shared" si="87"/>
        <v>0</v>
      </c>
      <c r="AK182" s="170">
        <f t="shared" si="99"/>
        <v>0</v>
      </c>
      <c r="AM182" s="170" t="str">
        <f t="shared" si="91"/>
        <v>0.901036539480412+0.99509106793398i</v>
      </c>
      <c r="AN182" s="170" t="str">
        <f t="shared" si="92"/>
        <v>1.47167061266555i</v>
      </c>
      <c r="AO182" s="170" t="str">
        <f t="shared" si="93"/>
        <v>0.676164258068339-0.612254217571429i</v>
      </c>
      <c r="AP182" s="170" t="str">
        <f t="shared" si="94"/>
        <v>0.0164939100865979-0.16584851132233i</v>
      </c>
      <c r="AQ182" s="170" t="str">
        <f t="shared" si="95"/>
        <v>0.983506089913402+0.16584851132233i</v>
      </c>
      <c r="AR182" s="170" t="str">
        <f t="shared" si="96"/>
        <v>0.823551310138488-0.13887535642616i</v>
      </c>
    </row>
    <row r="183" spans="7:44">
      <c r="G183" s="688">
        <v>10292.5</v>
      </c>
      <c r="H183" s="676">
        <f t="shared" si="88"/>
        <v>10.2925</v>
      </c>
      <c r="I183" s="677">
        <f t="shared" si="66"/>
        <v>9.36744850282928</v>
      </c>
      <c r="J183" s="678">
        <f t="shared" si="67"/>
        <v>1.4638398635095324</v>
      </c>
      <c r="K183" s="678">
        <f t="shared" si="68"/>
        <v>1.0001012033474266</v>
      </c>
      <c r="L183" s="679">
        <f t="shared" si="69"/>
        <v>1.4226370799728265E-2</v>
      </c>
      <c r="M183" s="678">
        <f t="shared" si="70"/>
        <v>1.0085227569198241</v>
      </c>
      <c r="N183" s="679">
        <f t="shared" si="71"/>
        <v>-0.13009736931682139</v>
      </c>
      <c r="O183" s="677">
        <f t="shared" si="72"/>
        <v>426819.91902282147</v>
      </c>
      <c r="P183" s="680">
        <f t="shared" si="73"/>
        <v>1.5707939838864347</v>
      </c>
      <c r="Q183" s="689">
        <f t="shared" si="100"/>
        <v>17.244089927242634</v>
      </c>
      <c r="R183" s="690">
        <f t="shared" si="101"/>
        <v>1.5127728912558784</v>
      </c>
      <c r="S183" s="677">
        <f t="shared" si="76"/>
        <v>1.000676069223527</v>
      </c>
      <c r="T183" s="680">
        <f t="shared" si="77"/>
        <v>3.6761081371733333E-2</v>
      </c>
      <c r="U183" s="681">
        <f t="shared" si="89"/>
        <v>0.75990858748651291</v>
      </c>
      <c r="V183" s="682">
        <f t="shared" si="90"/>
        <v>-0.90706903668291117</v>
      </c>
      <c r="W183" s="683">
        <f t="shared" si="78"/>
        <v>0.35047343688571986</v>
      </c>
      <c r="X183" s="684">
        <f t="shared" si="79"/>
        <v>-147.91261148644739</v>
      </c>
      <c r="Y183" s="687">
        <f t="shared" si="80"/>
        <v>32.087388513552611</v>
      </c>
      <c r="AA183" s="170">
        <f t="shared" si="81"/>
        <v>1000000000</v>
      </c>
      <c r="AB183" s="170">
        <f t="shared" si="82"/>
        <v>105935556.25</v>
      </c>
      <c r="AD183" s="686">
        <f t="shared" si="83"/>
        <v>17.22749182237164</v>
      </c>
      <c r="AE183" s="687">
        <f t="shared" si="84"/>
        <v>-5.4306185496111752</v>
      </c>
      <c r="AG183" s="686">
        <f t="shared" si="85"/>
        <v>45.622342023464874</v>
      </c>
      <c r="AH183" s="687">
        <f t="shared" si="86"/>
        <v>-38.539537760208532</v>
      </c>
      <c r="AJ183" s="170">
        <f t="shared" si="87"/>
        <v>0</v>
      </c>
      <c r="AK183" s="170">
        <f t="shared" si="99"/>
        <v>0</v>
      </c>
      <c r="AM183" s="170" t="str">
        <f t="shared" si="91"/>
        <v>0.90955511336018+0.995901462234447i</v>
      </c>
      <c r="AN183" s="170" t="str">
        <f t="shared" si="92"/>
        <v>1.48022767329817i</v>
      </c>
      <c r="AO183" s="170" t="str">
        <f t="shared" si="93"/>
        <v>0.672802893905793-0.614469739870188i</v>
      </c>
      <c r="AP183" s="170" t="str">
        <f t="shared" si="94"/>
        <v>0.0150741477733034-0.165983577039074i</v>
      </c>
      <c r="AQ183" s="170" t="str">
        <f t="shared" si="95"/>
        <v>0.984925852226697+0.165983577039074i</v>
      </c>
      <c r="AR183" s="170" t="str">
        <f t="shared" si="96"/>
        <v>0.822392731487786-0.138592856502521i</v>
      </c>
    </row>
    <row r="184" spans="7:44">
      <c r="G184" s="688">
        <v>10352</v>
      </c>
      <c r="H184" s="676">
        <f t="shared" si="88"/>
        <v>10.352</v>
      </c>
      <c r="I184" s="677">
        <f t="shared" si="66"/>
        <v>9.4209854909374364</v>
      </c>
      <c r="J184" s="678">
        <f t="shared" si="67"/>
        <v>1.4644499774317639</v>
      </c>
      <c r="K184" s="678">
        <f t="shared" si="68"/>
        <v>1.0001023767640373</v>
      </c>
      <c r="L184" s="679">
        <f t="shared" si="69"/>
        <v>1.4308600954121981E-2</v>
      </c>
      <c r="M184" s="678">
        <f t="shared" si="70"/>
        <v>1.0086211579301616</v>
      </c>
      <c r="N184" s="679">
        <f t="shared" si="71"/>
        <v>-0.13084092035258868</v>
      </c>
      <c r="O184" s="677">
        <f t="shared" si="72"/>
        <v>429287.32589012478</v>
      </c>
      <c r="P184" s="680">
        <f t="shared" si="73"/>
        <v>1.5707939973527265</v>
      </c>
      <c r="Q184" s="689">
        <f t="shared" si="100"/>
        <v>17.343442152265371</v>
      </c>
      <c r="R184" s="690">
        <f t="shared" si="101"/>
        <v>1.5131056498782383</v>
      </c>
      <c r="S184" s="677">
        <f t="shared" si="76"/>
        <v>1.0006839057267543</v>
      </c>
      <c r="T184" s="680">
        <f t="shared" si="77"/>
        <v>3.6973400751190134E-2</v>
      </c>
      <c r="U184" s="681">
        <f t="shared" si="89"/>
        <v>0.75799463217519092</v>
      </c>
      <c r="V184" s="682">
        <f t="shared" si="90"/>
        <v>-0.91123267647688966</v>
      </c>
      <c r="W184" s="683">
        <f t="shared" si="78"/>
        <v>0.27969077371646572</v>
      </c>
      <c r="X184" s="684">
        <f t="shared" si="79"/>
        <v>-148.21711843383122</v>
      </c>
      <c r="Y184" s="687">
        <f t="shared" si="80"/>
        <v>31.782881566168783</v>
      </c>
      <c r="AA184" s="170">
        <f t="shared" si="81"/>
        <v>1000000000</v>
      </c>
      <c r="AB184" s="170">
        <f t="shared" si="82"/>
        <v>107163904</v>
      </c>
      <c r="AD184" s="686">
        <f t="shared" si="83"/>
        <v>17.227256390260163</v>
      </c>
      <c r="AE184" s="687">
        <f t="shared" si="84"/>
        <v>-5.4237186608588841</v>
      </c>
      <c r="AG184" s="686">
        <f t="shared" si="85"/>
        <v>45.595603681410012</v>
      </c>
      <c r="AH184" s="687">
        <f t="shared" si="86"/>
        <v>-38.373826620584097</v>
      </c>
      <c r="AJ184" s="170">
        <f t="shared" si="87"/>
        <v>0</v>
      </c>
      <c r="AK184" s="170">
        <f t="shared" si="99"/>
        <v>0</v>
      </c>
      <c r="AM184" s="170" t="str">
        <f t="shared" si="91"/>
        <v>0.918080309871398+0.996638933801622i</v>
      </c>
      <c r="AN184" s="170" t="str">
        <f t="shared" si="92"/>
        <v>1.48878473393079i</v>
      </c>
      <c r="AO184" s="170" t="str">
        <f t="shared" si="93"/>
        <v>0.669431188463512-0.616664242282644i</v>
      </c>
      <c r="AP184" s="170" t="str">
        <f t="shared" si="94"/>
        <v>0.0136532816881003-0.166106488966937i</v>
      </c>
      <c r="AQ184" s="170" t="str">
        <f t="shared" si="95"/>
        <v>0.9863467183119+0.166106488966937i</v>
      </c>
      <c r="AR184" s="170" t="str">
        <f t="shared" si="96"/>
        <v>0.821239836315791-0.138301535634107i</v>
      </c>
    </row>
    <row r="185" spans="7:44">
      <c r="G185" s="688">
        <v>10411.5</v>
      </c>
      <c r="H185" s="676">
        <f t="shared" si="88"/>
        <v>10.4115</v>
      </c>
      <c r="I185" s="677">
        <f t="shared" si="66"/>
        <v>9.4745259462711591</v>
      </c>
      <c r="J185" s="678">
        <f t="shared" si="67"/>
        <v>1.4650531960805704</v>
      </c>
      <c r="K185" s="678">
        <f t="shared" si="68"/>
        <v>1.0001035569431227</v>
      </c>
      <c r="L185" s="679">
        <f t="shared" si="69"/>
        <v>1.4390830914999198E-2</v>
      </c>
      <c r="M185" s="678">
        <f t="shared" si="70"/>
        <v>1.0087201164660307</v>
      </c>
      <c r="N185" s="679">
        <f t="shared" si="71"/>
        <v>-0.13158432591002192</v>
      </c>
      <c r="O185" s="677">
        <f t="shared" si="72"/>
        <v>431754.73275742814</v>
      </c>
      <c r="P185" s="680">
        <f t="shared" si="73"/>
        <v>1.5707940106651033</v>
      </c>
      <c r="Q185" s="689">
        <f t="shared" si="100"/>
        <v>17.442796275820989</v>
      </c>
      <c r="R185" s="690">
        <f t="shared" si="101"/>
        <v>1.5134346177521329</v>
      </c>
      <c r="S185" s="677">
        <f t="shared" si="76"/>
        <v>1.0006917873396226</v>
      </c>
      <c r="T185" s="680">
        <f t="shared" si="77"/>
        <v>3.7185716795693304E-2</v>
      </c>
      <c r="U185" s="681">
        <f t="shared" si="89"/>
        <v>0.75608262047582564</v>
      </c>
      <c r="V185" s="682">
        <f t="shared" si="90"/>
        <v>-0.91538450243767278</v>
      </c>
      <c r="W185" s="683">
        <f t="shared" si="78"/>
        <v>0.20915962478047373</v>
      </c>
      <c r="X185" s="684">
        <f t="shared" si="79"/>
        <v>-148.52076209815021</v>
      </c>
      <c r="Y185" s="687">
        <f t="shared" si="80"/>
        <v>31.479237901849785</v>
      </c>
      <c r="AA185" s="170">
        <f t="shared" si="81"/>
        <v>1000000000</v>
      </c>
      <c r="AB185" s="170">
        <f t="shared" si="82"/>
        <v>108399332.25</v>
      </c>
      <c r="AD185" s="686">
        <f t="shared" si="83"/>
        <v>17.227023422821336</v>
      </c>
      <c r="AE185" s="687">
        <f t="shared" si="84"/>
        <v>-5.4170357660976336</v>
      </c>
      <c r="AG185" s="686">
        <f t="shared" si="85"/>
        <v>45.569180490852538</v>
      </c>
      <c r="AH185" s="687">
        <f t="shared" si="86"/>
        <v>-38.20838896946924</v>
      </c>
      <c r="AJ185" s="170">
        <f t="shared" si="87"/>
        <v>0</v>
      </c>
      <c r="AK185" s="170">
        <f t="shared" si="99"/>
        <v>0</v>
      </c>
      <c r="AM185" s="170" t="str">
        <f t="shared" si="91"/>
        <v>0.926611504774969+0.997303428635742i</v>
      </c>
      <c r="AN185" s="170" t="str">
        <f t="shared" si="92"/>
        <v>1.49734179456341i</v>
      </c>
      <c r="AO185" s="170" t="str">
        <f t="shared" si="93"/>
        <v>0.666049282973853-0.618837668286116i</v>
      </c>
      <c r="AP185" s="170" t="str">
        <f t="shared" si="94"/>
        <v>0.0122314158708385-0.166217238105957i</v>
      </c>
      <c r="AQ185" s="170" t="str">
        <f t="shared" si="95"/>
        <v>0.987768584129161+0.166217238105957i</v>
      </c>
      <c r="AR185" s="170" t="str">
        <f t="shared" si="96"/>
        <v>0.820092667641757-0.138001491843898i</v>
      </c>
    </row>
    <row r="186" spans="7:44">
      <c r="G186" s="688">
        <v>10471</v>
      </c>
      <c r="H186" s="676">
        <f t="shared" si="88"/>
        <v>10.471</v>
      </c>
      <c r="I186" s="677">
        <f t="shared" si="66"/>
        <v>9.5280698103809911</v>
      </c>
      <c r="J186" s="678">
        <f t="shared" si="67"/>
        <v>1.4656496352590886</v>
      </c>
      <c r="K186" s="678">
        <f t="shared" si="68"/>
        <v>1.0001047438846589</v>
      </c>
      <c r="L186" s="679">
        <f t="shared" si="69"/>
        <v>1.4473060681248567E-2</v>
      </c>
      <c r="M186" s="678">
        <f t="shared" si="70"/>
        <v>1.0088196323633627</v>
      </c>
      <c r="N186" s="679">
        <f t="shared" si="71"/>
        <v>-0.13232758521036511</v>
      </c>
      <c r="O186" s="677">
        <f t="shared" si="72"/>
        <v>434222.13962473156</v>
      </c>
      <c r="P186" s="680">
        <f t="shared" si="73"/>
        <v>1.5707940238261884</v>
      </c>
      <c r="Q186" s="689">
        <f t="shared" si="100"/>
        <v>17.542152265651108</v>
      </c>
      <c r="R186" s="690">
        <f t="shared" si="101"/>
        <v>1.5137598592163575</v>
      </c>
      <c r="S186" s="677">
        <f t="shared" si="76"/>
        <v>1.0006997140610665</v>
      </c>
      <c r="T186" s="680">
        <f t="shared" si="77"/>
        <v>3.7398029486180269E-2</v>
      </c>
      <c r="U186" s="681">
        <f t="shared" si="89"/>
        <v>0.7541726221648607</v>
      </c>
      <c r="V186" s="682">
        <f t="shared" si="90"/>
        <v>-0.91952457360593287</v>
      </c>
      <c r="W186" s="683">
        <f t="shared" si="78"/>
        <v>0.13887756119947431</v>
      </c>
      <c r="X186" s="684">
        <f t="shared" si="79"/>
        <v>-148.82354876537761</v>
      </c>
      <c r="Y186" s="687">
        <f t="shared" si="80"/>
        <v>31.176451234622391</v>
      </c>
      <c r="AA186" s="170">
        <f t="shared" si="81"/>
        <v>1000000000</v>
      </c>
      <c r="AB186" s="170">
        <f t="shared" si="82"/>
        <v>109641841</v>
      </c>
      <c r="AD186" s="686">
        <f t="shared" si="83"/>
        <v>17.226792855526448</v>
      </c>
      <c r="AE186" s="687">
        <f t="shared" si="84"/>
        <v>-5.4105661780441201</v>
      </c>
      <c r="AG186" s="686">
        <f t="shared" si="85"/>
        <v>45.54306870201296</v>
      </c>
      <c r="AH186" s="687">
        <f t="shared" si="86"/>
        <v>-38.04322801455784</v>
      </c>
      <c r="AJ186" s="170">
        <f t="shared" si="87"/>
        <v>0</v>
      </c>
      <c r="AK186" s="170">
        <f t="shared" si="99"/>
        <v>0</v>
      </c>
      <c r="AM186" s="170" t="str">
        <f t="shared" si="91"/>
        <v>0.935148073392573+0.997894898080607i</v>
      </c>
      <c r="AN186" s="170" t="str">
        <f t="shared" si="92"/>
        <v>1.50589885519603i</v>
      </c>
      <c r="AO186" s="170" t="str">
        <f t="shared" si="93"/>
        <v>0.662657319007462-0.620989962350984i</v>
      </c>
      <c r="AP186" s="170" t="str">
        <f t="shared" si="94"/>
        <v>0.0108086544345711-0.166315816346768i</v>
      </c>
      <c r="AQ186" s="170" t="str">
        <f t="shared" si="95"/>
        <v>0.989191345565429+0.166315816346768i</v>
      </c>
      <c r="AR186" s="170" t="str">
        <f t="shared" si="96"/>
        <v>0.818951267037728-0.137692822663895i</v>
      </c>
    </row>
    <row r="187" spans="7:44">
      <c r="G187" s="688">
        <v>10532</v>
      </c>
      <c r="H187" s="676">
        <f t="shared" si="88"/>
        <v>10.532</v>
      </c>
      <c r="I187" s="677">
        <f t="shared" si="66"/>
        <v>9.5829669987512158</v>
      </c>
      <c r="J187" s="678">
        <f t="shared" si="67"/>
        <v>1.4662541912514619</v>
      </c>
      <c r="K187" s="678">
        <f t="shared" si="68"/>
        <v>1.0001059677693882</v>
      </c>
      <c r="L187" s="679">
        <f t="shared" si="69"/>
        <v>1.4557363263602159E-2</v>
      </c>
      <c r="M187" s="678">
        <f t="shared" si="70"/>
        <v>1.0089222355074396</v>
      </c>
      <c r="N187" s="679">
        <f t="shared" si="71"/>
        <v>-0.13308942949158939</v>
      </c>
      <c r="O187" s="677">
        <f t="shared" si="72"/>
        <v>436751.75002650486</v>
      </c>
      <c r="P187" s="680">
        <f t="shared" si="73"/>
        <v>1.5707940371646891</v>
      </c>
      <c r="Q187" s="689">
        <f t="shared" si="100"/>
        <v>17.644014932769981</v>
      </c>
      <c r="R187" s="690">
        <f t="shared" si="101"/>
        <v>1.5140894973669119</v>
      </c>
      <c r="S187" s="677">
        <f t="shared" si="76"/>
        <v>1.0007078874433983</v>
      </c>
      <c r="T187" s="680">
        <f t="shared" si="77"/>
        <v>3.7615691095567345E-2</v>
      </c>
      <c r="U187" s="681">
        <f t="shared" si="89"/>
        <v>0.75221663430594121</v>
      </c>
      <c r="V187" s="682">
        <f t="shared" si="90"/>
        <v>-0.92375687552860553</v>
      </c>
      <c r="W187" s="683">
        <f t="shared" si="78"/>
        <v>6.7079766192924578E-2</v>
      </c>
      <c r="X187" s="684">
        <f t="shared" si="79"/>
        <v>-149.13308557118373</v>
      </c>
      <c r="Y187" s="687">
        <f t="shared" si="80"/>
        <v>30.866914428816273</v>
      </c>
      <c r="AA187" s="170">
        <f t="shared" si="81"/>
        <v>1000000000</v>
      </c>
      <c r="AB187" s="170">
        <f t="shared" si="82"/>
        <v>110923024</v>
      </c>
      <c r="AD187" s="686">
        <f t="shared" si="83"/>
        <v>17.226558901635929</v>
      </c>
      <c r="AE187" s="687">
        <f t="shared" si="84"/>
        <v>-5.4041511590632316</v>
      </c>
      <c r="AG187" s="686">
        <f t="shared" si="85"/>
        <v>45.516618045689256</v>
      </c>
      <c r="AH187" s="687">
        <f t="shared" si="86"/>
        <v>-37.874193763202193</v>
      </c>
      <c r="AJ187" s="170">
        <f t="shared" si="87"/>
        <v>10532</v>
      </c>
      <c r="AK187" s="170">
        <f t="shared" si="99"/>
        <v>30.866914428816273</v>
      </c>
      <c r="AM187" s="170" t="str">
        <f t="shared" si="91"/>
        <v>0.943904773888767+0.998425423157649i</v>
      </c>
      <c r="AN187" s="170" t="str">
        <f t="shared" si="92"/>
        <v>1.51467164004628i</v>
      </c>
      <c r="AO187" s="170" t="str">
        <f t="shared" si="93"/>
        <v>0.659169549861739-0.623174521086251i</v>
      </c>
      <c r="AP187" s="170" t="str">
        <f t="shared" si="94"/>
        <v>0.00934920435187212-0.166404237192942i</v>
      </c>
      <c r="AQ187" s="170" t="str">
        <f t="shared" si="95"/>
        <v>0.990650795648128+0.166404237192942i</v>
      </c>
      <c r="AR187" s="170" t="str">
        <f t="shared" si="96"/>
        <v>0.817787121673227-0.137367519176334i</v>
      </c>
    </row>
    <row r="188" spans="7:44">
      <c r="G188" s="688">
        <v>10593</v>
      </c>
      <c r="H188" s="676">
        <f t="shared" si="88"/>
        <v>10.593</v>
      </c>
      <c r="I188" s="677">
        <f t="shared" si="66"/>
        <v>9.6378676496797056</v>
      </c>
      <c r="J188" s="678">
        <f t="shared" si="67"/>
        <v>1.4668518599372176</v>
      </c>
      <c r="K188" s="678">
        <f t="shared" si="68"/>
        <v>1.0001071987617787</v>
      </c>
      <c r="L188" s="679">
        <f t="shared" si="69"/>
        <v>1.4641665639025456E-2</v>
      </c>
      <c r="M188" s="678">
        <f t="shared" si="70"/>
        <v>1.0090254241174617</v>
      </c>
      <c r="N188" s="679">
        <f t="shared" si="71"/>
        <v>-0.1338511183938732</v>
      </c>
      <c r="O188" s="677">
        <f t="shared" si="72"/>
        <v>439281.36042827828</v>
      </c>
      <c r="P188" s="680">
        <f t="shared" si="73"/>
        <v>1.5707940503495701</v>
      </c>
      <c r="Q188" s="689">
        <f t="shared" si="100"/>
        <v>17.745879495100521</v>
      </c>
      <c r="R188" s="690">
        <f t="shared" si="101"/>
        <v>1.5144153511871634</v>
      </c>
      <c r="S188" s="677">
        <f t="shared" si="76"/>
        <v>1.0007161082350677</v>
      </c>
      <c r="T188" s="680">
        <f t="shared" si="77"/>
        <v>3.7833349139125595E-2</v>
      </c>
      <c r="U188" s="681">
        <f t="shared" si="89"/>
        <v>0.75026290645856686</v>
      </c>
      <c r="V188" s="682">
        <f t="shared" si="90"/>
        <v>-0.92797694952110177</v>
      </c>
      <c r="W188" s="683">
        <f t="shared" si="78"/>
        <v>-4.46126197835365E-3</v>
      </c>
      <c r="X188" s="684">
        <f t="shared" si="79"/>
        <v>-149.44173487694081</v>
      </c>
      <c r="Y188" s="687">
        <f t="shared" si="80"/>
        <v>30.558265123059186</v>
      </c>
      <c r="AA188" s="170">
        <f t="shared" si="81"/>
        <v>10593</v>
      </c>
      <c r="AB188" s="170">
        <f t="shared" si="82"/>
        <v>112211649</v>
      </c>
      <c r="AD188" s="686">
        <f t="shared" si="83"/>
        <v>17.226327338850943</v>
      </c>
      <c r="AE188" s="687">
        <f t="shared" si="84"/>
        <v>-5.3979527531285161</v>
      </c>
      <c r="AG188" s="686">
        <f t="shared" si="85"/>
        <v>45.490486896730779</v>
      </c>
      <c r="AH188" s="687">
        <f t="shared" si="86"/>
        <v>-37.705456616335482</v>
      </c>
      <c r="AJ188" s="170">
        <f t="shared" si="87"/>
        <v>0</v>
      </c>
      <c r="AK188" s="170">
        <f t="shared" si="99"/>
        <v>0</v>
      </c>
      <c r="AM188" s="170" t="str">
        <f t="shared" si="91"/>
        <v>0.952665791544267+0.998879108155671i</v>
      </c>
      <c r="AN188" s="170" t="str">
        <f t="shared" si="92"/>
        <v>1.52344442489653i</v>
      </c>
      <c r="AO188" s="170" t="str">
        <f t="shared" si="93"/>
        <v>0.655671511104524-0.625336753986921i</v>
      </c>
      <c r="AP188" s="170" t="str">
        <f t="shared" si="94"/>
        <v>0.00788903474262217-0.166479851359279i</v>
      </c>
      <c r="AQ188" s="170" t="str">
        <f t="shared" si="95"/>
        <v>0.992110965257378+0.166479851359279i</v>
      </c>
      <c r="AR188" s="170" t="str">
        <f t="shared" si="96"/>
        <v>0.816629122802577-0.137033355885309i</v>
      </c>
    </row>
    <row r="189" spans="7:44">
      <c r="G189" s="688">
        <v>10654</v>
      </c>
      <c r="H189" s="676">
        <f t="shared" si="88"/>
        <v>10.654</v>
      </c>
      <c r="I189" s="677">
        <f t="shared" si="66"/>
        <v>9.6927717043298216</v>
      </c>
      <c r="J189" s="678">
        <f t="shared" si="67"/>
        <v>1.4674427579237594</v>
      </c>
      <c r="K189" s="678">
        <f t="shared" si="68"/>
        <v>1.0001084368618041</v>
      </c>
      <c r="L189" s="679">
        <f t="shared" si="69"/>
        <v>1.4725967806320964E-2</v>
      </c>
      <c r="M189" s="678">
        <f t="shared" si="70"/>
        <v>1.0091291980138279</v>
      </c>
      <c r="N189" s="679">
        <f t="shared" si="71"/>
        <v>-0.13461265108119952</v>
      </c>
      <c r="O189" s="677">
        <f t="shared" si="72"/>
        <v>441810.97083005175</v>
      </c>
      <c r="P189" s="680">
        <f t="shared" si="73"/>
        <v>1.5707940633834696</v>
      </c>
      <c r="Q189" s="689">
        <f t="shared" si="100"/>
        <v>17.84774592019243</v>
      </c>
      <c r="R189" s="690">
        <f t="shared" si="101"/>
        <v>1.5147374854047737</v>
      </c>
      <c r="S189" s="677">
        <f t="shared" si="76"/>
        <v>1.0007243764349065</v>
      </c>
      <c r="T189" s="680">
        <f t="shared" si="77"/>
        <v>3.8051003596320028E-2</v>
      </c>
      <c r="U189" s="681">
        <f t="shared" si="89"/>
        <v>0.74831150907468547</v>
      </c>
      <c r="V189" s="682">
        <f t="shared" si="90"/>
        <v>-0.9321848605286599</v>
      </c>
      <c r="W189" s="683">
        <f t="shared" si="78"/>
        <v>-7.5748006467346876E-2</v>
      </c>
      <c r="X189" s="684">
        <f t="shared" si="79"/>
        <v>-149.74950332737009</v>
      </c>
      <c r="Y189" s="687">
        <f t="shared" si="80"/>
        <v>30.250496672629907</v>
      </c>
      <c r="AA189" s="170">
        <f t="shared" si="81"/>
        <v>10654</v>
      </c>
      <c r="AB189" s="170">
        <f t="shared" si="82"/>
        <v>113507716</v>
      </c>
      <c r="AD189" s="686">
        <f t="shared" si="83"/>
        <v>17.226098103371633</v>
      </c>
      <c r="AE189" s="687">
        <f t="shared" si="84"/>
        <v>-5.3919672505927378</v>
      </c>
      <c r="AG189" s="686">
        <f t="shared" si="85"/>
        <v>45.464671403655444</v>
      </c>
      <c r="AH189" s="687">
        <f t="shared" si="86"/>
        <v>-37.537019486150136</v>
      </c>
      <c r="AJ189" s="170">
        <f t="shared" si="87"/>
        <v>0</v>
      </c>
      <c r="AK189" s="170">
        <f t="shared" si="99"/>
        <v>0</v>
      </c>
      <c r="AM189" s="170" t="str">
        <f t="shared" si="91"/>
        <v>0.961430452100101+0.999255918158505i</v>
      </c>
      <c r="AN189" s="170" t="str">
        <f t="shared" si="92"/>
        <v>1.53221720974677i</v>
      </c>
      <c r="AO189" s="170" t="str">
        <f t="shared" si="93"/>
        <v>0.652163356345314-0.627476604481552i</v>
      </c>
      <c r="AP189" s="170" t="str">
        <f t="shared" si="94"/>
        <v>0.00642825798331645-0.166542653026417i</v>
      </c>
      <c r="AQ189" s="170" t="str">
        <f t="shared" si="95"/>
        <v>0.993571742016684+0.166542653026417i</v>
      </c>
      <c r="AR189" s="170" t="str">
        <f t="shared" si="96"/>
        <v>0.81547731064669-0.1366904361856i</v>
      </c>
    </row>
    <row r="190" spans="7:44">
      <c r="G190" s="688">
        <v>10715</v>
      </c>
      <c r="H190" s="676">
        <f t="shared" si="88"/>
        <v>10.715</v>
      </c>
      <c r="I190" s="677">
        <f t="shared" si="66"/>
        <v>9.7476791051869149</v>
      </c>
      <c r="J190" s="678">
        <f t="shared" si="67"/>
        <v>1.4680269992103134</v>
      </c>
      <c r="K190" s="678">
        <f t="shared" si="68"/>
        <v>1.0001096820694377</v>
      </c>
      <c r="L190" s="679">
        <f t="shared" si="69"/>
        <v>1.4810269764291213E-2</v>
      </c>
      <c r="M190" s="678">
        <f t="shared" si="70"/>
        <v>1.0092335570159934</v>
      </c>
      <c r="N190" s="679">
        <f t="shared" si="71"/>
        <v>-0.13537402671861892</v>
      </c>
      <c r="O190" s="677">
        <f t="shared" si="72"/>
        <v>444340.58123182529</v>
      </c>
      <c r="P190" s="680">
        <f t="shared" si="73"/>
        <v>1.5707940762689663</v>
      </c>
      <c r="Q190" s="689">
        <f t="shared" si="100"/>
        <v>17.949614176331465</v>
      </c>
      <c r="R190" s="690">
        <f t="shared" si="101"/>
        <v>1.5150559632811542</v>
      </c>
      <c r="S190" s="677">
        <f t="shared" si="76"/>
        <v>1.0007326920417396</v>
      </c>
      <c r="T190" s="680">
        <f t="shared" si="77"/>
        <v>3.8268654446617721E-2</v>
      </c>
      <c r="U190" s="681">
        <f t="shared" si="89"/>
        <v>0.7463625110429043</v>
      </c>
      <c r="V190" s="682">
        <f t="shared" si="90"/>
        <v>-0.93638067391226509</v>
      </c>
      <c r="W190" s="683">
        <f t="shared" si="78"/>
        <v>-0.14678290748185976</v>
      </c>
      <c r="X190" s="684">
        <f t="shared" si="79"/>
        <v>-150.05639752564372</v>
      </c>
      <c r="Y190" s="687">
        <f t="shared" si="80"/>
        <v>29.943602474356283</v>
      </c>
      <c r="AA190" s="170">
        <f t="shared" si="81"/>
        <v>10715</v>
      </c>
      <c r="AB190" s="170">
        <f t="shared" si="82"/>
        <v>114811225</v>
      </c>
      <c r="AD190" s="686">
        <f t="shared" si="83"/>
        <v>17.225871133204016</v>
      </c>
      <c r="AE190" s="687">
        <f t="shared" si="84"/>
        <v>-5.3861910258153189</v>
      </c>
      <c r="AG190" s="686">
        <f t="shared" si="85"/>
        <v>45.439167776424661</v>
      </c>
      <c r="AH190" s="687">
        <f t="shared" si="86"/>
        <v>-37.368885111641603</v>
      </c>
      <c r="AJ190" s="170">
        <f t="shared" si="87"/>
        <v>0</v>
      </c>
      <c r="AK190" s="170">
        <f t="shared" si="99"/>
        <v>0</v>
      </c>
      <c r="AM190" s="170" t="str">
        <f t="shared" si="91"/>
        <v>0.970198081016967+0.999555824166379i</v>
      </c>
      <c r="AN190" s="170" t="str">
        <f t="shared" si="92"/>
        <v>1.54098999459702i</v>
      </c>
      <c r="AO190" s="170" t="str">
        <f t="shared" si="93"/>
        <v>0.648645239534972-0.629594017105011i</v>
      </c>
      <c r="AP190" s="170" t="str">
        <f t="shared" si="94"/>
        <v>0.00496698649717223-0.166592637361063i</v>
      </c>
      <c r="AQ190" s="170" t="str">
        <f t="shared" si="95"/>
        <v>0.995033013502828+0.166592637361063i</v>
      </c>
      <c r="AR190" s="170" t="str">
        <f t="shared" si="96"/>
        <v>0.814331723936967-0.136338862868347i</v>
      </c>
    </row>
    <row r="191" spans="7:44">
      <c r="G191" s="688">
        <v>10777.5</v>
      </c>
      <c r="H191" s="676">
        <f t="shared" si="88"/>
        <v>10.7775</v>
      </c>
      <c r="I191" s="677">
        <f t="shared" si="66"/>
        <v>9.8039400998861446</v>
      </c>
      <c r="J191" s="678">
        <f t="shared" si="67"/>
        <v>1.4686188193793266</v>
      </c>
      <c r="K191" s="678">
        <f t="shared" si="68"/>
        <v>1.0001109652688265</v>
      </c>
      <c r="L191" s="679">
        <f t="shared" si="69"/>
        <v>1.489664450286622E-2</v>
      </c>
      <c r="M191" s="678">
        <f t="shared" si="70"/>
        <v>1.0093410888978138</v>
      </c>
      <c r="N191" s="679">
        <f t="shared" si="71"/>
        <v>-0.13615396094559576</v>
      </c>
      <c r="O191" s="677">
        <f t="shared" si="72"/>
        <v>446932.39516806876</v>
      </c>
      <c r="P191" s="680">
        <f t="shared" si="73"/>
        <v>1.5707940893200327</v>
      </c>
      <c r="Q191" s="689">
        <f t="shared" si="100"/>
        <v>18.053989256317255</v>
      </c>
      <c r="R191" s="690">
        <f t="shared" si="101"/>
        <v>1.515378544921699</v>
      </c>
      <c r="S191" s="677">
        <f t="shared" si="76"/>
        <v>1.0007412612994178</v>
      </c>
      <c r="T191" s="680">
        <f t="shared" si="77"/>
        <v>3.8491653604507244E-2</v>
      </c>
      <c r="U191" s="681">
        <f t="shared" si="89"/>
        <v>0.74436814581826882</v>
      </c>
      <c r="V191" s="682">
        <f t="shared" si="90"/>
        <v>-0.94066718429765761</v>
      </c>
      <c r="W191" s="683">
        <f t="shared" si="78"/>
        <v>-0.21930586712088357</v>
      </c>
      <c r="X191" s="684">
        <f t="shared" si="79"/>
        <v>-150.36993840116727</v>
      </c>
      <c r="Y191" s="687">
        <f t="shared" si="80"/>
        <v>29.630061598832725</v>
      </c>
      <c r="AA191" s="170">
        <f t="shared" si="81"/>
        <v>10777.5</v>
      </c>
      <c r="AB191" s="170">
        <f t="shared" si="82"/>
        <v>116154506.25</v>
      </c>
      <c r="AD191" s="686">
        <f t="shared" si="83"/>
        <v>17.225640868365101</v>
      </c>
      <c r="AE191" s="687">
        <f t="shared" si="84"/>
        <v>-5.3804861176102428</v>
      </c>
      <c r="AG191" s="686">
        <f t="shared" si="85"/>
        <v>45.413356574426544</v>
      </c>
      <c r="AH191" s="687">
        <f t="shared" si="86"/>
        <v>-37.196932986964974</v>
      </c>
      <c r="AJ191" s="170">
        <f t="shared" si="87"/>
        <v>0</v>
      </c>
      <c r="AK191" s="170">
        <f t="shared" si="99"/>
        <v>0</v>
      </c>
      <c r="AM191" s="170" t="str">
        <f t="shared" si="91"/>
        <v>0.979183680514891+0.999783316945774i</v>
      </c>
      <c r="AN191" s="170" t="str">
        <f t="shared" si="92"/>
        <v>1.5499785036649i</v>
      </c>
      <c r="AO191" s="170" t="str">
        <f t="shared" si="93"/>
        <v>0.645030440475014-0.631740168137575i</v>
      </c>
      <c r="AP191" s="170" t="str">
        <f t="shared" si="94"/>
        <v>0.00346938658085145-0.166630552824296i</v>
      </c>
      <c r="AQ191" s="170" t="str">
        <f t="shared" si="95"/>
        <v>0.996530613419149+0.166630552824296i</v>
      </c>
      <c r="AR191" s="170" t="str">
        <f t="shared" si="96"/>
        <v>0.813164462980472-0.135969775718788i</v>
      </c>
    </row>
    <row r="192" spans="7:44">
      <c r="G192" s="688">
        <v>10840</v>
      </c>
      <c r="H192" s="676">
        <f t="shared" si="88"/>
        <v>10.84</v>
      </c>
      <c r="I192" s="677">
        <f t="shared" si="66"/>
        <v>9.8602044892395373</v>
      </c>
      <c r="J192" s="678">
        <f t="shared" si="67"/>
        <v>1.4692038856519554</v>
      </c>
      <c r="K192" s="678">
        <f t="shared" si="68"/>
        <v>1.0001122559296196</v>
      </c>
      <c r="L192" s="679">
        <f t="shared" si="69"/>
        <v>1.498301901914968E-2</v>
      </c>
      <c r="M192" s="678">
        <f t="shared" si="70"/>
        <v>1.0094492346281663</v>
      </c>
      <c r="N192" s="679">
        <f t="shared" si="71"/>
        <v>-0.13693372853280503</v>
      </c>
      <c r="O192" s="677">
        <f t="shared" si="72"/>
        <v>449524.20910431229</v>
      </c>
      <c r="P192" s="680">
        <f t="shared" si="73"/>
        <v>1.5707941022206029</v>
      </c>
      <c r="Q192" s="689">
        <f t="shared" si="100"/>
        <v>18.158366193384012</v>
      </c>
      <c r="R192" s="690">
        <f t="shared" si="101"/>
        <v>1.5156974181024789</v>
      </c>
      <c r="S192" s="677">
        <f t="shared" si="76"/>
        <v>1.0007498803217287</v>
      </c>
      <c r="T192" s="680">
        <f t="shared" si="77"/>
        <v>3.8714648932296862E-2</v>
      </c>
      <c r="U192" s="681">
        <f t="shared" si="89"/>
        <v>0.74237644085747412</v>
      </c>
      <c r="V192" s="682">
        <f t="shared" si="90"/>
        <v>-0.94494113496713605</v>
      </c>
      <c r="W192" s="683">
        <f t="shared" si="78"/>
        <v>-0.29156949817760686</v>
      </c>
      <c r="X192" s="684">
        <f t="shared" si="79"/>
        <v>-150.68257540422059</v>
      </c>
      <c r="Y192" s="687">
        <f t="shared" si="80"/>
        <v>29.317424595779414</v>
      </c>
      <c r="AA192" s="170">
        <f t="shared" si="81"/>
        <v>10840</v>
      </c>
      <c r="AB192" s="170">
        <f t="shared" si="82"/>
        <v>117505600</v>
      </c>
      <c r="AD192" s="686">
        <f t="shared" si="83"/>
        <v>17.22541285540688</v>
      </c>
      <c r="AE192" s="687">
        <f t="shared" si="84"/>
        <v>-5.3749934604270724</v>
      </c>
      <c r="AG192" s="686">
        <f t="shared" si="85"/>
        <v>45.387864902033385</v>
      </c>
      <c r="AH192" s="687">
        <f t="shared" si="86"/>
        <v>-37.025303976225381</v>
      </c>
      <c r="AJ192" s="170">
        <f t="shared" si="87"/>
        <v>0</v>
      </c>
      <c r="AK192" s="170">
        <f t="shared" si="99"/>
        <v>0</v>
      </c>
      <c r="AM192" s="170" t="str">
        <f t="shared" si="91"/>
        <v>0.988170961820539+0.999930034480287i</v>
      </c>
      <c r="AN192" s="170" t="str">
        <f t="shared" si="92"/>
        <v>1.55896701273278i</v>
      </c>
      <c r="AO192" s="170" t="str">
        <f t="shared" si="93"/>
        <v>0.641405511671133-0.633862649914787i</v>
      </c>
      <c r="AP192" s="170" t="str">
        <f t="shared" si="94"/>
        <v>0.00197150636324352-0.166655005746715i</v>
      </c>
      <c r="AQ192" s="170" t="str">
        <f t="shared" si="95"/>
        <v>0.998028493636756+0.166655005746715i</v>
      </c>
      <c r="AR192" s="170" t="str">
        <f t="shared" si="96"/>
        <v>0.812003815047021-0.135591820600133i</v>
      </c>
    </row>
    <row r="193" spans="7:44">
      <c r="G193" s="688">
        <v>10902.5</v>
      </c>
      <c r="H193" s="676">
        <f t="shared" si="88"/>
        <v>10.9025</v>
      </c>
      <c r="I193" s="677">
        <f t="shared" si="66"/>
        <v>9.9164722154650136</v>
      </c>
      <c r="J193" s="678">
        <f t="shared" si="67"/>
        <v>1.4697823125924336</v>
      </c>
      <c r="K193" s="678">
        <f t="shared" si="68"/>
        <v>1.000113554051788</v>
      </c>
      <c r="L193" s="679">
        <f t="shared" si="69"/>
        <v>1.5069393311853649E-2</v>
      </c>
      <c r="M193" s="678">
        <f t="shared" si="70"/>
        <v>1.0095579940097807</v>
      </c>
      <c r="N193" s="679">
        <f t="shared" si="71"/>
        <v>-0.13771332858569621</v>
      </c>
      <c r="O193" s="677">
        <f t="shared" si="72"/>
        <v>452116.023040556</v>
      </c>
      <c r="P193" s="680">
        <f t="shared" si="73"/>
        <v>1.5707941149732645</v>
      </c>
      <c r="Q193" s="689">
        <f t="shared" si="100"/>
        <v>18.262744955690447</v>
      </c>
      <c r="R193" s="690">
        <f t="shared" si="101"/>
        <v>1.5160126463439989</v>
      </c>
      <c r="S193" s="677">
        <f t="shared" si="76"/>
        <v>1.0007585491073865</v>
      </c>
      <c r="T193" s="680">
        <f t="shared" si="77"/>
        <v>3.8937640407908078E-2</v>
      </c>
      <c r="U193" s="681">
        <f t="shared" si="89"/>
        <v>0.74038746526793853</v>
      </c>
      <c r="V193" s="682">
        <f t="shared" si="90"/>
        <v>-0.94920259747956914</v>
      </c>
      <c r="W193" s="683">
        <f t="shared" si="78"/>
        <v>-0.36357629223741061</v>
      </c>
      <c r="X193" s="684">
        <f t="shared" si="79"/>
        <v>-150.99431550711816</v>
      </c>
      <c r="Y193" s="687">
        <f t="shared" si="80"/>
        <v>29.005684492881841</v>
      </c>
      <c r="AA193" s="170">
        <f t="shared" si="81"/>
        <v>10902.5</v>
      </c>
      <c r="AB193" s="170">
        <f t="shared" si="82"/>
        <v>118864506.25</v>
      </c>
      <c r="AD193" s="686">
        <f t="shared" si="83"/>
        <v>17.225187033155976</v>
      </c>
      <c r="AE193" s="687">
        <f t="shared" si="84"/>
        <v>-5.3697094136922079</v>
      </c>
      <c r="AG193" s="686">
        <f t="shared" si="85"/>
        <v>45.362688875904659</v>
      </c>
      <c r="AH193" s="687">
        <f t="shared" si="86"/>
        <v>-36.854000492268547</v>
      </c>
      <c r="AJ193" s="170">
        <f t="shared" si="87"/>
        <v>0</v>
      </c>
      <c r="AK193" s="170">
        <f t="shared" si="99"/>
        <v>0</v>
      </c>
      <c r="AM193" s="170" t="str">
        <f t="shared" si="91"/>
        <v>0.997159198826726+0.999995964916206i</v>
      </c>
      <c r="AN193" s="170" t="str">
        <f t="shared" si="92"/>
        <v>1.56795552180066i</v>
      </c>
      <c r="AO193" s="170" t="str">
        <f t="shared" si="93"/>
        <v>0.637770619773575-0.635961406406207i</v>
      </c>
      <c r="AP193" s="170" t="str">
        <f t="shared" si="94"/>
        <v>0.000473466862212255-0.166665994152701i</v>
      </c>
      <c r="AQ193" s="170" t="str">
        <f t="shared" si="95"/>
        <v>0.999526533137788+0.166665994152701i</v>
      </c>
      <c r="AR193" s="170" t="str">
        <f t="shared" si="96"/>
        <v>0.810849817110203-0.135205106014508i</v>
      </c>
    </row>
    <row r="194" spans="7:44">
      <c r="G194" s="688">
        <v>10965</v>
      </c>
      <c r="H194" s="676">
        <f t="shared" si="88"/>
        <v>10.965</v>
      </c>
      <c r="I194" s="677">
        <f t="shared" si="66"/>
        <v>9.9727432220811583</v>
      </c>
      <c r="J194" s="678">
        <f t="shared" si="67"/>
        <v>1.4703542121972923</v>
      </c>
      <c r="K194" s="678">
        <f t="shared" si="68"/>
        <v>1.0001148596353027</v>
      </c>
      <c r="L194" s="679">
        <f t="shared" si="69"/>
        <v>1.515576737969021E-2</v>
      </c>
      <c r="M194" s="678">
        <f t="shared" si="70"/>
        <v>1.0096673668443537</v>
      </c>
      <c r="N194" s="679">
        <f t="shared" si="71"/>
        <v>-0.13849276021091775</v>
      </c>
      <c r="O194" s="677">
        <f t="shared" si="72"/>
        <v>454707.83697679965</v>
      </c>
      <c r="P194" s="680">
        <f t="shared" si="73"/>
        <v>1.5707941275805468</v>
      </c>
      <c r="Q194" s="689">
        <f t="shared" si="100"/>
        <v>18.367125512118534</v>
      </c>
      <c r="R194" s="690">
        <f t="shared" si="101"/>
        <v>1.5163242917257489</v>
      </c>
      <c r="S194" s="677">
        <f t="shared" si="76"/>
        <v>1.000767267655098</v>
      </c>
      <c r="T194" s="680">
        <f t="shared" si="77"/>
        <v>3.9160628009264696E-2</v>
      </c>
      <c r="U194" s="681">
        <f t="shared" si="89"/>
        <v>0.73840128651379466</v>
      </c>
      <c r="V194" s="682">
        <f t="shared" si="90"/>
        <v>-0.95345164378455893</v>
      </c>
      <c r="W194" s="683">
        <f t="shared" si="78"/>
        <v>-0.43532869829302367</v>
      </c>
      <c r="X194" s="684">
        <f t="shared" si="79"/>
        <v>-151.30516564007286</v>
      </c>
      <c r="Y194" s="687">
        <f t="shared" si="80"/>
        <v>28.694834359927142</v>
      </c>
      <c r="AA194" s="170">
        <f t="shared" si="81"/>
        <v>10965</v>
      </c>
      <c r="AB194" s="170">
        <f t="shared" si="82"/>
        <v>120231225</v>
      </c>
      <c r="AD194" s="686">
        <f t="shared" si="83"/>
        <v>17.224963342173034</v>
      </c>
      <c r="AE194" s="687">
        <f t="shared" si="84"/>
        <v>-5.3646304193929364</v>
      </c>
      <c r="AG194" s="686">
        <f t="shared" si="85"/>
        <v>45.33782467545705</v>
      </c>
      <c r="AH194" s="687">
        <f t="shared" si="86"/>
        <v>-36.683024778503018</v>
      </c>
      <c r="AJ194" s="170">
        <f t="shared" si="87"/>
        <v>0</v>
      </c>
      <c r="AK194" s="170">
        <f t="shared" si="99"/>
        <v>0</v>
      </c>
      <c r="AM194" s="170" t="str">
        <f t="shared" si="91"/>
        <v>1.00614766534906+0.999981102926828i</v>
      </c>
      <c r="AN194" s="170" t="str">
        <f t="shared" si="92"/>
        <v>1.57694403086854i</v>
      </c>
      <c r="AO194" s="170" t="str">
        <f t="shared" si="93"/>
        <v>0.634125931772014-0.638036382809921i</v>
      </c>
      <c r="AP194" s="170" t="str">
        <f t="shared" si="94"/>
        <v>-0.00102461089150946-0.166663517154471i</v>
      </c>
      <c r="AQ194" s="170" t="str">
        <f t="shared" si="95"/>
        <v>1.00102461089151+0.166663517154471i</v>
      </c>
      <c r="AR194" s="170" t="str">
        <f t="shared" si="96"/>
        <v>0.809702504622865-0.13480973974161i</v>
      </c>
    </row>
    <row r="195" spans="7:44">
      <c r="G195" s="688">
        <v>11028.75</v>
      </c>
      <c r="H195" s="676">
        <f t="shared" si="88"/>
        <v>11.02875</v>
      </c>
      <c r="I195" s="677">
        <f t="shared" si="66"/>
        <v>10.030142971030676</v>
      </c>
      <c r="J195" s="678">
        <f t="shared" si="67"/>
        <v>1.470930938879504</v>
      </c>
      <c r="K195" s="678">
        <f t="shared" si="68"/>
        <v>1.0001161990171361</v>
      </c>
      <c r="L195" s="679">
        <f t="shared" si="69"/>
        <v>1.524386869588946E-2</v>
      </c>
      <c r="M195" s="678">
        <f t="shared" si="70"/>
        <v>1.0097795589081247</v>
      </c>
      <c r="N195" s="679">
        <f t="shared" si="71"/>
        <v>-0.13928760602924756</v>
      </c>
      <c r="O195" s="677">
        <f t="shared" si="72"/>
        <v>457351.4871917683</v>
      </c>
      <c r="P195" s="680">
        <f t="shared" si="73"/>
        <v>1.5707941402927685</v>
      </c>
      <c r="Q195" s="689">
        <f t="shared" si="100"/>
        <v>18.473595496440254</v>
      </c>
      <c r="R195" s="690">
        <f t="shared" si="101"/>
        <v>1.5166385418742208</v>
      </c>
      <c r="S195" s="677">
        <f t="shared" si="76"/>
        <v>1.0007762118372825</v>
      </c>
      <c r="T195" s="680">
        <f t="shared" si="77"/>
        <v>3.9388071348499233E-2</v>
      </c>
      <c r="U195" s="681">
        <f t="shared" si="89"/>
        <v>0.73637833375770279</v>
      </c>
      <c r="V195" s="682">
        <f t="shared" si="90"/>
        <v>-0.95777295484560265</v>
      </c>
      <c r="W195" s="683">
        <f t="shared" si="78"/>
        <v>-0.50825657849040129</v>
      </c>
      <c r="X195" s="684">
        <f t="shared" si="79"/>
        <v>-151.62132307273893</v>
      </c>
      <c r="Y195" s="687">
        <f t="shared" si="80"/>
        <v>28.378676927261068</v>
      </c>
      <c r="AA195" s="170">
        <f t="shared" si="81"/>
        <v>11028.75</v>
      </c>
      <c r="AB195" s="170">
        <f t="shared" si="82"/>
        <v>121633326.5625</v>
      </c>
      <c r="AD195" s="686">
        <f t="shared" si="83"/>
        <v>17.224737313106001</v>
      </c>
      <c r="AE195" s="687">
        <f t="shared" si="84"/>
        <v>-5.359657483941616</v>
      </c>
      <c r="AG195" s="686">
        <f t="shared" si="85"/>
        <v>45.31278053578756</v>
      </c>
      <c r="AH195" s="687">
        <f t="shared" si="86"/>
        <v>-36.50896937453259</v>
      </c>
      <c r="AJ195" s="170">
        <f t="shared" si="87"/>
        <v>0</v>
      </c>
      <c r="AK195" s="170">
        <f t="shared" si="99"/>
        <v>0</v>
      </c>
      <c r="AM195" s="170" t="str">
        <f t="shared" si="91"/>
        <v>1.01531538452767+0.99988271262022i</v>
      </c>
      <c r="AN195" s="170" t="str">
        <f t="shared" si="92"/>
        <v>1.58611231011777i</v>
      </c>
      <c r="AO195" s="170" t="str">
        <f t="shared" si="93"/>
        <v>0.630398431587721-0.640128304944737i</v>
      </c>
      <c r="AP195" s="170" t="str">
        <f t="shared" si="94"/>
        <v>-0.00255256408794562-0.166647118770037i</v>
      </c>
      <c r="AQ195" s="170" t="str">
        <f t="shared" si="95"/>
        <v>1.00255256408795+0.166647118770037i</v>
      </c>
      <c r="AR195" s="170" t="str">
        <f t="shared" si="96"/>
        <v>0.80853916844928-0.134397664183694i</v>
      </c>
    </row>
    <row r="196" spans="7:44">
      <c r="G196" s="688">
        <v>11092.5</v>
      </c>
      <c r="H196" s="676">
        <f t="shared" si="88"/>
        <v>11.092499999999999</v>
      </c>
      <c r="I196" s="677">
        <f t="shared" si="66"/>
        <v>10.087546018175578</v>
      </c>
      <c r="J196" s="678">
        <f t="shared" si="67"/>
        <v>1.471501102038457</v>
      </c>
      <c r="K196" s="678">
        <f t="shared" si="68"/>
        <v>1.0001175461616927</v>
      </c>
      <c r="L196" s="679">
        <f t="shared" si="69"/>
        <v>1.5331969775430014E-2</v>
      </c>
      <c r="M196" s="678">
        <f t="shared" si="70"/>
        <v>1.0098923887883187</v>
      </c>
      <c r="N196" s="679">
        <f t="shared" si="71"/>
        <v>-0.14008227474178789</v>
      </c>
      <c r="O196" s="677">
        <f t="shared" si="72"/>
        <v>459995.13740673702</v>
      </c>
      <c r="P196" s="680">
        <f t="shared" si="73"/>
        <v>1.5707941528588727</v>
      </c>
      <c r="Q196" s="689">
        <f t="shared" si="100"/>
        <v>18.580067284179734</v>
      </c>
      <c r="R196" s="690">
        <f t="shared" si="101"/>
        <v>1.5169491904756891</v>
      </c>
      <c r="S196" s="677">
        <f t="shared" si="76"/>
        <v>1.0007852077891664</v>
      </c>
      <c r="T196" s="680">
        <f t="shared" si="77"/>
        <v>3.9615510610571135E-2</v>
      </c>
      <c r="U196" s="681">
        <f t="shared" si="89"/>
        <v>0.73435842747790658</v>
      </c>
      <c r="V196" s="682">
        <f t="shared" si="90"/>
        <v>-0.96208150046670926</v>
      </c>
      <c r="W196" s="683">
        <f t="shared" si="78"/>
        <v>-0.58092480961828463</v>
      </c>
      <c r="X196" s="684">
        <f t="shared" si="79"/>
        <v>-151.93656901500268</v>
      </c>
      <c r="Y196" s="687">
        <f t="shared" si="80"/>
        <v>28.063430984997325</v>
      </c>
      <c r="AA196" s="170">
        <f t="shared" si="81"/>
        <v>11092.5</v>
      </c>
      <c r="AB196" s="170">
        <f t="shared" si="82"/>
        <v>123043556.25</v>
      </c>
      <c r="AD196" s="686">
        <f t="shared" si="83"/>
        <v>17.224513381753479</v>
      </c>
      <c r="AE196" s="687">
        <f t="shared" si="84"/>
        <v>-5.3548906599574089</v>
      </c>
      <c r="AG196" s="686">
        <f t="shared" si="85"/>
        <v>45.288052984567166</v>
      </c>
      <c r="AH196" s="687">
        <f t="shared" si="86"/>
        <v>-36.335259180358406</v>
      </c>
      <c r="AJ196" s="170">
        <f t="shared" si="87"/>
        <v>0</v>
      </c>
      <c r="AK196" s="170">
        <f t="shared" si="99"/>
        <v>0</v>
      </c>
      <c r="AM196" s="170" t="str">
        <f t="shared" si="91"/>
        <v>1.02448181634477+0.999700275416818i</v>
      </c>
      <c r="AN196" s="170" t="str">
        <f t="shared" si="92"/>
        <v>1.59528058936701i</v>
      </c>
      <c r="AO196" s="170" t="str">
        <f t="shared" si="93"/>
        <v>0.626661091522143-0.642195375016299i</v>
      </c>
      <c r="AP196" s="170" t="str">
        <f t="shared" si="94"/>
        <v>-0.00408030272412775-0.16661671256947i</v>
      </c>
      <c r="AQ196" s="170" t="str">
        <f t="shared" si="95"/>
        <v>1.00408030272413+0.16661671256947i</v>
      </c>
      <c r="AR196" s="170" t="str">
        <f t="shared" si="96"/>
        <v>0.807382857621852-0.133976811572667i</v>
      </c>
    </row>
    <row r="197" spans="7:44">
      <c r="G197" s="688">
        <v>11156.25</v>
      </c>
      <c r="H197" s="676">
        <f t="shared" si="88"/>
        <v>11.15625</v>
      </c>
      <c r="I197" s="677">
        <f t="shared" si="66"/>
        <v>10.144952307529461</v>
      </c>
      <c r="J197" s="678">
        <f t="shared" si="67"/>
        <v>1.4720648127214431</v>
      </c>
      <c r="K197" s="678">
        <f t="shared" si="68"/>
        <v>1.0001189010689406</v>
      </c>
      <c r="L197" s="679">
        <f t="shared" si="69"/>
        <v>1.5420070616945189E-2</v>
      </c>
      <c r="M197" s="678">
        <f t="shared" si="70"/>
        <v>1.01000585627118</v>
      </c>
      <c r="N197" s="679">
        <f t="shared" si="71"/>
        <v>-0.1408767654043982</v>
      </c>
      <c r="O197" s="677">
        <f t="shared" si="72"/>
        <v>462638.78762170579</v>
      </c>
      <c r="P197" s="680">
        <f t="shared" si="73"/>
        <v>1.5707941652813644</v>
      </c>
      <c r="Q197" s="689">
        <f t="shared" si="100"/>
        <v>18.686540844510542</v>
      </c>
      <c r="R197" s="690">
        <f t="shared" si="101"/>
        <v>1.5172562990331651</v>
      </c>
      <c r="S197" s="677">
        <f t="shared" si="76"/>
        <v>1.0007942555093536</v>
      </c>
      <c r="T197" s="680">
        <f t="shared" si="77"/>
        <v>3.9842945772060413E-2</v>
      </c>
      <c r="U197" s="681">
        <f t="shared" si="89"/>
        <v>0.73234163411511843</v>
      </c>
      <c r="V197" s="682">
        <f t="shared" si="90"/>
        <v>-0.96637735815380077</v>
      </c>
      <c r="W197" s="683">
        <f t="shared" si="78"/>
        <v>-0.65333586067465887</v>
      </c>
      <c r="X197" s="684">
        <f t="shared" si="79"/>
        <v>-152.25091069108916</v>
      </c>
      <c r="Y197" s="687">
        <f t="shared" si="80"/>
        <v>27.74908930891084</v>
      </c>
      <c r="AA197" s="170">
        <f t="shared" si="81"/>
        <v>11156.25</v>
      </c>
      <c r="AB197" s="170">
        <f t="shared" si="82"/>
        <v>124461914.0625</v>
      </c>
      <c r="AD197" s="686">
        <f t="shared" si="83"/>
        <v>17.224291490243633</v>
      </c>
      <c r="AE197" s="687">
        <f t="shared" si="84"/>
        <v>-5.3503264223790268</v>
      </c>
      <c r="AG197" s="686">
        <f t="shared" si="85"/>
        <v>45.263638161632016</v>
      </c>
      <c r="AH197" s="687">
        <f t="shared" si="86"/>
        <v>-36.161896063742425</v>
      </c>
      <c r="AJ197" s="170">
        <f t="shared" si="87"/>
        <v>0</v>
      </c>
      <c r="AK197" s="170">
        <f t="shared" si="99"/>
        <v>0</v>
      </c>
      <c r="AM197" s="170" t="str">
        <f t="shared" si="91"/>
        <v>1.0336461902998+0.999433806651701i</v>
      </c>
      <c r="AN197" s="170" t="str">
        <f t="shared" si="92"/>
        <v>1.60444886861624i</v>
      </c>
      <c r="AO197" s="170" t="str">
        <f t="shared" si="93"/>
        <v>0.622914089816813-0.644237538832428i</v>
      </c>
      <c r="AP197" s="170" t="str">
        <f t="shared" si="94"/>
        <v>-0.00560769838329942-0.166572301108617i</v>
      </c>
      <c r="AQ197" s="170" t="str">
        <f t="shared" si="95"/>
        <v>1.0056076983833+0.166572301108617i</v>
      </c>
      <c r="AR197" s="170" t="str">
        <f t="shared" si="96"/>
        <v>0.806233605067355-0.133547293883162i</v>
      </c>
    </row>
    <row r="198" spans="7:44">
      <c r="G198" s="688">
        <v>11220</v>
      </c>
      <c r="H198" s="676">
        <f t="shared" si="88"/>
        <v>11.22</v>
      </c>
      <c r="I198" s="677">
        <f t="shared" si="66"/>
        <v>10.202361784362884</v>
      </c>
      <c r="J198" s="678">
        <f t="shared" si="67"/>
        <v>1.4726221794928838</v>
      </c>
      <c r="K198" s="678">
        <f t="shared" si="68"/>
        <v>1.0001202637388489</v>
      </c>
      <c r="L198" s="679">
        <f t="shared" si="69"/>
        <v>1.5508171219068318E-2</v>
      </c>
      <c r="M198" s="678">
        <f t="shared" si="70"/>
        <v>1.0101199611418417</v>
      </c>
      <c r="N198" s="679">
        <f t="shared" si="71"/>
        <v>-0.14167107707426022</v>
      </c>
      <c r="O198" s="677">
        <f t="shared" si="72"/>
        <v>465282.43783667468</v>
      </c>
      <c r="P198" s="680">
        <f t="shared" si="73"/>
        <v>1.5707941775626912</v>
      </c>
      <c r="Q198" s="689">
        <f t="shared" si="100"/>
        <v>18.793016147304343</v>
      </c>
      <c r="R198" s="690">
        <f t="shared" si="101"/>
        <v>1.5175599276585385</v>
      </c>
      <c r="S198" s="677">
        <f t="shared" si="76"/>
        <v>1.0008033549964404</v>
      </c>
      <c r="T198" s="680">
        <f t="shared" si="77"/>
        <v>4.007037680954964E-2</v>
      </c>
      <c r="U198" s="681">
        <f t="shared" si="89"/>
        <v>0.73032801841978323</v>
      </c>
      <c r="V198" s="682">
        <f t="shared" si="90"/>
        <v>-0.97066060576685387</v>
      </c>
      <c r="W198" s="683">
        <f t="shared" si="78"/>
        <v>-0.7254921591990362</v>
      </c>
      <c r="X198" s="684">
        <f t="shared" si="79"/>
        <v>-152.56435528302936</v>
      </c>
      <c r="Y198" s="687">
        <f t="shared" si="80"/>
        <v>27.435644716970643</v>
      </c>
      <c r="AA198" s="170">
        <f t="shared" si="81"/>
        <v>11220</v>
      </c>
      <c r="AB198" s="170">
        <f t="shared" si="82"/>
        <v>125888400</v>
      </c>
      <c r="AD198" s="686">
        <f t="shared" si="83"/>
        <v>17.224071582340162</v>
      </c>
      <c r="AE198" s="687">
        <f t="shared" si="84"/>
        <v>-5.3459613258473899</v>
      </c>
      <c r="AG198" s="686">
        <f t="shared" si="85"/>
        <v>45.239532269776284</v>
      </c>
      <c r="AH198" s="687">
        <f t="shared" si="86"/>
        <v>-35.988881729978552</v>
      </c>
      <c r="AJ198" s="170">
        <f t="shared" si="87"/>
        <v>0</v>
      </c>
      <c r="AK198" s="170">
        <f t="shared" si="99"/>
        <v>0</v>
      </c>
      <c r="AM198" s="170" t="str">
        <f t="shared" si="91"/>
        <v>1.04280773606524+0.99908332872337i</v>
      </c>
      <c r="AN198" s="170" t="str">
        <f t="shared" si="92"/>
        <v>1.61361714786548i</v>
      </c>
      <c r="AO198" s="170" t="str">
        <f t="shared" si="93"/>
        <v>0.619157605039693-0.646254743539807i</v>
      </c>
      <c r="AP198" s="170" t="str">
        <f t="shared" si="94"/>
        <v>-0.00713462267754033-0.166513888120562i</v>
      </c>
      <c r="AQ198" s="170" t="str">
        <f t="shared" si="95"/>
        <v>1.00713462267754+0.166513888120562i</v>
      </c>
      <c r="AR198" s="170" t="str">
        <f t="shared" si="96"/>
        <v>0.805091442196297-0.133109222256992i</v>
      </c>
    </row>
    <row r="199" spans="7:44">
      <c r="G199" s="688">
        <v>11285.5</v>
      </c>
      <c r="H199" s="676">
        <f t="shared" si="88"/>
        <v>11.285500000000001</v>
      </c>
      <c r="I199" s="677">
        <f t="shared" si="66"/>
        <v>10.261350471316632</v>
      </c>
      <c r="J199" s="678">
        <f t="shared" si="67"/>
        <v>1.4731883505628265</v>
      </c>
      <c r="K199" s="678">
        <f t="shared" si="68"/>
        <v>1.0001216719005726</v>
      </c>
      <c r="L199" s="679">
        <f t="shared" si="69"/>
        <v>1.5598690018316848E-2</v>
      </c>
      <c r="M199" s="678">
        <f t="shared" si="70"/>
        <v>1.010237861949387</v>
      </c>
      <c r="N199" s="679">
        <f t="shared" si="71"/>
        <v>-0.14248700595814298</v>
      </c>
      <c r="O199" s="677">
        <f t="shared" si="72"/>
        <v>467998.65884185844</v>
      </c>
      <c r="P199" s="680">
        <f t="shared" si="73"/>
        <v>1.5707941900366365</v>
      </c>
      <c r="Q199" s="689">
        <f t="shared" si="100"/>
        <v>18.902416085465862</v>
      </c>
      <c r="R199" s="690">
        <f t="shared" si="101"/>
        <v>1.5178683284047543</v>
      </c>
      <c r="S199" s="677">
        <f t="shared" si="76"/>
        <v>1.0008127581898667</v>
      </c>
      <c r="T199" s="680">
        <f t="shared" si="77"/>
        <v>4.0304046732012919E-2</v>
      </c>
      <c r="U199" s="681">
        <f t="shared" si="89"/>
        <v>0.72826250300244111</v>
      </c>
      <c r="V199" s="682">
        <f t="shared" si="90"/>
        <v>-0.97504838085701728</v>
      </c>
      <c r="W199" s="683">
        <f t="shared" si="78"/>
        <v>-0.79936638936040438</v>
      </c>
      <c r="X199" s="684">
        <f t="shared" si="79"/>
        <v>-152.88547738047501</v>
      </c>
      <c r="Y199" s="687">
        <f t="shared" si="80"/>
        <v>27.11452261952499</v>
      </c>
      <c r="AA199" s="170">
        <f t="shared" si="81"/>
        <v>11285.5</v>
      </c>
      <c r="AB199" s="170">
        <f t="shared" si="82"/>
        <v>127362510.25</v>
      </c>
      <c r="AD199" s="686">
        <f t="shared" si="83"/>
        <v>17.223847646344037</v>
      </c>
      <c r="AE199" s="687">
        <f t="shared" si="84"/>
        <v>-5.341680279746357</v>
      </c>
      <c r="AG199" s="686">
        <f t="shared" si="85"/>
        <v>45.215082489915304</v>
      </c>
      <c r="AH199" s="687">
        <f t="shared" si="86"/>
        <v>-35.811482884712738</v>
      </c>
      <c r="AJ199" s="170">
        <f t="shared" si="87"/>
        <v>0</v>
      </c>
      <c r="AK199" s="170">
        <f t="shared" si="99"/>
        <v>0</v>
      </c>
      <c r="AM199" s="170" t="str">
        <f t="shared" si="91"/>
        <v>1.05221702010696+0.99863576083132i</v>
      </c>
      <c r="AN199" s="170" t="str">
        <f t="shared" si="92"/>
        <v>1.62303710536862i</v>
      </c>
      <c r="AO199" s="170" t="str">
        <f t="shared" si="93"/>
        <v>0.615288311972703-0.648301272119089i</v>
      </c>
      <c r="AP199" s="170" t="str">
        <f t="shared" si="94"/>
        <v>-0.00870283668449302-0.166439293471887i</v>
      </c>
      <c r="AQ199" s="170" t="str">
        <f t="shared" si="95"/>
        <v>1.00870283668449+0.166439293471887i</v>
      </c>
      <c r="AR199" s="170" t="str">
        <f t="shared" si="96"/>
        <v>0.80392534156207-0.132650331680973i</v>
      </c>
    </row>
    <row r="200" spans="7:44">
      <c r="G200" s="688">
        <v>11351</v>
      </c>
      <c r="H200" s="676">
        <f t="shared" si="88"/>
        <v>11.351000000000001</v>
      </c>
      <c r="I200" s="677">
        <f t="shared" si="66"/>
        <v>10.320342409940944</v>
      </c>
      <c r="J200" s="678">
        <f t="shared" si="67"/>
        <v>1.4737480492482904</v>
      </c>
      <c r="K200" s="678">
        <f t="shared" si="68"/>
        <v>1.000123088256923</v>
      </c>
      <c r="L200" s="679">
        <f t="shared" si="69"/>
        <v>1.568920856192486E-2</v>
      </c>
      <c r="M200" s="678">
        <f t="shared" si="70"/>
        <v>1.0103564351554042</v>
      </c>
      <c r="N200" s="679">
        <f t="shared" si="71"/>
        <v>-0.14330274387375549</v>
      </c>
      <c r="O200" s="677">
        <f t="shared" si="72"/>
        <v>470714.8798470422</v>
      </c>
      <c r="P200" s="680">
        <f t="shared" si="73"/>
        <v>1.5707942023666221</v>
      </c>
      <c r="Q200" s="689">
        <f t="shared" si="100"/>
        <v>19.011817800764838</v>
      </c>
      <c r="R200" s="690">
        <f t="shared" si="101"/>
        <v>1.5181731798535798</v>
      </c>
      <c r="S200" s="677">
        <f t="shared" si="76"/>
        <v>1.0008222160282749</v>
      </c>
      <c r="T200" s="680">
        <f t="shared" si="77"/>
        <v>4.0537712250841018E-2</v>
      </c>
      <c r="U200" s="681">
        <f t="shared" si="89"/>
        <v>0.72620047530495324</v>
      </c>
      <c r="V200" s="682">
        <f t="shared" si="90"/>
        <v>-0.97942301177289737</v>
      </c>
      <c r="W200" s="683">
        <f t="shared" si="78"/>
        <v>-0.87297675443027301</v>
      </c>
      <c r="X200" s="684">
        <f t="shared" si="79"/>
        <v>-153.20566770406796</v>
      </c>
      <c r="Y200" s="687">
        <f t="shared" si="80"/>
        <v>26.794332295932037</v>
      </c>
      <c r="AA200" s="170">
        <f t="shared" si="81"/>
        <v>11351</v>
      </c>
      <c r="AB200" s="170">
        <f t="shared" si="82"/>
        <v>128845201</v>
      </c>
      <c r="AD200" s="686">
        <f t="shared" si="83"/>
        <v>17.223625689059812</v>
      </c>
      <c r="AE200" s="687">
        <f t="shared" si="84"/>
        <v>-5.3376023328482782</v>
      </c>
      <c r="AG200" s="686">
        <f t="shared" si="85"/>
        <v>45.190950906890066</v>
      </c>
      <c r="AH200" s="687">
        <f t="shared" si="86"/>
        <v>-35.634455377816167</v>
      </c>
      <c r="AJ200" s="170">
        <f t="shared" si="87"/>
        <v>0</v>
      </c>
      <c r="AK200" s="170">
        <f t="shared" si="99"/>
        <v>0</v>
      </c>
      <c r="AM200" s="170" t="str">
        <f t="shared" si="91"/>
        <v>1.06162167067435+0.998099579051761i</v>
      </c>
      <c r="AN200" s="170" t="str">
        <f t="shared" si="92"/>
        <v>1.63245706287175i</v>
      </c>
      <c r="AO200" s="170" t="str">
        <f t="shared" si="93"/>
        <v>0.611409391249744-0.650321343709212i</v>
      </c>
      <c r="AP200" s="170" t="str">
        <f t="shared" si="94"/>
        <v>-0.0102702784457253-0.16634992984196i</v>
      </c>
      <c r="AQ200" s="170" t="str">
        <f t="shared" si="95"/>
        <v>1.01027027844573+0.16634992984196i</v>
      </c>
      <c r="AR200" s="170" t="str">
        <f t="shared" si="96"/>
        <v>0.802766787638812-0.132182646220791i</v>
      </c>
    </row>
    <row r="201" spans="7:44">
      <c r="G201" s="688">
        <v>11416.5</v>
      </c>
      <c r="H201" s="676">
        <f t="shared" si="88"/>
        <v>11.416499999999999</v>
      </c>
      <c r="I201" s="677">
        <f t="shared" si="66"/>
        <v>10.379337544792293</v>
      </c>
      <c r="J201" s="678">
        <f t="shared" si="67"/>
        <v>1.4743013855607781</v>
      </c>
      <c r="K201" s="678">
        <f t="shared" si="68"/>
        <v>1.0001245128078655</v>
      </c>
      <c r="L201" s="679">
        <f t="shared" si="69"/>
        <v>1.5779726848410097E-2</v>
      </c>
      <c r="M201" s="678">
        <f t="shared" si="70"/>
        <v>1.0104756805231876</v>
      </c>
      <c r="N201" s="679">
        <f t="shared" si="71"/>
        <v>-0.14411828980288635</v>
      </c>
      <c r="O201" s="677">
        <f t="shared" si="72"/>
        <v>473431.10085222614</v>
      </c>
      <c r="P201" s="680">
        <f t="shared" si="73"/>
        <v>1.5707942145551257</v>
      </c>
      <c r="Q201" s="689">
        <f t="shared" si="100"/>
        <v>19.121221262697681</v>
      </c>
      <c r="R201" s="690">
        <f t="shared" si="101"/>
        <v>1.5184745428705524</v>
      </c>
      <c r="S201" s="677">
        <f t="shared" si="76"/>
        <v>1.0008317285101163</v>
      </c>
      <c r="T201" s="680">
        <f t="shared" si="77"/>
        <v>4.0771373340643055E-2</v>
      </c>
      <c r="U201" s="681">
        <f t="shared" si="89"/>
        <v>0.72414200013121666</v>
      </c>
      <c r="V201" s="682">
        <f t="shared" si="90"/>
        <v>-0.98378458402331781</v>
      </c>
      <c r="W201" s="683">
        <f t="shared" si="78"/>
        <v>-0.94632575775406957</v>
      </c>
      <c r="X201" s="684">
        <f t="shared" si="79"/>
        <v>-153.52493390939205</v>
      </c>
      <c r="Y201" s="687">
        <f t="shared" si="80"/>
        <v>26.475066090607953</v>
      </c>
      <c r="AA201" s="170">
        <f t="shared" si="81"/>
        <v>11416.5</v>
      </c>
      <c r="AB201" s="170">
        <f t="shared" si="82"/>
        <v>130336472.25</v>
      </c>
      <c r="AD201" s="686">
        <f t="shared" si="83"/>
        <v>17.223405654528669</v>
      </c>
      <c r="AE201" s="687">
        <f t="shared" si="84"/>
        <v>-5.3337239965018775</v>
      </c>
      <c r="AG201" s="686">
        <f t="shared" si="85"/>
        <v>45.167133602039826</v>
      </c>
      <c r="AH201" s="687">
        <f t="shared" si="86"/>
        <v>-35.457800554934636</v>
      </c>
      <c r="AJ201" s="170">
        <f t="shared" si="87"/>
        <v>0</v>
      </c>
      <c r="AK201" s="170">
        <f t="shared" si="99"/>
        <v>0</v>
      </c>
      <c r="AM201" s="170" t="str">
        <f t="shared" si="91"/>
        <v>1.07102085324631+0.99747483096275i</v>
      </c>
      <c r="AN201" s="170" t="str">
        <f t="shared" si="92"/>
        <v>1.64187702037489i</v>
      </c>
      <c r="AO201" s="170" t="str">
        <f t="shared" si="93"/>
        <v>0.607521037559193-0.652314905413417i</v>
      </c>
      <c r="AP201" s="170" t="str">
        <f t="shared" si="94"/>
        <v>-0.0118368088743846-0.166245805160458i</v>
      </c>
      <c r="AQ201" s="170" t="str">
        <f t="shared" si="95"/>
        <v>1.01183680887438+0.166245805160458i</v>
      </c>
      <c r="AR201" s="170" t="str">
        <f t="shared" si="96"/>
        <v>0.801615809706808-0.131706283607445i</v>
      </c>
    </row>
    <row r="202" spans="7:44">
      <c r="G202" s="688">
        <v>11482</v>
      </c>
      <c r="H202" s="676">
        <f t="shared" si="88"/>
        <v>11.481999999999999</v>
      </c>
      <c r="I202" s="677">
        <f t="shared" si="66"/>
        <v>10.438335821677605</v>
      </c>
      <c r="J202" s="678">
        <f t="shared" si="67"/>
        <v>1.4748484670404061</v>
      </c>
      <c r="K202" s="678">
        <f t="shared" si="68"/>
        <v>1.0001259455533649</v>
      </c>
      <c r="L202" s="679">
        <f t="shared" si="69"/>
        <v>1.5870244876290324E-2</v>
      </c>
      <c r="M202" s="678">
        <f t="shared" si="70"/>
        <v>1.0105955978148018</v>
      </c>
      <c r="N202" s="679">
        <f t="shared" si="71"/>
        <v>-0.14493364272882492</v>
      </c>
      <c r="O202" s="677">
        <f t="shared" si="72"/>
        <v>476147.32185741013</v>
      </c>
      <c r="P202" s="680">
        <f t="shared" si="73"/>
        <v>1.5707942266045687</v>
      </c>
      <c r="Q202" s="689">
        <f t="shared" si="100"/>
        <v>19.23062644145449</v>
      </c>
      <c r="R202" s="690">
        <f t="shared" si="101"/>
        <v>1.5187724769386939</v>
      </c>
      <c r="S202" s="677">
        <f t="shared" si="76"/>
        <v>1.000841295633832</v>
      </c>
      <c r="T202" s="680">
        <f t="shared" si="77"/>
        <v>4.100502997603106E-2</v>
      </c>
      <c r="U202" s="681">
        <f t="shared" si="89"/>
        <v>0.72208714050203726</v>
      </c>
      <c r="V202" s="682">
        <f t="shared" si="90"/>
        <v>-0.98813318343940004</v>
      </c>
      <c r="W202" s="683">
        <f t="shared" si="78"/>
        <v>-1.0194158611690574</v>
      </c>
      <c r="X202" s="684">
        <f t="shared" si="79"/>
        <v>-153.84328360819291</v>
      </c>
      <c r="Y202" s="687">
        <f t="shared" si="80"/>
        <v>26.156716391807095</v>
      </c>
      <c r="AA202" s="170">
        <f t="shared" si="81"/>
        <v>11482</v>
      </c>
      <c r="AB202" s="170">
        <f t="shared" si="82"/>
        <v>131836324</v>
      </c>
      <c r="AD202" s="686">
        <f t="shared" si="83"/>
        <v>17.223187488379935</v>
      </c>
      <c r="AE202" s="687">
        <f t="shared" si="84"/>
        <v>-5.330041861265201</v>
      </c>
      <c r="AG202" s="686">
        <f t="shared" si="85"/>
        <v>45.143626721720445</v>
      </c>
      <c r="AH202" s="687">
        <f t="shared" si="86"/>
        <v>-35.281519601733628</v>
      </c>
      <c r="AJ202" s="170">
        <f t="shared" si="87"/>
        <v>0</v>
      </c>
      <c r="AK202" s="170">
        <f t="shared" si="99"/>
        <v>0</v>
      </c>
      <c r="AM202" s="170" t="str">
        <f t="shared" si="91"/>
        <v>1.08041373378688+0.996761572001275i</v>
      </c>
      <c r="AN202" s="170" t="str">
        <f t="shared" si="92"/>
        <v>1.65129697787802i</v>
      </c>
      <c r="AO202" s="170" t="str">
        <f t="shared" si="93"/>
        <v>0.603623445906231-0.654281905835771i</v>
      </c>
      <c r="AP202" s="170" t="str">
        <f t="shared" si="94"/>
        <v>-0.0134022889644792-0.166126928666879i</v>
      </c>
      <c r="AQ202" s="170" t="str">
        <f t="shared" si="95"/>
        <v>1.01340228896448+0.166126928666879i</v>
      </c>
      <c r="AR202" s="170" t="str">
        <f t="shared" si="96"/>
        <v>0.800472435499537-0.131221360598975i</v>
      </c>
    </row>
    <row r="203" spans="7:44">
      <c r="G203" s="688">
        <v>11548.75</v>
      </c>
      <c r="H203" s="676">
        <f t="shared" si="88"/>
        <v>11.54875</v>
      </c>
      <c r="I203" s="677">
        <f t="shared" si="66"/>
        <v>10.498463197582732</v>
      </c>
      <c r="J203" s="678">
        <f t="shared" si="67"/>
        <v>1.4753996628266808</v>
      </c>
      <c r="K203" s="678">
        <f t="shared" si="68"/>
        <v>1.0001274140719254</v>
      </c>
      <c r="L203" s="679">
        <f t="shared" si="69"/>
        <v>1.5962490079861186E-2</v>
      </c>
      <c r="M203" s="678">
        <f t="shared" si="70"/>
        <v>1.0107184946373717</v>
      </c>
      <c r="N203" s="679">
        <f t="shared" si="71"/>
        <v>-0.14576435621078168</v>
      </c>
      <c r="O203" s="677">
        <f t="shared" si="72"/>
        <v>478915.37914131902</v>
      </c>
      <c r="P203" s="680">
        <f t="shared" si="73"/>
        <v>1.570794238743346</v>
      </c>
      <c r="Q203" s="689">
        <f t="shared" si="100"/>
        <v>19.342121241421758</v>
      </c>
      <c r="R203" s="690">
        <f t="shared" si="101"/>
        <v>1.5190726292297245</v>
      </c>
      <c r="S203" s="677">
        <f t="shared" si="76"/>
        <v>1.0008511015506232</v>
      </c>
      <c r="T203" s="680">
        <f t="shared" si="77"/>
        <v>4.1243141098494751E-2</v>
      </c>
      <c r="U203" s="681">
        <f t="shared" si="89"/>
        <v>0.71999684911614237</v>
      </c>
      <c r="V203" s="682">
        <f t="shared" si="90"/>
        <v>-0.99255151402029385</v>
      </c>
      <c r="W203" s="683">
        <f t="shared" si="78"/>
        <v>-1.0936369624130173</v>
      </c>
      <c r="X203" s="684">
        <f t="shared" si="79"/>
        <v>-154.16677360962188</v>
      </c>
      <c r="Y203" s="687">
        <f t="shared" si="80"/>
        <v>25.833226390378115</v>
      </c>
      <c r="AA203" s="170">
        <f t="shared" si="81"/>
        <v>11548.75</v>
      </c>
      <c r="AB203" s="170">
        <f t="shared" si="82"/>
        <v>133373626.5625</v>
      </c>
      <c r="AD203" s="686">
        <f t="shared" si="83"/>
        <v>17.222967026265113</v>
      </c>
      <c r="AE203" s="687">
        <f t="shared" si="84"/>
        <v>-5.3264878596468987</v>
      </c>
      <c r="AG203" s="686">
        <f t="shared" si="85"/>
        <v>45.119986680546695</v>
      </c>
      <c r="AH203" s="687">
        <f t="shared" si="86"/>
        <v>-35.102260214644737</v>
      </c>
      <c r="AJ203" s="170">
        <f t="shared" si="87"/>
        <v>0</v>
      </c>
      <c r="AK203" s="170">
        <f t="shared" si="99"/>
        <v>0</v>
      </c>
      <c r="AM203" s="170" t="str">
        <f t="shared" si="91"/>
        <v>1.08997852125299+0.995943706096447i</v>
      </c>
      <c r="AN203" s="170" t="str">
        <f t="shared" si="92"/>
        <v>1.66089670556252i</v>
      </c>
      <c r="AO203" s="170" t="str">
        <f t="shared" si="93"/>
        <v>0.599642170859227-0.656259066323954i</v>
      </c>
      <c r="AP203" s="170" t="str">
        <f t="shared" si="94"/>
        <v>-0.0149964202088317-0.165990617682741i</v>
      </c>
      <c r="AQ203" s="170" t="str">
        <f t="shared" si="95"/>
        <v>1.01499642020883+0.165990617682741i</v>
      </c>
      <c r="AR203" s="170" t="str">
        <f t="shared" si="96"/>
        <v>0.799315091088812-0.130718496194962i</v>
      </c>
    </row>
    <row r="204" spans="7:44">
      <c r="G204" s="688">
        <v>11615.5</v>
      </c>
      <c r="H204" s="676">
        <f t="shared" si="88"/>
        <v>11.615500000000001</v>
      </c>
      <c r="I204" s="677">
        <f t="shared" si="66"/>
        <v>10.558593726769393</v>
      </c>
      <c r="J204" s="678">
        <f t="shared" si="67"/>
        <v>1.4759445807260636</v>
      </c>
      <c r="K204" s="678">
        <f t="shared" si="68"/>
        <v>1.0001288911007229</v>
      </c>
      <c r="L204" s="679">
        <f t="shared" si="69"/>
        <v>1.6054735011754452E-2</v>
      </c>
      <c r="M204" s="678">
        <f t="shared" si="70"/>
        <v>1.0108420887716234</v>
      </c>
      <c r="N204" s="679">
        <f t="shared" si="71"/>
        <v>-0.14659486712558142</v>
      </c>
      <c r="O204" s="677">
        <f t="shared" si="72"/>
        <v>481683.43642522802</v>
      </c>
      <c r="P204" s="680">
        <f t="shared" si="73"/>
        <v>1.5707942507426091</v>
      </c>
      <c r="Q204" s="689">
        <f t="shared" si="100"/>
        <v>19.453617763973376</v>
      </c>
      <c r="R204" s="690">
        <f t="shared" si="101"/>
        <v>1.5193693409597695</v>
      </c>
      <c r="S204" s="677">
        <f t="shared" si="76"/>
        <v>1.0008609642114619</v>
      </c>
      <c r="T204" s="680">
        <f t="shared" si="77"/>
        <v>4.1481247541679964E-2</v>
      </c>
      <c r="U204" s="681">
        <f t="shared" si="89"/>
        <v>0.71791043919450648</v>
      </c>
      <c r="V204" s="682">
        <f t="shared" si="90"/>
        <v>-0.99695655282204843</v>
      </c>
      <c r="W204" s="683">
        <f t="shared" si="78"/>
        <v>-1.1675942230853611</v>
      </c>
      <c r="X204" s="684">
        <f t="shared" si="79"/>
        <v>-154.48932761462964</v>
      </c>
      <c r="Y204" s="687">
        <f t="shared" si="80"/>
        <v>25.510672385370356</v>
      </c>
      <c r="AA204" s="170">
        <f t="shared" si="81"/>
        <v>11615.5</v>
      </c>
      <c r="AB204" s="170">
        <f t="shared" si="82"/>
        <v>134919840.25</v>
      </c>
      <c r="AD204" s="686">
        <f t="shared" si="83"/>
        <v>17.22274839532264</v>
      </c>
      <c r="AE204" s="687">
        <f t="shared" si="84"/>
        <v>-5.3231307115559749</v>
      </c>
      <c r="AG204" s="686">
        <f t="shared" si="85"/>
        <v>45.096661145415531</v>
      </c>
      <c r="AH204" s="687">
        <f t="shared" si="86"/>
        <v>-34.923391103302833</v>
      </c>
      <c r="AJ204" s="170">
        <f t="shared" si="87"/>
        <v>0</v>
      </c>
      <c r="AK204" s="170">
        <f t="shared" si="99"/>
        <v>0</v>
      </c>
      <c r="AM204" s="170" t="str">
        <f t="shared" si="91"/>
        <v>1.0995350168327+0.995034059931676i</v>
      </c>
      <c r="AN204" s="170" t="str">
        <f t="shared" si="92"/>
        <v>1.67049643324701i</v>
      </c>
      <c r="AO204" s="170" t="str">
        <f t="shared" si="93"/>
        <v>0.595651711747501-0.658208539060147i</v>
      </c>
      <c r="AP204" s="170" t="str">
        <f t="shared" si="94"/>
        <v>-0.0165891694721163-0.165839009988613i</v>
      </c>
      <c r="AQ204" s="170" t="str">
        <f t="shared" si="95"/>
        <v>1.01658916947212+0.165839009988613i</v>
      </c>
      <c r="AR204" s="170" t="str">
        <f t="shared" si="96"/>
        <v>0.798165696793048-0.130206983251419i</v>
      </c>
    </row>
    <row r="205" spans="7:44">
      <c r="G205" s="688">
        <v>11682.25</v>
      </c>
      <c r="H205" s="676">
        <f t="shared" si="88"/>
        <v>11.68225</v>
      </c>
      <c r="I205" s="677">
        <f t="shared" ref="I205:I268" si="102">SQRT(1+(G205/pole1)^2)</f>
        <v>10.618727355669444</v>
      </c>
      <c r="J205" s="678">
        <f t="shared" ref="J205:J268" si="103">ATAN(G205/pole1)</f>
        <v>1.4764833270667865</v>
      </c>
      <c r="K205" s="678">
        <f t="shared" ref="K205:K268" si="104">SQRT(1+(G205/Zero1)^2)</f>
        <v>1.0001303766397192</v>
      </c>
      <c r="L205" s="679">
        <f t="shared" ref="L205:L268" si="105">ATAN(G205/Zero1)</f>
        <v>1.6146979670401473E-2</v>
      </c>
      <c r="M205" s="678">
        <f t="shared" ref="M205:M268" si="106">SQRT(1+(G205/z_RHP)^2)</f>
        <v>1.0109663799618107</v>
      </c>
      <c r="N205" s="679">
        <f t="shared" ref="N205:N268" si="107">-ATAN(G205/z_RHP)</f>
        <v>-0.14742517440204167</v>
      </c>
      <c r="O205" s="677">
        <f t="shared" ref="O205:O268" si="108">SQRT(1+(G205/Pole2)^2)</f>
        <v>484451.49370913714</v>
      </c>
      <c r="P205" s="680">
        <f t="shared" ref="P205:P268" si="109">ATAN(G205/Pole2)</f>
        <v>1.5707942626047497</v>
      </c>
      <c r="Q205" s="689">
        <f t="shared" si="100"/>
        <v>19.565115979659652</v>
      </c>
      <c r="R205" s="690">
        <f t="shared" si="101"/>
        <v>1.5196626708976213</v>
      </c>
      <c r="S205" s="677">
        <f t="shared" ref="S205:S268" si="110">SQRT(1+(G205/pole4)^2)</f>
        <v>1.0008708836146709</v>
      </c>
      <c r="T205" s="680">
        <f t="shared" ref="T205:T268" si="111">ATAN(G205/pole4)</f>
        <v>4.171934927872667E-2</v>
      </c>
      <c r="U205" s="681">
        <f t="shared" si="89"/>
        <v>0.71582797188335179</v>
      </c>
      <c r="V205" s="682">
        <f t="shared" si="90"/>
        <v>-1.0013483916073811</v>
      </c>
      <c r="W205" s="683">
        <f t="shared" ref="W205:W268" si="112">20*LOG10(((K205*Q205*M205*U205)/(I205*O205*S205))*Adc)</f>
        <v>-1.2412901225975572</v>
      </c>
      <c r="X205" s="684">
        <f t="shared" ref="X205:X268" si="113">((L205+R205+N205+V205)-(J205+P205+T205))*radconv</f>
        <v>-154.81095354310153</v>
      </c>
      <c r="Y205" s="687">
        <f t="shared" ref="Y205:Y268" si="114">IF(X205&gt;0,X205,X205+180)</f>
        <v>25.189046456898467</v>
      </c>
      <c r="AA205" s="170">
        <f t="shared" ref="AA205:AA268" si="115">IF(W205&lt;0,G205,1000000000)</f>
        <v>11682.25</v>
      </c>
      <c r="AB205" s="170">
        <f t="shared" ref="AB205:AB268" si="116">G205^2</f>
        <v>136474965.0625</v>
      </c>
      <c r="AD205" s="686">
        <f t="shared" ref="AD205:AD268" si="117">20*LOG10((Q205/(O205*S205))*Aea)</f>
        <v>17.222531542761686</v>
      </c>
      <c r="AE205" s="687">
        <f t="shared" ref="AE205:AE268" si="118">(R205-(P205+T205))*radconv</f>
        <v>-5.3199670483867214</v>
      </c>
      <c r="AG205" s="686">
        <f t="shared" ref="AG205:AG268" si="119">20*LOG10((K205*M205/(I205*U205))*Acs*Am)</f>
        <v>45.073646238421325</v>
      </c>
      <c r="AH205" s="687">
        <f t="shared" ref="AH205:AH268" si="120">(L205+N205-(J205+V205))*radconv</f>
        <v>-34.744913040966082</v>
      </c>
      <c r="AJ205" s="170">
        <f t="shared" ref="AJ205:AJ268" si="121">SUM((W206&lt;0)*(W205&gt;0))*G205</f>
        <v>0</v>
      </c>
      <c r="AK205" s="170">
        <f t="shared" si="99"/>
        <v>0</v>
      </c>
      <c r="AM205" s="170" t="str">
        <f t="shared" si="91"/>
        <v>1.10908233985611+0.994032717334553i</v>
      </c>
      <c r="AN205" s="170" t="str">
        <f t="shared" si="92"/>
        <v>1.68009616093151i</v>
      </c>
      <c r="AO205" s="170" t="str">
        <f t="shared" si="93"/>
        <v>0.591652275893198-0.660130274472618i</v>
      </c>
      <c r="AP205" s="170" t="str">
        <f t="shared" si="94"/>
        <v>-0.0181803899760187-0.165672119555759i</v>
      </c>
      <c r="AQ205" s="170" t="str">
        <f t="shared" si="95"/>
        <v>1.01818038997602+0.165672119555759i</v>
      </c>
      <c r="AR205" s="170" t="str">
        <f t="shared" si="96"/>
        <v>0.797024277232671-0.129686942163209i</v>
      </c>
    </row>
    <row r="206" spans="7:44">
      <c r="G206" s="688">
        <v>11749</v>
      </c>
      <c r="H206" s="676">
        <f t="shared" ref="H206:H269" si="122">G206/1000</f>
        <v>11.749000000000001</v>
      </c>
      <c r="I206" s="677">
        <f t="shared" si="102"/>
        <v>10.678864031918607</v>
      </c>
      <c r="J206" s="678">
        <f t="shared" si="103"/>
        <v>1.4770160057965005</v>
      </c>
      <c r="K206" s="678">
        <f t="shared" si="104"/>
        <v>1.0001318706888769</v>
      </c>
      <c r="L206" s="679">
        <f t="shared" si="105"/>
        <v>1.6239224054233645E-2</v>
      </c>
      <c r="M206" s="678">
        <f t="shared" si="106"/>
        <v>1.0110913679508711</v>
      </c>
      <c r="N206" s="679">
        <f t="shared" si="107"/>
        <v>-0.14825527697062835</v>
      </c>
      <c r="O206" s="677">
        <f t="shared" si="108"/>
        <v>487219.55099304632</v>
      </c>
      <c r="P206" s="680">
        <f t="shared" si="109"/>
        <v>1.5707942743321046</v>
      </c>
      <c r="Q206" s="689">
        <f t="shared" si="100"/>
        <v>19.676615859697971</v>
      </c>
      <c r="R206" s="690">
        <f t="shared" si="101"/>
        <v>1.5199526764823488</v>
      </c>
      <c r="S206" s="677">
        <f t="shared" si="110"/>
        <v>1.000880859758563</v>
      </c>
      <c r="T206" s="680">
        <f t="shared" si="111"/>
        <v>4.1957446282778067E-2</v>
      </c>
      <c r="U206" s="681">
        <f t="shared" ref="U206:U269" si="123">IMABS(IMPRODUCT(AO206, AR206))</f>
        <v>0.71374950651554281</v>
      </c>
      <c r="V206" s="682">
        <f t="shared" ref="V206:V269" si="124">IMARGUMENT(IMPRODUCT(AO206, AR206))</f>
        <v>-1.0057271224139603</v>
      </c>
      <c r="W206" s="683">
        <f t="shared" si="112"/>
        <v>-1.3147271001739134</v>
      </c>
      <c r="X206" s="684">
        <f t="shared" si="113"/>
        <v>-155.13165927055817</v>
      </c>
      <c r="Y206" s="687">
        <f t="shared" si="114"/>
        <v>24.868340729441826</v>
      </c>
      <c r="AA206" s="170">
        <f t="shared" si="115"/>
        <v>11749</v>
      </c>
      <c r="AB206" s="170">
        <f t="shared" si="116"/>
        <v>138039001</v>
      </c>
      <c r="AD206" s="686">
        <f t="shared" si="117"/>
        <v>17.222316417283892</v>
      </c>
      <c r="AE206" s="687">
        <f t="shared" si="118"/>
        <v>-5.3169935777180104</v>
      </c>
      <c r="AG206" s="686">
        <f t="shared" si="119"/>
        <v>45.050938146632198</v>
      </c>
      <c r="AH206" s="687">
        <f t="shared" si="120"/>
        <v>-34.566826648836305</v>
      </c>
      <c r="AJ206" s="170">
        <f t="shared" si="121"/>
        <v>0</v>
      </c>
      <c r="AK206" s="170">
        <f t="shared" si="99"/>
        <v>0</v>
      </c>
      <c r="AM206" s="170" t="str">
        <f t="shared" ref="AM206:AM269" si="125">IMSUB(1,IMEXP(COMPLEX(0,-2*Pi*G206*Tsw)))</f>
        <v>1.1186196104986+0.992939770582869i</v>
      </c>
      <c r="AN206" s="170" t="str">
        <f t="shared" ref="AN206:AN269" si="126">COMPLEX(0, 2*Pi*G206*Tsw)</f>
        <v>1.689695888616i</v>
      </c>
      <c r="AO206" s="170" t="str">
        <f t="shared" ref="AO206:AO269" si="127">IMDIV(AM206, AN206)</f>
        <v>0.587644070908031-0.662024224616444i</v>
      </c>
      <c r="AP206" s="170" t="str">
        <f t="shared" ref="AP206:AP269" si="128">IMDIV(IMEXP(COMPLEX(0,-2*Pi*G206*Tsw)),6)</f>
        <v>-0.0197699350830997-0.165489961763812i</v>
      </c>
      <c r="AQ206" s="170" t="str">
        <f t="shared" ref="AQ206:AQ269" si="129">IMSUB(1, AP206)</f>
        <v>1.0197699350831+0.165489961763812i</v>
      </c>
      <c r="AR206" s="170" t="str">
        <f t="shared" ref="AR206:AR269" si="130">IMDIV(0.833, AQ206)</f>
        <v>0.795890855511095-0.129158492239689i</v>
      </c>
    </row>
    <row r="207" spans="7:44">
      <c r="G207" s="688">
        <v>11817.5</v>
      </c>
      <c r="H207" s="676">
        <f t="shared" si="122"/>
        <v>11.817500000000001</v>
      </c>
      <c r="I207" s="677">
        <f t="shared" si="102"/>
        <v>10.740580439701962</v>
      </c>
      <c r="J207" s="678">
        <f t="shared" si="103"/>
        <v>1.4775564481487022</v>
      </c>
      <c r="K207" s="678">
        <f t="shared" si="104"/>
        <v>1.0001334127555774</v>
      </c>
      <c r="L207" s="679">
        <f t="shared" si="105"/>
        <v>1.6333886542789618E-2</v>
      </c>
      <c r="M207" s="678">
        <f t="shared" si="106"/>
        <v>1.011220356948159</v>
      </c>
      <c r="N207" s="679">
        <f t="shared" si="107"/>
        <v>-0.14910692857943744</v>
      </c>
      <c r="O207" s="677">
        <f t="shared" si="108"/>
        <v>490060.17906717031</v>
      </c>
      <c r="P207" s="680">
        <f t="shared" si="109"/>
        <v>1.570794286229181</v>
      </c>
      <c r="Q207" s="689">
        <f t="shared" si="100"/>
        <v>19.791040658439432</v>
      </c>
      <c r="R207" s="690">
        <f t="shared" si="101"/>
        <v>1.5202468878566258</v>
      </c>
      <c r="S207" s="677">
        <f t="shared" si="110"/>
        <v>1.0008911564390777</v>
      </c>
      <c r="T207" s="680">
        <f t="shared" si="111"/>
        <v>4.2201780581467611E-2</v>
      </c>
      <c r="U207" s="681">
        <f t="shared" si="123"/>
        <v>0.71162077058532125</v>
      </c>
      <c r="V207" s="682">
        <f t="shared" si="124"/>
        <v>-1.0102071202374956</v>
      </c>
      <c r="W207" s="683">
        <f t="shared" si="112"/>
        <v>-1.3898227153880933</v>
      </c>
      <c r="X207" s="684">
        <f t="shared" si="113"/>
        <v>-155.45982452175531</v>
      </c>
      <c r="Y207" s="687">
        <f t="shared" si="114"/>
        <v>24.540175478244691</v>
      </c>
      <c r="AA207" s="170">
        <f t="shared" si="115"/>
        <v>11817.5</v>
      </c>
      <c r="AB207" s="170">
        <f t="shared" si="116"/>
        <v>139653306.25</v>
      </c>
      <c r="AD207" s="686">
        <f t="shared" si="117"/>
        <v>17.222097395130657</v>
      </c>
      <c r="AE207" s="687">
        <f t="shared" si="118"/>
        <v>-5.3141365134413974</v>
      </c>
      <c r="AG207" s="686">
        <f t="shared" si="119"/>
        <v>45.027949766486593</v>
      </c>
      <c r="AH207" s="687">
        <f t="shared" si="120"/>
        <v>-34.384479028690684</v>
      </c>
      <c r="AJ207" s="170">
        <f t="shared" si="121"/>
        <v>0</v>
      </c>
      <c r="AK207" s="170">
        <f t="shared" si="99"/>
        <v>0</v>
      </c>
      <c r="AM207" s="170" t="str">
        <f t="shared" si="125"/>
        <v>1.12839554904811+0.991723037437688i</v>
      </c>
      <c r="AN207" s="170" t="str">
        <f t="shared" si="126"/>
        <v>1.69954729455439i</v>
      </c>
      <c r="AO207" s="170" t="str">
        <f t="shared" si="127"/>
        <v>0.583521882924542-0.66393889282379i</v>
      </c>
      <c r="AP207" s="170" t="str">
        <f t="shared" si="128"/>
        <v>-0.0213992581746848-0.165287172906281i</v>
      </c>
      <c r="AQ207" s="170" t="str">
        <f t="shared" si="129"/>
        <v>1.02139925817468+0.165287172906281i</v>
      </c>
      <c r="AR207" s="170" t="str">
        <f t="shared" si="130"/>
        <v>0.794736056390267-0.128607569386906i</v>
      </c>
    </row>
    <row r="208" spans="7:44">
      <c r="G208" s="688">
        <v>11886</v>
      </c>
      <c r="H208" s="676">
        <f t="shared" si="122"/>
        <v>11.885999999999999</v>
      </c>
      <c r="I208" s="677">
        <f t="shared" si="102"/>
        <v>10.802299948725336</v>
      </c>
      <c r="J208" s="678">
        <f t="shared" si="103"/>
        <v>1.4780907149638494</v>
      </c>
      <c r="K208" s="678">
        <f t="shared" si="104"/>
        <v>1.0001349637844326</v>
      </c>
      <c r="L208" s="679">
        <f t="shared" si="105"/>
        <v>1.6428548738584976E-2</v>
      </c>
      <c r="M208" s="678">
        <f t="shared" si="106"/>
        <v>1.0113500792067518</v>
      </c>
      <c r="N208" s="679">
        <f t="shared" si="107"/>
        <v>-0.14995836232905507</v>
      </c>
      <c r="O208" s="677">
        <f t="shared" si="108"/>
        <v>492900.80714129441</v>
      </c>
      <c r="P208" s="680">
        <f t="shared" si="109"/>
        <v>1.5707942979891298</v>
      </c>
      <c r="Q208" s="689">
        <f t="shared" si="100"/>
        <v>19.905467150604455</v>
      </c>
      <c r="R208" s="690">
        <f t="shared" si="101"/>
        <v>1.5205377167102012</v>
      </c>
      <c r="S208" s="677">
        <f t="shared" si="110"/>
        <v>1.0009015128708119</v>
      </c>
      <c r="T208" s="680">
        <f t="shared" si="111"/>
        <v>4.244610983843853E-2</v>
      </c>
      <c r="U208" s="681">
        <f t="shared" si="123"/>
        <v>0.70949637005216004</v>
      </c>
      <c r="V208" s="682">
        <f t="shared" si="124"/>
        <v>-1.014673510972216</v>
      </c>
      <c r="W208" s="683">
        <f t="shared" si="112"/>
        <v>-1.4646507338892629</v>
      </c>
      <c r="X208" s="684">
        <f t="shared" si="113"/>
        <v>-155.78703735377735</v>
      </c>
      <c r="Y208" s="687">
        <f t="shared" si="114"/>
        <v>24.21296264622265</v>
      </c>
      <c r="AA208" s="170">
        <f t="shared" si="115"/>
        <v>11886</v>
      </c>
      <c r="AB208" s="170">
        <f t="shared" si="116"/>
        <v>141276996</v>
      </c>
      <c r="AD208" s="686">
        <f t="shared" si="117"/>
        <v>17.221880086952375</v>
      </c>
      <c r="AE208" s="687">
        <f t="shared" si="118"/>
        <v>-5.3114729565992871</v>
      </c>
      <c r="AG208" s="686">
        <f t="shared" si="119"/>
        <v>45.005276568689247</v>
      </c>
      <c r="AH208" s="687">
        <f t="shared" si="120"/>
        <v>-34.202544739458375</v>
      </c>
      <c r="AJ208" s="170">
        <f t="shared" si="121"/>
        <v>0</v>
      </c>
      <c r="AK208" s="170">
        <f t="shared" si="99"/>
        <v>0</v>
      </c>
      <c r="AM208" s="170" t="str">
        <f t="shared" si="125"/>
        <v>1.13815902688482+0.990410058152803i</v>
      </c>
      <c r="AN208" s="170" t="str">
        <f t="shared" si="126"/>
        <v>1.70939870049279i</v>
      </c>
      <c r="AO208" s="170" t="str">
        <f t="shared" si="127"/>
        <v>0.579390903870048-0.665824202719183i</v>
      </c>
      <c r="AP208" s="170" t="str">
        <f t="shared" si="128"/>
        <v>-0.0230265044808042-0.165068343025467i</v>
      </c>
      <c r="AQ208" s="170" t="str">
        <f t="shared" si="129"/>
        <v>1.0230265044808+0.165068343025467i</v>
      </c>
      <c r="AR208" s="170" t="str">
        <f t="shared" si="130"/>
        <v>0.793589724522709-0.128048042054866i</v>
      </c>
    </row>
    <row r="209" spans="7:44">
      <c r="G209" s="688">
        <v>11954.5</v>
      </c>
      <c r="H209" s="676">
        <f t="shared" si="122"/>
        <v>11.954499999999999</v>
      </c>
      <c r="I209" s="677">
        <f t="shared" si="102"/>
        <v>10.864022506133443</v>
      </c>
      <c r="J209" s="678">
        <f t="shared" si="103"/>
        <v>1.4786189111908863</v>
      </c>
      <c r="K209" s="678">
        <f t="shared" si="104"/>
        <v>1.0001365237754007</v>
      </c>
      <c r="L209" s="679">
        <f t="shared" si="105"/>
        <v>1.6523210639924568E-2</v>
      </c>
      <c r="M209" s="678">
        <f t="shared" si="106"/>
        <v>1.011480534444527</v>
      </c>
      <c r="N209" s="679">
        <f t="shared" si="107"/>
        <v>-0.15080957706906525</v>
      </c>
      <c r="O209" s="677">
        <f t="shared" si="108"/>
        <v>495741.43521541863</v>
      </c>
      <c r="P209" s="680">
        <f t="shared" si="109"/>
        <v>1.5707943096143082</v>
      </c>
      <c r="Q209" s="689">
        <f t="shared" si="100"/>
        <v>20.019895307156034</v>
      </c>
      <c r="R209" s="690">
        <f t="shared" si="101"/>
        <v>1.5208252209940951</v>
      </c>
      <c r="S209" s="677">
        <f t="shared" si="110"/>
        <v>1.0009119290519106</v>
      </c>
      <c r="T209" s="680">
        <f t="shared" si="111"/>
        <v>4.2690434024676448E-2</v>
      </c>
      <c r="U209" s="681">
        <f t="shared" si="123"/>
        <v>0.70737636326401687</v>
      </c>
      <c r="V209" s="682">
        <f t="shared" si="124"/>
        <v>-1.0191263948765348</v>
      </c>
      <c r="W209" s="683">
        <f t="shared" si="112"/>
        <v>-1.5392136667841032</v>
      </c>
      <c r="X209" s="684">
        <f t="shared" si="113"/>
        <v>-156.11330613644682</v>
      </c>
      <c r="Y209" s="687">
        <f t="shared" si="114"/>
        <v>23.886693863553177</v>
      </c>
      <c r="AA209" s="170">
        <f t="shared" si="115"/>
        <v>11954.5</v>
      </c>
      <c r="AB209" s="170">
        <f t="shared" si="116"/>
        <v>142910070.25</v>
      </c>
      <c r="AD209" s="686">
        <f t="shared" si="117"/>
        <v>17.221664441886297</v>
      </c>
      <c r="AE209" s="687">
        <f t="shared" si="118"/>
        <v>-5.3089995853154717</v>
      </c>
      <c r="AG209" s="686">
        <f t="shared" si="119"/>
        <v>44.982914637915002</v>
      </c>
      <c r="AH209" s="687">
        <f t="shared" si="120"/>
        <v>-34.021023984070176</v>
      </c>
      <c r="AJ209" s="170">
        <f t="shared" si="121"/>
        <v>0</v>
      </c>
      <c r="AK209" s="170">
        <f t="shared" si="99"/>
        <v>0</v>
      </c>
      <c r="AM209" s="170" t="str">
        <f t="shared" si="125"/>
        <v>1.14790909646892+0.989000960152085i</v>
      </c>
      <c r="AN209" s="170" t="str">
        <f t="shared" si="126"/>
        <v>1.71925010643118i</v>
      </c>
      <c r="AO209" s="170" t="str">
        <f t="shared" si="127"/>
        <v>0.575251358980604-0.667680107841756i</v>
      </c>
      <c r="AP209" s="170" t="str">
        <f t="shared" si="128"/>
        <v>-0.024651516078154-0.164833493358681i</v>
      </c>
      <c r="AQ209" s="170" t="str">
        <f t="shared" si="129"/>
        <v>1.02465151607815+0.164833493358681i</v>
      </c>
      <c r="AR209" s="170" t="str">
        <f t="shared" si="130"/>
        <v>0.792451880138259-0.127480035575218i</v>
      </c>
    </row>
    <row r="210" spans="7:44">
      <c r="G210" s="688">
        <v>12023</v>
      </c>
      <c r="H210" s="676">
        <f t="shared" si="122"/>
        <v>12.023</v>
      </c>
      <c r="I210" s="677">
        <f t="shared" si="102"/>
        <v>10.925748060262787</v>
      </c>
      <c r="J210" s="678">
        <f t="shared" si="103"/>
        <v>1.4791411394208256</v>
      </c>
      <c r="K210" s="678">
        <f t="shared" si="104"/>
        <v>1.0001380927284398</v>
      </c>
      <c r="L210" s="679">
        <f t="shared" si="105"/>
        <v>1.6617872245113265E-2</v>
      </c>
      <c r="M210" s="678">
        <f t="shared" si="106"/>
        <v>1.0116117223779149</v>
      </c>
      <c r="N210" s="679">
        <f t="shared" si="107"/>
        <v>-0.15166057165091318</v>
      </c>
      <c r="O210" s="677">
        <f t="shared" si="108"/>
        <v>498582.06328954292</v>
      </c>
      <c r="P210" s="680">
        <f t="shared" si="109"/>
        <v>1.5707943211070197</v>
      </c>
      <c r="Q210" s="689">
        <f t="shared" si="100"/>
        <v>20.134325099716865</v>
      </c>
      <c r="R210" s="690">
        <f t="shared" si="101"/>
        <v>1.5211094573441382</v>
      </c>
      <c r="S210" s="677">
        <f t="shared" si="110"/>
        <v>1.0009224049805088</v>
      </c>
      <c r="T210" s="680">
        <f t="shared" si="111"/>
        <v>4.2934753111170586E-2</v>
      </c>
      <c r="U210" s="681">
        <f t="shared" si="123"/>
        <v>0.70526080667987223</v>
      </c>
      <c r="V210" s="682">
        <f t="shared" si="124"/>
        <v>-1.0235658724390928</v>
      </c>
      <c r="W210" s="683">
        <f t="shared" si="112"/>
        <v>-1.6135139852021709</v>
      </c>
      <c r="X210" s="684">
        <f t="shared" si="113"/>
        <v>-156.43863919313617</v>
      </c>
      <c r="Y210" s="687">
        <f t="shared" si="114"/>
        <v>23.561360806863831</v>
      </c>
      <c r="AA210" s="170">
        <f t="shared" si="115"/>
        <v>12023</v>
      </c>
      <c r="AB210" s="170">
        <f t="shared" si="116"/>
        <v>144552529</v>
      </c>
      <c r="AD210" s="686">
        <f t="shared" si="117"/>
        <v>17.221450410511963</v>
      </c>
      <c r="AE210" s="687">
        <f t="shared" si="118"/>
        <v>-5.3067131530656502</v>
      </c>
      <c r="AG210" s="686">
        <f t="shared" si="119"/>
        <v>44.960860125601215</v>
      </c>
      <c r="AH210" s="687">
        <f t="shared" si="120"/>
        <v>-33.839916817272879</v>
      </c>
      <c r="AJ210" s="170">
        <f t="shared" si="121"/>
        <v>0</v>
      </c>
      <c r="AK210" s="170">
        <f t="shared" si="99"/>
        <v>0</v>
      </c>
      <c r="AM210" s="170" t="str">
        <f t="shared" si="125"/>
        <v>1.15764481156188+0.987495880187668i</v>
      </c>
      <c r="AN210" s="170" t="str">
        <f t="shared" si="126"/>
        <v>1.72910151236958i</v>
      </c>
      <c r="AO210" s="170" t="str">
        <f t="shared" si="127"/>
        <v>0.571103473754061-0.669506563542027i</v>
      </c>
      <c r="AP210" s="170" t="str">
        <f t="shared" si="128"/>
        <v>-0.0262741352603142-0.164582646697945i</v>
      </c>
      <c r="AQ210" s="170" t="str">
        <f t="shared" si="129"/>
        <v>1.02627413526031+0.164582646697945i</v>
      </c>
      <c r="AR210" s="170" t="str">
        <f t="shared" si="130"/>
        <v>0.791322541947734-0.126903674048522i</v>
      </c>
    </row>
    <row r="211" spans="7:44">
      <c r="G211" s="688">
        <v>12093</v>
      </c>
      <c r="H211" s="676">
        <f t="shared" si="122"/>
        <v>12.093</v>
      </c>
      <c r="I211" s="677">
        <f t="shared" si="102"/>
        <v>10.988828312183832</v>
      </c>
      <c r="J211" s="678">
        <f t="shared" si="103"/>
        <v>1.4796687422092079</v>
      </c>
      <c r="K211" s="678">
        <f t="shared" si="104"/>
        <v>1.000139705296665</v>
      </c>
      <c r="L211" s="679">
        <f t="shared" si="105"/>
        <v>1.6714606424453972E-2</v>
      </c>
      <c r="M211" s="678">
        <f t="shared" si="106"/>
        <v>1.0117465396810936</v>
      </c>
      <c r="N211" s="679">
        <f t="shared" si="107"/>
        <v>-0.15252997251493142</v>
      </c>
      <c r="O211" s="677">
        <f t="shared" si="108"/>
        <v>501484.89489813708</v>
      </c>
      <c r="P211" s="680">
        <f t="shared" si="109"/>
        <v>1.5707943327168892</v>
      </c>
      <c r="Q211" s="689">
        <f t="shared" si="100"/>
        <v>20.251262315438083</v>
      </c>
      <c r="R211" s="690">
        <f t="shared" si="101"/>
        <v>1.5213965993892042</v>
      </c>
      <c r="S211" s="677">
        <f t="shared" si="110"/>
        <v>1.0009331720313843</v>
      </c>
      <c r="T211" s="680">
        <f t="shared" si="111"/>
        <v>4.3184416951991766E-2</v>
      </c>
      <c r="U211" s="681">
        <f t="shared" si="123"/>
        <v>0.70310357829301373</v>
      </c>
      <c r="V211" s="682">
        <f t="shared" si="124"/>
        <v>-1.0280888197219411</v>
      </c>
      <c r="W211" s="683">
        <f t="shared" si="112"/>
        <v>-1.6891725452547508</v>
      </c>
      <c r="X211" s="684">
        <f t="shared" si="113"/>
        <v>-156.77013825908796</v>
      </c>
      <c r="Y211" s="687">
        <f t="shared" si="114"/>
        <v>23.229861740912042</v>
      </c>
      <c r="AA211" s="170">
        <f t="shared" si="115"/>
        <v>12093</v>
      </c>
      <c r="AB211" s="170">
        <f t="shared" si="116"/>
        <v>146240649</v>
      </c>
      <c r="AD211" s="686">
        <f t="shared" si="117"/>
        <v>17.221233309431959</v>
      </c>
      <c r="AE211" s="687">
        <f t="shared" si="118"/>
        <v>-5.3045664753327566</v>
      </c>
      <c r="AG211" s="686">
        <f t="shared" si="119"/>
        <v>44.938636321224685</v>
      </c>
      <c r="AH211" s="687">
        <f t="shared" si="120"/>
        <v>-33.655270979830547</v>
      </c>
      <c r="AJ211" s="170">
        <f t="shared" si="121"/>
        <v>0</v>
      </c>
      <c r="AK211" s="170">
        <f t="shared" si="99"/>
        <v>0</v>
      </c>
      <c r="AM211" s="170" t="str">
        <f t="shared" si="125"/>
        <v>1.1675779048421+0.985858836653976i</v>
      </c>
      <c r="AN211" s="170" t="str">
        <f t="shared" si="126"/>
        <v>1.7391686425256i</v>
      </c>
      <c r="AO211" s="170" t="str">
        <f t="shared" si="127"/>
        <v>0.566856377551934-0.671342546256214i</v>
      </c>
      <c r="AP211" s="170" t="str">
        <f t="shared" si="128"/>
        <v>-0.0279296508070175-0.164309806108996i</v>
      </c>
      <c r="AQ211" s="170" t="str">
        <f t="shared" si="129"/>
        <v>1.02792965080702+0.164309806108996i</v>
      </c>
      <c r="AR211" s="170" t="str">
        <f t="shared" si="130"/>
        <v>0.79017727928138-0.126306187829611i</v>
      </c>
    </row>
    <row r="212" spans="7:44">
      <c r="G212" s="688">
        <v>12163</v>
      </c>
      <c r="H212" s="676">
        <f t="shared" si="122"/>
        <v>12.163</v>
      </c>
      <c r="I212" s="677">
        <f t="shared" si="102"/>
        <v>11.051911588088128</v>
      </c>
      <c r="J212" s="678">
        <f t="shared" si="103"/>
        <v>1.4801903221268302</v>
      </c>
      <c r="K212" s="678">
        <f t="shared" si="104"/>
        <v>1.0001413272236688</v>
      </c>
      <c r="L212" s="679">
        <f t="shared" si="105"/>
        <v>1.6811340290952641E-2</v>
      </c>
      <c r="M212" s="678">
        <f t="shared" si="106"/>
        <v>1.011882121516734</v>
      </c>
      <c r="N212" s="679">
        <f t="shared" si="107"/>
        <v>-0.15339914105415695</v>
      </c>
      <c r="O212" s="677">
        <f t="shared" si="108"/>
        <v>504387.7265067313</v>
      </c>
      <c r="P212" s="680">
        <f t="shared" si="109"/>
        <v>1.5707943441931254</v>
      </c>
      <c r="Q212" s="689">
        <f t="shared" si="100"/>
        <v>20.368201181714653</v>
      </c>
      <c r="R212" s="690">
        <f t="shared" si="101"/>
        <v>1.521680444350856</v>
      </c>
      <c r="S212" s="677">
        <f t="shared" si="110"/>
        <v>1.0009440014711151</v>
      </c>
      <c r="T212" s="680">
        <f t="shared" si="111"/>
        <v>4.3434075406035173E-2</v>
      </c>
      <c r="U212" s="681">
        <f t="shared" si="123"/>
        <v>0.70095111044899161</v>
      </c>
      <c r="V212" s="682">
        <f t="shared" si="124"/>
        <v>-1.0325979799287788</v>
      </c>
      <c r="W212" s="683">
        <f t="shared" si="112"/>
        <v>-1.764561958011849</v>
      </c>
      <c r="X212" s="684">
        <f t="shared" si="113"/>
        <v>-157.10067759805875</v>
      </c>
      <c r="Y212" s="687">
        <f t="shared" si="114"/>
        <v>22.899322401941248</v>
      </c>
      <c r="AA212" s="170">
        <f t="shared" si="115"/>
        <v>12163</v>
      </c>
      <c r="AB212" s="170">
        <f t="shared" si="116"/>
        <v>147938569</v>
      </c>
      <c r="AD212" s="686">
        <f t="shared" si="117"/>
        <v>17.221017793542817</v>
      </c>
      <c r="AE212" s="687">
        <f t="shared" si="118"/>
        <v>-5.3026083902681673</v>
      </c>
      <c r="AG212" s="686">
        <f t="shared" si="119"/>
        <v>44.916725628245082</v>
      </c>
      <c r="AH212" s="687">
        <f t="shared" si="120"/>
        <v>-33.471056705275274</v>
      </c>
      <c r="AJ212" s="170">
        <f t="shared" si="121"/>
        <v>0</v>
      </c>
      <c r="AK212" s="170">
        <f t="shared" si="99"/>
        <v>0</v>
      </c>
      <c r="AM212" s="170" t="str">
        <f t="shared" si="125"/>
        <v>1.17749401472948+0.984121880020566i</v>
      </c>
      <c r="AN212" s="170" t="str">
        <f t="shared" si="126"/>
        <v>1.74923577268162i</v>
      </c>
      <c r="AO212" s="170" t="str">
        <f t="shared" si="127"/>
        <v>0.562601048635018-0.673147687189334i</v>
      </c>
      <c r="AP212" s="170" t="str">
        <f t="shared" si="128"/>
        <v>-0.0295823357882458-0.164020313336761i</v>
      </c>
      <c r="AQ212" s="170" t="str">
        <f t="shared" si="129"/>
        <v>1.02958233578825+0.164020313336761i</v>
      </c>
      <c r="AR212" s="170" t="str">
        <f t="shared" si="130"/>
        <v>0.789040934247359-0.125700234718673i</v>
      </c>
    </row>
    <row r="213" spans="7:44">
      <c r="G213" s="688">
        <v>12233</v>
      </c>
      <c r="H213" s="676">
        <f t="shared" si="122"/>
        <v>12.233000000000001</v>
      </c>
      <c r="I213" s="677">
        <f t="shared" si="102"/>
        <v>11.114997836487737</v>
      </c>
      <c r="J213" s="678">
        <f t="shared" si="103"/>
        <v>1.4807059814408747</v>
      </c>
      <c r="K213" s="678">
        <f t="shared" si="104"/>
        <v>1.0001429585094055</v>
      </c>
      <c r="L213" s="679">
        <f t="shared" si="105"/>
        <v>1.690807384280045E-2</v>
      </c>
      <c r="M213" s="678">
        <f t="shared" si="106"/>
        <v>1.0120184675775583</v>
      </c>
      <c r="N213" s="679">
        <f t="shared" si="107"/>
        <v>-0.15426807604899609</v>
      </c>
      <c r="O213" s="677">
        <f t="shared" si="108"/>
        <v>507290.55811532564</v>
      </c>
      <c r="P213" s="680">
        <f t="shared" si="109"/>
        <v>1.5707943555380222</v>
      </c>
      <c r="Q213" s="689">
        <f t="shared" si="100"/>
        <v>20.485141670280125</v>
      </c>
      <c r="R213" s="690">
        <f t="shared" si="101"/>
        <v>1.5219610486476725</v>
      </c>
      <c r="S213" s="677">
        <f t="shared" si="110"/>
        <v>1.0009548932976764</v>
      </c>
      <c r="T213" s="680">
        <f t="shared" si="111"/>
        <v>4.3683728442354047E-2</v>
      </c>
      <c r="U213" s="681">
        <f t="shared" si="123"/>
        <v>0.69880345748214345</v>
      </c>
      <c r="V213" s="682">
        <f t="shared" si="124"/>
        <v>-1.037093460926698</v>
      </c>
      <c r="W213" s="683">
        <f t="shared" si="112"/>
        <v>-1.8396847380181813</v>
      </c>
      <c r="X213" s="684">
        <f t="shared" si="113"/>
        <v>-157.43026594589369</v>
      </c>
      <c r="Y213" s="687">
        <f t="shared" si="114"/>
        <v>22.569734054106306</v>
      </c>
      <c r="AA213" s="170">
        <f t="shared" si="115"/>
        <v>12233</v>
      </c>
      <c r="AB213" s="170">
        <f t="shared" si="116"/>
        <v>149646289</v>
      </c>
      <c r="AD213" s="686">
        <f t="shared" si="117"/>
        <v>17.220803814463849</v>
      </c>
      <c r="AE213" s="687">
        <f t="shared" si="118"/>
        <v>-5.300835663683733</v>
      </c>
      <c r="AG213" s="686">
        <f t="shared" si="119"/>
        <v>44.895124147661733</v>
      </c>
      <c r="AH213" s="687">
        <f t="shared" si="120"/>
        <v>-33.287273602981919</v>
      </c>
      <c r="AJ213" s="170">
        <f t="shared" si="121"/>
        <v>0</v>
      </c>
      <c r="AK213" s="170">
        <f t="shared" si="99"/>
        <v>0</v>
      </c>
      <c r="AM213" s="170" t="str">
        <f t="shared" si="125"/>
        <v>1.18739213626342+0.982285186321484i</v>
      </c>
      <c r="AN213" s="170" t="str">
        <f t="shared" si="126"/>
        <v>1.75930290283765i</v>
      </c>
      <c r="AO213" s="170" t="str">
        <f t="shared" si="127"/>
        <v>0.558337728390669-0.674921944565787i</v>
      </c>
      <c r="AP213" s="170" t="str">
        <f t="shared" si="128"/>
        <v>-0.0312320227105697-0.163714197720247i</v>
      </c>
      <c r="AQ213" s="170" t="str">
        <f t="shared" si="129"/>
        <v>1.03123202271057+0.163714197720247i</v>
      </c>
      <c r="AR213" s="170" t="str">
        <f t="shared" si="130"/>
        <v>0.787913522155511-0.125085943135832i</v>
      </c>
    </row>
    <row r="214" spans="7:44">
      <c r="G214" s="688">
        <v>12303</v>
      </c>
      <c r="H214" s="676">
        <f t="shared" si="122"/>
        <v>12.303000000000001</v>
      </c>
      <c r="I214" s="677">
        <f t="shared" si="102"/>
        <v>11.178087007054664</v>
      </c>
      <c r="J214" s="678">
        <f t="shared" si="103"/>
        <v>1.4812158201224959</v>
      </c>
      <c r="K214" s="678">
        <f t="shared" si="104"/>
        <v>1.0001445991538296</v>
      </c>
      <c r="L214" s="679">
        <f t="shared" si="105"/>
        <v>1.7004807078188588E-2</v>
      </c>
      <c r="M214" s="678">
        <f t="shared" si="106"/>
        <v>1.0121555775547242</v>
      </c>
      <c r="N214" s="679">
        <f t="shared" si="107"/>
        <v>-0.15513677628192113</v>
      </c>
      <c r="O214" s="677">
        <f t="shared" si="108"/>
        <v>510193.38972392009</v>
      </c>
      <c r="P214" s="680">
        <f t="shared" si="109"/>
        <v>1.5707943667538218</v>
      </c>
      <c r="Q214" s="689">
        <f t="shared" si="100"/>
        <v>20.602083753509437</v>
      </c>
      <c r="R214" s="690">
        <f t="shared" si="101"/>
        <v>1.5222384674193219</v>
      </c>
      <c r="S214" s="677">
        <f t="shared" si="110"/>
        <v>1.0009658475090317</v>
      </c>
      <c r="T214" s="680">
        <f t="shared" si="111"/>
        <v>4.3933376030005696E-2</v>
      </c>
      <c r="U214" s="681">
        <f t="shared" si="123"/>
        <v>0.69666067179984092</v>
      </c>
      <c r="V214" s="682">
        <f t="shared" si="124"/>
        <v>-1.0415753707588087</v>
      </c>
      <c r="W214" s="683">
        <f t="shared" si="112"/>
        <v>-1.9145433607514539</v>
      </c>
      <c r="X214" s="684">
        <f t="shared" si="113"/>
        <v>-157.75891199036187</v>
      </c>
      <c r="Y214" s="687">
        <f t="shared" si="114"/>
        <v>22.241088009638133</v>
      </c>
      <c r="AA214" s="170">
        <f t="shared" si="115"/>
        <v>12303</v>
      </c>
      <c r="AB214" s="170">
        <f t="shared" si="116"/>
        <v>151363809</v>
      </c>
      <c r="AD214" s="686">
        <f t="shared" si="117"/>
        <v>17.220591325184714</v>
      </c>
      <c r="AE214" s="687">
        <f t="shared" si="118"/>
        <v>-5.2992451346647442</v>
      </c>
      <c r="AG214" s="686">
        <f t="shared" si="119"/>
        <v>44.87382804791239</v>
      </c>
      <c r="AH214" s="687">
        <f t="shared" si="120"/>
        <v>-33.103921140805937</v>
      </c>
      <c r="AJ214" s="170">
        <f t="shared" si="121"/>
        <v>0</v>
      </c>
      <c r="AK214" s="170">
        <f t="shared" si="99"/>
        <v>0</v>
      </c>
      <c r="AM214" s="170" t="str">
        <f t="shared" si="125"/>
        <v>1.19727126630638+0.98034894169876i</v>
      </c>
      <c r="AN214" s="170" t="str">
        <f t="shared" si="126"/>
        <v>1.76937003299367i</v>
      </c>
      <c r="AO214" s="170" t="str">
        <f t="shared" si="127"/>
        <v>0.554066658425353-0.676665278591086i</v>
      </c>
      <c r="AP214" s="170" t="str">
        <f t="shared" si="128"/>
        <v>-0.0328785443843963-0.163391490283127i</v>
      </c>
      <c r="AQ214" s="170" t="str">
        <f t="shared" si="129"/>
        <v>1.0328785443844+0.163391490283127i</v>
      </c>
      <c r="AR214" s="170" t="str">
        <f t="shared" si="130"/>
        <v>0.786795056831924-0.124463440142215i</v>
      </c>
    </row>
    <row r="215" spans="7:44">
      <c r="G215" s="688">
        <v>12374.5</v>
      </c>
      <c r="H215" s="676">
        <f t="shared" si="122"/>
        <v>12.374499999999999</v>
      </c>
      <c r="I215" s="677">
        <f t="shared" si="102"/>
        <v>11.2425310540346</v>
      </c>
      <c r="J215" s="678">
        <f t="shared" si="103"/>
        <v>1.481730676469837</v>
      </c>
      <c r="K215" s="678">
        <f t="shared" si="104"/>
        <v>1.0001462846165228</v>
      </c>
      <c r="L215" s="679">
        <f t="shared" si="105"/>
        <v>1.7103612840035861E-2</v>
      </c>
      <c r="M215" s="678">
        <f t="shared" si="106"/>
        <v>1.0122964139262614</v>
      </c>
      <c r="N215" s="679">
        <f t="shared" si="107"/>
        <v>-0.15602384789435422</v>
      </c>
      <c r="O215" s="677">
        <f t="shared" si="108"/>
        <v>513158.42486698437</v>
      </c>
      <c r="P215" s="680">
        <f t="shared" si="109"/>
        <v>1.5707943780789611</v>
      </c>
      <c r="Q215" s="689">
        <f t="shared" ref="Q215:Q278" si="131">SQRT(1+(G215/Zero2)^2)</f>
        <v>20.721533356737673</v>
      </c>
      <c r="R215" s="690">
        <f t="shared" ref="R215:R278" si="132">ATAN(G215/Zero2)</f>
        <v>1.5225185982627247</v>
      </c>
      <c r="S215" s="677">
        <f t="shared" si="110"/>
        <v>1.0009771008557</v>
      </c>
      <c r="T215" s="680">
        <f t="shared" si="111"/>
        <v>4.4188367551599064E-2</v>
      </c>
      <c r="U215" s="681">
        <f t="shared" si="123"/>
        <v>0.69447704664265775</v>
      </c>
      <c r="V215" s="682">
        <f t="shared" si="124"/>
        <v>-1.0461394235211074</v>
      </c>
      <c r="W215" s="683">
        <f t="shared" si="112"/>
        <v>-1.9907359222806433</v>
      </c>
      <c r="X215" s="684">
        <f t="shared" si="113"/>
        <v>-158.09363662547327</v>
      </c>
      <c r="Y215" s="687">
        <f t="shared" si="114"/>
        <v>21.906363374526734</v>
      </c>
      <c r="AA215" s="170">
        <f t="shared" si="115"/>
        <v>12374.5</v>
      </c>
      <c r="AB215" s="170">
        <f t="shared" si="116"/>
        <v>153128250.25</v>
      </c>
      <c r="AD215" s="686">
        <f t="shared" si="117"/>
        <v>17.220375773097285</v>
      </c>
      <c r="AE215" s="687">
        <f t="shared" si="118"/>
        <v>-5.2978054065062716</v>
      </c>
      <c r="AG215" s="686">
        <f t="shared" si="119"/>
        <v>44.852386955229669</v>
      </c>
      <c r="AH215" s="687">
        <f t="shared" si="120"/>
        <v>-32.917083581968726</v>
      </c>
      <c r="AJ215" s="170">
        <f t="shared" si="121"/>
        <v>0</v>
      </c>
      <c r="AK215" s="170">
        <f t="shared" ref="AK215:AK278" si="133">IF(AJ215&gt;0,Y215,0)</f>
        <v>0</v>
      </c>
      <c r="AM215" s="170" t="str">
        <f t="shared" si="125"/>
        <v>1.20734144470469+0.978268636575748i</v>
      </c>
      <c r="AN215" s="170" t="str">
        <f t="shared" si="126"/>
        <v>1.77965288736732i</v>
      </c>
      <c r="AO215" s="170" t="str">
        <f t="shared" si="127"/>
        <v>0.549696316354659-0.678414006054145i</v>
      </c>
      <c r="AP215" s="170" t="str">
        <f t="shared" si="128"/>
        <v>-0.034556907450781-0.163044772762625i</v>
      </c>
      <c r="AQ215" s="170" t="str">
        <f t="shared" si="129"/>
        <v>1.03455690745078+0.163044772762625i</v>
      </c>
      <c r="AR215" s="170" t="str">
        <f t="shared" si="130"/>
        <v>0.785661873660136-0.123819251253i</v>
      </c>
    </row>
    <row r="216" spans="7:44">
      <c r="G216" s="688">
        <v>12446</v>
      </c>
      <c r="H216" s="676">
        <f t="shared" si="122"/>
        <v>12.446</v>
      </c>
      <c r="I216" s="677">
        <f t="shared" si="102"/>
        <v>11.306978047180595</v>
      </c>
      <c r="J216" s="678">
        <f t="shared" si="103"/>
        <v>1.4822396638417885</v>
      </c>
      <c r="K216" s="678">
        <f t="shared" si="104"/>
        <v>1.0001479798431896</v>
      </c>
      <c r="L216" s="679">
        <f t="shared" si="105"/>
        <v>1.7202418267900969E-2</v>
      </c>
      <c r="M216" s="678">
        <f t="shared" si="106"/>
        <v>1.0124380466478617</v>
      </c>
      <c r="N216" s="679">
        <f t="shared" si="107"/>
        <v>-0.1569106720147255</v>
      </c>
      <c r="O216" s="677">
        <f t="shared" si="108"/>
        <v>516123.46001004876</v>
      </c>
      <c r="P216" s="680">
        <f t="shared" si="109"/>
        <v>1.5707943892739786</v>
      </c>
      <c r="Q216" s="689">
        <f t="shared" si="131"/>
        <v>20.840984567412967</v>
      </c>
      <c r="R216" s="690">
        <f t="shared" si="132"/>
        <v>1.5227955179580173</v>
      </c>
      <c r="S216" s="677">
        <f t="shared" si="110"/>
        <v>1.0009884192851106</v>
      </c>
      <c r="T216" s="680">
        <f t="shared" si="111"/>
        <v>4.4443353323264122E-2</v>
      </c>
      <c r="U216" s="681">
        <f t="shared" si="123"/>
        <v>0.69229860412360333</v>
      </c>
      <c r="V216" s="682">
        <f t="shared" si="124"/>
        <v>-1.0506895456126646</v>
      </c>
      <c r="W216" s="683">
        <f t="shared" si="112"/>
        <v>-2.0666579848479292</v>
      </c>
      <c r="X216" s="684">
        <f t="shared" si="113"/>
        <v>-158.42739631164164</v>
      </c>
      <c r="Y216" s="687">
        <f t="shared" si="114"/>
        <v>21.572603688358356</v>
      </c>
      <c r="AA216" s="170">
        <f t="shared" si="115"/>
        <v>12446</v>
      </c>
      <c r="AB216" s="170">
        <f t="shared" si="116"/>
        <v>154902916</v>
      </c>
      <c r="AD216" s="686">
        <f t="shared" si="117"/>
        <v>17.220161680373224</v>
      </c>
      <c r="AE216" s="687">
        <f t="shared" si="118"/>
        <v>-5.2965493266800845</v>
      </c>
      <c r="AG216" s="686">
        <f t="shared" si="119"/>
        <v>44.831256600321808</v>
      </c>
      <c r="AH216" s="687">
        <f t="shared" si="120"/>
        <v>-32.730693763136571</v>
      </c>
      <c r="AJ216" s="170">
        <f t="shared" si="121"/>
        <v>0</v>
      </c>
      <c r="AK216" s="170">
        <f t="shared" si="133"/>
        <v>0</v>
      </c>
      <c r="AM216" s="170" t="str">
        <f t="shared" si="125"/>
        <v>1.21738969961434+0.976084893081328i</v>
      </c>
      <c r="AN216" s="170" t="str">
        <f t="shared" si="126"/>
        <v>1.78993574174098i</v>
      </c>
      <c r="AO216" s="170" t="str">
        <f t="shared" si="127"/>
        <v>0.545318399045957-0.680130393077825i</v>
      </c>
      <c r="AP216" s="170" t="str">
        <f t="shared" si="128"/>
        <v>-0.0362316166023895-0.162680815513555i</v>
      </c>
      <c r="AQ216" s="170" t="str">
        <f t="shared" si="129"/>
        <v>1.03623161660239+0.162680815513555i</v>
      </c>
      <c r="AR216" s="170" t="str">
        <f t="shared" si="130"/>
        <v>0.784538049403318-0.123166758892011i</v>
      </c>
    </row>
    <row r="217" spans="7:44">
      <c r="G217" s="688">
        <v>12517.5</v>
      </c>
      <c r="H217" s="676">
        <f t="shared" si="122"/>
        <v>12.5175</v>
      </c>
      <c r="I217" s="677">
        <f t="shared" si="102"/>
        <v>11.371427936400909</v>
      </c>
      <c r="J217" s="678">
        <f t="shared" si="103"/>
        <v>1.4827428817632065</v>
      </c>
      <c r="K217" s="678">
        <f t="shared" si="104"/>
        <v>1.0001496848337803</v>
      </c>
      <c r="L217" s="679">
        <f t="shared" si="105"/>
        <v>1.7301223359856434E-2</v>
      </c>
      <c r="M217" s="678">
        <f t="shared" si="106"/>
        <v>1.0125804753853618</v>
      </c>
      <c r="N217" s="679">
        <f t="shared" si="107"/>
        <v>-0.15779724735228323</v>
      </c>
      <c r="O217" s="677">
        <f t="shared" si="108"/>
        <v>519088.49515311327</v>
      </c>
      <c r="P217" s="680">
        <f t="shared" si="109"/>
        <v>1.5707944003411043</v>
      </c>
      <c r="Q217" s="689">
        <f t="shared" si="131"/>
        <v>20.960437358053323</v>
      </c>
      <c r="R217" s="690">
        <f t="shared" si="132"/>
        <v>1.5230692813630198</v>
      </c>
      <c r="S217" s="677">
        <f t="shared" si="110"/>
        <v>1.0009998027950555</v>
      </c>
      <c r="T217" s="680">
        <f t="shared" si="111"/>
        <v>4.4698333312039269E-2</v>
      </c>
      <c r="U217" s="681">
        <f t="shared" si="123"/>
        <v>0.69012539407892359</v>
      </c>
      <c r="V217" s="682">
        <f t="shared" si="124"/>
        <v>-1.0552258526278357</v>
      </c>
      <c r="W217" s="683">
        <f t="shared" si="112"/>
        <v>-2.142312067023358</v>
      </c>
      <c r="X217" s="684">
        <f t="shared" si="113"/>
        <v>-158.76020015556335</v>
      </c>
      <c r="Y217" s="687">
        <f t="shared" si="114"/>
        <v>21.239799844436646</v>
      </c>
      <c r="AA217" s="170">
        <f t="shared" si="115"/>
        <v>12517.5</v>
      </c>
      <c r="AB217" s="170">
        <f t="shared" si="116"/>
        <v>156687806.25</v>
      </c>
      <c r="AD217" s="686">
        <f t="shared" si="117"/>
        <v>17.219949001049258</v>
      </c>
      <c r="AE217" s="687">
        <f t="shared" si="118"/>
        <v>-5.2954737503037723</v>
      </c>
      <c r="AG217" s="686">
        <f t="shared" si="119"/>
        <v>44.810433109724372</v>
      </c>
      <c r="AH217" s="687">
        <f t="shared" si="120"/>
        <v>-32.544750689750799</v>
      </c>
      <c r="AJ217" s="170">
        <f t="shared" si="121"/>
        <v>0</v>
      </c>
      <c r="AK217" s="170">
        <f t="shared" si="133"/>
        <v>0</v>
      </c>
      <c r="AM217" s="170" t="str">
        <f t="shared" si="125"/>
        <v>1.2274149685714+0.97379794211616i</v>
      </c>
      <c r="AN217" s="170" t="str">
        <f t="shared" si="126"/>
        <v>1.80021859611463i</v>
      </c>
      <c r="AO217" s="170" t="str">
        <f t="shared" si="127"/>
        <v>0.540933164571172-0.681814403662145i</v>
      </c>
      <c r="AP217" s="170" t="str">
        <f t="shared" si="128"/>
        <v>-0.0379024947619002-0.16229965701936i</v>
      </c>
      <c r="AQ217" s="170" t="str">
        <f t="shared" si="129"/>
        <v>1.0379024947619+0.16229965701936i</v>
      </c>
      <c r="AR217" s="170" t="str">
        <f t="shared" si="130"/>
        <v>0.783423594272562-0.122506094062795i</v>
      </c>
    </row>
    <row r="218" spans="7:44">
      <c r="G218" s="688">
        <v>12589</v>
      </c>
      <c r="H218" s="676">
        <f t="shared" si="122"/>
        <v>12.589</v>
      </c>
      <c r="I218" s="677">
        <f t="shared" si="102"/>
        <v>11.435880672730795</v>
      </c>
      <c r="J218" s="678">
        <f t="shared" si="103"/>
        <v>1.4832404275270936</v>
      </c>
      <c r="K218" s="678">
        <f t="shared" si="104"/>
        <v>1.0001513995882454</v>
      </c>
      <c r="L218" s="679">
        <f t="shared" si="105"/>
        <v>1.7400028113974821E-2</v>
      </c>
      <c r="M218" s="678">
        <f t="shared" si="106"/>
        <v>1.0127236998029081</v>
      </c>
      <c r="N218" s="679">
        <f t="shared" si="107"/>
        <v>-0.15868357261856414</v>
      </c>
      <c r="O218" s="677">
        <f t="shared" si="108"/>
        <v>522053.53029617778</v>
      </c>
      <c r="P218" s="680">
        <f t="shared" si="109"/>
        <v>1.5707944112825172</v>
      </c>
      <c r="Q218" s="689">
        <f t="shared" si="131"/>
        <v>21.079891701799323</v>
      </c>
      <c r="R218" s="690">
        <f t="shared" si="132"/>
        <v>1.5233399420940086</v>
      </c>
      <c r="S218" s="677">
        <f t="shared" si="110"/>
        <v>1.0010112513833143</v>
      </c>
      <c r="T218" s="680">
        <f t="shared" si="111"/>
        <v>4.4953307484967439E-2</v>
      </c>
      <c r="U218" s="681">
        <f t="shared" si="123"/>
        <v>0.68795746439048711</v>
      </c>
      <c r="V218" s="682">
        <f t="shared" si="124"/>
        <v>-1.0597484602781504</v>
      </c>
      <c r="W218" s="683">
        <f t="shared" si="112"/>
        <v>-2.2177006492957623</v>
      </c>
      <c r="X218" s="684">
        <f t="shared" si="113"/>
        <v>-159.09205721403623</v>
      </c>
      <c r="Y218" s="687">
        <f t="shared" si="114"/>
        <v>20.907942785963769</v>
      </c>
      <c r="AA218" s="170">
        <f t="shared" si="115"/>
        <v>12589</v>
      </c>
      <c r="AB218" s="170">
        <f t="shared" si="116"/>
        <v>158482921</v>
      </c>
      <c r="AD218" s="686">
        <f t="shared" si="117"/>
        <v>17.219737690461983</v>
      </c>
      <c r="AE218" s="687">
        <f t="shared" si="118"/>
        <v>-5.2945756036275728</v>
      </c>
      <c r="AG218" s="686">
        <f t="shared" si="119"/>
        <v>44.789912677967109</v>
      </c>
      <c r="AH218" s="687">
        <f t="shared" si="120"/>
        <v>-32.359253232794472</v>
      </c>
      <c r="AJ218" s="170">
        <f t="shared" si="121"/>
        <v>0</v>
      </c>
      <c r="AK218" s="170">
        <f t="shared" si="133"/>
        <v>0</v>
      </c>
      <c r="AM218" s="170" t="str">
        <f t="shared" si="125"/>
        <v>1.23741619154242+0.971408025493661i</v>
      </c>
      <c r="AN218" s="170" t="str">
        <f t="shared" si="126"/>
        <v>1.81050145048828i</v>
      </c>
      <c r="AO218" s="170" t="str">
        <f t="shared" si="127"/>
        <v>0.536540871166758-0.683466003967408i</v>
      </c>
      <c r="AP218" s="170" t="str">
        <f t="shared" si="128"/>
        <v>-0.0395693652570702-0.161901337582277i</v>
      </c>
      <c r="AQ218" s="170" t="str">
        <f t="shared" si="129"/>
        <v>1.03956936525707+0.161901337582277i</v>
      </c>
      <c r="AR218" s="170" t="str">
        <f t="shared" si="130"/>
        <v>0.782318517044617-0.121837386285028i</v>
      </c>
    </row>
    <row r="219" spans="7:44">
      <c r="G219" s="688">
        <v>12662.25</v>
      </c>
      <c r="H219" s="676">
        <f t="shared" si="122"/>
        <v>12.66225</v>
      </c>
      <c r="I219" s="677">
        <f t="shared" si="102"/>
        <v>11.501913826036208</v>
      </c>
      <c r="J219" s="678">
        <f t="shared" si="103"/>
        <v>1.4837443683196672</v>
      </c>
      <c r="K219" s="678">
        <f t="shared" si="104"/>
        <v>1.0001531664374355</v>
      </c>
      <c r="L219" s="679">
        <f t="shared" si="105"/>
        <v>1.7501250813914515E-2</v>
      </c>
      <c r="M219" s="678">
        <f t="shared" si="106"/>
        <v>1.0128712544906953</v>
      </c>
      <c r="N219" s="679">
        <f t="shared" si="107"/>
        <v>-0.15959133048883878</v>
      </c>
      <c r="O219" s="677">
        <f t="shared" si="108"/>
        <v>525091.13622945722</v>
      </c>
      <c r="P219" s="680">
        <f t="shared" si="109"/>
        <v>1.5707944223635875</v>
      </c>
      <c r="Q219" s="689">
        <f t="shared" si="131"/>
        <v>21.202271336405374</v>
      </c>
      <c r="R219" s="690">
        <f t="shared" si="132"/>
        <v>1.5236140646609648</v>
      </c>
      <c r="S219" s="677">
        <f t="shared" si="110"/>
        <v>1.0010230476664861</v>
      </c>
      <c r="T219" s="680">
        <f t="shared" si="111"/>
        <v>4.5214516218946899E-2</v>
      </c>
      <c r="U219" s="681">
        <f t="shared" si="123"/>
        <v>0.68574199732379815</v>
      </c>
      <c r="V219" s="682">
        <f t="shared" si="124"/>
        <v>-1.0643676757839196</v>
      </c>
      <c r="W219" s="683">
        <f t="shared" si="112"/>
        <v>-2.29466163418244</v>
      </c>
      <c r="X219" s="684">
        <f t="shared" si="113"/>
        <v>-159.43106423616518</v>
      </c>
      <c r="Y219" s="687">
        <f t="shared" si="114"/>
        <v>20.568935763834816</v>
      </c>
      <c r="AA219" s="170">
        <f t="shared" si="115"/>
        <v>12662.25</v>
      </c>
      <c r="AB219" s="170">
        <f t="shared" si="116"/>
        <v>160332575.0625</v>
      </c>
      <c r="AD219" s="686">
        <f t="shared" si="117"/>
        <v>17.219522581961389</v>
      </c>
      <c r="AE219" s="687">
        <f t="shared" si="118"/>
        <v>-5.2938363303983706</v>
      </c>
      <c r="AG219" s="686">
        <f t="shared" si="119"/>
        <v>44.769200365424012</v>
      </c>
      <c r="AH219" s="687">
        <f t="shared" si="120"/>
        <v>-32.169676421263887</v>
      </c>
      <c r="AJ219" s="170">
        <f t="shared" si="121"/>
        <v>0</v>
      </c>
      <c r="AK219" s="170">
        <f t="shared" si="133"/>
        <v>0</v>
      </c>
      <c r="AM219" s="170" t="str">
        <f t="shared" si="125"/>
        <v>1.24763615813375+0.968853101963737i</v>
      </c>
      <c r="AN219" s="170" t="str">
        <f t="shared" si="126"/>
        <v>1.82103598311583i</v>
      </c>
      <c r="AO219" s="170" t="str">
        <f t="shared" si="127"/>
        <v>0.532034024009789-0.685124385076136i</v>
      </c>
      <c r="AP219" s="170" t="str">
        <f t="shared" si="128"/>
        <v>-0.041272693022292-0.161475516993956i</v>
      </c>
      <c r="AQ219" s="170" t="str">
        <f t="shared" si="129"/>
        <v>1.04127269302229+0.161475516993956i</v>
      </c>
      <c r="AR219" s="170" t="str">
        <f t="shared" si="130"/>
        <v>0.781196125190757-0.121144104742361i</v>
      </c>
    </row>
    <row r="220" spans="7:44">
      <c r="G220" s="688">
        <v>12735.5</v>
      </c>
      <c r="H220" s="676">
        <f t="shared" si="122"/>
        <v>12.7355</v>
      </c>
      <c r="I220" s="677">
        <f t="shared" si="102"/>
        <v>11.567949866977317</v>
      </c>
      <c r="J220" s="678">
        <f t="shared" si="103"/>
        <v>1.4842425557107539</v>
      </c>
      <c r="K220" s="678">
        <f t="shared" si="104"/>
        <v>1.0001549435341937</v>
      </c>
      <c r="L220" s="679">
        <f t="shared" si="105"/>
        <v>1.7602473155182E-2</v>
      </c>
      <c r="M220" s="678">
        <f t="shared" si="106"/>
        <v>1.0130196435655177</v>
      </c>
      <c r="N220" s="679">
        <f t="shared" si="107"/>
        <v>-0.16049882316647365</v>
      </c>
      <c r="O220" s="677">
        <f t="shared" si="108"/>
        <v>528128.74216273671</v>
      </c>
      <c r="P220" s="680">
        <f t="shared" si="109"/>
        <v>1.570794433317189</v>
      </c>
      <c r="Q220" s="689">
        <f t="shared" si="131"/>
        <v>21.324652545931045</v>
      </c>
      <c r="R220" s="690">
        <f t="shared" si="132"/>
        <v>1.5238850408942402</v>
      </c>
      <c r="S220" s="677">
        <f t="shared" si="110"/>
        <v>1.0010349122478508</v>
      </c>
      <c r="T220" s="680">
        <f t="shared" si="111"/>
        <v>4.5475718778891346E-2</v>
      </c>
      <c r="U220" s="681">
        <f t="shared" si="123"/>
        <v>0.6835321678585381</v>
      </c>
      <c r="V220" s="682">
        <f t="shared" si="124"/>
        <v>-1.0689727592845863</v>
      </c>
      <c r="W220" s="683">
        <f t="shared" si="112"/>
        <v>-2.3713491160563094</v>
      </c>
      <c r="X220" s="684">
        <f t="shared" si="113"/>
        <v>-159.76909664514426</v>
      </c>
      <c r="Y220" s="687">
        <f t="shared" si="114"/>
        <v>20.230903354855741</v>
      </c>
      <c r="AA220" s="170">
        <f t="shared" si="115"/>
        <v>12735.5</v>
      </c>
      <c r="AB220" s="170">
        <f t="shared" si="116"/>
        <v>162192960.25</v>
      </c>
      <c r="AD220" s="686">
        <f t="shared" si="117"/>
        <v>17.219308819113209</v>
      </c>
      <c r="AE220" s="687">
        <f t="shared" si="118"/>
        <v>-5.2932769677606863</v>
      </c>
      <c r="AG220" s="686">
        <f t="shared" si="119"/>
        <v>44.748798255741846</v>
      </c>
      <c r="AH220" s="687">
        <f t="shared" si="120"/>
        <v>-31.980564494490604</v>
      </c>
      <c r="AJ220" s="170">
        <f t="shared" si="121"/>
        <v>0</v>
      </c>
      <c r="AK220" s="170">
        <f t="shared" si="133"/>
        <v>0</v>
      </c>
      <c r="AM220" s="170" t="str">
        <f t="shared" si="125"/>
        <v>1.25782864321543+0.966190659620393i</v>
      </c>
      <c r="AN220" s="170" t="str">
        <f t="shared" si="126"/>
        <v>1.83157051574339i</v>
      </c>
      <c r="AO220" s="170" t="str">
        <f t="shared" si="127"/>
        <v>0.527520317298971-0.68674868502396i</v>
      </c>
      <c r="AP220" s="170" t="str">
        <f t="shared" si="128"/>
        <v>-0.0429714405359052-0.161031776603399i</v>
      </c>
      <c r="AQ220" s="170" t="str">
        <f t="shared" si="129"/>
        <v>1.04297144053591+0.161031776603399i</v>
      </c>
      <c r="AR220" s="170" t="str">
        <f t="shared" si="130"/>
        <v>0.780083590138143-0.120442652154077i</v>
      </c>
    </row>
    <row r="221" spans="7:44">
      <c r="G221" s="688">
        <v>12808.75</v>
      </c>
      <c r="H221" s="676">
        <f t="shared" si="122"/>
        <v>12.80875</v>
      </c>
      <c r="I221" s="677">
        <f t="shared" si="102"/>
        <v>11.633988746382322</v>
      </c>
      <c r="J221" s="678">
        <f t="shared" si="103"/>
        <v>1.4847350874263214</v>
      </c>
      <c r="K221" s="678">
        <f t="shared" si="104"/>
        <v>1.0001567308784651</v>
      </c>
      <c r="L221" s="679">
        <f t="shared" si="105"/>
        <v>1.770369513570496E-2</v>
      </c>
      <c r="M221" s="678">
        <f t="shared" si="106"/>
        <v>1.0131688666607617</v>
      </c>
      <c r="N221" s="679">
        <f t="shared" si="107"/>
        <v>-0.16140604927360075</v>
      </c>
      <c r="O221" s="677">
        <f t="shared" si="108"/>
        <v>531166.34809601633</v>
      </c>
      <c r="P221" s="680">
        <f t="shared" si="109"/>
        <v>1.5707944441455088</v>
      </c>
      <c r="Q221" s="689">
        <f t="shared" si="131"/>
        <v>21.447035303415884</v>
      </c>
      <c r="R221" s="690">
        <f t="shared" si="132"/>
        <v>1.524152924615265</v>
      </c>
      <c r="S221" s="677">
        <f t="shared" si="110"/>
        <v>1.0010468451249799</v>
      </c>
      <c r="T221" s="680">
        <f t="shared" si="111"/>
        <v>4.5736915129378899E-2</v>
      </c>
      <c r="U221" s="681">
        <f t="shared" si="123"/>
        <v>0.68132802132930048</v>
      </c>
      <c r="V221" s="682">
        <f t="shared" si="124"/>
        <v>-1.0735638354675128</v>
      </c>
      <c r="W221" s="683">
        <f t="shared" si="112"/>
        <v>-2.4477656443932032</v>
      </c>
      <c r="X221" s="684">
        <f t="shared" si="113"/>
        <v>-160.10616401984623</v>
      </c>
      <c r="Y221" s="687">
        <f t="shared" si="114"/>
        <v>19.893835980153767</v>
      </c>
      <c r="AA221" s="170">
        <f t="shared" si="115"/>
        <v>12808.75</v>
      </c>
      <c r="AB221" s="170">
        <f t="shared" si="116"/>
        <v>164064076.5625</v>
      </c>
      <c r="AD221" s="686">
        <f t="shared" si="117"/>
        <v>17.219096357856692</v>
      </c>
      <c r="AE221" s="687">
        <f t="shared" si="118"/>
        <v>-5.2928944300694436</v>
      </c>
      <c r="AG221" s="686">
        <f t="shared" si="119"/>
        <v>44.728702470796208</v>
      </c>
      <c r="AH221" s="687">
        <f t="shared" si="120"/>
        <v>-31.791915828873226</v>
      </c>
      <c r="AJ221" s="170">
        <f t="shared" si="121"/>
        <v>0</v>
      </c>
      <c r="AK221" s="170">
        <f t="shared" si="133"/>
        <v>0</v>
      </c>
      <c r="AM221" s="170" t="str">
        <f t="shared" si="125"/>
        <v>1.26799251567283+0.963420993929108i</v>
      </c>
      <c r="AN221" s="170" t="str">
        <f t="shared" si="126"/>
        <v>1.84210504837094i</v>
      </c>
      <c r="AO221" s="170" t="str">
        <f t="shared" si="127"/>
        <v>0.523000029114033-0.688338874481765i</v>
      </c>
      <c r="AP221" s="170" t="str">
        <f t="shared" si="128"/>
        <v>-0.0446654192788045-0.160570165654851i</v>
      </c>
      <c r="AQ221" s="170" t="str">
        <f t="shared" si="129"/>
        <v>1.0446654192788+0.160570165654851i</v>
      </c>
      <c r="AR221" s="170" t="str">
        <f t="shared" si="130"/>
        <v>0.778980916926334-0.119733162948172i</v>
      </c>
    </row>
    <row r="222" spans="7:44">
      <c r="G222" s="688">
        <v>12882</v>
      </c>
      <c r="H222" s="676">
        <f t="shared" si="122"/>
        <v>12.882</v>
      </c>
      <c r="I222" s="677">
        <f t="shared" si="102"/>
        <v>11.700030416187513</v>
      </c>
      <c r="J222" s="678">
        <f t="shared" si="103"/>
        <v>1.4852220589969702</v>
      </c>
      <c r="K222" s="678">
        <f t="shared" si="104"/>
        <v>1.0001585284701953</v>
      </c>
      <c r="L222" s="679">
        <f t="shared" si="105"/>
        <v>1.7804916753411112E-2</v>
      </c>
      <c r="M222" s="678">
        <f t="shared" si="106"/>
        <v>1.0133189234079691</v>
      </c>
      <c r="N222" s="679">
        <f t="shared" si="107"/>
        <v>-0.1623130074349167</v>
      </c>
      <c r="O222" s="677">
        <f t="shared" si="108"/>
        <v>534203.95402929606</v>
      </c>
      <c r="P222" s="680">
        <f t="shared" si="109"/>
        <v>1.5707944548506843</v>
      </c>
      <c r="Q222" s="689">
        <f t="shared" si="131"/>
        <v>21.569419582510992</v>
      </c>
      <c r="R222" s="690">
        <f t="shared" si="132"/>
        <v>1.5244177684257425</v>
      </c>
      <c r="S222" s="677">
        <f t="shared" si="110"/>
        <v>1.0010588462954308</v>
      </c>
      <c r="T222" s="680">
        <f t="shared" si="111"/>
        <v>4.59981052349928E-2</v>
      </c>
      <c r="U222" s="681">
        <f t="shared" si="123"/>
        <v>0.67912960107297493</v>
      </c>
      <c r="V222" s="682">
        <f t="shared" si="124"/>
        <v>-1.0781410290749669</v>
      </c>
      <c r="W222" s="683">
        <f t="shared" si="112"/>
        <v>-2.5239137311356945</v>
      </c>
      <c r="X222" s="684">
        <f t="shared" si="113"/>
        <v>-160.44227588653413</v>
      </c>
      <c r="Y222" s="687">
        <f t="shared" si="114"/>
        <v>19.557724113465866</v>
      </c>
      <c r="AA222" s="170">
        <f t="shared" si="115"/>
        <v>12882</v>
      </c>
      <c r="AB222" s="170">
        <f t="shared" si="116"/>
        <v>165945924</v>
      </c>
      <c r="AD222" s="686">
        <f t="shared" si="117"/>
        <v>17.218885155378917</v>
      </c>
      <c r="AE222" s="687">
        <f t="shared" si="118"/>
        <v>-5.292685701562295</v>
      </c>
      <c r="AG222" s="686">
        <f t="shared" si="119"/>
        <v>44.70890920182989</v>
      </c>
      <c r="AH222" s="687">
        <f t="shared" si="120"/>
        <v>-31.603728672026147</v>
      </c>
      <c r="AJ222" s="170">
        <f t="shared" si="121"/>
        <v>0</v>
      </c>
      <c r="AK222" s="170">
        <f t="shared" si="133"/>
        <v>0</v>
      </c>
      <c r="AM222" s="170" t="str">
        <f t="shared" si="125"/>
        <v>1.27812664756663+0.960544412254502i</v>
      </c>
      <c r="AN222" s="170" t="str">
        <f t="shared" si="126"/>
        <v>1.85263958099849i</v>
      </c>
      <c r="AO222" s="170" t="str">
        <f t="shared" si="127"/>
        <v>0.518473437632597-0.68989492650145i</v>
      </c>
      <c r="AP222" s="170" t="str">
        <f t="shared" si="128"/>
        <v>-0.046354441261105-0.16009073537575i</v>
      </c>
      <c r="AQ222" s="170" t="str">
        <f t="shared" si="129"/>
        <v>1.0463544412611+0.16009073537575i</v>
      </c>
      <c r="AR222" s="170" t="str">
        <f t="shared" si="130"/>
        <v>0.777888109205287-0.119015769926523i</v>
      </c>
    </row>
    <row r="223" spans="7:44">
      <c r="G223" s="688">
        <v>12957.25</v>
      </c>
      <c r="H223" s="676">
        <f t="shared" si="122"/>
        <v>12.95725</v>
      </c>
      <c r="I223" s="677">
        <f t="shared" si="102"/>
        <v>11.767878127873034</v>
      </c>
      <c r="J223" s="678">
        <f t="shared" si="103"/>
        <v>1.4857166349095208</v>
      </c>
      <c r="K223" s="678">
        <f t="shared" si="104"/>
        <v>1.0001603858138393</v>
      </c>
      <c r="L223" s="679">
        <f t="shared" si="105"/>
        <v>1.790890172130459E-2</v>
      </c>
      <c r="M223" s="678">
        <f t="shared" si="106"/>
        <v>1.0134739449840524</v>
      </c>
      <c r="N223" s="679">
        <f t="shared" si="107"/>
        <v>-0.16324444849697001</v>
      </c>
      <c r="O223" s="677">
        <f t="shared" si="108"/>
        <v>537324.49800853559</v>
      </c>
      <c r="P223" s="680">
        <f t="shared" si="109"/>
        <v>1.5707944657221116</v>
      </c>
      <c r="Q223" s="689">
        <f t="shared" si="131"/>
        <v>21.695146969325609</v>
      </c>
      <c r="R223" s="690">
        <f t="shared" si="132"/>
        <v>1.5246867319416639</v>
      </c>
      <c r="S223" s="677">
        <f t="shared" si="110"/>
        <v>1.0010712462560845</v>
      </c>
      <c r="T223" s="680">
        <f t="shared" si="111"/>
        <v>4.6266420270892221E-2</v>
      </c>
      <c r="U223" s="681">
        <f t="shared" si="123"/>
        <v>0.67687716208653881</v>
      </c>
      <c r="V223" s="682">
        <f t="shared" si="124"/>
        <v>-1.0828288720516908</v>
      </c>
      <c r="W223" s="683">
        <f t="shared" si="112"/>
        <v>-2.6018640116270983</v>
      </c>
      <c r="X223" s="684">
        <f t="shared" si="113"/>
        <v>-160.78657982659811</v>
      </c>
      <c r="Y223" s="687">
        <f t="shared" si="114"/>
        <v>19.213420173401886</v>
      </c>
      <c r="AA223" s="170">
        <f t="shared" si="115"/>
        <v>12957.25</v>
      </c>
      <c r="AB223" s="170">
        <f t="shared" si="116"/>
        <v>167890327.5625</v>
      </c>
      <c r="AD223" s="686">
        <f t="shared" si="117"/>
        <v>17.218669453369998</v>
      </c>
      <c r="AE223" s="687">
        <f t="shared" si="118"/>
        <v>-5.2926491692808018</v>
      </c>
      <c r="AG223" s="686">
        <f t="shared" si="119"/>
        <v>44.688886590509384</v>
      </c>
      <c r="AH223" s="687">
        <f t="shared" si="120"/>
        <v>-31.410881908585175</v>
      </c>
      <c r="AJ223" s="170">
        <f t="shared" si="121"/>
        <v>0</v>
      </c>
      <c r="AK223" s="170">
        <f t="shared" si="133"/>
        <v>0</v>
      </c>
      <c r="AM223" s="170" t="str">
        <f t="shared" si="125"/>
        <v>1.2885053278619+0.957478289986408i</v>
      </c>
      <c r="AN223" s="170" t="str">
        <f t="shared" si="126"/>
        <v>1.86346174591622i</v>
      </c>
      <c r="AO223" s="170" t="str">
        <f t="shared" si="127"/>
        <v>0.513816981799988-0.69145789050173i</v>
      </c>
      <c r="AP223" s="170" t="str">
        <f t="shared" si="128"/>
        <v>-0.048084221310317-0.159579714997735i</v>
      </c>
      <c r="AQ223" s="170" t="str">
        <f t="shared" si="129"/>
        <v>1.04808422131032+0.159579714997735i</v>
      </c>
      <c r="AR223" s="170" t="str">
        <f t="shared" si="130"/>
        <v>0.776775739360567-0.118270696747387i</v>
      </c>
    </row>
    <row r="224" spans="7:44">
      <c r="G224" s="688">
        <v>13032.5</v>
      </c>
      <c r="H224" s="676">
        <f t="shared" si="122"/>
        <v>13.032500000000001</v>
      </c>
      <c r="I224" s="677">
        <f t="shared" si="102"/>
        <v>11.835728685042358</v>
      </c>
      <c r="J224" s="678">
        <f t="shared" si="103"/>
        <v>1.4862055404402708</v>
      </c>
      <c r="K224" s="678">
        <f t="shared" si="104"/>
        <v>1.0001622539720509</v>
      </c>
      <c r="L224" s="679">
        <f t="shared" si="105"/>
        <v>1.8012886301864723E-2</v>
      </c>
      <c r="M224" s="678">
        <f t="shared" si="106"/>
        <v>1.0136298455629544</v>
      </c>
      <c r="N224" s="679">
        <f t="shared" si="107"/>
        <v>-0.1641756038474815</v>
      </c>
      <c r="O224" s="677">
        <f t="shared" si="108"/>
        <v>540445.04198777524</v>
      </c>
      <c r="P224" s="680">
        <f t="shared" si="109"/>
        <v>1.5707944764679951</v>
      </c>
      <c r="Q224" s="689">
        <f t="shared" si="131"/>
        <v>21.820875907511105</v>
      </c>
      <c r="R224" s="690">
        <f t="shared" si="132"/>
        <v>1.5249525960137704</v>
      </c>
      <c r="S224" s="677">
        <f t="shared" si="110"/>
        <v>1.0010837182850301</v>
      </c>
      <c r="T224" s="680">
        <f t="shared" si="111"/>
        <v>4.6534728640487091E-2</v>
      </c>
      <c r="U224" s="681">
        <f t="shared" si="123"/>
        <v>0.67463085274677392</v>
      </c>
      <c r="V224" s="682">
        <f t="shared" si="124"/>
        <v>-1.0875023310027319</v>
      </c>
      <c r="W224" s="683">
        <f t="shared" si="112"/>
        <v>-2.6795362485585175</v>
      </c>
      <c r="X224" s="684">
        <f t="shared" si="113"/>
        <v>-161.12989558178384</v>
      </c>
      <c r="Y224" s="687">
        <f t="shared" si="114"/>
        <v>18.870104418216158</v>
      </c>
      <c r="AA224" s="170">
        <f t="shared" si="115"/>
        <v>13032.5</v>
      </c>
      <c r="AB224" s="170">
        <f t="shared" si="116"/>
        <v>169846056.25</v>
      </c>
      <c r="AD224" s="686">
        <f t="shared" si="117"/>
        <v>17.218454992083323</v>
      </c>
      <c r="AE224" s="687">
        <f t="shared" si="118"/>
        <v>-5.2927898329046954</v>
      </c>
      <c r="AG224" s="686">
        <f t="shared" si="119"/>
        <v>44.669175310691756</v>
      </c>
      <c r="AH224" s="687">
        <f t="shared" si="120"/>
        <v>-31.21851805229046</v>
      </c>
      <c r="AJ224" s="170">
        <f t="shared" si="121"/>
        <v>0</v>
      </c>
      <c r="AK224" s="170">
        <f t="shared" si="133"/>
        <v>0</v>
      </c>
      <c r="AM224" s="170" t="str">
        <f t="shared" si="125"/>
        <v>1.29885021895832+0.954300029670212i</v>
      </c>
      <c r="AN224" s="170" t="str">
        <f t="shared" si="126"/>
        <v>1.87428391083394i</v>
      </c>
      <c r="AO224" s="170" t="str">
        <f t="shared" si="127"/>
        <v>0.509154469157027-0.692984777519865i</v>
      </c>
      <c r="AP224" s="170" t="str">
        <f t="shared" si="128"/>
        <v>-0.049808369826386-0.159050004945035i</v>
      </c>
      <c r="AQ224" s="170" t="str">
        <f t="shared" si="129"/>
        <v>1.04980836982639+0.159050004945035i</v>
      </c>
      <c r="AR224" s="170" t="str">
        <f t="shared" si="130"/>
        <v>0.775673784593553-0.117517561129505i</v>
      </c>
    </row>
    <row r="225" spans="7:44">
      <c r="G225" s="688">
        <v>13107.75</v>
      </c>
      <c r="H225" s="676">
        <f t="shared" si="122"/>
        <v>13.107749999999999</v>
      </c>
      <c r="I225" s="677">
        <f t="shared" si="102"/>
        <v>11.903582039037603</v>
      </c>
      <c r="J225" s="678">
        <f t="shared" si="103"/>
        <v>1.4866888723211991</v>
      </c>
      <c r="K225" s="678">
        <f t="shared" si="104"/>
        <v>1.0001641329447697</v>
      </c>
      <c r="L225" s="679">
        <f t="shared" si="105"/>
        <v>1.8116870492844956E-2</v>
      </c>
      <c r="M225" s="678">
        <f t="shared" si="106"/>
        <v>1.0137866247391549</v>
      </c>
      <c r="N225" s="679">
        <f t="shared" si="107"/>
        <v>-0.16510647200391887</v>
      </c>
      <c r="O225" s="677">
        <f t="shared" si="108"/>
        <v>543565.58596701478</v>
      </c>
      <c r="P225" s="680">
        <f t="shared" si="109"/>
        <v>1.5707944870904971</v>
      </c>
      <c r="Q225" s="689">
        <f t="shared" si="131"/>
        <v>21.946606370404741</v>
      </c>
      <c r="R225" s="690">
        <f t="shared" si="132"/>
        <v>1.5252154138735941</v>
      </c>
      <c r="S225" s="677">
        <f t="shared" si="110"/>
        <v>1.0010962623795743</v>
      </c>
      <c r="T225" s="680">
        <f t="shared" si="111"/>
        <v>4.6803030305396599E-2</v>
      </c>
      <c r="U225" s="681">
        <f t="shared" si="123"/>
        <v>0.67239071370493275</v>
      </c>
      <c r="V225" s="682">
        <f t="shared" si="124"/>
        <v>-1.0921615412380357</v>
      </c>
      <c r="W225" s="683">
        <f t="shared" si="112"/>
        <v>-2.7569330482897341</v>
      </c>
      <c r="X225" s="684">
        <f t="shared" si="113"/>
        <v>-161.47223331028275</v>
      </c>
      <c r="Y225" s="687">
        <f t="shared" si="114"/>
        <v>18.527766689717254</v>
      </c>
      <c r="AA225" s="170">
        <f t="shared" si="115"/>
        <v>13107.75</v>
      </c>
      <c r="AB225" s="170">
        <f t="shared" si="116"/>
        <v>171813110.0625</v>
      </c>
      <c r="AD225" s="686">
        <f t="shared" si="117"/>
        <v>17.21824172894323</v>
      </c>
      <c r="AE225" s="687">
        <f t="shared" si="118"/>
        <v>-5.2931046404166766</v>
      </c>
      <c r="AG225" s="686">
        <f t="shared" si="119"/>
        <v>44.649771453101401</v>
      </c>
      <c r="AH225" s="687">
        <f t="shared" si="120"/>
        <v>-31.026634807973178</v>
      </c>
      <c r="AJ225" s="170">
        <f t="shared" si="121"/>
        <v>0</v>
      </c>
      <c r="AK225" s="170">
        <f t="shared" si="133"/>
        <v>0</v>
      </c>
      <c r="AM225" s="170" t="str">
        <f t="shared" si="125"/>
        <v>1.30916010928179+0.95101000353775i</v>
      </c>
      <c r="AN225" s="170" t="str">
        <f t="shared" si="126"/>
        <v>1.88510607575167i</v>
      </c>
      <c r="AO225" s="170" t="str">
        <f t="shared" si="127"/>
        <v>0.504486201477306-0.694475566187846i</v>
      </c>
      <c r="AP225" s="170" t="str">
        <f t="shared" si="128"/>
        <v>-0.0515266848802987-0.158501667256292i</v>
      </c>
      <c r="AQ225" s="170" t="str">
        <f t="shared" si="129"/>
        <v>1.0515266848803+0.158501667256292i</v>
      </c>
      <c r="AR225" s="170" t="str">
        <f t="shared" si="130"/>
        <v>0.774582244583569-0.116756501721678i</v>
      </c>
    </row>
    <row r="226" spans="7:44">
      <c r="G226" s="688">
        <v>13183</v>
      </c>
      <c r="H226" s="676">
        <f t="shared" si="122"/>
        <v>13.183</v>
      </c>
      <c r="I226" s="677">
        <f t="shared" si="102"/>
        <v>11.971438142302077</v>
      </c>
      <c r="J226" s="678">
        <f t="shared" si="103"/>
        <v>1.4871667251016654</v>
      </c>
      <c r="K226" s="678">
        <f t="shared" si="104"/>
        <v>1.0001660227319344</v>
      </c>
      <c r="L226" s="679">
        <f t="shared" si="105"/>
        <v>1.8220854291998791E-2</v>
      </c>
      <c r="M226" s="678">
        <f t="shared" si="106"/>
        <v>1.0139442821050995</v>
      </c>
      <c r="N226" s="679">
        <f t="shared" si="107"/>
        <v>-0.16603705148665499</v>
      </c>
      <c r="O226" s="677">
        <f t="shared" si="108"/>
        <v>546686.12994625454</v>
      </c>
      <c r="P226" s="680">
        <f t="shared" si="109"/>
        <v>1.5707944975917301</v>
      </c>
      <c r="Q226" s="689">
        <f t="shared" si="131"/>
        <v>22.072338331950974</v>
      </c>
      <c r="R226" s="690">
        <f t="shared" si="132"/>
        <v>1.5254752375414695</v>
      </c>
      <c r="S226" s="677">
        <f t="shared" si="110"/>
        <v>1.0011088785370084</v>
      </c>
      <c r="T226" s="680">
        <f t="shared" si="111"/>
        <v>4.7071325227245671E-2</v>
      </c>
      <c r="U226" s="681">
        <f t="shared" si="123"/>
        <v>0.67015678355688857</v>
      </c>
      <c r="V226" s="682">
        <f t="shared" si="124"/>
        <v>-1.0968066380545995</v>
      </c>
      <c r="W226" s="683">
        <f t="shared" si="112"/>
        <v>-2.8340569798207431</v>
      </c>
      <c r="X226" s="684">
        <f t="shared" si="113"/>
        <v>-161.8136031140501</v>
      </c>
      <c r="Y226" s="687">
        <f t="shared" si="114"/>
        <v>18.186396885949904</v>
      </c>
      <c r="AA226" s="170">
        <f t="shared" si="115"/>
        <v>13183</v>
      </c>
      <c r="AB226" s="170">
        <f t="shared" si="116"/>
        <v>173791489</v>
      </c>
      <c r="AD226" s="686">
        <f t="shared" si="117"/>
        <v>17.218029622584766</v>
      </c>
      <c r="AE226" s="687">
        <f t="shared" si="118"/>
        <v>-5.2935906091934344</v>
      </c>
      <c r="AG226" s="686">
        <f t="shared" si="119"/>
        <v>44.630671179989314</v>
      </c>
      <c r="AH226" s="687">
        <f t="shared" si="120"/>
        <v>-30.835229756318011</v>
      </c>
      <c r="AJ226" s="170">
        <f t="shared" si="121"/>
        <v>0</v>
      </c>
      <c r="AK226" s="170">
        <f t="shared" si="133"/>
        <v>0</v>
      </c>
      <c r="AM226" s="170" t="str">
        <f t="shared" si="125"/>
        <v>1.31943379135745+0.947608596910669i</v>
      </c>
      <c r="AN226" s="170" t="str">
        <f t="shared" si="126"/>
        <v>1.8959282406694i</v>
      </c>
      <c r="AO226" s="170" t="str">
        <f t="shared" si="127"/>
        <v>0.499812480548364-0.695930237787689i</v>
      </c>
      <c r="AP226" s="170" t="str">
        <f t="shared" si="128"/>
        <v>-0.053238965226241-0.157934766151778i</v>
      </c>
      <c r="AQ226" s="170" t="str">
        <f t="shared" si="129"/>
        <v>1.05323896522624+0.157934766151778i</v>
      </c>
      <c r="AR226" s="170" t="str">
        <f t="shared" si="130"/>
        <v>0.773501117664513-0.11598765538478i</v>
      </c>
    </row>
    <row r="227" spans="7:44">
      <c r="G227" s="688">
        <v>13259.75</v>
      </c>
      <c r="H227" s="676">
        <f t="shared" si="122"/>
        <v>13.25975</v>
      </c>
      <c r="I227" s="677">
        <f t="shared" si="102"/>
        <v>12.040649642741748</v>
      </c>
      <c r="J227" s="678">
        <f t="shared" si="103"/>
        <v>1.4876485550024907</v>
      </c>
      <c r="K227" s="678">
        <f t="shared" si="104"/>
        <v>1.0001679613291616</v>
      </c>
      <c r="L227" s="679">
        <f t="shared" si="105"/>
        <v>1.8326910451963749E-2</v>
      </c>
      <c r="M227" s="678">
        <f t="shared" si="106"/>
        <v>1.0141059863404478</v>
      </c>
      <c r="N227" s="679">
        <f t="shared" si="107"/>
        <v>-0.16698588183277999</v>
      </c>
      <c r="O227" s="677">
        <f t="shared" si="108"/>
        <v>549868.87745996437</v>
      </c>
      <c r="P227" s="680">
        <f t="shared" si="109"/>
        <v>1.5707945081795121</v>
      </c>
      <c r="Q227" s="689">
        <f t="shared" si="131"/>
        <v>22.200578095802182</v>
      </c>
      <c r="R227" s="690">
        <f t="shared" si="132"/>
        <v>1.5257372088202785</v>
      </c>
      <c r="S227" s="677">
        <f t="shared" si="110"/>
        <v>1.001121820408394</v>
      </c>
      <c r="T227" s="680">
        <f t="shared" si="111"/>
        <v>4.7344961234820092E-2</v>
      </c>
      <c r="U227" s="681">
        <f t="shared" si="123"/>
        <v>0.66788475693844462</v>
      </c>
      <c r="V227" s="682">
        <f t="shared" si="124"/>
        <v>-1.1015299302084485</v>
      </c>
      <c r="W227" s="683">
        <f t="shared" si="112"/>
        <v>-2.9124398102700475</v>
      </c>
      <c r="X227" s="684">
        <f t="shared" si="113"/>
        <v>-162.16079099034229</v>
      </c>
      <c r="Y227" s="687">
        <f t="shared" si="114"/>
        <v>17.839209009657708</v>
      </c>
      <c r="AA227" s="170">
        <f t="shared" si="115"/>
        <v>13259.75</v>
      </c>
      <c r="AB227" s="170">
        <f t="shared" si="116"/>
        <v>175820970.0625</v>
      </c>
      <c r="AD227" s="686">
        <f t="shared" si="117"/>
        <v>17.217814438117909</v>
      </c>
      <c r="AE227" s="687">
        <f t="shared" si="118"/>
        <v>-5.2942595555568399</v>
      </c>
      <c r="AG227" s="686">
        <f t="shared" si="119"/>
        <v>44.611498986187158</v>
      </c>
      <c r="AH227" s="687">
        <f t="shared" si="120"/>
        <v>-30.640499273982737</v>
      </c>
      <c r="AJ227" s="170">
        <f t="shared" si="121"/>
        <v>0</v>
      </c>
      <c r="AK227" s="170">
        <f t="shared" si="133"/>
        <v>0</v>
      </c>
      <c r="AM227" s="170" t="str">
        <f t="shared" si="125"/>
        <v>1.32987371869441+0.944025068371979i</v>
      </c>
      <c r="AN227" s="170" t="str">
        <f t="shared" si="126"/>
        <v>1.90696612980475i</v>
      </c>
      <c r="AO227" s="170" t="str">
        <f t="shared" si="127"/>
        <v>0.495040291286472-0.697376685358629i</v>
      </c>
      <c r="AP227" s="170" t="str">
        <f t="shared" si="128"/>
        <v>-0.0549789531157357-0.15733751139533i</v>
      </c>
      <c r="AQ227" s="170" t="str">
        <f t="shared" si="129"/>
        <v>1.05497895311574+0.15733751139533i</v>
      </c>
      <c r="AR227" s="170" t="str">
        <f t="shared" si="130"/>
        <v>0.772409163478659-0.115195601961311i</v>
      </c>
    </row>
    <row r="228" spans="7:44">
      <c r="G228" s="688">
        <v>13336.5</v>
      </c>
      <c r="H228" s="676">
        <f t="shared" si="122"/>
        <v>13.336499999999999</v>
      </c>
      <c r="I228" s="677">
        <f t="shared" si="102"/>
        <v>12.109863906586289</v>
      </c>
      <c r="J228" s="678">
        <f t="shared" si="103"/>
        <v>1.4881248771884592</v>
      </c>
      <c r="K228" s="678">
        <f t="shared" si="104"/>
        <v>1.0001699111761433</v>
      </c>
      <c r="L228" s="679">
        <f t="shared" si="105"/>
        <v>1.8432966199605303E-2</v>
      </c>
      <c r="M228" s="678">
        <f t="shared" si="106"/>
        <v>1.0142686032625547</v>
      </c>
      <c r="N228" s="679">
        <f t="shared" si="107"/>
        <v>-0.16793440878210517</v>
      </c>
      <c r="O228" s="677">
        <f t="shared" si="108"/>
        <v>553051.62497367407</v>
      </c>
      <c r="P228" s="680">
        <f t="shared" si="109"/>
        <v>1.5707945186454313</v>
      </c>
      <c r="Q228" s="689">
        <f t="shared" si="131"/>
        <v>22.328819365754896</v>
      </c>
      <c r="R228" s="690">
        <f t="shared" si="132"/>
        <v>1.5259961709536052</v>
      </c>
      <c r="S228" s="677">
        <f t="shared" si="110"/>
        <v>1.0011348372385012</v>
      </c>
      <c r="T228" s="680">
        <f t="shared" si="111"/>
        <v>4.7618590147210774E-2</v>
      </c>
      <c r="U228" s="681">
        <f t="shared" si="123"/>
        <v>0.66561926395995574</v>
      </c>
      <c r="V228" s="682">
        <f t="shared" si="124"/>
        <v>-1.106238824855649</v>
      </c>
      <c r="W228" s="683">
        <f t="shared" si="112"/>
        <v>-2.9905440695092853</v>
      </c>
      <c r="X228" s="684">
        <f t="shared" si="113"/>
        <v>-162.50699301954884</v>
      </c>
      <c r="Y228" s="687">
        <f t="shared" si="114"/>
        <v>17.493006980451156</v>
      </c>
      <c r="AA228" s="170">
        <f t="shared" si="115"/>
        <v>13336.5</v>
      </c>
      <c r="AB228" s="170">
        <f t="shared" si="116"/>
        <v>177862232.25</v>
      </c>
      <c r="AD228" s="686">
        <f t="shared" si="117"/>
        <v>17.217600373763883</v>
      </c>
      <c r="AE228" s="687">
        <f t="shared" si="118"/>
        <v>-5.2951004997502285</v>
      </c>
      <c r="AG228" s="686">
        <f t="shared" si="119"/>
        <v>44.592634757809563</v>
      </c>
      <c r="AH228" s="687">
        <f t="shared" si="120"/>
        <v>-30.446260779466684</v>
      </c>
      <c r="AJ228" s="170">
        <f t="shared" si="121"/>
        <v>0</v>
      </c>
      <c r="AK228" s="170">
        <f t="shared" si="133"/>
        <v>0</v>
      </c>
      <c r="AM228" s="170" t="str">
        <f t="shared" si="125"/>
        <v>1.34027345627604+0.940326525710062i</v>
      </c>
      <c r="AN228" s="170" t="str">
        <f t="shared" si="126"/>
        <v>1.9180040189401i</v>
      </c>
      <c r="AO228" s="170" t="str">
        <f t="shared" si="127"/>
        <v>0.490263063280593-0.698785530708472i</v>
      </c>
      <c r="AP228" s="170" t="str">
        <f t="shared" si="128"/>
        <v>-0.0567122427126738-0.156721087618344i</v>
      </c>
      <c r="AQ228" s="170" t="str">
        <f t="shared" si="129"/>
        <v>1.05671224271267+0.156721087618344i</v>
      </c>
      <c r="AR228" s="170" t="str">
        <f t="shared" si="130"/>
        <v>0.771328034093623-0.114395730008156i</v>
      </c>
    </row>
    <row r="229" spans="7:44">
      <c r="G229" s="688">
        <v>13413.25</v>
      </c>
      <c r="H229" s="676">
        <f t="shared" si="122"/>
        <v>13.41325</v>
      </c>
      <c r="I229" s="677">
        <f t="shared" si="102"/>
        <v>12.179080886722041</v>
      </c>
      <c r="J229" s="678">
        <f t="shared" si="103"/>
        <v>1.4885957853470269</v>
      </c>
      <c r="K229" s="678">
        <f t="shared" si="104"/>
        <v>1.0001718722728139</v>
      </c>
      <c r="L229" s="679">
        <f t="shared" si="105"/>
        <v>1.8539021532540077E-2</v>
      </c>
      <c r="M229" s="678">
        <f t="shared" si="106"/>
        <v>1.0144321324325003</v>
      </c>
      <c r="N229" s="679">
        <f t="shared" si="107"/>
        <v>-0.16888263077416354</v>
      </c>
      <c r="O229" s="677">
        <f t="shared" si="108"/>
        <v>556234.37248738389</v>
      </c>
      <c r="P229" s="680">
        <f t="shared" si="109"/>
        <v>1.5707945289915795</v>
      </c>
      <c r="Q229" s="689">
        <f t="shared" si="131"/>
        <v>22.457062116007279</v>
      </c>
      <c r="R229" s="690">
        <f t="shared" si="132"/>
        <v>1.5262521754582734</v>
      </c>
      <c r="S229" s="677">
        <f t="shared" si="110"/>
        <v>1.0011479290244061</v>
      </c>
      <c r="T229" s="680">
        <f t="shared" si="111"/>
        <v>4.7892211923720555E-2</v>
      </c>
      <c r="U229" s="681">
        <f t="shared" si="123"/>
        <v>0.66336033923168414</v>
      </c>
      <c r="V229" s="682">
        <f t="shared" si="124"/>
        <v>-1.1109334653962262</v>
      </c>
      <c r="W229" s="683">
        <f t="shared" si="112"/>
        <v>-3.0683723697480243</v>
      </c>
      <c r="X229" s="684">
        <f t="shared" si="113"/>
        <v>-162.85221974260173</v>
      </c>
      <c r="Y229" s="687">
        <f t="shared" si="114"/>
        <v>17.147780257398267</v>
      </c>
      <c r="AA229" s="170">
        <f t="shared" si="115"/>
        <v>13413.25</v>
      </c>
      <c r="AB229" s="170">
        <f t="shared" si="116"/>
        <v>179915275.5625</v>
      </c>
      <c r="AD229" s="686">
        <f t="shared" si="117"/>
        <v>17.21738738926781</v>
      </c>
      <c r="AE229" s="687">
        <f t="shared" si="118"/>
        <v>-5.2961104878650636</v>
      </c>
      <c r="AG229" s="686">
        <f t="shared" si="119"/>
        <v>44.57407464423558</v>
      </c>
      <c r="AH229" s="687">
        <f t="shared" si="120"/>
        <v>-30.252511335177825</v>
      </c>
      <c r="AJ229" s="170">
        <f t="shared" si="121"/>
        <v>0</v>
      </c>
      <c r="AK229" s="170">
        <f t="shared" si="133"/>
        <v>0</v>
      </c>
      <c r="AM229" s="170" t="str">
        <f t="shared" si="125"/>
        <v>1.35063173706322+0.936513419532274i</v>
      </c>
      <c r="AN229" s="170" t="str">
        <f t="shared" si="126"/>
        <v>1.92904190807546i</v>
      </c>
      <c r="AO229" s="170" t="str">
        <f t="shared" si="127"/>
        <v>0.485481116616384-0.700156762488742i</v>
      </c>
      <c r="AP229" s="170" t="str">
        <f t="shared" si="128"/>
        <v>-0.0584386228438692-0.156085569922046i</v>
      </c>
      <c r="AQ229" s="170" t="str">
        <f t="shared" si="129"/>
        <v>1.05843862284387+0.156085569922046i</v>
      </c>
      <c r="AR229" s="170" t="str">
        <f t="shared" si="130"/>
        <v>0.770257723728501-0.113588179040548i</v>
      </c>
    </row>
    <row r="230" spans="7:44">
      <c r="G230" s="688">
        <v>13490</v>
      </c>
      <c r="H230" s="676">
        <f t="shared" si="122"/>
        <v>13.49</v>
      </c>
      <c r="I230" s="677">
        <f t="shared" si="102"/>
        <v>12.248300537098496</v>
      </c>
      <c r="J230" s="678">
        <f t="shared" si="103"/>
        <v>1.4890613710575296</v>
      </c>
      <c r="K230" s="678">
        <f t="shared" si="104"/>
        <v>1.0001738446191073</v>
      </c>
      <c r="L230" s="679">
        <f t="shared" si="105"/>
        <v>1.8645076448384756E-2</v>
      </c>
      <c r="M230" s="678">
        <f t="shared" si="106"/>
        <v>1.0145965734091853</v>
      </c>
      <c r="N230" s="679">
        <f t="shared" si="107"/>
        <v>-0.16983054625168495</v>
      </c>
      <c r="O230" s="677">
        <f t="shared" si="108"/>
        <v>559417.12000109383</v>
      </c>
      <c r="P230" s="680">
        <f t="shared" si="109"/>
        <v>1.5707945392200009</v>
      </c>
      <c r="Q230" s="689">
        <f t="shared" si="131"/>
        <v>22.585306321343246</v>
      </c>
      <c r="R230" s="690">
        <f t="shared" si="132"/>
        <v>1.5265052726825843</v>
      </c>
      <c r="S230" s="677">
        <f t="shared" si="110"/>
        <v>1.001161095763168</v>
      </c>
      <c r="T230" s="680">
        <f t="shared" si="111"/>
        <v>4.8165826523658674E-2</v>
      </c>
      <c r="U230" s="681">
        <f t="shared" si="123"/>
        <v>0.6611080153181107</v>
      </c>
      <c r="V230" s="682">
        <f t="shared" si="124"/>
        <v>-1.1156139951452588</v>
      </c>
      <c r="W230" s="683">
        <f t="shared" si="112"/>
        <v>-3.1459272871019301</v>
      </c>
      <c r="X230" s="684">
        <f t="shared" si="113"/>
        <v>-163.19648164191162</v>
      </c>
      <c r="Y230" s="687">
        <f t="shared" si="114"/>
        <v>16.803518358088382</v>
      </c>
      <c r="AA230" s="170">
        <f t="shared" si="115"/>
        <v>13490</v>
      </c>
      <c r="AB230" s="170">
        <f t="shared" si="116"/>
        <v>181980100</v>
      </c>
      <c r="AD230" s="686">
        <f t="shared" si="117"/>
        <v>17.217175445516176</v>
      </c>
      <c r="AE230" s="687">
        <f t="shared" si="118"/>
        <v>-5.2972866329419066</v>
      </c>
      <c r="AG230" s="686">
        <f t="shared" si="119"/>
        <v>44.555814866494046</v>
      </c>
      <c r="AH230" s="687">
        <f t="shared" si="120"/>
        <v>-30.059247887787983</v>
      </c>
      <c r="AJ230" s="170">
        <f t="shared" si="121"/>
        <v>0</v>
      </c>
      <c r="AK230" s="170">
        <f t="shared" si="133"/>
        <v>0</v>
      </c>
      <c r="AM230" s="170" t="str">
        <f t="shared" si="125"/>
        <v>1.36094729906762+0.932586214403682i</v>
      </c>
      <c r="AN230" s="170" t="str">
        <f t="shared" si="126"/>
        <v>1.94007979721081i</v>
      </c>
      <c r="AO230" s="170" t="str">
        <f t="shared" si="127"/>
        <v>0.480694771289527-0.701490372212633i</v>
      </c>
      <c r="AP230" s="170" t="str">
        <f t="shared" si="128"/>
        <v>-0.0601578831779368-0.155431035733947i</v>
      </c>
      <c r="AQ230" s="170" t="str">
        <f t="shared" si="129"/>
        <v>1.06015788317794+0.155431035733947i</v>
      </c>
      <c r="AR230" s="170" t="str">
        <f t="shared" si="130"/>
        <v>0.769198225353329-0.112773086677426i</v>
      </c>
    </row>
    <row r="231" spans="7:44">
      <c r="G231" s="688">
        <v>13568.5</v>
      </c>
      <c r="H231" s="676">
        <f t="shared" si="122"/>
        <v>13.5685</v>
      </c>
      <c r="I231" s="677">
        <f t="shared" si="102"/>
        <v>12.319101201037856</v>
      </c>
      <c r="J231" s="678">
        <f t="shared" si="103"/>
        <v>1.4895321601665372</v>
      </c>
      <c r="K231" s="678">
        <f t="shared" si="104"/>
        <v>1.0001758735747024</v>
      </c>
      <c r="L231" s="679">
        <f t="shared" si="105"/>
        <v>1.8753549120545051E-2</v>
      </c>
      <c r="M231" s="678">
        <f t="shared" si="106"/>
        <v>1.0147657066216844</v>
      </c>
      <c r="N231" s="679">
        <f t="shared" si="107"/>
        <v>-0.17079975673973571</v>
      </c>
      <c r="O231" s="677">
        <f t="shared" si="108"/>
        <v>562672.43830501859</v>
      </c>
      <c r="P231" s="680">
        <f t="shared" si="109"/>
        <v>1.570794549561942</v>
      </c>
      <c r="Q231" s="689">
        <f t="shared" si="131"/>
        <v>22.716476141196111</v>
      </c>
      <c r="R231" s="690">
        <f t="shared" si="132"/>
        <v>1.5267611846716016</v>
      </c>
      <c r="S231" s="677">
        <f t="shared" si="110"/>
        <v>1.001174640253522</v>
      </c>
      <c r="T231" s="680">
        <f t="shared" si="111"/>
        <v>4.8445672426680284E-2</v>
      </c>
      <c r="U231" s="681">
        <f t="shared" si="123"/>
        <v>0.65881119562003831</v>
      </c>
      <c r="V231" s="682">
        <f t="shared" si="124"/>
        <v>-1.1203867992693846</v>
      </c>
      <c r="W231" s="683">
        <f t="shared" si="112"/>
        <v>-3.2249704018168717</v>
      </c>
      <c r="X231" s="684">
        <f t="shared" si="113"/>
        <v>-163.54760595298183</v>
      </c>
      <c r="Y231" s="687">
        <f t="shared" si="114"/>
        <v>16.452394047018174</v>
      </c>
      <c r="AA231" s="170">
        <f t="shared" si="115"/>
        <v>13568.5</v>
      </c>
      <c r="AB231" s="170">
        <f t="shared" si="116"/>
        <v>184104192.25</v>
      </c>
      <c r="AD231" s="686">
        <f t="shared" si="117"/>
        <v>17.216959706168197</v>
      </c>
      <c r="AE231" s="687">
        <f t="shared" si="118"/>
        <v>-5.298658537752722</v>
      </c>
      <c r="AG231" s="686">
        <f t="shared" si="119"/>
        <v>44.537445562763516</v>
      </c>
      <c r="AH231" s="687">
        <f t="shared" si="120"/>
        <v>-29.862077227912341</v>
      </c>
      <c r="AJ231" s="170">
        <f t="shared" si="121"/>
        <v>0</v>
      </c>
      <c r="AK231" s="170">
        <f t="shared" si="133"/>
        <v>0</v>
      </c>
      <c r="AM231" s="170" t="str">
        <f t="shared" si="125"/>
        <v>1.37145256842836+0.928451931662577i</v>
      </c>
      <c r="AN231" s="170" t="str">
        <f t="shared" si="126"/>
        <v>1.95136936460007i</v>
      </c>
      <c r="AO231" s="170" t="str">
        <f t="shared" si="127"/>
        <v>0.475795074221052-0.702815465543315i</v>
      </c>
      <c r="AP231" s="170" t="str">
        <f t="shared" si="128"/>
        <v>-0.0619087614047273-0.15474198861043i</v>
      </c>
      <c r="AQ231" s="170" t="str">
        <f t="shared" si="129"/>
        <v>1.06190876140473+0.15474198861043i</v>
      </c>
      <c r="AR231" s="170" t="str">
        <f t="shared" si="130"/>
        <v>0.768125745041741-0.111931749327874i</v>
      </c>
    </row>
    <row r="232" spans="7:44">
      <c r="G232" s="688">
        <v>13647</v>
      </c>
      <c r="H232" s="676">
        <f t="shared" si="122"/>
        <v>13.647</v>
      </c>
      <c r="I232" s="677">
        <f t="shared" si="102"/>
        <v>12.389904564206335</v>
      </c>
      <c r="J232" s="678">
        <f t="shared" si="103"/>
        <v>1.489997568633729</v>
      </c>
      <c r="K232" s="678">
        <f t="shared" si="104"/>
        <v>1.0001779142986398</v>
      </c>
      <c r="L232" s="679">
        <f t="shared" si="105"/>
        <v>1.8862021351334853E-2</v>
      </c>
      <c r="M232" s="678">
        <f t="shared" si="106"/>
        <v>1.0149357927553744</v>
      </c>
      <c r="N232" s="679">
        <f t="shared" si="107"/>
        <v>-0.17176864329098837</v>
      </c>
      <c r="O232" s="677">
        <f t="shared" si="108"/>
        <v>565927.75660894345</v>
      </c>
      <c r="P232" s="680">
        <f t="shared" si="109"/>
        <v>1.5707945597849058</v>
      </c>
      <c r="Q232" s="689">
        <f t="shared" si="131"/>
        <v>22.847647431690195</v>
      </c>
      <c r="R232" s="690">
        <f t="shared" si="132"/>
        <v>1.5270141582295622</v>
      </c>
      <c r="S232" s="677">
        <f t="shared" si="110"/>
        <v>1.0011882631474709</v>
      </c>
      <c r="T232" s="680">
        <f t="shared" si="111"/>
        <v>4.8725510736043767E-2</v>
      </c>
      <c r="U232" s="681">
        <f t="shared" si="123"/>
        <v>0.65652134372758464</v>
      </c>
      <c r="V232" s="682">
        <f t="shared" si="124"/>
        <v>-1.125145144704661</v>
      </c>
      <c r="W232" s="683">
        <f t="shared" si="112"/>
        <v>-3.3037328645853603</v>
      </c>
      <c r="X232" s="684">
        <f t="shared" si="113"/>
        <v>-163.89774293700921</v>
      </c>
      <c r="Y232" s="687">
        <f t="shared" si="114"/>
        <v>16.102257062990788</v>
      </c>
      <c r="AA232" s="170">
        <f t="shared" si="115"/>
        <v>13647</v>
      </c>
      <c r="AB232" s="170">
        <f t="shared" si="116"/>
        <v>186240609</v>
      </c>
      <c r="AD232" s="686">
        <f t="shared" si="117"/>
        <v>17.216744976289156</v>
      </c>
      <c r="AE232" s="687">
        <f t="shared" si="118"/>
        <v>-5.3001983603602225</v>
      </c>
      <c r="AG232" s="686">
        <f t="shared" si="119"/>
        <v>44.519382674043548</v>
      </c>
      <c r="AH232" s="687">
        <f t="shared" si="120"/>
        <v>-29.665408166895816</v>
      </c>
      <c r="AJ232" s="170">
        <f t="shared" si="121"/>
        <v>0</v>
      </c>
      <c r="AK232" s="170">
        <f t="shared" si="133"/>
        <v>0</v>
      </c>
      <c r="AM232" s="170" t="str">
        <f t="shared" si="125"/>
        <v>1.38191049505302+0.924199314957741i</v>
      </c>
      <c r="AN232" s="170" t="str">
        <f t="shared" si="126"/>
        <v>1.96265893198932i</v>
      </c>
      <c r="AO232" s="170" t="str">
        <f t="shared" si="127"/>
        <v>0.470891452352848-0.70410119278969i</v>
      </c>
      <c r="AP232" s="170" t="str">
        <f t="shared" si="128"/>
        <v>-0.0636517491755033-0.154033219159624i</v>
      </c>
      <c r="AQ232" s="170" t="str">
        <f t="shared" si="129"/>
        <v>1.0636517491755+0.154033219159624i</v>
      </c>
      <c r="AR232" s="170" t="str">
        <f t="shared" si="130"/>
        <v>0.767064556732033-0.111082807947501i</v>
      </c>
    </row>
    <row r="233" spans="7:44">
      <c r="G233" s="688">
        <v>13725.5</v>
      </c>
      <c r="H233" s="676">
        <f t="shared" si="122"/>
        <v>13.7255</v>
      </c>
      <c r="I233" s="677">
        <f t="shared" si="102"/>
        <v>12.460710580591829</v>
      </c>
      <c r="J233" s="678">
        <f t="shared" si="103"/>
        <v>1.4904576879796838</v>
      </c>
      <c r="K233" s="678">
        <f t="shared" si="104"/>
        <v>1.0001799667908471</v>
      </c>
      <c r="L233" s="679">
        <f t="shared" si="105"/>
        <v>1.8970493138204259E-2</v>
      </c>
      <c r="M233" s="678">
        <f t="shared" si="106"/>
        <v>1.0151068313312552</v>
      </c>
      <c r="N233" s="679">
        <f t="shared" si="107"/>
        <v>-0.1727372042496664</v>
      </c>
      <c r="O233" s="677">
        <f t="shared" si="108"/>
        <v>569183.07491286856</v>
      </c>
      <c r="P233" s="680">
        <f t="shared" si="109"/>
        <v>1.5707945698909336</v>
      </c>
      <c r="Q233" s="689">
        <f t="shared" si="131"/>
        <v>22.978820167640674</v>
      </c>
      <c r="R233" s="690">
        <f t="shared" si="132"/>
        <v>1.5272642436451946</v>
      </c>
      <c r="S233" s="677">
        <f t="shared" si="110"/>
        <v>1.0012019644418142</v>
      </c>
      <c r="T233" s="680">
        <f t="shared" si="111"/>
        <v>4.9005341408232005E-2</v>
      </c>
      <c r="U233" s="681">
        <f t="shared" si="123"/>
        <v>0.65423848812460494</v>
      </c>
      <c r="V233" s="682">
        <f t="shared" si="124"/>
        <v>-1.1298891844155332</v>
      </c>
      <c r="W233" s="683">
        <f t="shared" si="112"/>
        <v>-3.3822173210939677</v>
      </c>
      <c r="X233" s="684">
        <f t="shared" si="113"/>
        <v>-164.2469036235226</v>
      </c>
      <c r="Y233" s="687">
        <f t="shared" si="114"/>
        <v>15.753096376477401</v>
      </c>
      <c r="AA233" s="170">
        <f t="shared" si="115"/>
        <v>13725.5</v>
      </c>
      <c r="AB233" s="170">
        <f t="shared" si="116"/>
        <v>188389350.25</v>
      </c>
      <c r="AD233" s="686">
        <f t="shared" si="117"/>
        <v>17.216531217487969</v>
      </c>
      <c r="AE233" s="687">
        <f t="shared" si="118"/>
        <v>-5.3019032170560951</v>
      </c>
      <c r="AG233" s="686">
        <f t="shared" si="119"/>
        <v>44.50162238074072</v>
      </c>
      <c r="AH233" s="687">
        <f t="shared" si="120"/>
        <v>-29.469237089541281</v>
      </c>
      <c r="AJ233" s="170">
        <f t="shared" si="121"/>
        <v>0</v>
      </c>
      <c r="AK233" s="170">
        <f t="shared" si="133"/>
        <v>0</v>
      </c>
      <c r="AM233" s="170" t="str">
        <f t="shared" si="125"/>
        <v>1.39231974604771+0.919828906297828i</v>
      </c>
      <c r="AN233" s="170" t="str">
        <f t="shared" si="126"/>
        <v>1.97394849937858i</v>
      </c>
      <c r="AO233" s="170" t="str">
        <f t="shared" si="127"/>
        <v>0.465984247606966-0.705347554146436i</v>
      </c>
      <c r="AP233" s="170" t="str">
        <f t="shared" si="128"/>
        <v>-0.0653866243412855-0.153304817716305i</v>
      </c>
      <c r="AQ233" s="170" t="str">
        <f t="shared" si="129"/>
        <v>1.06538662434129+0.153304817716305i</v>
      </c>
      <c r="AR233" s="170" t="str">
        <f t="shared" si="130"/>
        <v>0.766014649167169-0.110226403706917i</v>
      </c>
    </row>
    <row r="234" spans="7:44">
      <c r="G234" s="688">
        <v>13804</v>
      </c>
      <c r="H234" s="676">
        <f t="shared" si="122"/>
        <v>13.804</v>
      </c>
      <c r="I234" s="677">
        <f t="shared" si="102"/>
        <v>12.531519205220446</v>
      </c>
      <c r="J234" s="678">
        <f t="shared" si="103"/>
        <v>1.4909126076655295</v>
      </c>
      <c r="K234" s="678">
        <f t="shared" si="104"/>
        <v>1.0001820310512524</v>
      </c>
      <c r="L234" s="679">
        <f t="shared" si="105"/>
        <v>1.9078964478603425E-2</v>
      </c>
      <c r="M234" s="678">
        <f t="shared" si="106"/>
        <v>1.0152788218679685</v>
      </c>
      <c r="N234" s="679">
        <f t="shared" si="107"/>
        <v>-0.17370543796354937</v>
      </c>
      <c r="O234" s="677">
        <f t="shared" si="108"/>
        <v>572438.39321679354</v>
      </c>
      <c r="P234" s="680">
        <f t="shared" si="109"/>
        <v>1.5707945798820204</v>
      </c>
      <c r="Q234" s="689">
        <f t="shared" si="131"/>
        <v>23.109994324434243</v>
      </c>
      <c r="R234" s="690">
        <f t="shared" si="132"/>
        <v>1.5275114900669211</v>
      </c>
      <c r="S234" s="677">
        <f t="shared" si="110"/>
        <v>1.0012157441333336</v>
      </c>
      <c r="T234" s="680">
        <f t="shared" si="111"/>
        <v>4.9285164399735043E-2</v>
      </c>
      <c r="U234" s="681">
        <f t="shared" si="123"/>
        <v>0.65196265524455221</v>
      </c>
      <c r="V234" s="682">
        <f t="shared" si="124"/>
        <v>-1.1346190712060018</v>
      </c>
      <c r="W234" s="683">
        <f t="shared" si="112"/>
        <v>-3.4604263817954073</v>
      </c>
      <c r="X234" s="684">
        <f t="shared" si="113"/>
        <v>-164.59509898039647</v>
      </c>
      <c r="Y234" s="687">
        <f t="shared" si="114"/>
        <v>15.404901019603528</v>
      </c>
      <c r="AA234" s="170">
        <f t="shared" si="115"/>
        <v>13804</v>
      </c>
      <c r="AB234" s="170">
        <f t="shared" si="116"/>
        <v>190550416</v>
      </c>
      <c r="AD234" s="686">
        <f t="shared" si="117"/>
        <v>17.216318392461879</v>
      </c>
      <c r="AE234" s="687">
        <f t="shared" si="118"/>
        <v>-5.3037702894645387</v>
      </c>
      <c r="AG234" s="686">
        <f t="shared" si="119"/>
        <v>44.484160935849019</v>
      </c>
      <c r="AH234" s="687">
        <f t="shared" si="120"/>
        <v>-29.273560272050304</v>
      </c>
      <c r="AJ234" s="170">
        <f t="shared" si="121"/>
        <v>0</v>
      </c>
      <c r="AK234" s="170">
        <f t="shared" si="133"/>
        <v>0</v>
      </c>
      <c r="AM234" s="170" t="str">
        <f t="shared" si="125"/>
        <v>1.40267899472239+0.915341262704445i</v>
      </c>
      <c r="AN234" s="170" t="str">
        <f t="shared" si="126"/>
        <v>1.98523806676783i</v>
      </c>
      <c r="AO234" s="170" t="str">
        <f t="shared" si="127"/>
        <v>0.461073801690048-0.706554552928805i</v>
      </c>
      <c r="AP234" s="170" t="str">
        <f t="shared" si="128"/>
        <v>-0.0671131657870643-0.152556877117408i</v>
      </c>
      <c r="AQ234" s="170" t="str">
        <f t="shared" si="129"/>
        <v>1.06711316578706+0.152556877117408i</v>
      </c>
      <c r="AR234" s="170" t="str">
        <f t="shared" si="130"/>
        <v>0.764976009935459-0.109362675756525i</v>
      </c>
    </row>
    <row r="235" spans="7:44">
      <c r="G235" s="688">
        <v>13884.25</v>
      </c>
      <c r="H235" s="676">
        <f t="shared" si="122"/>
        <v>13.88425</v>
      </c>
      <c r="I235" s="677">
        <f t="shared" si="102"/>
        <v>12.603909016398648</v>
      </c>
      <c r="J235" s="678">
        <f t="shared" si="103"/>
        <v>1.491372385112806</v>
      </c>
      <c r="K235" s="678">
        <f t="shared" si="104"/>
        <v>1.0001841534947702</v>
      </c>
      <c r="L235" s="679">
        <f t="shared" si="105"/>
        <v>1.9189853505737018E-2</v>
      </c>
      <c r="M235" s="678">
        <f t="shared" si="106"/>
        <v>1.0154556301153554</v>
      </c>
      <c r="N235" s="679">
        <f t="shared" si="107"/>
        <v>-0.17469491651960528</v>
      </c>
      <c r="O235" s="677">
        <f t="shared" si="108"/>
        <v>575766.28231093334</v>
      </c>
      <c r="P235" s="680">
        <f t="shared" si="109"/>
        <v>1.5707945899790554</v>
      </c>
      <c r="Q235" s="689">
        <f t="shared" si="131"/>
        <v>23.244094189528109</v>
      </c>
      <c r="R235" s="690">
        <f t="shared" si="132"/>
        <v>1.5277613637390173</v>
      </c>
      <c r="S235" s="677">
        <f t="shared" si="110"/>
        <v>1.0012299120502755</v>
      </c>
      <c r="T235" s="680">
        <f t="shared" si="111"/>
        <v>4.9571217498670987E-2</v>
      </c>
      <c r="U235" s="681">
        <f t="shared" si="123"/>
        <v>0.64964337196885658</v>
      </c>
      <c r="V235" s="682">
        <f t="shared" si="124"/>
        <v>-1.1394399305701501</v>
      </c>
      <c r="W235" s="683">
        <f t="shared" si="112"/>
        <v>-3.5400969658517978</v>
      </c>
      <c r="X235" s="684">
        <f t="shared" si="113"/>
        <v>-164.95007016215035</v>
      </c>
      <c r="Y235" s="687">
        <f t="shared" si="114"/>
        <v>15.049929837849646</v>
      </c>
      <c r="AA235" s="170">
        <f t="shared" si="115"/>
        <v>13884.25</v>
      </c>
      <c r="AB235" s="170">
        <f t="shared" si="116"/>
        <v>192772398.0625</v>
      </c>
      <c r="AD235" s="686">
        <f t="shared" si="117"/>
        <v>17.216101750416009</v>
      </c>
      <c r="AE235" s="687">
        <f t="shared" si="118"/>
        <v>-5.3058437964475189</v>
      </c>
      <c r="AG235" s="686">
        <f t="shared" si="119"/>
        <v>44.466615311628544</v>
      </c>
      <c r="AH235" s="687">
        <f t="shared" si="120"/>
        <v>-29.074028155806364</v>
      </c>
      <c r="AJ235" s="170">
        <f t="shared" si="121"/>
        <v>0</v>
      </c>
      <c r="AK235" s="170">
        <f t="shared" si="133"/>
        <v>0</v>
      </c>
      <c r="AM235" s="170" t="str">
        <f t="shared" si="125"/>
        <v>1.41321612036473+0.910632987471199i</v>
      </c>
      <c r="AN235" s="170" t="str">
        <f t="shared" si="126"/>
        <v>1.99677931241099i</v>
      </c>
      <c r="AO235" s="170" t="str">
        <f t="shared" si="127"/>
        <v>0.456050892460251-0.707747777423814i</v>
      </c>
      <c r="AP235" s="170" t="str">
        <f t="shared" si="128"/>
        <v>-0.0688693533941217-0.151772164578533i</v>
      </c>
      <c r="AQ235" s="170" t="str">
        <f t="shared" si="129"/>
        <v>1.06886935339412+0.151772164578533i</v>
      </c>
      <c r="AR235" s="170" t="str">
        <f t="shared" si="130"/>
        <v>0.763925850185493-0.108472265101418i</v>
      </c>
    </row>
    <row r="236" spans="7:44">
      <c r="G236" s="688">
        <v>13964.5</v>
      </c>
      <c r="H236" s="676">
        <f t="shared" si="122"/>
        <v>13.964499999999999</v>
      </c>
      <c r="I236" s="677">
        <f t="shared" si="102"/>
        <v>12.676301461552715</v>
      </c>
      <c r="J236" s="678">
        <f t="shared" si="103"/>
        <v>1.4918269112159868</v>
      </c>
      <c r="K236" s="678">
        <f t="shared" si="104"/>
        <v>1.0001862882368766</v>
      </c>
      <c r="L236" s="679">
        <f t="shared" si="105"/>
        <v>1.9300742060883364E-2</v>
      </c>
      <c r="M236" s="678">
        <f t="shared" si="106"/>
        <v>1.0156334322159437</v>
      </c>
      <c r="N236" s="679">
        <f t="shared" si="107"/>
        <v>-0.17568404959722542</v>
      </c>
      <c r="O236" s="677">
        <f t="shared" si="108"/>
        <v>579094.17140507349</v>
      </c>
      <c r="P236" s="680">
        <f t="shared" si="109"/>
        <v>1.5707945999600408</v>
      </c>
      <c r="Q236" s="689">
        <f t="shared" si="131"/>
        <v>23.378195489260506</v>
      </c>
      <c r="R236" s="690">
        <f t="shared" si="132"/>
        <v>1.5280083707907486</v>
      </c>
      <c r="S236" s="677">
        <f t="shared" si="110"/>
        <v>1.0012441618919095</v>
      </c>
      <c r="T236" s="680">
        <f t="shared" si="111"/>
        <v>4.9857262478720021E-2</v>
      </c>
      <c r="U236" s="681">
        <f t="shared" si="123"/>
        <v>0.64733147752674836</v>
      </c>
      <c r="V236" s="682">
        <f t="shared" si="124"/>
        <v>-1.1442463213259912</v>
      </c>
      <c r="W236" s="683">
        <f t="shared" si="112"/>
        <v>-3.6194851471180529</v>
      </c>
      <c r="X236" s="684">
        <f t="shared" si="113"/>
        <v>-165.30405547986615</v>
      </c>
      <c r="Y236" s="687">
        <f t="shared" si="114"/>
        <v>14.69594452013385</v>
      </c>
      <c r="AA236" s="170">
        <f t="shared" si="115"/>
        <v>13964.5</v>
      </c>
      <c r="AB236" s="170">
        <f t="shared" si="116"/>
        <v>195007260.25</v>
      </c>
      <c r="AD236" s="686">
        <f t="shared" si="117"/>
        <v>17.215886008728521</v>
      </c>
      <c r="AE236" s="687">
        <f t="shared" si="118"/>
        <v>-5.3080810768519644</v>
      </c>
      <c r="AG236" s="686">
        <f t="shared" si="119"/>
        <v>44.449374315840586</v>
      </c>
      <c r="AH236" s="687">
        <f t="shared" si="120"/>
        <v>-28.875004382487578</v>
      </c>
      <c r="AJ236" s="170">
        <f t="shared" si="121"/>
        <v>0</v>
      </c>
      <c r="AK236" s="170">
        <f t="shared" si="133"/>
        <v>0</v>
      </c>
      <c r="AM236" s="170" t="str">
        <f t="shared" si="125"/>
        <v>1.42369820608574+0.905803416950788i</v>
      </c>
      <c r="AN236" s="170" t="str">
        <f t="shared" si="126"/>
        <v>2.00832055805414i</v>
      </c>
      <c r="AO236" s="170" t="str">
        <f t="shared" si="127"/>
        <v>0.451025317307124-0.708899881732605i</v>
      </c>
      <c r="AP236" s="170" t="str">
        <f t="shared" si="128"/>
        <v>-0.0706163676809573-0.150967236158465i</v>
      </c>
      <c r="AQ236" s="170" t="str">
        <f t="shared" si="129"/>
        <v>1.07061636768096+0.150967236158465i</v>
      </c>
      <c r="AR236" s="170" t="str">
        <f t="shared" si="130"/>
        <v>0.762887437071035-0.107574488258664i</v>
      </c>
    </row>
    <row r="237" spans="7:44">
      <c r="G237" s="688">
        <v>14044.75</v>
      </c>
      <c r="H237" s="676">
        <f t="shared" si="122"/>
        <v>14.044750000000001</v>
      </c>
      <c r="I237" s="677">
        <f t="shared" si="102"/>
        <v>12.74869649581219</v>
      </c>
      <c r="J237" s="678">
        <f t="shared" si="103"/>
        <v>1.4922762752468501</v>
      </c>
      <c r="K237" s="678">
        <f t="shared" si="104"/>
        <v>1.0001884352774926</v>
      </c>
      <c r="L237" s="679">
        <f t="shared" si="105"/>
        <v>1.9411630141318463E-2</v>
      </c>
      <c r="M237" s="678">
        <f t="shared" si="106"/>
        <v>1.0158122276478576</v>
      </c>
      <c r="N237" s="679">
        <f t="shared" si="107"/>
        <v>-0.1766728354428275</v>
      </c>
      <c r="O237" s="677">
        <f t="shared" si="108"/>
        <v>582422.06049921352</v>
      </c>
      <c r="P237" s="680">
        <f t="shared" si="109"/>
        <v>1.5707946098269658</v>
      </c>
      <c r="Q237" s="689">
        <f t="shared" si="131"/>
        <v>23.512298199084245</v>
      </c>
      <c r="R237" s="690">
        <f t="shared" si="132"/>
        <v>1.5282525602411365</v>
      </c>
      <c r="S237" s="677">
        <f t="shared" si="110"/>
        <v>1.0012584936547377</v>
      </c>
      <c r="T237" s="680">
        <f t="shared" si="111"/>
        <v>5.0143299293420394E-2</v>
      </c>
      <c r="U237" s="681">
        <f t="shared" si="123"/>
        <v>0.64502699381071094</v>
      </c>
      <c r="V237" s="682">
        <f t="shared" si="124"/>
        <v>-1.1490384061093206</v>
      </c>
      <c r="W237" s="683">
        <f t="shared" si="112"/>
        <v>-3.6985936067455496</v>
      </c>
      <c r="X237" s="684">
        <f t="shared" si="113"/>
        <v>-165.65706645533669</v>
      </c>
      <c r="Y237" s="687">
        <f t="shared" si="114"/>
        <v>14.34293354466331</v>
      </c>
      <c r="AA237" s="170">
        <f t="shared" si="115"/>
        <v>14044.75</v>
      </c>
      <c r="AB237" s="170">
        <f t="shared" si="116"/>
        <v>197255002.5625</v>
      </c>
      <c r="AD237" s="686">
        <f t="shared" si="117"/>
        <v>17.215671130839009</v>
      </c>
      <c r="AE237" s="687">
        <f t="shared" si="118"/>
        <v>-5.3104793195467046</v>
      </c>
      <c r="AG237" s="686">
        <f t="shared" si="119"/>
        <v>44.432434171602907</v>
      </c>
      <c r="AH237" s="687">
        <f t="shared" si="120"/>
        <v>-28.676484648328586</v>
      </c>
      <c r="AJ237" s="170">
        <f t="shared" si="121"/>
        <v>0</v>
      </c>
      <c r="AK237" s="170">
        <f t="shared" si="133"/>
        <v>0</v>
      </c>
      <c r="AM237" s="170" t="str">
        <f t="shared" si="125"/>
        <v>1.43412385568345+0.900853194436551i</v>
      </c>
      <c r="AN237" s="170" t="str">
        <f t="shared" si="126"/>
        <v>2.0198618036973i</v>
      </c>
      <c r="AO237" s="170" t="str">
        <f t="shared" si="127"/>
        <v>0.445997440412787-0.710010879486075i</v>
      </c>
      <c r="AP237" s="170" t="str">
        <f t="shared" si="128"/>
        <v>-0.072353975947241-0.150142199072758i</v>
      </c>
      <c r="AQ237" s="170" t="str">
        <f t="shared" si="129"/>
        <v>1.07235397594724+0.150142199072758i</v>
      </c>
      <c r="AR237" s="170" t="str">
        <f t="shared" si="130"/>
        <v>0.761860753916165-0.106669487450877i</v>
      </c>
    </row>
    <row r="238" spans="7:44">
      <c r="G238" s="688">
        <v>14125</v>
      </c>
      <c r="H238" s="676">
        <f t="shared" si="122"/>
        <v>14.125</v>
      </c>
      <c r="I238" s="677">
        <f t="shared" si="102"/>
        <v>12.821094075318484</v>
      </c>
      <c r="J238" s="678">
        <f t="shared" si="103"/>
        <v>1.492720564469239</v>
      </c>
      <c r="K238" s="678">
        <f t="shared" si="104"/>
        <v>1.0001905946165393</v>
      </c>
      <c r="L238" s="679">
        <f t="shared" si="105"/>
        <v>1.9522517744318384E-2</v>
      </c>
      <c r="M238" s="678">
        <f t="shared" si="106"/>
        <v>1.0159920158866746</v>
      </c>
      <c r="N238" s="679">
        <f t="shared" si="107"/>
        <v>-0.17766127230677617</v>
      </c>
      <c r="O238" s="677">
        <f t="shared" si="108"/>
        <v>585749.94959335355</v>
      </c>
      <c r="P238" s="680">
        <f t="shared" si="109"/>
        <v>1.5707946195817748</v>
      </c>
      <c r="Q238" s="689">
        <f t="shared" si="131"/>
        <v>23.646402295008734</v>
      </c>
      <c r="R238" s="690">
        <f t="shared" si="132"/>
        <v>1.5284939799985728</v>
      </c>
      <c r="S238" s="677">
        <f t="shared" si="110"/>
        <v>1.0012729073352429</v>
      </c>
      <c r="T238" s="680">
        <f t="shared" si="111"/>
        <v>5.0429327896318349E-2</v>
      </c>
      <c r="U238" s="681">
        <f t="shared" si="123"/>
        <v>0.64272994067138389</v>
      </c>
      <c r="V238" s="682">
        <f t="shared" si="124"/>
        <v>-1.1538163473175587</v>
      </c>
      <c r="W238" s="683">
        <f t="shared" si="112"/>
        <v>-3.7774249916009364</v>
      </c>
      <c r="X238" s="684">
        <f t="shared" si="113"/>
        <v>-166.00911454550914</v>
      </c>
      <c r="Y238" s="687">
        <f t="shared" si="114"/>
        <v>13.990885454490865</v>
      </c>
      <c r="AA238" s="170">
        <f t="shared" si="115"/>
        <v>14125</v>
      </c>
      <c r="AB238" s="170">
        <f t="shared" si="116"/>
        <v>199515625</v>
      </c>
      <c r="AD238" s="686">
        <f t="shared" si="117"/>
        <v>17.215457081222876</v>
      </c>
      <c r="AE238" s="687">
        <f t="shared" si="118"/>
        <v>-5.3130357770329191</v>
      </c>
      <c r="AG238" s="686">
        <f t="shared" si="119"/>
        <v>44.415791175426762</v>
      </c>
      <c r="AH238" s="687">
        <f t="shared" si="120"/>
        <v>-28.478464548401856</v>
      </c>
      <c r="AJ238" s="170">
        <f t="shared" si="121"/>
        <v>0</v>
      </c>
      <c r="AK238" s="170">
        <f t="shared" si="133"/>
        <v>0</v>
      </c>
      <c r="AM238" s="170" t="str">
        <f t="shared" si="125"/>
        <v>1.44449168047305+0.895782979292555i</v>
      </c>
      <c r="AN238" s="170" t="str">
        <f t="shared" si="126"/>
        <v>2.03140304934045i</v>
      </c>
      <c r="AO238" s="170" t="str">
        <f t="shared" si="127"/>
        <v>0.440967625594239-0.711080787705839i</v>
      </c>
      <c r="AP238" s="170" t="str">
        <f t="shared" si="128"/>
        <v>-0.074081946745508-0.149297163215426i</v>
      </c>
      <c r="AQ238" s="170" t="str">
        <f t="shared" si="129"/>
        <v>1.07408194674551+0.149297163215426i</v>
      </c>
      <c r="AR238" s="170" t="str">
        <f t="shared" si="130"/>
        <v>0.760845783000147-0.10575740276664i</v>
      </c>
    </row>
    <row r="239" spans="7:44">
      <c r="G239" s="688">
        <v>14207.25</v>
      </c>
      <c r="H239" s="676">
        <f t="shared" si="122"/>
        <v>14.20725</v>
      </c>
      <c r="I239" s="677">
        <f t="shared" si="102"/>
        <v>12.895298552203833</v>
      </c>
      <c r="J239" s="678">
        <f t="shared" si="103"/>
        <v>1.4931707494739188</v>
      </c>
      <c r="K239" s="678">
        <f t="shared" si="104"/>
        <v>1.0001928205328101</v>
      </c>
      <c r="L239" s="679">
        <f t="shared" si="105"/>
        <v>1.9636168403005638E-2</v>
      </c>
      <c r="M239" s="678">
        <f t="shared" si="106"/>
        <v>1.0161773145073796</v>
      </c>
      <c r="N239" s="679">
        <f t="shared" si="107"/>
        <v>-0.17867397914868796</v>
      </c>
      <c r="O239" s="677">
        <f t="shared" si="108"/>
        <v>589160.77673345373</v>
      </c>
      <c r="P239" s="680">
        <f t="shared" si="109"/>
        <v>1.5707946294653399</v>
      </c>
      <c r="Q239" s="689">
        <f t="shared" si="131"/>
        <v>23.78384996290287</v>
      </c>
      <c r="R239" s="690">
        <f t="shared" si="132"/>
        <v>1.5287385913457576</v>
      </c>
      <c r="S239" s="677">
        <f t="shared" si="110"/>
        <v>1.0012877652369576</v>
      </c>
      <c r="T239" s="680">
        <f t="shared" si="111"/>
        <v>5.0722476367985166E-2</v>
      </c>
      <c r="U239" s="681">
        <f t="shared" si="123"/>
        <v>0.64038336943570517</v>
      </c>
      <c r="V239" s="682">
        <f t="shared" si="124"/>
        <v>-1.1586988578958473</v>
      </c>
      <c r="W239" s="683">
        <f t="shared" si="112"/>
        <v>-3.8579362372011019</v>
      </c>
      <c r="X239" s="684">
        <f t="shared" si="113"/>
        <v>-166.36894915976544</v>
      </c>
      <c r="Y239" s="687">
        <f t="shared" si="114"/>
        <v>13.631050840234565</v>
      </c>
      <c r="AA239" s="170">
        <f t="shared" si="115"/>
        <v>14207.25</v>
      </c>
      <c r="AB239" s="170">
        <f t="shared" si="116"/>
        <v>201845952.5625</v>
      </c>
      <c r="AD239" s="686">
        <f t="shared" si="117"/>
        <v>17.215238520414641</v>
      </c>
      <c r="AE239" s="687">
        <f t="shared" si="118"/>
        <v>-5.3158173157051856</v>
      </c>
      <c r="AG239" s="686">
        <f t="shared" si="119"/>
        <v>44.399037949990081</v>
      </c>
      <c r="AH239" s="687">
        <f t="shared" si="120"/>
        <v>-28.27602312421876</v>
      </c>
      <c r="AJ239" s="170">
        <f t="shared" si="121"/>
        <v>0</v>
      </c>
      <c r="AK239" s="170">
        <f t="shared" si="133"/>
        <v>0</v>
      </c>
      <c r="AM239" s="170" t="str">
        <f t="shared" si="125"/>
        <v>1.45505644408785+0.89046259477539i</v>
      </c>
      <c r="AN239" s="170" t="str">
        <f t="shared" si="126"/>
        <v>2.04323192727378i</v>
      </c>
      <c r="AO239" s="170" t="str">
        <f t="shared" si="127"/>
        <v>0.435810826411423-0.71213474332759i</v>
      </c>
      <c r="AP239" s="170" t="str">
        <f t="shared" si="128"/>
        <v>-0.0758427406813087-0.148410432462565i</v>
      </c>
      <c r="AQ239" s="170" t="str">
        <f t="shared" si="129"/>
        <v>1.07584274068131+0.148410432462565i</v>
      </c>
      <c r="AR239" s="170" t="str">
        <f t="shared" si="130"/>
        <v>0.759817650988698-0.104815380456544i</v>
      </c>
    </row>
    <row r="240" spans="7:44">
      <c r="G240" s="688">
        <v>14289.5</v>
      </c>
      <c r="H240" s="676">
        <f t="shared" si="122"/>
        <v>14.2895</v>
      </c>
      <c r="I240" s="677">
        <f t="shared" si="102"/>
        <v>12.969505612628961</v>
      </c>
      <c r="J240" s="678">
        <f t="shared" si="103"/>
        <v>1.4936157829597165</v>
      </c>
      <c r="K240" s="678">
        <f t="shared" si="104"/>
        <v>1.000195059367986</v>
      </c>
      <c r="L240" s="679">
        <f t="shared" si="105"/>
        <v>1.9749818554369906E-2</v>
      </c>
      <c r="M240" s="678">
        <f t="shared" si="106"/>
        <v>1.016363654913655</v>
      </c>
      <c r="N240" s="679">
        <f t="shared" si="107"/>
        <v>-0.17968631568858029</v>
      </c>
      <c r="O240" s="677">
        <f t="shared" si="108"/>
        <v>592571.6038735538</v>
      </c>
      <c r="P240" s="680">
        <f t="shared" si="109"/>
        <v>1.5707946392351257</v>
      </c>
      <c r="Q240" s="689">
        <f t="shared" si="131"/>
        <v>23.921299037542983</v>
      </c>
      <c r="R240" s="690">
        <f t="shared" si="132"/>
        <v>1.5289803916890858</v>
      </c>
      <c r="S240" s="677">
        <f t="shared" si="110"/>
        <v>1.0013027091828064</v>
      </c>
      <c r="T240" s="680">
        <f t="shared" si="111"/>
        <v>5.1015616114651802E-2</v>
      </c>
      <c r="U240" s="681">
        <f t="shared" si="123"/>
        <v>0.63804463961654334</v>
      </c>
      <c r="V240" s="682">
        <f t="shared" si="124"/>
        <v>-1.1635668557477232</v>
      </c>
      <c r="W240" s="683">
        <f t="shared" si="112"/>
        <v>-3.9381619492873439</v>
      </c>
      <c r="X240" s="684">
        <f t="shared" si="113"/>
        <v>-166.72779646031495</v>
      </c>
      <c r="Y240" s="687">
        <f t="shared" si="114"/>
        <v>13.272203539685052</v>
      </c>
      <c r="AA240" s="170">
        <f t="shared" si="115"/>
        <v>14289.5</v>
      </c>
      <c r="AB240" s="170">
        <f t="shared" si="116"/>
        <v>204189810.25</v>
      </c>
      <c r="AD240" s="686">
        <f t="shared" si="117"/>
        <v>17.215020757301399</v>
      </c>
      <c r="AE240" s="687">
        <f t="shared" si="118"/>
        <v>-5.3187594066100523</v>
      </c>
      <c r="AG240" s="686">
        <f t="shared" si="119"/>
        <v>44.382589220995939</v>
      </c>
      <c r="AH240" s="687">
        <f t="shared" si="120"/>
        <v>-28.074096870043494</v>
      </c>
      <c r="AJ240" s="170">
        <f t="shared" si="121"/>
        <v>0</v>
      </c>
      <c r="AK240" s="170">
        <f t="shared" si="133"/>
        <v>0</v>
      </c>
      <c r="AM240" s="170" t="str">
        <f t="shared" si="125"/>
        <v>1.46555753587661+0.885017616089364i</v>
      </c>
      <c r="AN240" s="170" t="str">
        <f t="shared" si="126"/>
        <v>2.05506080520711i</v>
      </c>
      <c r="AO240" s="170" t="str">
        <f t="shared" si="127"/>
        <v>0.430652764067568-0.713145582925421i</v>
      </c>
      <c r="AP240" s="170" t="str">
        <f t="shared" si="128"/>
        <v>-0.0775929226461013-0.147502936014894i</v>
      </c>
      <c r="AQ240" s="170" t="str">
        <f t="shared" si="129"/>
        <v>1.0775929226461+0.147502936014894i</v>
      </c>
      <c r="AR240" s="170" t="str">
        <f t="shared" si="130"/>
        <v>0.758801781439988-0.103866207974798i</v>
      </c>
    </row>
    <row r="241" spans="7:44">
      <c r="G241" s="688">
        <v>14371.75</v>
      </c>
      <c r="H241" s="676">
        <f t="shared" si="122"/>
        <v>14.37175</v>
      </c>
      <c r="I241" s="677">
        <f t="shared" si="102"/>
        <v>13.04371521249978</v>
      </c>
      <c r="J241" s="678">
        <f t="shared" si="103"/>
        <v>1.4940557526744267</v>
      </c>
      <c r="K241" s="678">
        <f t="shared" si="104"/>
        <v>1.0001973111219806</v>
      </c>
      <c r="L241" s="679">
        <f t="shared" si="105"/>
        <v>1.9863468195478715E-2</v>
      </c>
      <c r="M241" s="678">
        <f t="shared" si="106"/>
        <v>1.0165510365326025</v>
      </c>
      <c r="N241" s="679">
        <f t="shared" si="107"/>
        <v>-0.18069828005572625</v>
      </c>
      <c r="O241" s="677">
        <f t="shared" si="108"/>
        <v>595982.43101365387</v>
      </c>
      <c r="P241" s="680">
        <f t="shared" si="109"/>
        <v>1.5707946488930862</v>
      </c>
      <c r="Q241" s="689">
        <f t="shared" si="131"/>
        <v>24.058749494818592</v>
      </c>
      <c r="R241" s="690">
        <f t="shared" si="132"/>
        <v>1.5292194291788217</v>
      </c>
      <c r="S241" s="677">
        <f t="shared" si="110"/>
        <v>1.0013177391689365</v>
      </c>
      <c r="T241" s="680">
        <f t="shared" si="111"/>
        <v>5.1308747086330507E-2</v>
      </c>
      <c r="U241" s="681">
        <f t="shared" si="123"/>
        <v>0.6357137662217992</v>
      </c>
      <c r="V241" s="682">
        <f t="shared" si="124"/>
        <v>-1.1684205148480276</v>
      </c>
      <c r="W241" s="683">
        <f t="shared" si="112"/>
        <v>-4.0181048718168055</v>
      </c>
      <c r="X241" s="684">
        <f t="shared" si="113"/>
        <v>-167.0856685741843</v>
      </c>
      <c r="Y241" s="687">
        <f t="shared" si="114"/>
        <v>12.914331425815703</v>
      </c>
      <c r="AA241" s="170">
        <f t="shared" si="115"/>
        <v>14371.75</v>
      </c>
      <c r="AB241" s="170">
        <f t="shared" si="116"/>
        <v>206547198.0625</v>
      </c>
      <c r="AD241" s="686">
        <f t="shared" si="117"/>
        <v>17.214803756798311</v>
      </c>
      <c r="AE241" s="687">
        <f t="shared" si="118"/>
        <v>-5.3218592881884579</v>
      </c>
      <c r="AG241" s="686">
        <f t="shared" si="119"/>
        <v>44.366441232029892</v>
      </c>
      <c r="AH241" s="687">
        <f t="shared" si="120"/>
        <v>-27.872680738413486</v>
      </c>
      <c r="AJ241" s="170">
        <f t="shared" si="121"/>
        <v>0</v>
      </c>
      <c r="AK241" s="170">
        <f t="shared" si="133"/>
        <v>0</v>
      </c>
      <c r="AM241" s="170" t="str">
        <f t="shared" si="125"/>
        <v>1.47599348651898+0.879448805099825i</v>
      </c>
      <c r="AN241" s="170" t="str">
        <f t="shared" si="126"/>
        <v>2.06688968314044i</v>
      </c>
      <c r="AO241" s="170" t="str">
        <f t="shared" si="127"/>
        <v>0.425493828854759-0.714113335877873i</v>
      </c>
      <c r="AP241" s="170" t="str">
        <f t="shared" si="128"/>
        <v>-0.0793322477531627-0.146574800849971i</v>
      </c>
      <c r="AQ241" s="170" t="str">
        <f t="shared" si="129"/>
        <v>1.07933224775316+0.146574800849971i</v>
      </c>
      <c r="AR241" s="170" t="str">
        <f t="shared" si="130"/>
        <v>0.757798152193026-0.102910029301349i</v>
      </c>
    </row>
    <row r="242" spans="7:44">
      <c r="G242" s="688">
        <v>14454</v>
      </c>
      <c r="H242" s="676">
        <f t="shared" si="122"/>
        <v>14.454000000000001</v>
      </c>
      <c r="I242" s="677">
        <f t="shared" si="102"/>
        <v>13.117927308718498</v>
      </c>
      <c r="J242" s="678">
        <f t="shared" si="103"/>
        <v>1.4944907443881241</v>
      </c>
      <c r="K242" s="678">
        <f t="shared" si="104"/>
        <v>1.0001995757947062</v>
      </c>
      <c r="L242" s="679">
        <f t="shared" si="105"/>
        <v>1.9977117323399664E-2</v>
      </c>
      <c r="M242" s="678">
        <f t="shared" si="106"/>
        <v>1.0167394587885463</v>
      </c>
      <c r="N242" s="679">
        <f t="shared" si="107"/>
        <v>-0.1817098703838233</v>
      </c>
      <c r="O242" s="677">
        <f t="shared" si="108"/>
        <v>599393.25815375417</v>
      </c>
      <c r="P242" s="680">
        <f t="shared" si="109"/>
        <v>1.5707946584411299</v>
      </c>
      <c r="Q242" s="689">
        <f t="shared" si="131"/>
        <v>24.196201311166849</v>
      </c>
      <c r="R242" s="690">
        <f t="shared" si="132"/>
        <v>1.5294557508723963</v>
      </c>
      <c r="S242" s="677">
        <f t="shared" si="110"/>
        <v>1.001332855191474</v>
      </c>
      <c r="T242" s="680">
        <f t="shared" si="111"/>
        <v>5.1601869233042545E-2</v>
      </c>
      <c r="U242" s="681">
        <f t="shared" si="123"/>
        <v>0.63339076221479396</v>
      </c>
      <c r="V242" s="682">
        <f t="shared" si="124"/>
        <v>-1.1732600088502376</v>
      </c>
      <c r="W242" s="683">
        <f t="shared" si="112"/>
        <v>-4.0977677150909351</v>
      </c>
      <c r="X242" s="684">
        <f t="shared" si="113"/>
        <v>-167.44257755953848</v>
      </c>
      <c r="Y242" s="687">
        <f t="shared" si="114"/>
        <v>12.557422440461522</v>
      </c>
      <c r="AA242" s="170">
        <f t="shared" si="115"/>
        <v>14454</v>
      </c>
      <c r="AB242" s="170">
        <f t="shared" si="116"/>
        <v>208918116</v>
      </c>
      <c r="AD242" s="686">
        <f t="shared" si="117"/>
        <v>17.214587484816494</v>
      </c>
      <c r="AE242" s="687">
        <f t="shared" si="118"/>
        <v>-5.3251142614939857</v>
      </c>
      <c r="AG242" s="686">
        <f t="shared" si="119"/>
        <v>44.35059030165155</v>
      </c>
      <c r="AH242" s="687">
        <f t="shared" si="120"/>
        <v>-27.671769587217433</v>
      </c>
      <c r="AJ242" s="170">
        <f t="shared" si="121"/>
        <v>0</v>
      </c>
      <c r="AK242" s="170">
        <f t="shared" si="133"/>
        <v>0</v>
      </c>
      <c r="AM242" s="170" t="str">
        <f t="shared" si="125"/>
        <v>1.4863628358092+0.873756940998829i</v>
      </c>
      <c r="AN242" s="170" t="str">
        <f t="shared" si="126"/>
        <v>2.07871856107376i</v>
      </c>
      <c r="AO242" s="170" t="str">
        <f t="shared" si="127"/>
        <v>0.420334410516588-0.715038035279495i</v>
      </c>
      <c r="AP242" s="170" t="str">
        <f t="shared" si="128"/>
        <v>-0.081060472634867-0.145626156833138i</v>
      </c>
      <c r="AQ242" s="170" t="str">
        <f t="shared" si="129"/>
        <v>1.08106047263487+0.145626156833138i</v>
      </c>
      <c r="AR242" s="170" t="str">
        <f t="shared" si="130"/>
        <v>0.756806740155552-0.101946986153005i</v>
      </c>
    </row>
    <row r="243" spans="7:44">
      <c r="G243" s="688">
        <v>14622.5</v>
      </c>
      <c r="H243" s="676">
        <f t="shared" si="122"/>
        <v>14.6225</v>
      </c>
      <c r="I243" s="677">
        <f t="shared" si="102"/>
        <v>13.269968219056603</v>
      </c>
      <c r="J243" s="678">
        <f t="shared" si="103"/>
        <v>1.4953666886052994</v>
      </c>
      <c r="K243" s="678">
        <f t="shared" si="104"/>
        <v>1.0002042556179835</v>
      </c>
      <c r="L243" s="679">
        <f t="shared" si="105"/>
        <v>2.0209940973580458E-2</v>
      </c>
      <c r="M243" s="678">
        <f t="shared" si="106"/>
        <v>1.0171287139148317</v>
      </c>
      <c r="N243" s="679">
        <f t="shared" si="107"/>
        <v>-0.18378107104537</v>
      </c>
      <c r="O243" s="677">
        <f t="shared" si="108"/>
        <v>606380.78852587461</v>
      </c>
      <c r="P243" s="680">
        <f t="shared" si="109"/>
        <v>1.570794677666133</v>
      </c>
      <c r="Q243" s="689">
        <f t="shared" si="131"/>
        <v>24.477793678251398</v>
      </c>
      <c r="R243" s="690">
        <f t="shared" si="132"/>
        <v>1.5299315990184654</v>
      </c>
      <c r="S243" s="677">
        <f t="shared" si="110"/>
        <v>1.0013640910171371</v>
      </c>
      <c r="T243" s="680">
        <f t="shared" si="111"/>
        <v>5.2202340937996285E-2</v>
      </c>
      <c r="U243" s="681">
        <f t="shared" si="123"/>
        <v>0.62865639967462927</v>
      </c>
      <c r="V243" s="682">
        <f t="shared" si="124"/>
        <v>-1.183130847978288</v>
      </c>
      <c r="W243" s="683">
        <f t="shared" si="112"/>
        <v>-4.2601042105788709</v>
      </c>
      <c r="X243" s="684">
        <f t="shared" si="113"/>
        <v>-168.17079563876217</v>
      </c>
      <c r="Y243" s="687">
        <f t="shared" si="114"/>
        <v>11.829204361237828</v>
      </c>
      <c r="AA243" s="170">
        <f t="shared" si="115"/>
        <v>14622.5</v>
      </c>
      <c r="AB243" s="170">
        <f t="shared" si="116"/>
        <v>213817506.25</v>
      </c>
      <c r="AD243" s="686">
        <f t="shared" si="117"/>
        <v>17.214146559487546</v>
      </c>
      <c r="AE243" s="687">
        <f t="shared" si="118"/>
        <v>-5.3322557669656847</v>
      </c>
      <c r="AG243" s="686">
        <f t="shared" si="119"/>
        <v>44.31903009350215</v>
      </c>
      <c r="AH243" s="687">
        <f t="shared" si="120"/>
        <v>-27.26173131509719</v>
      </c>
      <c r="AJ243" s="170">
        <f t="shared" si="121"/>
        <v>0</v>
      </c>
      <c r="AK243" s="170">
        <f t="shared" si="133"/>
        <v>0</v>
      </c>
      <c r="AM243" s="170" t="str">
        <f t="shared" si="125"/>
        <v>1.50739173464962+0.861715514313886i</v>
      </c>
      <c r="AN243" s="170" t="str">
        <f t="shared" si="126"/>
        <v>2.10295158152076i</v>
      </c>
      <c r="AO243" s="170" t="str">
        <f t="shared" si="127"/>
        <v>0.409764790538226-0.716798117415305i</v>
      </c>
      <c r="AP243" s="170" t="str">
        <f t="shared" si="128"/>
        <v>-0.0845652891082707-0.143619252385648i</v>
      </c>
      <c r="AQ243" s="170" t="str">
        <f t="shared" si="129"/>
        <v>1.08456528910827+0.143619252385648i</v>
      </c>
      <c r="AR243" s="170" t="str">
        <f t="shared" si="130"/>
        <v>0.754813751029973-0.0999532141605441i</v>
      </c>
    </row>
    <row r="244" spans="7:44">
      <c r="G244" s="688">
        <v>14706.75</v>
      </c>
      <c r="H244" s="676">
        <f t="shared" si="122"/>
        <v>14.70675</v>
      </c>
      <c r="I244" s="677">
        <f t="shared" si="102"/>
        <v>13.345992427138073</v>
      </c>
      <c r="J244" s="678">
        <f t="shared" si="103"/>
        <v>1.4957971763159597</v>
      </c>
      <c r="K244" s="678">
        <f t="shared" si="104"/>
        <v>1.0002066158612009</v>
      </c>
      <c r="L244" s="679">
        <f t="shared" si="105"/>
        <v>2.0326351978504374E-2</v>
      </c>
      <c r="M244" s="678">
        <f t="shared" si="106"/>
        <v>1.0173249767940271</v>
      </c>
      <c r="N244" s="679">
        <f t="shared" si="107"/>
        <v>-0.18481607478460113</v>
      </c>
      <c r="O244" s="677">
        <f t="shared" si="108"/>
        <v>609874.55371193483</v>
      </c>
      <c r="P244" s="680">
        <f t="shared" si="109"/>
        <v>1.5707946871134344</v>
      </c>
      <c r="Q244" s="689">
        <f t="shared" si="131"/>
        <v>24.618591904586346</v>
      </c>
      <c r="R244" s="690">
        <f t="shared" si="132"/>
        <v>1.5301654409305228</v>
      </c>
      <c r="S244" s="677">
        <f t="shared" si="110"/>
        <v>1.0013798443204127</v>
      </c>
      <c r="T244" s="680">
        <f t="shared" si="111"/>
        <v>5.2502562688560087E-2</v>
      </c>
      <c r="U244" s="681">
        <f t="shared" si="123"/>
        <v>0.62630164287479428</v>
      </c>
      <c r="V244" s="682">
        <f t="shared" si="124"/>
        <v>-1.188044711130553</v>
      </c>
      <c r="W244" s="683">
        <f t="shared" si="112"/>
        <v>-4.3408429478368333</v>
      </c>
      <c r="X244" s="684">
        <f t="shared" si="113"/>
        <v>-168.53343970050813</v>
      </c>
      <c r="Y244" s="687">
        <f t="shared" si="114"/>
        <v>11.466560299491874</v>
      </c>
      <c r="AA244" s="170">
        <f t="shared" si="115"/>
        <v>14706.75</v>
      </c>
      <c r="AB244" s="170">
        <f t="shared" si="116"/>
        <v>216288495.5625</v>
      </c>
      <c r="AD244" s="686">
        <f t="shared" si="117"/>
        <v>17.213927105776897</v>
      </c>
      <c r="AE244" s="687">
        <f t="shared" si="118"/>
        <v>-5.3360595928517007</v>
      </c>
      <c r="AG244" s="686">
        <f t="shared" si="119"/>
        <v>44.303702413172914</v>
      </c>
      <c r="AH244" s="687">
        <f t="shared" si="120"/>
        <v>-27.057484310854434</v>
      </c>
      <c r="AJ244" s="170">
        <f t="shared" si="121"/>
        <v>0</v>
      </c>
      <c r="AK244" s="170">
        <f t="shared" si="133"/>
        <v>0</v>
      </c>
      <c r="AM244" s="170" t="str">
        <f t="shared" si="125"/>
        <v>1.51779521942829+0.85550459422332i</v>
      </c>
      <c r="AN244" s="170" t="str">
        <f t="shared" si="126"/>
        <v>2.11506809174426i</v>
      </c>
      <c r="AO244" s="170" t="str">
        <f t="shared" si="127"/>
        <v>0.404480875846319-0.717610570247216i</v>
      </c>
      <c r="AP244" s="170" t="str">
        <f t="shared" si="128"/>
        <v>-0.0862992032380487-0.14258409903722i</v>
      </c>
      <c r="AQ244" s="170" t="str">
        <f t="shared" si="129"/>
        <v>1.08629920323805+0.14258409903722i</v>
      </c>
      <c r="AR244" s="170" t="str">
        <f t="shared" si="130"/>
        <v>0.753836379101231-0.0989461104410615i</v>
      </c>
    </row>
    <row r="245" spans="7:44">
      <c r="G245" s="688">
        <v>14791</v>
      </c>
      <c r="H245" s="676">
        <f t="shared" si="122"/>
        <v>14.791</v>
      </c>
      <c r="I245" s="677">
        <f t="shared" si="102"/>
        <v>13.42201908047622</v>
      </c>
      <c r="J245" s="678">
        <f t="shared" si="103"/>
        <v>1.4962227872617442</v>
      </c>
      <c r="K245" s="678">
        <f t="shared" si="104"/>
        <v>1.0002089896586761</v>
      </c>
      <c r="L245" s="679">
        <f t="shared" si="105"/>
        <v>2.0442762432449E-2</v>
      </c>
      <c r="M245" s="678">
        <f t="shared" si="106"/>
        <v>1.0175223290439592</v>
      </c>
      <c r="N245" s="679">
        <f t="shared" si="107"/>
        <v>-0.18585067814610667</v>
      </c>
      <c r="O245" s="677">
        <f t="shared" si="108"/>
        <v>613368.31889799517</v>
      </c>
      <c r="P245" s="680">
        <f t="shared" si="109"/>
        <v>1.5707946964531114</v>
      </c>
      <c r="Q245" s="689">
        <f t="shared" si="131"/>
        <v>24.759391461805368</v>
      </c>
      <c r="R245" s="690">
        <f t="shared" si="132"/>
        <v>1.5303966232713455</v>
      </c>
      <c r="S245" s="677">
        <f t="shared" si="110"/>
        <v>1.0013956878783132</v>
      </c>
      <c r="T245" s="680">
        <f t="shared" si="111"/>
        <v>5.2802774966279775E-2</v>
      </c>
      <c r="U245" s="681">
        <f t="shared" si="123"/>
        <v>0.62395517714018345</v>
      </c>
      <c r="V245" s="682">
        <f t="shared" si="124"/>
        <v>-1.1929444502709232</v>
      </c>
      <c r="W245" s="683">
        <f t="shared" si="112"/>
        <v>-4.4212990576545836</v>
      </c>
      <c r="X245" s="684">
        <f t="shared" si="113"/>
        <v>-168.89512402283813</v>
      </c>
      <c r="Y245" s="687">
        <f t="shared" si="114"/>
        <v>11.104875977161868</v>
      </c>
      <c r="AA245" s="170">
        <f t="shared" si="115"/>
        <v>14791</v>
      </c>
      <c r="AB245" s="170">
        <f t="shared" si="116"/>
        <v>218773681</v>
      </c>
      <c r="AD245" s="686">
        <f t="shared" si="117"/>
        <v>17.213708280854291</v>
      </c>
      <c r="AE245" s="687">
        <f t="shared" si="118"/>
        <v>-5.3400152520245525</v>
      </c>
      <c r="AG245" s="686">
        <f t="shared" si="119"/>
        <v>44.288671463532424</v>
      </c>
      <c r="AH245" s="687">
        <f t="shared" si="120"/>
        <v>-26.853744226453465</v>
      </c>
      <c r="AJ245" s="170">
        <f t="shared" si="121"/>
        <v>0</v>
      </c>
      <c r="AK245" s="170">
        <f t="shared" si="133"/>
        <v>0</v>
      </c>
      <c r="AM245" s="170" t="str">
        <f t="shared" si="125"/>
        <v>1.528122687714+0.849168079193829i</v>
      </c>
      <c r="AN245" s="170" t="str">
        <f t="shared" si="126"/>
        <v>2.12718460196776i</v>
      </c>
      <c r="AO245" s="170" t="str">
        <f t="shared" si="127"/>
        <v>0.399198113040261-0.718378031836261i</v>
      </c>
      <c r="AP245" s="170" t="str">
        <f t="shared" si="128"/>
        <v>-0.088020447952334-0.141528013198971i</v>
      </c>
      <c r="AQ245" s="170" t="str">
        <f t="shared" si="129"/>
        <v>1.08802044795233+0.141528013198971i</v>
      </c>
      <c r="AR245" s="170" t="str">
        <f t="shared" si="130"/>
        <v>0.752871718106755-0.0979323859748021i</v>
      </c>
    </row>
    <row r="246" spans="7:44">
      <c r="G246" s="688">
        <v>14877.25</v>
      </c>
      <c r="H246" s="676">
        <f t="shared" si="122"/>
        <v>14.87725</v>
      </c>
      <c r="I246" s="677">
        <f t="shared" si="102"/>
        <v>13.4998530107204</v>
      </c>
      <c r="J246" s="678">
        <f t="shared" si="103"/>
        <v>1.4966535358049264</v>
      </c>
      <c r="K246" s="678">
        <f t="shared" si="104"/>
        <v>1.0002114338480472</v>
      </c>
      <c r="L246" s="679">
        <f t="shared" si="105"/>
        <v>2.0561935765262249E-2</v>
      </c>
      <c r="M246" s="678">
        <f t="shared" si="106"/>
        <v>1.0177254940204086</v>
      </c>
      <c r="N246" s="679">
        <f t="shared" si="107"/>
        <v>-0.1869094250088455</v>
      </c>
      <c r="O246" s="677">
        <f t="shared" si="108"/>
        <v>616945.02213001554</v>
      </c>
      <c r="P246" s="680">
        <f t="shared" si="109"/>
        <v>1.5707947059049241</v>
      </c>
      <c r="Q246" s="689">
        <f t="shared" si="131"/>
        <v>24.903534796828442</v>
      </c>
      <c r="R246" s="690">
        <f t="shared" si="132"/>
        <v>1.5306305856700413</v>
      </c>
      <c r="S246" s="677">
        <f t="shared" si="110"/>
        <v>1.0014120010338103</v>
      </c>
      <c r="T246" s="680">
        <f t="shared" si="111"/>
        <v>5.3110104076099382E-2</v>
      </c>
      <c r="U246" s="681">
        <f t="shared" si="123"/>
        <v>0.62156160130858196</v>
      </c>
      <c r="V246" s="682">
        <f t="shared" si="124"/>
        <v>-1.197946065587141</v>
      </c>
      <c r="W246" s="683">
        <f t="shared" si="112"/>
        <v>-4.5033751991571878</v>
      </c>
      <c r="X246" s="684">
        <f t="shared" si="113"/>
        <v>-169.26441328744318</v>
      </c>
      <c r="Y246" s="687">
        <f t="shared" si="114"/>
        <v>10.735586712556824</v>
      </c>
      <c r="AA246" s="170">
        <f t="shared" si="115"/>
        <v>14877.25</v>
      </c>
      <c r="AB246" s="170">
        <f t="shared" si="116"/>
        <v>221332567.5625</v>
      </c>
      <c r="AD246" s="686">
        <f t="shared" si="117"/>
        <v>17.213484879512823</v>
      </c>
      <c r="AE246" s="687">
        <f t="shared" si="118"/>
        <v>-5.3442193964824733</v>
      </c>
      <c r="AG246" s="686">
        <f t="shared" si="119"/>
        <v>44.273587349751161</v>
      </c>
      <c r="AH246" s="687">
        <f t="shared" si="120"/>
        <v>-26.645686449211151</v>
      </c>
      <c r="AJ246" s="170">
        <f t="shared" si="121"/>
        <v>0</v>
      </c>
      <c r="AK246" s="170">
        <f t="shared" si="133"/>
        <v>0</v>
      </c>
      <c r="AM246" s="170" t="str">
        <f t="shared" si="125"/>
        <v>1.53861499079324+0.842552011268619i</v>
      </c>
      <c r="AN246" s="170" t="str">
        <f t="shared" si="126"/>
        <v>2.13958874448144i</v>
      </c>
      <c r="AO246" s="170" t="str">
        <f t="shared" si="127"/>
        <v>0.39379157019861-0.719117164343723i</v>
      </c>
      <c r="AP246" s="170" t="str">
        <f t="shared" si="128"/>
        <v>-0.0897691651322072-0.140425335211436i</v>
      </c>
      <c r="AQ246" s="170" t="str">
        <f t="shared" si="129"/>
        <v>1.08976916513221+0.140425335211436i</v>
      </c>
      <c r="AR246" s="170" t="str">
        <f t="shared" si="130"/>
        <v>0.751897293930085-0.0968878849970895i</v>
      </c>
    </row>
    <row r="247" spans="7:44">
      <c r="G247" s="688">
        <v>14963.5</v>
      </c>
      <c r="H247" s="676">
        <f t="shared" si="122"/>
        <v>14.9635</v>
      </c>
      <c r="I247" s="677">
        <f t="shared" si="102"/>
        <v>13.577689417067479</v>
      </c>
      <c r="J247" s="678">
        <f t="shared" si="103"/>
        <v>1.4970793457482687</v>
      </c>
      <c r="K247" s="678">
        <f t="shared" si="104"/>
        <v>1.0002138922426349</v>
      </c>
      <c r="L247" s="679">
        <f t="shared" si="105"/>
        <v>2.0681108513943166E-2</v>
      </c>
      <c r="M247" s="678">
        <f t="shared" si="106"/>
        <v>1.0179297993549523</v>
      </c>
      <c r="N247" s="679">
        <f t="shared" si="107"/>
        <v>-0.1879677480623248</v>
      </c>
      <c r="O247" s="677">
        <f t="shared" si="108"/>
        <v>620521.7253620358</v>
      </c>
      <c r="P247" s="680">
        <f t="shared" si="109"/>
        <v>1.5707947152477757</v>
      </c>
      <c r="Q247" s="689">
        <f t="shared" si="131"/>
        <v>25.047679479341685</v>
      </c>
      <c r="R247" s="690">
        <f t="shared" si="132"/>
        <v>1.5308618552621096</v>
      </c>
      <c r="S247" s="677">
        <f t="shared" si="110"/>
        <v>1.0014284087707674</v>
      </c>
      <c r="T247" s="680">
        <f t="shared" si="111"/>
        <v>5.3417423144179639E-2</v>
      </c>
      <c r="U247" s="681">
        <f t="shared" si="123"/>
        <v>0.61917672033900506</v>
      </c>
      <c r="V247" s="682">
        <f t="shared" si="124"/>
        <v>-1.2029332695845638</v>
      </c>
      <c r="W247" s="683">
        <f t="shared" si="112"/>
        <v>-4.5851609226961481</v>
      </c>
      <c r="X247" s="684">
        <f t="shared" si="113"/>
        <v>-169.63272333922436</v>
      </c>
      <c r="Y247" s="687">
        <f t="shared" si="114"/>
        <v>10.367276660775644</v>
      </c>
      <c r="AA247" s="170">
        <f t="shared" si="115"/>
        <v>14963.5</v>
      </c>
      <c r="AB247" s="170">
        <f t="shared" si="116"/>
        <v>223906332.25</v>
      </c>
      <c r="AD247" s="686">
        <f t="shared" si="117"/>
        <v>17.213262070853041</v>
      </c>
      <c r="AE247" s="687">
        <f t="shared" si="118"/>
        <v>-5.3485772458030958</v>
      </c>
      <c r="AG247" s="686">
        <f t="shared" si="119"/>
        <v>44.258806730708642</v>
      </c>
      <c r="AH247" s="687">
        <f t="shared" si="120"/>
        <v>-26.438147169772495</v>
      </c>
      <c r="AJ247" s="170">
        <f t="shared" si="121"/>
        <v>0</v>
      </c>
      <c r="AK247" s="170">
        <f t="shared" si="133"/>
        <v>0</v>
      </c>
      <c r="AM247" s="170" t="str">
        <f t="shared" si="125"/>
        <v>1.54902442215057+0.835806307634867i</v>
      </c>
      <c r="AN247" s="170" t="str">
        <f t="shared" si="126"/>
        <v>2.15199288699511i</v>
      </c>
      <c r="AO247" s="170" t="str">
        <f t="shared" si="127"/>
        <v>0.388387114421148-0.719809266801768i</v>
      </c>
      <c r="AP247" s="170" t="str">
        <f t="shared" si="128"/>
        <v>-0.0915040703584288-0.139301051272478i</v>
      </c>
      <c r="AQ247" s="170" t="str">
        <f t="shared" si="129"/>
        <v>1.09150407035843+0.139301051272478i</v>
      </c>
      <c r="AR247" s="170" t="str">
        <f t="shared" si="130"/>
        <v>0.750936128939295-0.095836740366326i</v>
      </c>
    </row>
    <row r="248" spans="7:44">
      <c r="G248" s="688">
        <v>15049.75</v>
      </c>
      <c r="H248" s="676">
        <f t="shared" si="122"/>
        <v>15.04975</v>
      </c>
      <c r="I248" s="677">
        <f t="shared" si="102"/>
        <v>13.65552825717616</v>
      </c>
      <c r="J248" s="678">
        <f t="shared" si="103"/>
        <v>1.4975003013886095</v>
      </c>
      <c r="K248" s="678">
        <f t="shared" si="104"/>
        <v>1.0002163648423346</v>
      </c>
      <c r="L248" s="679">
        <f t="shared" si="105"/>
        <v>2.0800280675111055E-2</v>
      </c>
      <c r="M248" s="678">
        <f t="shared" si="106"/>
        <v>1.0181352443610958</v>
      </c>
      <c r="N248" s="679">
        <f t="shared" si="107"/>
        <v>-0.18902564519164919</v>
      </c>
      <c r="O248" s="677">
        <f t="shared" si="108"/>
        <v>624098.42859405617</v>
      </c>
      <c r="P248" s="680">
        <f t="shared" si="109"/>
        <v>1.5707947244835396</v>
      </c>
      <c r="Q248" s="689">
        <f t="shared" si="131"/>
        <v>25.191825486214547</v>
      </c>
      <c r="R248" s="690">
        <f t="shared" si="132"/>
        <v>1.5310904782467958</v>
      </c>
      <c r="S248" s="677">
        <f t="shared" si="110"/>
        <v>1.001444911084536</v>
      </c>
      <c r="T248" s="680">
        <f t="shared" si="111"/>
        <v>5.372473211296603E-2</v>
      </c>
      <c r="U248" s="681">
        <f t="shared" si="123"/>
        <v>0.61680053391408252</v>
      </c>
      <c r="V248" s="682">
        <f t="shared" si="124"/>
        <v>-1.2079062594625729</v>
      </c>
      <c r="W248" s="683">
        <f t="shared" si="112"/>
        <v>-4.6666591062944942</v>
      </c>
      <c r="X248" s="684">
        <f t="shared" si="113"/>
        <v>-170.00006753553404</v>
      </c>
      <c r="Y248" s="687">
        <f t="shared" si="114"/>
        <v>9.9999324644659566</v>
      </c>
      <c r="AA248" s="170">
        <f t="shared" si="115"/>
        <v>15049.75</v>
      </c>
      <c r="AB248" s="170">
        <f t="shared" si="116"/>
        <v>226494975.0625</v>
      </c>
      <c r="AD248" s="686">
        <f t="shared" si="117"/>
        <v>17.213039822751423</v>
      </c>
      <c r="AE248" s="687">
        <f t="shared" si="118"/>
        <v>-5.3530861497743176</v>
      </c>
      <c r="AG248" s="686">
        <f t="shared" si="119"/>
        <v>44.244325935344023</v>
      </c>
      <c r="AH248" s="687">
        <f t="shared" si="120"/>
        <v>-26.231119798317401</v>
      </c>
      <c r="AJ248" s="170">
        <f t="shared" si="121"/>
        <v>0</v>
      </c>
      <c r="AK248" s="170">
        <f t="shared" si="133"/>
        <v>0</v>
      </c>
      <c r="AM248" s="170" t="str">
        <f t="shared" si="125"/>
        <v>1.55934938018279+0.828932006191782i</v>
      </c>
      <c r="AN248" s="170" t="str">
        <f t="shared" si="126"/>
        <v>2.16439702950878i</v>
      </c>
      <c r="AO248" s="170" t="str">
        <f t="shared" si="127"/>
        <v>0.382985189357755-0.720454407820312i</v>
      </c>
      <c r="AP248" s="170" t="str">
        <f t="shared" si="128"/>
        <v>-0.093224896697131-0.138155334365297i</v>
      </c>
      <c r="AQ248" s="170" t="str">
        <f t="shared" si="129"/>
        <v>1.09322489669713+0.138155334365297i</v>
      </c>
      <c r="AR248" s="170" t="str">
        <f t="shared" si="130"/>
        <v>0.749988190491915-0.0947790976408217i</v>
      </c>
    </row>
    <row r="249" spans="7:44">
      <c r="G249" s="688">
        <v>15136</v>
      </c>
      <c r="H249" s="676">
        <f t="shared" si="122"/>
        <v>15.135999999999999</v>
      </c>
      <c r="I249" s="677">
        <f t="shared" si="102"/>
        <v>13.733369489663763</v>
      </c>
      <c r="J249" s="678">
        <f t="shared" si="103"/>
        <v>1.4979164851185676</v>
      </c>
      <c r="K249" s="678">
        <f t="shared" si="104"/>
        <v>1.0002188516470405</v>
      </c>
      <c r="L249" s="679">
        <f t="shared" si="105"/>
        <v>2.0919452245385318E-2</v>
      </c>
      <c r="M249" s="678">
        <f t="shared" si="106"/>
        <v>1.0183418283490713</v>
      </c>
      <c r="N249" s="679">
        <f t="shared" si="107"/>
        <v>-0.19008311428743863</v>
      </c>
      <c r="O249" s="677">
        <f t="shared" si="108"/>
        <v>627675.13182607654</v>
      </c>
      <c r="P249" s="680">
        <f t="shared" si="109"/>
        <v>1.5707947336140466</v>
      </c>
      <c r="Q249" s="689">
        <f t="shared" si="131"/>
        <v>25.335972794842672</v>
      </c>
      <c r="R249" s="690">
        <f t="shared" si="132"/>
        <v>1.5313164997730768</v>
      </c>
      <c r="S249" s="677">
        <f t="shared" si="110"/>
        <v>1.0014615079704403</v>
      </c>
      <c r="T249" s="680">
        <f t="shared" si="111"/>
        <v>5.4032030924915486E-2</v>
      </c>
      <c r="U249" s="681">
        <f t="shared" si="123"/>
        <v>0.61443303971081109</v>
      </c>
      <c r="V249" s="682">
        <f t="shared" si="124"/>
        <v>-1.212865231929549</v>
      </c>
      <c r="W249" s="683">
        <f t="shared" si="112"/>
        <v>-4.7478725959698993</v>
      </c>
      <c r="X249" s="684">
        <f t="shared" si="113"/>
        <v>-170.36645915697881</v>
      </c>
      <c r="Y249" s="687">
        <f t="shared" si="114"/>
        <v>9.6335408430211942</v>
      </c>
      <c r="AA249" s="170">
        <f t="shared" si="115"/>
        <v>15136</v>
      </c>
      <c r="AB249" s="170">
        <f t="shared" si="116"/>
        <v>229098496</v>
      </c>
      <c r="AD249" s="686">
        <f t="shared" si="117"/>
        <v>17.212818103998405</v>
      </c>
      <c r="AE249" s="687">
        <f t="shared" si="118"/>
        <v>-5.3577435183582232</v>
      </c>
      <c r="AG249" s="686">
        <f t="shared" si="119"/>
        <v>44.230141370310619</v>
      </c>
      <c r="AH249" s="687">
        <f t="shared" si="120"/>
        <v>-26.024597664370308</v>
      </c>
      <c r="AJ249" s="170">
        <f t="shared" si="121"/>
        <v>0</v>
      </c>
      <c r="AK249" s="170">
        <f t="shared" si="133"/>
        <v>0</v>
      </c>
      <c r="AM249" s="170" t="str">
        <f t="shared" si="125"/>
        <v>1.5695882762838+0.821930164624738i</v>
      </c>
      <c r="AN249" s="170" t="str">
        <f t="shared" si="126"/>
        <v>2.17680117202245i</v>
      </c>
      <c r="AO249" s="170" t="str">
        <f t="shared" si="127"/>
        <v>0.377586237635608-0.721052660416159i</v>
      </c>
      <c r="AP249" s="170" t="str">
        <f t="shared" si="128"/>
        <v>-0.0949313793806335-0.13698836077079i</v>
      </c>
      <c r="AQ249" s="170" t="str">
        <f t="shared" si="129"/>
        <v>1.09493137938063+0.13698836077079i</v>
      </c>
      <c r="AR249" s="170" t="str">
        <f t="shared" si="130"/>
        <v>0.749053445293889-0.0937150998983761i</v>
      </c>
    </row>
    <row r="250" spans="7:44">
      <c r="G250" s="688">
        <v>15224</v>
      </c>
      <c r="H250" s="676">
        <f t="shared" si="122"/>
        <v>15.224</v>
      </c>
      <c r="I250" s="677">
        <f t="shared" si="102"/>
        <v>13.812792533192507</v>
      </c>
      <c r="J250" s="678">
        <f t="shared" si="103"/>
        <v>1.4983362785929255</v>
      </c>
      <c r="K250" s="678">
        <f t="shared" si="104"/>
        <v>1.0002214035488002</v>
      </c>
      <c r="L250" s="679">
        <f t="shared" si="105"/>
        <v>2.1041041177042589E-2</v>
      </c>
      <c r="M250" s="678">
        <f t="shared" si="106"/>
        <v>1.0185537770580531</v>
      </c>
      <c r="N250" s="679">
        <f t="shared" si="107"/>
        <v>-0.19116159594623358</v>
      </c>
      <c r="O250" s="677">
        <f t="shared" si="108"/>
        <v>631324.40584831196</v>
      </c>
      <c r="P250" s="680">
        <f t="shared" si="109"/>
        <v>1.5707947428231845</v>
      </c>
      <c r="Q250" s="689">
        <f t="shared" si="131"/>
        <v>25.48304615019244</v>
      </c>
      <c r="R250" s="690">
        <f t="shared" si="132"/>
        <v>1.5315444718574989</v>
      </c>
      <c r="S250" s="677">
        <f t="shared" si="110"/>
        <v>1.0014785390697605</v>
      </c>
      <c r="T250" s="680">
        <f t="shared" si="111"/>
        <v>5.4345554257479223E-2</v>
      </c>
      <c r="U250" s="681">
        <f t="shared" si="123"/>
        <v>0.61202646350497159</v>
      </c>
      <c r="V250" s="682">
        <f t="shared" si="124"/>
        <v>-1.2179105779009927</v>
      </c>
      <c r="W250" s="683">
        <f t="shared" si="112"/>
        <v>-4.8304433991527036</v>
      </c>
      <c r="X250" s="684">
        <f t="shared" si="113"/>
        <v>-170.73931674990686</v>
      </c>
      <c r="Y250" s="687">
        <f t="shared" si="114"/>
        <v>9.2606832500931375</v>
      </c>
      <c r="AA250" s="170">
        <f t="shared" si="115"/>
        <v>15224</v>
      </c>
      <c r="AB250" s="170">
        <f t="shared" si="116"/>
        <v>231770176</v>
      </c>
      <c r="AD250" s="686">
        <f t="shared" si="117"/>
        <v>17.212592400709571</v>
      </c>
      <c r="AE250" s="687">
        <f t="shared" si="118"/>
        <v>-5.362645771459154</v>
      </c>
      <c r="AG250" s="686">
        <f t="shared" si="119"/>
        <v>44.215970660529322</v>
      </c>
      <c r="AH250" s="687">
        <f t="shared" si="120"/>
        <v>-25.814398942842661</v>
      </c>
      <c r="AJ250" s="170">
        <f t="shared" si="121"/>
        <v>0</v>
      </c>
      <c r="AK250" s="170">
        <f t="shared" si="133"/>
        <v>0</v>
      </c>
      <c r="AM250" s="170" t="str">
        <f t="shared" si="125"/>
        <v>1.57994458463547+0.814655926604595i</v>
      </c>
      <c r="AN250" s="170" t="str">
        <f t="shared" si="126"/>
        <v>2.18945699279002i</v>
      </c>
      <c r="AO250" s="170" t="str">
        <f t="shared" si="127"/>
        <v>0.372081264572583-0.721614806702437i</v>
      </c>
      <c r="AP250" s="170" t="str">
        <f t="shared" si="128"/>
        <v>-0.0966574307725783-0.135775987767432i</v>
      </c>
      <c r="AQ250" s="170" t="str">
        <f t="shared" si="129"/>
        <v>1.09665743077258+0.135775987767432i</v>
      </c>
      <c r="AR250" s="170" t="str">
        <f t="shared" si="130"/>
        <v>0.748113296580084-0.0926231099656636i</v>
      </c>
    </row>
    <row r="251" spans="7:44">
      <c r="G251" s="688">
        <v>15312</v>
      </c>
      <c r="H251" s="676">
        <f t="shared" si="122"/>
        <v>15.311999999999999</v>
      </c>
      <c r="I251" s="677">
        <f t="shared" si="102"/>
        <v>13.892217983069072</v>
      </c>
      <c r="J251" s="678">
        <f t="shared" si="103"/>
        <v>1.4987512720011693</v>
      </c>
      <c r="K251" s="678">
        <f t="shared" si="104"/>
        <v>1.0002239702376261</v>
      </c>
      <c r="L251" s="679">
        <f t="shared" si="105"/>
        <v>2.1162629486475255E-2</v>
      </c>
      <c r="M251" s="678">
        <f t="shared" si="106"/>
        <v>1.018766909976297</v>
      </c>
      <c r="N251" s="679">
        <f t="shared" si="107"/>
        <v>-0.19223962760718155</v>
      </c>
      <c r="O251" s="677">
        <f t="shared" si="108"/>
        <v>634973.67987054749</v>
      </c>
      <c r="P251" s="680">
        <f t="shared" si="109"/>
        <v>1.5707947519264702</v>
      </c>
      <c r="Q251" s="689">
        <f t="shared" si="131"/>
        <v>25.630120814729015</v>
      </c>
      <c r="R251" s="690">
        <f t="shared" si="132"/>
        <v>1.531769827585219</v>
      </c>
      <c r="S251" s="677">
        <f t="shared" si="110"/>
        <v>1.0014956686079426</v>
      </c>
      <c r="T251" s="680">
        <f t="shared" si="111"/>
        <v>5.4659066895880619E-2</v>
      </c>
      <c r="U251" s="681">
        <f t="shared" si="123"/>
        <v>0.60962892479537056</v>
      </c>
      <c r="V251" s="682">
        <f t="shared" si="124"/>
        <v>-1.2229417439665484</v>
      </c>
      <c r="W251" s="683">
        <f t="shared" si="112"/>
        <v>-4.9127237262141374</v>
      </c>
      <c r="X251" s="684">
        <f t="shared" si="113"/>
        <v>-171.11121041061764</v>
      </c>
      <c r="Y251" s="687">
        <f t="shared" si="114"/>
        <v>8.8887895893823554</v>
      </c>
      <c r="AA251" s="170">
        <f t="shared" si="115"/>
        <v>15312</v>
      </c>
      <c r="AB251" s="170">
        <f t="shared" si="116"/>
        <v>234457344</v>
      </c>
      <c r="AD251" s="686">
        <f t="shared" si="117"/>
        <v>17.212367185606464</v>
      </c>
      <c r="AE251" s="687">
        <f t="shared" si="118"/>
        <v>-5.3676973119617335</v>
      </c>
      <c r="AG251" s="686">
        <f t="shared" si="119"/>
        <v>44.202101007645105</v>
      </c>
      <c r="AH251" s="687">
        <f t="shared" si="120"/>
        <v>-25.604711899220572</v>
      </c>
      <c r="AJ251" s="170">
        <f t="shared" si="121"/>
        <v>0</v>
      </c>
      <c r="AK251" s="170">
        <f t="shared" si="133"/>
        <v>0</v>
      </c>
      <c r="AM251" s="170" t="str">
        <f t="shared" si="125"/>
        <v>1.59020800461926+0.807251207049797i</v>
      </c>
      <c r="AN251" s="170" t="str">
        <f t="shared" si="126"/>
        <v>2.2021128135576i</v>
      </c>
      <c r="AO251" s="170" t="str">
        <f t="shared" si="127"/>
        <v>0.366580314178205-0.722128310061561i</v>
      </c>
      <c r="AP251" s="170" t="str">
        <f t="shared" si="128"/>
        <v>-0.0983680007698762-0.134541867841633i</v>
      </c>
      <c r="AQ251" s="170" t="str">
        <f t="shared" si="129"/>
        <v>1.09836800076988+0.134541867841633i</v>
      </c>
      <c r="AR251" s="170" t="str">
        <f t="shared" si="130"/>
        <v>0.747186810058794-0.0915247976829974i</v>
      </c>
    </row>
    <row r="252" spans="7:44">
      <c r="G252" s="688">
        <v>15400</v>
      </c>
      <c r="H252" s="676">
        <f t="shared" si="122"/>
        <v>15.4</v>
      </c>
      <c r="I252" s="677">
        <f t="shared" si="102"/>
        <v>13.971645798254931</v>
      </c>
      <c r="J252" s="678">
        <f t="shared" si="103"/>
        <v>1.4991615470632316</v>
      </c>
      <c r="K252" s="678">
        <f t="shared" si="104"/>
        <v>1.0002265517134037</v>
      </c>
      <c r="L252" s="679">
        <f t="shared" si="105"/>
        <v>2.1284217170093066E-2</v>
      </c>
      <c r="M252" s="678">
        <f t="shared" si="106"/>
        <v>1.0189812263607259</v>
      </c>
      <c r="N252" s="679">
        <f t="shared" si="107"/>
        <v>-0.19331720704776645</v>
      </c>
      <c r="O252" s="677">
        <f t="shared" si="108"/>
        <v>638622.95389278291</v>
      </c>
      <c r="P252" s="680">
        <f t="shared" si="109"/>
        <v>1.5707947609257185</v>
      </c>
      <c r="Q252" s="689">
        <f t="shared" si="131"/>
        <v>25.777196766043261</v>
      </c>
      <c r="R252" s="690">
        <f t="shared" si="132"/>
        <v>1.5319926117172842</v>
      </c>
      <c r="S252" s="677">
        <f t="shared" si="110"/>
        <v>1.0015128965799358</v>
      </c>
      <c r="T252" s="680">
        <f t="shared" si="111"/>
        <v>5.4972568779039568E-2</v>
      </c>
      <c r="U252" s="681">
        <f t="shared" si="123"/>
        <v>0.60724041500732084</v>
      </c>
      <c r="V252" s="682">
        <f t="shared" si="124"/>
        <v>-1.227958937415407</v>
      </c>
      <c r="W252" s="683">
        <f t="shared" si="112"/>
        <v>-4.9947165030788634</v>
      </c>
      <c r="X252" s="684">
        <f t="shared" si="113"/>
        <v>-171.48215400296453</v>
      </c>
      <c r="Y252" s="687">
        <f t="shared" si="114"/>
        <v>8.5178459970354652</v>
      </c>
      <c r="AA252" s="170">
        <f t="shared" si="115"/>
        <v>15400</v>
      </c>
      <c r="AB252" s="170">
        <f t="shared" si="116"/>
        <v>237160000</v>
      </c>
      <c r="AD252" s="686">
        <f t="shared" si="117"/>
        <v>17.212142428287301</v>
      </c>
      <c r="AE252" s="687">
        <f t="shared" si="118"/>
        <v>-5.3728955718512097</v>
      </c>
      <c r="AG252" s="686">
        <f t="shared" si="119"/>
        <v>44.188528835864261</v>
      </c>
      <c r="AH252" s="687">
        <f t="shared" si="120"/>
        <v>-25.395529211780406</v>
      </c>
      <c r="AJ252" s="170">
        <f t="shared" si="121"/>
        <v>0</v>
      </c>
      <c r="AK252" s="170">
        <f t="shared" si="133"/>
        <v>0</v>
      </c>
      <c r="AM252" s="170" t="str">
        <f t="shared" si="125"/>
        <v>1.60037689236717+0.79971719195697i</v>
      </c>
      <c r="AN252" s="170" t="str">
        <f t="shared" si="126"/>
        <v>2.21476863432517i</v>
      </c>
      <c r="AO252" s="170" t="str">
        <f t="shared" si="127"/>
        <v>0.361083852987037-0.722593262142164i</v>
      </c>
      <c r="AP252" s="170" t="str">
        <f t="shared" si="128"/>
        <v>-0.100062815394528-0.133286198659495i</v>
      </c>
      <c r="AQ252" s="170" t="str">
        <f t="shared" si="129"/>
        <v>1.10006281539453+0.133286198659495i</v>
      </c>
      <c r="AR252" s="170" t="str">
        <f t="shared" si="130"/>
        <v>0.746273948610644-0.0904203072560457i</v>
      </c>
    </row>
    <row r="253" spans="7:44">
      <c r="G253" s="688">
        <v>15488</v>
      </c>
      <c r="H253" s="676">
        <f t="shared" si="122"/>
        <v>15.488</v>
      </c>
      <c r="I253" s="677">
        <f t="shared" si="102"/>
        <v>14.051075938638279</v>
      </c>
      <c r="J253" s="678">
        <f t="shared" si="103"/>
        <v>1.499567183657645</v>
      </c>
      <c r="K253" s="678">
        <f t="shared" si="104"/>
        <v>1.000229147976019</v>
      </c>
      <c r="L253" s="679">
        <f t="shared" si="105"/>
        <v>2.1405804224305883E-2</v>
      </c>
      <c r="M253" s="678">
        <f t="shared" si="106"/>
        <v>1.0191967254647627</v>
      </c>
      <c r="N253" s="679">
        <f t="shared" si="107"/>
        <v>-0.19439433205153733</v>
      </c>
      <c r="O253" s="677">
        <f t="shared" si="108"/>
        <v>642272.22791501856</v>
      </c>
      <c r="P253" s="680">
        <f t="shared" si="109"/>
        <v>1.5707947698227023</v>
      </c>
      <c r="Q253" s="689">
        <f t="shared" si="131"/>
        <v>25.924273982234396</v>
      </c>
      <c r="R253" s="690">
        <f t="shared" si="132"/>
        <v>1.5322128679999978</v>
      </c>
      <c r="S253" s="677">
        <f t="shared" si="110"/>
        <v>1.0015302229806604</v>
      </c>
      <c r="T253" s="680">
        <f t="shared" si="111"/>
        <v>5.5286059845888601E-2</v>
      </c>
      <c r="U253" s="681">
        <f t="shared" si="123"/>
        <v>0.604860923623179</v>
      </c>
      <c r="V253" s="682">
        <f t="shared" si="124"/>
        <v>-1.2329623649690942</v>
      </c>
      <c r="W253" s="683">
        <f t="shared" si="112"/>
        <v>-5.0764246250327281</v>
      </c>
      <c r="X253" s="684">
        <f t="shared" si="113"/>
        <v>-171.85216131125762</v>
      </c>
      <c r="Y253" s="687">
        <f t="shared" si="114"/>
        <v>8.1478386887423824</v>
      </c>
      <c r="AA253" s="170">
        <f t="shared" si="115"/>
        <v>15488</v>
      </c>
      <c r="AB253" s="170">
        <f t="shared" si="116"/>
        <v>239878144</v>
      </c>
      <c r="AD253" s="686">
        <f t="shared" si="117"/>
        <v>17.211918099213214</v>
      </c>
      <c r="AE253" s="687">
        <f t="shared" si="118"/>
        <v>-5.3782380412517075</v>
      </c>
      <c r="AG253" s="686">
        <f t="shared" si="119"/>
        <v>44.17525064741352</v>
      </c>
      <c r="AH253" s="687">
        <f t="shared" si="120"/>
        <v>-25.186843486166417</v>
      </c>
      <c r="AJ253" s="170">
        <f t="shared" si="121"/>
        <v>0</v>
      </c>
      <c r="AK253" s="170">
        <f t="shared" si="133"/>
        <v>0</v>
      </c>
      <c r="AM253" s="170" t="str">
        <f t="shared" si="125"/>
        <v>1.61044961915224+0.792055088031687i</v>
      </c>
      <c r="AN253" s="170" t="str">
        <f t="shared" si="126"/>
        <v>2.22742445509274i</v>
      </c>
      <c r="AO253" s="170" t="str">
        <f t="shared" si="127"/>
        <v>0.355592346227836-0.723009759307499i</v>
      </c>
      <c r="AP253" s="170" t="str">
        <f t="shared" si="128"/>
        <v>-0.10174160319204-0.132009181338615i</v>
      </c>
      <c r="AQ253" s="170" t="str">
        <f t="shared" si="129"/>
        <v>1.10174160319204+0.132009181338615i</v>
      </c>
      <c r="AR253" s="170" t="str">
        <f t="shared" si="130"/>
        <v>0.745374674633826-0.0893097803549104i</v>
      </c>
    </row>
    <row r="254" spans="7:44">
      <c r="G254" s="688">
        <v>15578.25</v>
      </c>
      <c r="H254" s="676">
        <f t="shared" si="122"/>
        <v>15.578250000000001</v>
      </c>
      <c r="I254" s="677">
        <f t="shared" si="102"/>
        <v>14.132539337357983</v>
      </c>
      <c r="J254" s="678">
        <f t="shared" si="103"/>
        <v>1.4999784555512479</v>
      </c>
      <c r="K254" s="678">
        <f t="shared" si="104"/>
        <v>1.0002318259790082</v>
      </c>
      <c r="L254" s="679">
        <f t="shared" si="105"/>
        <v>2.1530499380917049E-2</v>
      </c>
      <c r="M254" s="678">
        <f t="shared" si="106"/>
        <v>1.0194189621695184</v>
      </c>
      <c r="N254" s="679">
        <f t="shared" si="107"/>
        <v>-0.19549852285382185</v>
      </c>
      <c r="O254" s="677">
        <f t="shared" si="108"/>
        <v>646014.80723895913</v>
      </c>
      <c r="P254" s="680">
        <f t="shared" si="109"/>
        <v>1.5707947788427619</v>
      </c>
      <c r="Q254" s="689">
        <f t="shared" si="131"/>
        <v>26.075112986810606</v>
      </c>
      <c r="R254" s="690">
        <f t="shared" si="132"/>
        <v>1.5324361749971458</v>
      </c>
      <c r="S254" s="677">
        <f t="shared" si="110"/>
        <v>1.0015480946164677</v>
      </c>
      <c r="T254" s="680">
        <f t="shared" si="111"/>
        <v>5.5607555010701075E-2</v>
      </c>
      <c r="U254" s="681">
        <f t="shared" si="123"/>
        <v>0.60242994719112097</v>
      </c>
      <c r="V254" s="682">
        <f t="shared" si="124"/>
        <v>-1.2380796386615411</v>
      </c>
      <c r="W254" s="683">
        <f t="shared" si="112"/>
        <v>-5.1599292115928828</v>
      </c>
      <c r="X254" s="684">
        <f t="shared" si="113"/>
        <v>-172.2306708915817</v>
      </c>
      <c r="Y254" s="687">
        <f t="shared" si="114"/>
        <v>7.7693291084183045</v>
      </c>
      <c r="AA254" s="170">
        <f t="shared" si="115"/>
        <v>15578.25</v>
      </c>
      <c r="AB254" s="170">
        <f t="shared" si="116"/>
        <v>242681873.0625</v>
      </c>
      <c r="AD254" s="686">
        <f t="shared" si="117"/>
        <v>17.211688449197752</v>
      </c>
      <c r="AE254" s="687">
        <f t="shared" si="118"/>
        <v>-5.3838643256747796</v>
      </c>
      <c r="AG254" s="686">
        <f t="shared" si="119"/>
        <v>44.161934730850909</v>
      </c>
      <c r="AH254" s="687">
        <f t="shared" si="120"/>
        <v>-24.973330411016228</v>
      </c>
      <c r="AJ254" s="170">
        <f t="shared" si="121"/>
        <v>0</v>
      </c>
      <c r="AK254" s="170">
        <f t="shared" si="133"/>
        <v>0</v>
      </c>
      <c r="AM254" s="170" t="str">
        <f t="shared" si="125"/>
        <v>1.62067831695675+0.784065320531229i</v>
      </c>
      <c r="AN254" s="170" t="str">
        <f t="shared" si="126"/>
        <v>2.24040386218676i</v>
      </c>
      <c r="AO254" s="170" t="str">
        <f t="shared" si="127"/>
        <v>0.349966063603344-0.723386682334531i</v>
      </c>
      <c r="AP254" s="170" t="str">
        <f t="shared" si="128"/>
        <v>-0.103446386159458-0.130677553421872i</v>
      </c>
      <c r="AQ254" s="170" t="str">
        <f t="shared" si="129"/>
        <v>1.10344638615946+0.130677553421872i</v>
      </c>
      <c r="AR254" s="170" t="str">
        <f t="shared" si="130"/>
        <v>0.744466481037263-0.0881647351124509i</v>
      </c>
    </row>
    <row r="255" spans="7:44">
      <c r="G255" s="688">
        <v>15668.5</v>
      </c>
      <c r="H255" s="676">
        <f t="shared" si="122"/>
        <v>15.6685</v>
      </c>
      <c r="I255" s="677">
        <f t="shared" si="102"/>
        <v>14.214005099119511</v>
      </c>
      <c r="J255" s="678">
        <f t="shared" si="103"/>
        <v>1.5003850132078995</v>
      </c>
      <c r="K255" s="678">
        <f t="shared" si="104"/>
        <v>1.0002345195344007</v>
      </c>
      <c r="L255" s="679">
        <f t="shared" si="105"/>
        <v>2.1655193867877943E-2</v>
      </c>
      <c r="M255" s="678">
        <f t="shared" si="106"/>
        <v>1.0196424412452421</v>
      </c>
      <c r="N255" s="679">
        <f t="shared" si="107"/>
        <v>-0.19660223098154792</v>
      </c>
      <c r="O255" s="677">
        <f t="shared" si="108"/>
        <v>649757.38656289957</v>
      </c>
      <c r="P255" s="680">
        <f t="shared" si="109"/>
        <v>1.5707947877589108</v>
      </c>
      <c r="Q255" s="689">
        <f t="shared" si="131"/>
        <v>26.225953276691794</v>
      </c>
      <c r="R255" s="690">
        <f t="shared" si="132"/>
        <v>1.5326569132755239</v>
      </c>
      <c r="S255" s="677">
        <f t="shared" si="110"/>
        <v>1.0015660697677249</v>
      </c>
      <c r="T255" s="680">
        <f t="shared" si="111"/>
        <v>5.5929038668964488E-2</v>
      </c>
      <c r="U255" s="681">
        <f t="shared" si="123"/>
        <v>0.6000084277858545</v>
      </c>
      <c r="V255" s="682">
        <f t="shared" si="124"/>
        <v>-1.2431828720749076</v>
      </c>
      <c r="W255" s="683">
        <f t="shared" si="112"/>
        <v>-5.2431404744543393</v>
      </c>
      <c r="X255" s="684">
        <f t="shared" si="113"/>
        <v>-172.60822481195615</v>
      </c>
      <c r="Y255" s="687">
        <f t="shared" si="114"/>
        <v>7.3917751880438516</v>
      </c>
      <c r="AA255" s="170">
        <f t="shared" si="115"/>
        <v>15668.5</v>
      </c>
      <c r="AB255" s="170">
        <f t="shared" si="116"/>
        <v>245501892.25</v>
      </c>
      <c r="AD255" s="686">
        <f t="shared" si="117"/>
        <v>17.211459189334487</v>
      </c>
      <c r="AE255" s="687">
        <f t="shared" si="118"/>
        <v>-5.389637121611953</v>
      </c>
      <c r="AG255" s="686">
        <f t="shared" si="119"/>
        <v>44.148920816636014</v>
      </c>
      <c r="AH255" s="687">
        <f t="shared" si="120"/>
        <v>-24.760324061873245</v>
      </c>
      <c r="AJ255" s="170">
        <f t="shared" si="121"/>
        <v>0</v>
      </c>
      <c r="AK255" s="170">
        <f t="shared" si="133"/>
        <v>0</v>
      </c>
      <c r="AM255" s="170" t="str">
        <f t="shared" si="125"/>
        <v>1.63080245365122+0.775943467314213i</v>
      </c>
      <c r="AN255" s="170" t="str">
        <f t="shared" si="126"/>
        <v>2.25338326928077i</v>
      </c>
      <c r="AO255" s="170" t="str">
        <f t="shared" si="127"/>
        <v>0.344345978729964-0.723712861404059i</v>
      </c>
      <c r="AP255" s="170" t="str">
        <f t="shared" si="128"/>
        <v>-0.105133742275203-0.129323911219035i</v>
      </c>
      <c r="AQ255" s="170" t="str">
        <f t="shared" si="129"/>
        <v>1.1051337422752+0.129323911219035i</v>
      </c>
      <c r="AR255" s="170" t="str">
        <f t="shared" si="130"/>
        <v>0.743572497167085-0.0870136345765526i</v>
      </c>
    </row>
    <row r="256" spans="7:44">
      <c r="G256" s="688">
        <v>15758.75</v>
      </c>
      <c r="H256" s="676">
        <f t="shared" si="122"/>
        <v>15.758749999999999</v>
      </c>
      <c r="I256" s="677">
        <f t="shared" si="102"/>
        <v>14.295473183523992</v>
      </c>
      <c r="J256" s="678">
        <f t="shared" si="103"/>
        <v>1.5007869370895495</v>
      </c>
      <c r="K256" s="678">
        <f t="shared" si="104"/>
        <v>1.0002372286420707</v>
      </c>
      <c r="L256" s="679">
        <f t="shared" si="105"/>
        <v>2.1779887681316317E-2</v>
      </c>
      <c r="M256" s="678">
        <f t="shared" si="106"/>
        <v>1.0198671618752271</v>
      </c>
      <c r="N256" s="679">
        <f t="shared" si="107"/>
        <v>-0.19770545406389034</v>
      </c>
      <c r="O256" s="677">
        <f t="shared" si="108"/>
        <v>653499.96588684013</v>
      </c>
      <c r="P256" s="680">
        <f t="shared" si="109"/>
        <v>1.5707947965729345</v>
      </c>
      <c r="Q256" s="689">
        <f t="shared" si="131"/>
        <v>26.376794829827247</v>
      </c>
      <c r="R256" s="690">
        <f t="shared" si="132"/>
        <v>1.5328751268827985</v>
      </c>
      <c r="S256" s="677">
        <f t="shared" si="110"/>
        <v>1.001584148428859</v>
      </c>
      <c r="T256" s="680">
        <f t="shared" si="111"/>
        <v>5.6250510754848382E-2</v>
      </c>
      <c r="U256" s="681">
        <f t="shared" si="123"/>
        <v>0.59759634805307615</v>
      </c>
      <c r="V256" s="682">
        <f t="shared" si="124"/>
        <v>-1.2482722862931181</v>
      </c>
      <c r="W256" s="683">
        <f t="shared" si="112"/>
        <v>-5.3260614424446846</v>
      </c>
      <c r="X256" s="684">
        <f t="shared" si="113"/>
        <v>-172.98483768665574</v>
      </c>
      <c r="Y256" s="687">
        <f t="shared" si="114"/>
        <v>7.0151623133442627</v>
      </c>
      <c r="AA256" s="170">
        <f t="shared" si="115"/>
        <v>15758.75</v>
      </c>
      <c r="AB256" s="170">
        <f t="shared" si="116"/>
        <v>248338201.5625</v>
      </c>
      <c r="AD256" s="686">
        <f t="shared" si="117"/>
        <v>17.211230290400742</v>
      </c>
      <c r="AE256" s="687">
        <f t="shared" si="118"/>
        <v>-5.39555390164832</v>
      </c>
      <c r="AG256" s="686">
        <f t="shared" si="119"/>
        <v>44.136205377965361</v>
      </c>
      <c r="AH256" s="687">
        <f t="shared" si="120"/>
        <v>-24.547816246075364</v>
      </c>
      <c r="AJ256" s="170">
        <f t="shared" si="121"/>
        <v>0</v>
      </c>
      <c r="AK256" s="170">
        <f t="shared" si="133"/>
        <v>0</v>
      </c>
      <c r="AM256" s="170" t="str">
        <f t="shared" si="125"/>
        <v>1.64082032369683+0.76769089660949i</v>
      </c>
      <c r="AN256" s="170" t="str">
        <f t="shared" si="126"/>
        <v>2.26636267637479i</v>
      </c>
      <c r="AO256" s="170" t="str">
        <f t="shared" si="127"/>
        <v>0.338732588835899-0.723988415799999i</v>
      </c>
      <c r="AP256" s="170" t="str">
        <f t="shared" si="128"/>
        <v>-0.106803387282806-0.127948482768248i</v>
      </c>
      <c r="AQ256" s="170" t="str">
        <f t="shared" si="129"/>
        <v>1.10680338728281+0.127948482768248i</v>
      </c>
      <c r="AR256" s="170" t="str">
        <f t="shared" si="130"/>
        <v>0.742692681221267-0.0858566235134425i</v>
      </c>
    </row>
    <row r="257" spans="7:44">
      <c r="G257" s="688">
        <v>15849</v>
      </c>
      <c r="H257" s="676">
        <f t="shared" si="122"/>
        <v>15.849</v>
      </c>
      <c r="I257" s="677">
        <f t="shared" si="102"/>
        <v>14.376943551087104</v>
      </c>
      <c r="J257" s="678">
        <f t="shared" si="103"/>
        <v>1.5011843058403875</v>
      </c>
      <c r="K257" s="678">
        <f t="shared" si="104"/>
        <v>1.0002399533018922</v>
      </c>
      <c r="L257" s="679">
        <f t="shared" si="105"/>
        <v>2.1904580817360037E-2</v>
      </c>
      <c r="M257" s="678">
        <f t="shared" si="106"/>
        <v>1.0200931232389525</v>
      </c>
      <c r="N257" s="679">
        <f t="shared" si="107"/>
        <v>-0.19880818973683015</v>
      </c>
      <c r="O257" s="677">
        <f t="shared" si="108"/>
        <v>657242.54521078081</v>
      </c>
      <c r="P257" s="680">
        <f t="shared" si="109"/>
        <v>1.5707948052865779</v>
      </c>
      <c r="Q257" s="689">
        <f t="shared" si="131"/>
        <v>26.527637624667594</v>
      </c>
      <c r="R257" s="690">
        <f t="shared" si="132"/>
        <v>1.5330908588657464</v>
      </c>
      <c r="S257" s="677">
        <f t="shared" si="110"/>
        <v>1.0016023305942652</v>
      </c>
      <c r="T257" s="680">
        <f t="shared" si="111"/>
        <v>5.6571971202536556E-2</v>
      </c>
      <c r="U257" s="681">
        <f t="shared" si="123"/>
        <v>0.59519368872709033</v>
      </c>
      <c r="V257" s="682">
        <f t="shared" si="124"/>
        <v>-1.2533481017462709</v>
      </c>
      <c r="W257" s="683">
        <f t="shared" si="112"/>
        <v>-5.4086951145570303</v>
      </c>
      <c r="X257" s="684">
        <f t="shared" si="113"/>
        <v>-173.36052404607875</v>
      </c>
      <c r="Y257" s="687">
        <f t="shared" si="114"/>
        <v>6.6394759539212487</v>
      </c>
      <c r="AA257" s="170">
        <f t="shared" si="115"/>
        <v>15849</v>
      </c>
      <c r="AB257" s="170">
        <f t="shared" si="116"/>
        <v>251190801</v>
      </c>
      <c r="AD257" s="686">
        <f t="shared" si="117"/>
        <v>17.211001724005591</v>
      </c>
      <c r="AE257" s="687">
        <f t="shared" si="118"/>
        <v>-5.4016121957142502</v>
      </c>
      <c r="AG257" s="686">
        <f t="shared" si="119"/>
        <v>44.123784968046884</v>
      </c>
      <c r="AH257" s="687">
        <f t="shared" si="120"/>
        <v>-24.335798704661983</v>
      </c>
      <c r="AJ257" s="170">
        <f t="shared" si="121"/>
        <v>0</v>
      </c>
      <c r="AK257" s="170">
        <f t="shared" si="133"/>
        <v>0</v>
      </c>
      <c r="AM257" s="170" t="str">
        <f t="shared" si="125"/>
        <v>1.65073023945672+0.75930899866695i</v>
      </c>
      <c r="AN257" s="170" t="str">
        <f t="shared" si="126"/>
        <v>2.2793420834688i</v>
      </c>
      <c r="AO257" s="170" t="str">
        <f t="shared" si="127"/>
        <v>0.3331263894849-0.724213469943295i</v>
      </c>
      <c r="AP257" s="170" t="str">
        <f t="shared" si="128"/>
        <v>-0.108455039909453-0.126551499777825i</v>
      </c>
      <c r="AQ257" s="170" t="str">
        <f t="shared" si="129"/>
        <v>1.10845503990945+0.126551499777825i</v>
      </c>
      <c r="AR257" s="170" t="str">
        <f t="shared" si="130"/>
        <v>0.741826991087887-0.0846938440602087i</v>
      </c>
    </row>
    <row r="258" spans="7:44">
      <c r="G258" s="688">
        <v>15941.25</v>
      </c>
      <c r="H258" s="676">
        <f t="shared" si="122"/>
        <v>15.94125</v>
      </c>
      <c r="I258" s="677">
        <f t="shared" si="102"/>
        <v>14.460221675594736</v>
      </c>
      <c r="J258" s="678">
        <f t="shared" si="103"/>
        <v>1.5015858529092079</v>
      </c>
      <c r="K258" s="678">
        <f t="shared" si="104"/>
        <v>1.0002427544147932</v>
      </c>
      <c r="L258" s="679">
        <f t="shared" si="105"/>
        <v>2.2032036532087493E-2</v>
      </c>
      <c r="M258" s="678">
        <f t="shared" si="106"/>
        <v>1.0203253734801057</v>
      </c>
      <c r="N258" s="679">
        <f t="shared" si="107"/>
        <v>-0.19993485658026453</v>
      </c>
      <c r="O258" s="677">
        <f t="shared" si="108"/>
        <v>661068.06258068141</v>
      </c>
      <c r="P258" s="680">
        <f t="shared" si="109"/>
        <v>1.5707948140913544</v>
      </c>
      <c r="Q258" s="689">
        <f t="shared" si="131"/>
        <v>26.681824457484687</v>
      </c>
      <c r="R258" s="690">
        <f t="shared" si="132"/>
        <v>1.53330885068629</v>
      </c>
      <c r="S258" s="677">
        <f t="shared" si="110"/>
        <v>1.0016210226529483</v>
      </c>
      <c r="T258" s="680">
        <f t="shared" si="111"/>
        <v>5.6900543331032616E-2</v>
      </c>
      <c r="U258" s="681">
        <f t="shared" si="123"/>
        <v>0.59274749873739607</v>
      </c>
      <c r="V258" s="682">
        <f t="shared" si="124"/>
        <v>-1.2585225753088876</v>
      </c>
      <c r="W258" s="683">
        <f t="shared" si="112"/>
        <v>-5.4928661794420641</v>
      </c>
      <c r="X258" s="684">
        <f t="shared" si="113"/>
        <v>-173.74359336511259</v>
      </c>
      <c r="Y258" s="687">
        <f t="shared" si="114"/>
        <v>6.2564066348874121</v>
      </c>
      <c r="AA258" s="170">
        <f t="shared" si="115"/>
        <v>15941.25</v>
      </c>
      <c r="AB258" s="170">
        <f t="shared" si="116"/>
        <v>254123451.5625</v>
      </c>
      <c r="AD258" s="686">
        <f t="shared" si="117"/>
        <v>17.210768407384126</v>
      </c>
      <c r="AE258" s="687">
        <f t="shared" si="118"/>
        <v>-5.4079484851409516</v>
      </c>
      <c r="AG258" s="686">
        <f t="shared" si="119"/>
        <v>44.111390715504413</v>
      </c>
      <c r="AH258" s="687">
        <f t="shared" si="120"/>
        <v>-24.119580740911623</v>
      </c>
      <c r="AJ258" s="170">
        <f t="shared" si="121"/>
        <v>0</v>
      </c>
      <c r="AK258" s="170">
        <f t="shared" si="133"/>
        <v>0</v>
      </c>
      <c r="AM258" s="170" t="str">
        <f t="shared" si="125"/>
        <v>1.66074645824286+0.750609164558703i</v>
      </c>
      <c r="AN258" s="170" t="str">
        <f t="shared" si="126"/>
        <v>2.29260912285299i</v>
      </c>
      <c r="AO258" s="170" t="str">
        <f t="shared" si="127"/>
        <v>0.327403898499986-0.724391454996994i</v>
      </c>
      <c r="AP258" s="170" t="str">
        <f t="shared" si="128"/>
        <v>-0.110124409707144-0.125101527426451i</v>
      </c>
      <c r="AQ258" s="170" t="str">
        <f t="shared" si="129"/>
        <v>1.11012440970714+0.125101527426451i</v>
      </c>
      <c r="AR258" s="170" t="str">
        <f t="shared" si="130"/>
        <v>0.740956671409577-0.0834994803641969i</v>
      </c>
    </row>
    <row r="259" spans="7:44">
      <c r="G259" s="688">
        <v>16033.5</v>
      </c>
      <c r="H259" s="676">
        <f t="shared" si="122"/>
        <v>16.0335</v>
      </c>
      <c r="I259" s="677">
        <f t="shared" si="102"/>
        <v>14.54350210496724</v>
      </c>
      <c r="J259" s="678">
        <f t="shared" si="103"/>
        <v>1.5019828012849388</v>
      </c>
      <c r="K259" s="678">
        <f t="shared" si="104"/>
        <v>1.000245571776506</v>
      </c>
      <c r="L259" s="679">
        <f t="shared" si="105"/>
        <v>2.2159491530884059E-2</v>
      </c>
      <c r="M259" s="678">
        <f t="shared" si="106"/>
        <v>1.0205589183095696</v>
      </c>
      <c r="N259" s="679">
        <f t="shared" si="107"/>
        <v>-0.20106100919950823</v>
      </c>
      <c r="O259" s="677">
        <f t="shared" si="108"/>
        <v>664893.57995058212</v>
      </c>
      <c r="P259" s="680">
        <f t="shared" si="109"/>
        <v>1.5707948227948128</v>
      </c>
      <c r="Q259" s="689">
        <f t="shared" si="131"/>
        <v>26.836012543663767</v>
      </c>
      <c r="R259" s="690">
        <f t="shared" si="132"/>
        <v>1.5335243375441108</v>
      </c>
      <c r="S259" s="677">
        <f t="shared" si="110"/>
        <v>1.0016398228422372</v>
      </c>
      <c r="T259" s="680">
        <f t="shared" si="111"/>
        <v>5.7229103160788282E-2</v>
      </c>
      <c r="U259" s="681">
        <f t="shared" si="123"/>
        <v>0.59031110473365134</v>
      </c>
      <c r="V259" s="682">
        <f t="shared" si="124"/>
        <v>-1.2636833043247822</v>
      </c>
      <c r="W259" s="683">
        <f t="shared" si="112"/>
        <v>-5.576743318940637</v>
      </c>
      <c r="X259" s="684">
        <f t="shared" si="113"/>
        <v>-174.12572508538634</v>
      </c>
      <c r="Y259" s="687">
        <f t="shared" si="114"/>
        <v>5.8742749146136646</v>
      </c>
      <c r="AA259" s="170">
        <f t="shared" si="115"/>
        <v>16033.5</v>
      </c>
      <c r="AB259" s="170">
        <f t="shared" si="116"/>
        <v>257073122.25</v>
      </c>
      <c r="AD259" s="686">
        <f t="shared" si="117"/>
        <v>17.210535380758579</v>
      </c>
      <c r="AE259" s="687">
        <f t="shared" si="118"/>
        <v>-5.414427587888663</v>
      </c>
      <c r="AG259" s="686">
        <f t="shared" si="119"/>
        <v>44.099297679768917</v>
      </c>
      <c r="AH259" s="687">
        <f t="shared" si="120"/>
        <v>-23.903857374118996</v>
      </c>
      <c r="AJ259" s="170">
        <f t="shared" si="121"/>
        <v>0</v>
      </c>
      <c r="AK259" s="170">
        <f t="shared" si="133"/>
        <v>0</v>
      </c>
      <c r="AM259" s="170" t="str">
        <f t="shared" si="125"/>
        <v>1.67064637788708+0.741777214416123i</v>
      </c>
      <c r="AN259" s="170" t="str">
        <f t="shared" si="126"/>
        <v>2.30587616223718i</v>
      </c>
      <c r="AO259" s="170" t="str">
        <f t="shared" si="127"/>
        <v>0.321689961743845-0.724516955960985i</v>
      </c>
      <c r="AP259" s="170" t="str">
        <f t="shared" si="128"/>
        <v>-0.111774396314513-0.12362953573602i</v>
      </c>
      <c r="AQ259" s="170" t="str">
        <f t="shared" si="129"/>
        <v>1.11177439631451+0.12362953573602i</v>
      </c>
      <c r="AR259" s="170" t="str">
        <f t="shared" si="130"/>
        <v>0.740101020814188-0.0822993818748894i</v>
      </c>
    </row>
    <row r="260" spans="7:44">
      <c r="G260" s="688">
        <v>16125.75</v>
      </c>
      <c r="H260" s="676">
        <f t="shared" si="122"/>
        <v>16.12575</v>
      </c>
      <c r="I260" s="677">
        <f t="shared" si="102"/>
        <v>14.626784799835031</v>
      </c>
      <c r="J260" s="678">
        <f t="shared" si="103"/>
        <v>1.5023752293941899</v>
      </c>
      <c r="K260" s="678">
        <f t="shared" si="104"/>
        <v>1.0002484053868932</v>
      </c>
      <c r="L260" s="679">
        <f t="shared" si="105"/>
        <v>2.228694580961485E-2</v>
      </c>
      <c r="M260" s="678">
        <f t="shared" si="106"/>
        <v>1.0207937568387879</v>
      </c>
      <c r="N260" s="679">
        <f t="shared" si="107"/>
        <v>-0.2021866450920719</v>
      </c>
      <c r="O260" s="677">
        <f t="shared" si="108"/>
        <v>668719.09732048283</v>
      </c>
      <c r="P260" s="680">
        <f t="shared" si="109"/>
        <v>1.5707948313986921</v>
      </c>
      <c r="Q260" s="689">
        <f t="shared" si="131"/>
        <v>26.990201861724422</v>
      </c>
      <c r="R260" s="690">
        <f t="shared" si="132"/>
        <v>1.5337373623499908</v>
      </c>
      <c r="S260" s="677">
        <f t="shared" si="110"/>
        <v>1.0016587311560436</v>
      </c>
      <c r="T260" s="680">
        <f t="shared" si="111"/>
        <v>5.7557650621560957E-2</v>
      </c>
      <c r="U260" s="681">
        <f t="shared" si="123"/>
        <v>0.58788448031359763</v>
      </c>
      <c r="V260" s="682">
        <f t="shared" si="124"/>
        <v>-1.26883052206248</v>
      </c>
      <c r="W260" s="683">
        <f t="shared" si="112"/>
        <v>-5.6603296453605925</v>
      </c>
      <c r="X260" s="684">
        <f t="shared" si="113"/>
        <v>-174.50693446003893</v>
      </c>
      <c r="Y260" s="687">
        <f t="shared" si="114"/>
        <v>5.4930655399610657</v>
      </c>
      <c r="AA260" s="170">
        <f t="shared" si="115"/>
        <v>16125.75</v>
      </c>
      <c r="AB260" s="170">
        <f t="shared" si="116"/>
        <v>260039813.0625</v>
      </c>
      <c r="AD260" s="686">
        <f t="shared" si="117"/>
        <v>17.21030261632378</v>
      </c>
      <c r="AE260" s="687">
        <f t="shared" si="118"/>
        <v>-5.4210470414256937</v>
      </c>
      <c r="AG260" s="686">
        <f t="shared" si="119"/>
        <v>44.087502429414215</v>
      </c>
      <c r="AH260" s="687">
        <f t="shared" si="120"/>
        <v>-23.688619589350655</v>
      </c>
      <c r="AJ260" s="170">
        <f t="shared" si="121"/>
        <v>0</v>
      </c>
      <c r="AK260" s="170">
        <f t="shared" si="133"/>
        <v>0</v>
      </c>
      <c r="AM260" s="170" t="str">
        <f t="shared" si="125"/>
        <v>1.68042825588716+0.732814702766229i</v>
      </c>
      <c r="AN260" s="170" t="str">
        <f t="shared" si="126"/>
        <v>2.31914320162137i</v>
      </c>
      <c r="AO260" s="170" t="str">
        <f t="shared" si="127"/>
        <v>0.315985102711165-0.724590122210794i</v>
      </c>
      <c r="AP260" s="170" t="str">
        <f t="shared" si="128"/>
        <v>-0.113404709314527-0.122135783794371i</v>
      </c>
      <c r="AQ260" s="170" t="str">
        <f t="shared" si="129"/>
        <v>1.11340470931453+0.122135783794371i</v>
      </c>
      <c r="AR260" s="170" t="str">
        <f t="shared" si="130"/>
        <v>0.739259993657901-0.0810936921659122i</v>
      </c>
    </row>
    <row r="261" spans="7:44">
      <c r="G261" s="688">
        <v>16218</v>
      </c>
      <c r="H261" s="676">
        <f t="shared" si="122"/>
        <v>16.218</v>
      </c>
      <c r="I261" s="677">
        <f t="shared" si="102"/>
        <v>14.710069721719053</v>
      </c>
      <c r="J261" s="678">
        <f t="shared" si="103"/>
        <v>1.5027632138930815</v>
      </c>
      <c r="K261" s="678">
        <f t="shared" si="104"/>
        <v>1.0002512552458163</v>
      </c>
      <c r="L261" s="679">
        <f t="shared" si="105"/>
        <v>2.2414399364145115E-2</v>
      </c>
      <c r="M261" s="678">
        <f t="shared" si="106"/>
        <v>1.0210298881751012</v>
      </c>
      <c r="N261" s="679">
        <f t="shared" si="107"/>
        <v>-0.20331176176299975</v>
      </c>
      <c r="O261" s="677">
        <f t="shared" si="108"/>
        <v>672544.61469038343</v>
      </c>
      <c r="P261" s="680">
        <f t="shared" si="109"/>
        <v>1.5707948399046916</v>
      </c>
      <c r="Q261" s="689">
        <f t="shared" si="131"/>
        <v>27.144392390674149</v>
      </c>
      <c r="R261" s="690">
        <f t="shared" si="132"/>
        <v>1.5339479670406191</v>
      </c>
      <c r="S261" s="677">
        <f t="shared" si="110"/>
        <v>1.0016777475882443</v>
      </c>
      <c r="T261" s="680">
        <f t="shared" si="111"/>
        <v>5.788618564312404E-2</v>
      </c>
      <c r="U261" s="681">
        <f t="shared" si="123"/>
        <v>0.58546759722962227</v>
      </c>
      <c r="V261" s="682">
        <f t="shared" si="124"/>
        <v>-1.2739644610625327</v>
      </c>
      <c r="W261" s="683">
        <f t="shared" si="112"/>
        <v>-5.7436282424836378</v>
      </c>
      <c r="X261" s="684">
        <f t="shared" si="113"/>
        <v>-174.88723665529955</v>
      </c>
      <c r="Y261" s="687">
        <f t="shared" si="114"/>
        <v>5.1127633447004541</v>
      </c>
      <c r="AA261" s="170">
        <f t="shared" si="115"/>
        <v>16218</v>
      </c>
      <c r="AB261" s="170">
        <f t="shared" si="116"/>
        <v>263023524</v>
      </c>
      <c r="AD261" s="686">
        <f t="shared" si="117"/>
        <v>17.210070087065603</v>
      </c>
      <c r="AE261" s="687">
        <f t="shared" si="118"/>
        <v>-5.4278044390304343</v>
      </c>
      <c r="AG261" s="686">
        <f t="shared" si="119"/>
        <v>44.076001614049076</v>
      </c>
      <c r="AH261" s="687">
        <f t="shared" si="120"/>
        <v>-23.473858312373064</v>
      </c>
      <c r="AJ261" s="170">
        <f t="shared" si="121"/>
        <v>0</v>
      </c>
      <c r="AK261" s="170">
        <f t="shared" si="133"/>
        <v>0</v>
      </c>
      <c r="AM261" s="170" t="str">
        <f t="shared" si="125"/>
        <v>1.69009037051762+0.723723207116403i</v>
      </c>
      <c r="AN261" s="170" t="str">
        <f t="shared" si="126"/>
        <v>2.33241024100556i</v>
      </c>
      <c r="AO261" s="170" t="str">
        <f t="shared" si="127"/>
        <v>0.310289842838449-0.724611108631122i</v>
      </c>
      <c r="AP261" s="170" t="str">
        <f t="shared" si="128"/>
        <v>-0.115015061752937-0.120620534519401i</v>
      </c>
      <c r="AQ261" s="170" t="str">
        <f t="shared" si="129"/>
        <v>1.11501506175294+0.120620534519401i</v>
      </c>
      <c r="AR261" s="170" t="str">
        <f t="shared" si="130"/>
        <v>0.738433544178171-0.0798825521386208i</v>
      </c>
    </row>
    <row r="262" spans="7:44">
      <c r="G262" s="688">
        <v>16312.5</v>
      </c>
      <c r="H262" s="676">
        <f t="shared" si="122"/>
        <v>16.3125</v>
      </c>
      <c r="I262" s="677">
        <f t="shared" si="102"/>
        <v>14.795388253003534</v>
      </c>
      <c r="J262" s="678">
        <f t="shared" si="103"/>
        <v>1.5031561322453797</v>
      </c>
      <c r="K262" s="678">
        <f t="shared" si="104"/>
        <v>1.0002541914611764</v>
      </c>
      <c r="L262" s="679">
        <f t="shared" si="105"/>
        <v>2.2544960786723574E-2</v>
      </c>
      <c r="M262" s="678">
        <f t="shared" si="106"/>
        <v>1.0212731183643455</v>
      </c>
      <c r="N262" s="679">
        <f t="shared" si="107"/>
        <v>-0.20446377933190385</v>
      </c>
      <c r="O262" s="677">
        <f t="shared" si="108"/>
        <v>676463.43736198917</v>
      </c>
      <c r="P262" s="680">
        <f t="shared" si="109"/>
        <v>1.5707948485184005</v>
      </c>
      <c r="Q262" s="689">
        <f t="shared" si="131"/>
        <v>27.302344898337289</v>
      </c>
      <c r="R262" s="690">
        <f t="shared" si="132"/>
        <v>1.5341612418966655</v>
      </c>
      <c r="S262" s="677">
        <f t="shared" si="110"/>
        <v>1.001697339935532</v>
      </c>
      <c r="T262" s="680">
        <f t="shared" si="111"/>
        <v>5.8222720742599078E-2</v>
      </c>
      <c r="U262" s="681">
        <f t="shared" si="123"/>
        <v>0.58300183499371339</v>
      </c>
      <c r="V262" s="682">
        <f t="shared" si="124"/>
        <v>-1.2792100919026377</v>
      </c>
      <c r="W262" s="683">
        <f t="shared" si="112"/>
        <v>-5.8286633656679534</v>
      </c>
      <c r="X262" s="684">
        <f t="shared" si="113"/>
        <v>-175.27588963844681</v>
      </c>
      <c r="Y262" s="687">
        <f t="shared" si="114"/>
        <v>4.724110361553187</v>
      </c>
      <c r="AA262" s="170">
        <f t="shared" si="115"/>
        <v>16312.5</v>
      </c>
      <c r="AB262" s="170">
        <f t="shared" si="116"/>
        <v>266097656.25</v>
      </c>
      <c r="AD262" s="686">
        <f t="shared" si="117"/>
        <v>17.209832102778201</v>
      </c>
      <c r="AE262" s="687">
        <f t="shared" si="118"/>
        <v>-5.4348672242978866</v>
      </c>
      <c r="AG262" s="686">
        <f t="shared" si="119"/>
        <v>44.064522167017543</v>
      </c>
      <c r="AH262" s="687">
        <f t="shared" si="120"/>
        <v>-23.254343493522626</v>
      </c>
      <c r="AJ262" s="170">
        <f t="shared" si="121"/>
        <v>0</v>
      </c>
      <c r="AK262" s="170">
        <f t="shared" si="133"/>
        <v>0</v>
      </c>
      <c r="AM262" s="170" t="str">
        <f t="shared" si="125"/>
        <v>1.6998621883308+0.714277899241484i</v>
      </c>
      <c r="AN262" s="170" t="str">
        <f t="shared" si="126"/>
        <v>2.34600086671619i</v>
      </c>
      <c r="AO262" s="170" t="str">
        <f t="shared" si="127"/>
        <v>0.304466170228357-0.724578670216i</v>
      </c>
      <c r="AP262" s="170" t="str">
        <f t="shared" si="128"/>
        <v>-0.116643698055133-0.119046316540247i</v>
      </c>
      <c r="AQ262" s="170" t="str">
        <f t="shared" si="129"/>
        <v>1.11664369805513+0.119046316540247i</v>
      </c>
      <c r="AR262" s="170" t="str">
        <f t="shared" si="130"/>
        <v>0.73760200482906-0.0786363652976671i</v>
      </c>
    </row>
    <row r="263" spans="7:44">
      <c r="G263" s="688">
        <v>16407</v>
      </c>
      <c r="H263" s="676">
        <f t="shared" si="122"/>
        <v>16.407</v>
      </c>
      <c r="I263" s="677">
        <f t="shared" si="102"/>
        <v>14.880709042278607</v>
      </c>
      <c r="J263" s="678">
        <f t="shared" si="103"/>
        <v>1.5035445449438232</v>
      </c>
      <c r="K263" s="678">
        <f t="shared" si="104"/>
        <v>1.0002571447270543</v>
      </c>
      <c r="L263" s="679">
        <f t="shared" si="105"/>
        <v>2.2675521440560654E-2</v>
      </c>
      <c r="M263" s="678">
        <f t="shared" si="106"/>
        <v>1.021517703284073</v>
      </c>
      <c r="N263" s="679">
        <f t="shared" si="107"/>
        <v>-0.20561524676660808</v>
      </c>
      <c r="O263" s="677">
        <f t="shared" si="108"/>
        <v>680382.26003359491</v>
      </c>
      <c r="P263" s="680">
        <f t="shared" si="109"/>
        <v>1.5707948570328838</v>
      </c>
      <c r="Q263" s="689">
        <f t="shared" si="131"/>
        <v>27.460298633592682</v>
      </c>
      <c r="R263" s="690">
        <f t="shared" si="132"/>
        <v>1.5343720632156841</v>
      </c>
      <c r="S263" s="677">
        <f t="shared" si="110"/>
        <v>1.0017170457264812</v>
      </c>
      <c r="T263" s="680">
        <f t="shared" si="111"/>
        <v>5.8559242639540113E-2</v>
      </c>
      <c r="U263" s="681">
        <f t="shared" si="123"/>
        <v>0.58054622937764144</v>
      </c>
      <c r="V263" s="682">
        <f t="shared" si="124"/>
        <v>-1.284442280011679</v>
      </c>
      <c r="W263" s="683">
        <f t="shared" si="112"/>
        <v>-5.9134030161570692</v>
      </c>
      <c r="X263" s="684">
        <f t="shared" si="113"/>
        <v>-175.66362259374782</v>
      </c>
      <c r="Y263" s="687">
        <f t="shared" si="114"/>
        <v>4.3363774062521827</v>
      </c>
      <c r="AA263" s="170">
        <f t="shared" si="115"/>
        <v>16407</v>
      </c>
      <c r="AB263" s="170">
        <f t="shared" si="116"/>
        <v>269189649</v>
      </c>
      <c r="AD263" s="686">
        <f t="shared" si="117"/>
        <v>17.209594310322345</v>
      </c>
      <c r="AE263" s="687">
        <f t="shared" si="118"/>
        <v>-5.4420698247473789</v>
      </c>
      <c r="AG263" s="686">
        <f t="shared" si="119"/>
        <v>44.053344829717112</v>
      </c>
      <c r="AH263" s="687">
        <f t="shared" si="120"/>
        <v>-23.035309255155809</v>
      </c>
      <c r="AJ263" s="170">
        <f t="shared" si="121"/>
        <v>0</v>
      </c>
      <c r="AK263" s="170">
        <f t="shared" si="133"/>
        <v>0</v>
      </c>
      <c r="AM263" s="170" t="str">
        <f t="shared" si="125"/>
        <v>1.70950474001314+0.704700662621289i</v>
      </c>
      <c r="AN263" s="170" t="str">
        <f t="shared" si="126"/>
        <v>2.35959149242682i</v>
      </c>
      <c r="AO263" s="170" t="str">
        <f t="shared" si="127"/>
        <v>0.298653671571137-0.724491822207296i</v>
      </c>
      <c r="AP263" s="170" t="str">
        <f t="shared" si="128"/>
        <v>-0.11825079000219-0.117450110436882i</v>
      </c>
      <c r="AQ263" s="170" t="str">
        <f t="shared" si="129"/>
        <v>1.11825079000219+0.117450110436882i</v>
      </c>
      <c r="AR263" s="170" t="str">
        <f t="shared" si="130"/>
        <v>0.736785665555672-0.0773847499697771i</v>
      </c>
    </row>
    <row r="264" spans="7:44">
      <c r="G264" s="688">
        <v>16501.5</v>
      </c>
      <c r="H264" s="676">
        <f t="shared" si="122"/>
        <v>16.5015</v>
      </c>
      <c r="I264" s="677">
        <f t="shared" si="102"/>
        <v>14.966032050926108</v>
      </c>
      <c r="J264" s="678">
        <f t="shared" si="103"/>
        <v>1.5039285289318991</v>
      </c>
      <c r="K264" s="678">
        <f t="shared" si="104"/>
        <v>1.000260115043299</v>
      </c>
      <c r="L264" s="679">
        <f t="shared" si="105"/>
        <v>2.2806081321212097E-2</v>
      </c>
      <c r="M264" s="678">
        <f t="shared" si="106"/>
        <v>1.0217636419614164</v>
      </c>
      <c r="N264" s="679">
        <f t="shared" si="107"/>
        <v>-0.20676616140986992</v>
      </c>
      <c r="O264" s="677">
        <f t="shared" si="108"/>
        <v>684301.08270520077</v>
      </c>
      <c r="P264" s="680">
        <f t="shared" si="109"/>
        <v>1.5707948654498465</v>
      </c>
      <c r="Q264" s="689">
        <f t="shared" si="131"/>
        <v>27.618253575377871</v>
      </c>
      <c r="R264" s="690">
        <f t="shared" si="132"/>
        <v>1.5345804730757462</v>
      </c>
      <c r="S264" s="677">
        <f t="shared" si="110"/>
        <v>1.0017368649543972</v>
      </c>
      <c r="T264" s="680">
        <f t="shared" si="111"/>
        <v>5.8895751258508371E-2</v>
      </c>
      <c r="U264" s="681">
        <f t="shared" si="123"/>
        <v>0.57810074436274805</v>
      </c>
      <c r="V264" s="682">
        <f t="shared" si="124"/>
        <v>-1.2896612729812342</v>
      </c>
      <c r="W264" s="683">
        <f t="shared" si="112"/>
        <v>-5.9978504219714832</v>
      </c>
      <c r="X264" s="684">
        <f t="shared" si="113"/>
        <v>-176.0504515485774</v>
      </c>
      <c r="Y264" s="687">
        <f t="shared" si="114"/>
        <v>3.9495484514226007</v>
      </c>
      <c r="AA264" s="170">
        <f t="shared" si="115"/>
        <v>16501.5</v>
      </c>
      <c r="AB264" s="170">
        <f t="shared" si="116"/>
        <v>272299502.25</v>
      </c>
      <c r="AD264" s="686">
        <f t="shared" si="117"/>
        <v>17.209356683069338</v>
      </c>
      <c r="AE264" s="687">
        <f t="shared" si="118"/>
        <v>-5.4494098252583978</v>
      </c>
      <c r="AG264" s="686">
        <f t="shared" si="119"/>
        <v>44.042466255479908</v>
      </c>
      <c r="AH264" s="687">
        <f t="shared" si="120"/>
        <v>-22.816745667863106</v>
      </c>
      <c r="AJ264" s="170">
        <f t="shared" si="121"/>
        <v>0</v>
      </c>
      <c r="AK264" s="170">
        <f t="shared" si="133"/>
        <v>0</v>
      </c>
      <c r="AM264" s="170" t="str">
        <f t="shared" si="125"/>
        <v>1.71901624456353+0.694993266193107i</v>
      </c>
      <c r="AN264" s="170" t="str">
        <f t="shared" si="126"/>
        <v>2.37318211813745i</v>
      </c>
      <c r="AO264" s="170" t="str">
        <f t="shared" si="127"/>
        <v>0.292852900281652-0.724350748906144i</v>
      </c>
      <c r="AP264" s="170" t="str">
        <f t="shared" si="128"/>
        <v>-0.119836040760588-0.115832211032184i</v>
      </c>
      <c r="AQ264" s="170" t="str">
        <f t="shared" si="129"/>
        <v>1.11983604076059+0.115832211032184i</v>
      </c>
      <c r="AR264" s="170" t="str">
        <f t="shared" si="130"/>
        <v>0.735984477105491-0.0761278492256712i</v>
      </c>
    </row>
    <row r="265" spans="7:44">
      <c r="G265" s="688">
        <v>16596</v>
      </c>
      <c r="H265" s="676">
        <f t="shared" si="122"/>
        <v>16.596</v>
      </c>
      <c r="I265" s="677">
        <f t="shared" si="102"/>
        <v>15.051357241202563</v>
      </c>
      <c r="J265" s="678">
        <f t="shared" si="103"/>
        <v>1.5043081594136372</v>
      </c>
      <c r="K265" s="678">
        <f t="shared" si="104"/>
        <v>1.0002631024097588</v>
      </c>
      <c r="L265" s="679">
        <f t="shared" si="105"/>
        <v>2.2936640424233785E-2</v>
      </c>
      <c r="M265" s="678">
        <f t="shared" si="106"/>
        <v>1.0220109334190639</v>
      </c>
      <c r="N265" s="679">
        <f t="shared" si="107"/>
        <v>-0.2079165206128554</v>
      </c>
      <c r="O265" s="677">
        <f t="shared" si="108"/>
        <v>688219.90537680662</v>
      </c>
      <c r="P265" s="680">
        <f t="shared" si="109"/>
        <v>1.5707948737709545</v>
      </c>
      <c r="Q265" s="689">
        <f t="shared" si="131"/>
        <v>27.776209703109345</v>
      </c>
      <c r="R265" s="690">
        <f t="shared" si="132"/>
        <v>1.5347865125986226</v>
      </c>
      <c r="S265" s="677">
        <f t="shared" si="110"/>
        <v>1.0017567976125472</v>
      </c>
      <c r="T265" s="680">
        <f t="shared" si="111"/>
        <v>5.923224652408305E-2</v>
      </c>
      <c r="U265" s="681">
        <f t="shared" si="123"/>
        <v>0.57566534214318876</v>
      </c>
      <c r="V265" s="682">
        <f t="shared" si="124"/>
        <v>-1.2948673175999412</v>
      </c>
      <c r="W265" s="683">
        <f t="shared" si="112"/>
        <v>-6.0820087837936985</v>
      </c>
      <c r="X265" s="684">
        <f t="shared" si="113"/>
        <v>-176.43639243991441</v>
      </c>
      <c r="Y265" s="687">
        <f t="shared" si="114"/>
        <v>3.5636075600855861</v>
      </c>
      <c r="AA265" s="170">
        <f t="shared" si="115"/>
        <v>16596</v>
      </c>
      <c r="AB265" s="170">
        <f t="shared" si="116"/>
        <v>275427216</v>
      </c>
      <c r="AD265" s="686">
        <f t="shared" si="117"/>
        <v>17.20911919514942</v>
      </c>
      <c r="AE265" s="687">
        <f t="shared" si="118"/>
        <v>-5.4568848655011628</v>
      </c>
      <c r="AG265" s="686">
        <f t="shared" si="119"/>
        <v>44.031883180523977</v>
      </c>
      <c r="AH265" s="687">
        <f t="shared" si="120"/>
        <v>-22.598642749058236</v>
      </c>
      <c r="AJ265" s="170">
        <f t="shared" si="121"/>
        <v>0</v>
      </c>
      <c r="AK265" s="170">
        <f t="shared" si="133"/>
        <v>0</v>
      </c>
      <c r="AM265" s="170" t="str">
        <f t="shared" si="125"/>
        <v>1.72839494518553+0.685157502935036i</v>
      </c>
      <c r="AN265" s="170" t="str">
        <f t="shared" si="126"/>
        <v>2.38677274384808i</v>
      </c>
      <c r="AO265" s="170" t="str">
        <f t="shared" si="127"/>
        <v>0.287064407242388-0.724155640557098i</v>
      </c>
      <c r="AP265" s="170" t="str">
        <f t="shared" si="128"/>
        <v>-0.121399157530921-0.114192917155839i</v>
      </c>
      <c r="AQ265" s="170" t="str">
        <f t="shared" si="129"/>
        <v>1.12139915753092+0.114192917155839i</v>
      </c>
      <c r="AR265" s="170" t="str">
        <f t="shared" si="130"/>
        <v>0.735198390310945-0.0748658034153812i</v>
      </c>
    </row>
    <row r="266" spans="7:44">
      <c r="G266" s="688">
        <v>16692.5</v>
      </c>
      <c r="H266" s="676">
        <f t="shared" si="122"/>
        <v>16.692499999999999</v>
      </c>
      <c r="I266" s="677">
        <f t="shared" si="102"/>
        <v>15.138490468650557</v>
      </c>
      <c r="J266" s="678">
        <f t="shared" si="103"/>
        <v>1.5046914081047393</v>
      </c>
      <c r="K266" s="678">
        <f t="shared" si="104"/>
        <v>1.0002661705960567</v>
      </c>
      <c r="L266" s="679">
        <f t="shared" si="105"/>
        <v>2.3069961875766043E-2</v>
      </c>
      <c r="M266" s="678">
        <f t="shared" si="106"/>
        <v>1.0222648535667329</v>
      </c>
      <c r="N266" s="679">
        <f t="shared" si="107"/>
        <v>-0.20909065010067548</v>
      </c>
      <c r="O266" s="677">
        <f t="shared" si="108"/>
        <v>692221.6660943724</v>
      </c>
      <c r="P266" s="680">
        <f t="shared" si="109"/>
        <v>1.570794882170943</v>
      </c>
      <c r="Q266" s="689">
        <f t="shared" si="131"/>
        <v>27.937510020626846</v>
      </c>
      <c r="R266" s="690">
        <f t="shared" si="132"/>
        <v>1.5349945083945242</v>
      </c>
      <c r="S266" s="677">
        <f t="shared" si="110"/>
        <v>1.0017772691754563</v>
      </c>
      <c r="T266" s="680">
        <f t="shared" si="111"/>
        <v>5.957584952391632E-2</v>
      </c>
      <c r="U266" s="681">
        <f t="shared" si="123"/>
        <v>0.57318876106553673</v>
      </c>
      <c r="V266" s="682">
        <f t="shared" si="124"/>
        <v>-1.3001704363858022</v>
      </c>
      <c r="W266" s="683">
        <f t="shared" si="112"/>
        <v>-6.1676532890007199</v>
      </c>
      <c r="X266" s="684">
        <f t="shared" si="113"/>
        <v>-176.82960140705748</v>
      </c>
      <c r="Y266" s="687">
        <f t="shared" si="114"/>
        <v>3.1703985929425187</v>
      </c>
      <c r="AA266" s="170">
        <f t="shared" si="115"/>
        <v>16692.5</v>
      </c>
      <c r="AB266" s="170">
        <f t="shared" si="116"/>
        <v>278639556.25</v>
      </c>
      <c r="AD266" s="686">
        <f t="shared" si="117"/>
        <v>17.208876798698537</v>
      </c>
      <c r="AE266" s="687">
        <f t="shared" si="118"/>
        <v>-5.4646550672507788</v>
      </c>
      <c r="AG266" s="686">
        <f t="shared" si="119"/>
        <v>44.021377764677553</v>
      </c>
      <c r="AH266" s="687">
        <f t="shared" si="120"/>
        <v>-22.376388864384559</v>
      </c>
      <c r="AJ266" s="170">
        <f t="shared" si="121"/>
        <v>0</v>
      </c>
      <c r="AK266" s="170">
        <f t="shared" si="133"/>
        <v>0</v>
      </c>
      <c r="AM266" s="170" t="str">
        <f t="shared" si="125"/>
        <v>1.7378332870346+0.674982992781088i</v>
      </c>
      <c r="AN266" s="170" t="str">
        <f t="shared" si="126"/>
        <v>2.40065100184889i</v>
      </c>
      <c r="AO266" s="170" t="str">
        <f t="shared" si="127"/>
        <v>0.281166646989188-0.723900844269403i</v>
      </c>
      <c r="AP266" s="170" t="str">
        <f t="shared" si="128"/>
        <v>-0.122972214505767-0.112497165463515i</v>
      </c>
      <c r="AQ266" s="170" t="str">
        <f t="shared" si="129"/>
        <v>1.12297221450577+0.112497165463515i</v>
      </c>
      <c r="AR266" s="170" t="str">
        <f t="shared" si="130"/>
        <v>0.734411200257917-0.073571881161846i</v>
      </c>
    </row>
    <row r="267" spans="7:44">
      <c r="G267" s="688">
        <v>16789</v>
      </c>
      <c r="H267" s="676">
        <f t="shared" si="122"/>
        <v>16.789000000000001</v>
      </c>
      <c r="I267" s="677">
        <f t="shared" si="102"/>
        <v>15.225625894183475</v>
      </c>
      <c r="J267" s="678">
        <f t="shared" si="103"/>
        <v>1.5050702702282985</v>
      </c>
      <c r="K267" s="678">
        <f t="shared" si="104"/>
        <v>1.0002692565615858</v>
      </c>
      <c r="L267" s="679">
        <f t="shared" si="105"/>
        <v>2.3203282507038698E-2</v>
      </c>
      <c r="M267" s="678">
        <f t="shared" si="106"/>
        <v>1.0225201822872823</v>
      </c>
      <c r="N267" s="679">
        <f t="shared" si="107"/>
        <v>-0.21026419483291053</v>
      </c>
      <c r="O267" s="677">
        <f t="shared" si="108"/>
        <v>696223.42681193817</v>
      </c>
      <c r="P267" s="680">
        <f t="shared" si="109"/>
        <v>1.5707948904743687</v>
      </c>
      <c r="Q267" s="689">
        <f t="shared" si="131"/>
        <v>28.098811532907575</v>
      </c>
      <c r="R267" s="690">
        <f t="shared" si="132"/>
        <v>1.5352001161952884</v>
      </c>
      <c r="S267" s="677">
        <f t="shared" si="110"/>
        <v>1.0017978590063747</v>
      </c>
      <c r="T267" s="680">
        <f t="shared" si="111"/>
        <v>5.9919438440251098E-2</v>
      </c>
      <c r="U267" s="681">
        <f t="shared" si="123"/>
        <v>0.57072260895340265</v>
      </c>
      <c r="V267" s="682">
        <f t="shared" si="124"/>
        <v>-1.3054605705288853</v>
      </c>
      <c r="W267" s="683">
        <f t="shared" si="112"/>
        <v>-6.2530030488659296</v>
      </c>
      <c r="X267" s="684">
        <f t="shared" si="113"/>
        <v>-177.22191762971866</v>
      </c>
      <c r="Y267" s="687">
        <f t="shared" si="114"/>
        <v>2.7780823702813393</v>
      </c>
      <c r="AA267" s="170">
        <f t="shared" si="115"/>
        <v>16789</v>
      </c>
      <c r="AB267" s="170">
        <f t="shared" si="116"/>
        <v>281870521</v>
      </c>
      <c r="AD267" s="686">
        <f t="shared" si="117"/>
        <v>17.208634495327601</v>
      </c>
      <c r="AE267" s="687">
        <f t="shared" si="118"/>
        <v>-5.4725612785857649</v>
      </c>
      <c r="AG267" s="686">
        <f t="shared" si="119"/>
        <v>44.011173867410626</v>
      </c>
      <c r="AH267" s="687">
        <f t="shared" si="120"/>
        <v>-22.154594156104643</v>
      </c>
      <c r="AJ267" s="170">
        <f t="shared" si="121"/>
        <v>0</v>
      </c>
      <c r="AK267" s="170">
        <f t="shared" si="133"/>
        <v>0</v>
      </c>
      <c r="AM267" s="170" t="str">
        <f t="shared" si="125"/>
        <v>1.74712952001323+0.664678478909017i</v>
      </c>
      <c r="AN267" s="170" t="str">
        <f t="shared" si="126"/>
        <v>2.41452925984969i</v>
      </c>
      <c r="AO267" s="170" t="str">
        <f t="shared" si="127"/>
        <v>0.275282842896836-0.723590121298423i</v>
      </c>
      <c r="AP267" s="170" t="str">
        <f t="shared" si="128"/>
        <v>-0.124521586668871-0.110779746484836i</v>
      </c>
      <c r="AQ267" s="170" t="str">
        <f t="shared" si="129"/>
        <v>1.12452158666887+0.110779746484836i</v>
      </c>
      <c r="AR267" s="170" t="str">
        <f t="shared" si="130"/>
        <v>0.733639654703959-0.0722728811281227i</v>
      </c>
    </row>
    <row r="268" spans="7:44">
      <c r="G268" s="688">
        <v>16885.5</v>
      </c>
      <c r="H268" s="676">
        <f t="shared" si="122"/>
        <v>16.8855</v>
      </c>
      <c r="I268" s="677">
        <f t="shared" si="102"/>
        <v>15.312763480277509</v>
      </c>
      <c r="J268" s="678">
        <f t="shared" si="103"/>
        <v>1.5054448205601649</v>
      </c>
      <c r="K268" s="678">
        <f t="shared" si="104"/>
        <v>1.0002723603061816</v>
      </c>
      <c r="L268" s="679">
        <f t="shared" si="105"/>
        <v>2.3336602313319982E-2</v>
      </c>
      <c r="M268" s="678">
        <f t="shared" si="106"/>
        <v>1.0227769185257929</v>
      </c>
      <c r="N268" s="679">
        <f t="shared" si="107"/>
        <v>-0.21143715201628718</v>
      </c>
      <c r="O268" s="677">
        <f t="shared" si="108"/>
        <v>700225.18752950418</v>
      </c>
      <c r="P268" s="680">
        <f t="shared" si="109"/>
        <v>1.5707948986828866</v>
      </c>
      <c r="Q268" s="689">
        <f t="shared" si="131"/>
        <v>28.260114219493332</v>
      </c>
      <c r="R268" s="690">
        <f t="shared" si="132"/>
        <v>1.5354033768738773</v>
      </c>
      <c r="S268" s="677">
        <f t="shared" si="110"/>
        <v>1.0018185670980106</v>
      </c>
      <c r="T268" s="680">
        <f t="shared" si="111"/>
        <v>6.0263013192834586E-2</v>
      </c>
      <c r="U268" s="681">
        <f t="shared" si="123"/>
        <v>0.56826684014975115</v>
      </c>
      <c r="V268" s="682">
        <f t="shared" si="124"/>
        <v>-1.3107379802439265</v>
      </c>
      <c r="W268" s="683">
        <f t="shared" si="112"/>
        <v>-6.3380613895345475</v>
      </c>
      <c r="X268" s="684">
        <f t="shared" si="113"/>
        <v>-177.61335779532158</v>
      </c>
      <c r="Y268" s="687">
        <f t="shared" si="114"/>
        <v>2.3866422046784237</v>
      </c>
      <c r="AA268" s="170">
        <f t="shared" si="115"/>
        <v>16885.5</v>
      </c>
      <c r="AB268" s="170">
        <f t="shared" si="116"/>
        <v>285120110.25</v>
      </c>
      <c r="AD268" s="686">
        <f t="shared" si="117"/>
        <v>17.20839225977673</v>
      </c>
      <c r="AE268" s="687">
        <f t="shared" si="118"/>
        <v>-5.4806011531545602</v>
      </c>
      <c r="AG268" s="686">
        <f t="shared" si="119"/>
        <v>44.001268271342475</v>
      </c>
      <c r="AH268" s="687">
        <f t="shared" si="120"/>
        <v>-21.933247839581302</v>
      </c>
      <c r="AJ268" s="170">
        <f t="shared" si="121"/>
        <v>0</v>
      </c>
      <c r="AK268" s="170">
        <f t="shared" si="133"/>
        <v>0</v>
      </c>
      <c r="AM268" s="170" t="str">
        <f t="shared" si="125"/>
        <v>1.75628185363948+0.654245945998626i</v>
      </c>
      <c r="AN268" s="170" t="str">
        <f t="shared" si="126"/>
        <v>2.42840751785049i</v>
      </c>
      <c r="AO268" s="170" t="str">
        <f t="shared" si="127"/>
        <v>0.269413572964777-0.723223693193825i</v>
      </c>
      <c r="AP268" s="170" t="str">
        <f t="shared" si="128"/>
        <v>-0.126046975606579-0.109040990999771i</v>
      </c>
      <c r="AQ268" s="170" t="str">
        <f t="shared" si="129"/>
        <v>1.12604697560658+0.109040990999771i</v>
      </c>
      <c r="AR268" s="170" t="str">
        <f t="shared" si="130"/>
        <v>0.732883701884568-0.0709689443444628i</v>
      </c>
    </row>
    <row r="269" spans="7:44">
      <c r="G269" s="688">
        <v>16982</v>
      </c>
      <c r="H269" s="676">
        <f t="shared" si="122"/>
        <v>16.981999999999999</v>
      </c>
      <c r="I269" s="677">
        <f t="shared" ref="I269:I332" si="134">SQRT(1+(G269/pole1)^2)</f>
        <v>15.399903190257215</v>
      </c>
      <c r="J269" s="678">
        <f t="shared" ref="J269:J332" si="135">ATAN(G269/pole1)</f>
        <v>1.5058151321886268</v>
      </c>
      <c r="K269" s="678">
        <f t="shared" ref="K269:K332" si="136">SQRT(1+(G269/Zero1)^2)</f>
        <v>1.0002754818296788</v>
      </c>
      <c r="L269" s="679">
        <f t="shared" ref="L269:L332" si="137">ATAN(G269/Zero1)</f>
        <v>2.34699212898783E-2</v>
      </c>
      <c r="M269" s="678">
        <f t="shared" ref="M269:M332" si="138">SQRT(1+(G269/z_RHP)^2)</f>
        <v>1.0230350612225916</v>
      </c>
      <c r="N269" s="679">
        <f t="shared" ref="N269:N332" si="139">-ATAN(G269/z_RHP)</f>
        <v>-0.21260951886679508</v>
      </c>
      <c r="O269" s="677">
        <f t="shared" ref="O269:O332" si="140">SQRT(1+(G269/Pole2)^2)</f>
        <v>704226.94824707008</v>
      </c>
      <c r="P269" s="680">
        <f t="shared" ref="P269:P332" si="141">ATAN(G269/Pole2)</f>
        <v>1.5707949067981151</v>
      </c>
      <c r="Q269" s="689">
        <f t="shared" si="131"/>
        <v>28.421418060390177</v>
      </c>
      <c r="R269" s="690">
        <f t="shared" si="132"/>
        <v>1.5356043303761513</v>
      </c>
      <c r="S269" s="677">
        <f t="shared" ref="S269:S332" si="142">SQRT(1+(G269/pole4)^2)</f>
        <v>1.0018393934430303</v>
      </c>
      <c r="T269" s="680">
        <f t="shared" ref="T269:T332" si="143">ATAN(G269/pole4)</f>
        <v>6.0606573701433998E-2</v>
      </c>
      <c r="U269" s="681">
        <f t="shared" si="123"/>
        <v>0.5658214072980754</v>
      </c>
      <c r="V269" s="682">
        <f t="shared" si="124"/>
        <v>-1.3160029248856737</v>
      </c>
      <c r="W269" s="683">
        <f t="shared" ref="W269:W332" si="144">20*LOG10(((K269*Q269*M269*U269)/(I269*O269*S269))*Adc)</f>
        <v>-6.4228316115011861</v>
      </c>
      <c r="X269" s="684">
        <f t="shared" ref="X269:X332" si="145">((L269+R269+N269+V269)-(J269+P269+T269))*radconv</f>
        <v>-178.00393849897461</v>
      </c>
      <c r="Y269" s="687">
        <f t="shared" ref="Y269:Y332" si="146">IF(X269&gt;0,X269,X269+180)</f>
        <v>1.9960615010253946</v>
      </c>
      <c r="AA269" s="170">
        <f t="shared" ref="AA269:AA332" si="147">IF(W269&lt;0,G269,1000000000)</f>
        <v>16982</v>
      </c>
      <c r="AB269" s="170">
        <f t="shared" ref="AB269:AB332" si="148">G269^2</f>
        <v>288388324</v>
      </c>
      <c r="AD269" s="686">
        <f t="shared" ref="AD269:AD332" si="149">20*LOG10((Q269/(O269*S269))*Aea)</f>
        <v>17.208150067505088</v>
      </c>
      <c r="AE269" s="687">
        <f t="shared" ref="AE269:AE332" si="150">(R269-(P269+T269))*radconv</f>
        <v>-5.4887723977236869</v>
      </c>
      <c r="AG269" s="686">
        <f t="shared" ref="AG269:AG332" si="151">20*LOG10((K269*M269/(I269*U269))*Acs*Am)</f>
        <v>43.991657842937705</v>
      </c>
      <c r="AH269" s="687">
        <f t="shared" ref="AH269:AH332" si="152">(L269+N269-(J269+V269))*radconv</f>
        <v>-21.712339083291582</v>
      </c>
      <c r="AJ269" s="170">
        <f t="shared" ref="AJ269:AJ332" si="153">SUM((W270&lt;0)*(W269&gt;0))*G269</f>
        <v>0</v>
      </c>
      <c r="AK269" s="170">
        <f t="shared" si="133"/>
        <v>0</v>
      </c>
      <c r="AM269" s="170" t="str">
        <f t="shared" si="125"/>
        <v>1.76528852514687+0.64368740338656i</v>
      </c>
      <c r="AN269" s="170" t="str">
        <f t="shared" si="126"/>
        <v>2.4422857758513i</v>
      </c>
      <c r="AO269" s="170" t="str">
        <f t="shared" si="127"/>
        <v>0.263559412150362-0.722801787817623i</v>
      </c>
      <c r="AP269" s="170" t="str">
        <f t="shared" si="128"/>
        <v>-0.127548087524478-0.10728123389776i</v>
      </c>
      <c r="AQ269" s="170" t="str">
        <f t="shared" si="129"/>
        <v>1.12754808752448+0.10728123389776i</v>
      </c>
      <c r="AR269" s="170" t="str">
        <f t="shared" si="130"/>
        <v>0.7321432903352-0.0696602091264874i</v>
      </c>
    </row>
    <row r="270" spans="7:44">
      <c r="G270" s="688">
        <v>17081</v>
      </c>
      <c r="H270" s="676">
        <f t="shared" ref="H270:H333" si="154">G270/1000</f>
        <v>17.081</v>
      </c>
      <c r="I270" s="677">
        <f t="shared" si="134"/>
        <v>15.489302575237291</v>
      </c>
      <c r="J270" s="678">
        <f t="shared" si="135"/>
        <v>1.5061907074190597</v>
      </c>
      <c r="K270" s="678">
        <f t="shared" si="136"/>
        <v>1.0002787026972431</v>
      </c>
      <c r="L270" s="679">
        <f t="shared" si="137"/>
        <v>2.3606693258729092E-2</v>
      </c>
      <c r="M270" s="678">
        <f t="shared" si="138"/>
        <v>1.0233013520236935</v>
      </c>
      <c r="N270" s="679">
        <f t="shared" si="139"/>
        <v>-0.21381164153582202</v>
      </c>
      <c r="O270" s="677">
        <f t="shared" si="140"/>
        <v>708332.38152208587</v>
      </c>
      <c r="P270" s="680">
        <f t="shared" si="141"/>
        <v>1.5707949150282936</v>
      </c>
      <c r="Q270" s="689">
        <f t="shared" si="131"/>
        <v>28.586901936342819</v>
      </c>
      <c r="R270" s="690">
        <f t="shared" si="132"/>
        <v>1.535808133239732</v>
      </c>
      <c r="S270" s="677">
        <f t="shared" si="142"/>
        <v>1.0018608822113431</v>
      </c>
      <c r="T270" s="680">
        <f t="shared" si="143"/>
        <v>6.0959019854981165E-2</v>
      </c>
      <c r="U270" s="681">
        <f t="shared" ref="U270:U333" si="155">IMABS(IMPRODUCT(AO270, AR270))</f>
        <v>0.56332331097059396</v>
      </c>
      <c r="V270" s="682">
        <f t="shared" ref="V270:V333" si="156">IMARGUMENT(IMPRODUCT(AO270, AR270))</f>
        <v>-1.3213915843528956</v>
      </c>
      <c r="W270" s="683">
        <f t="shared" si="144"/>
        <v>-6.5095019749401786</v>
      </c>
      <c r="X270" s="684">
        <f t="shared" si="145"/>
        <v>-178.40376202327386</v>
      </c>
      <c r="Y270" s="687">
        <f t="shared" si="146"/>
        <v>1.5962379767261439</v>
      </c>
      <c r="AA270" s="170">
        <f t="shared" si="147"/>
        <v>17081</v>
      </c>
      <c r="AB270" s="170">
        <f t="shared" si="148"/>
        <v>291760561</v>
      </c>
      <c r="AD270" s="686">
        <f t="shared" si="149"/>
        <v>17.207901620807743</v>
      </c>
      <c r="AE270" s="687">
        <f t="shared" si="150"/>
        <v>-5.4972895024559296</v>
      </c>
      <c r="AG270" s="686">
        <f t="shared" si="151"/>
        <v>43.982101979081143</v>
      </c>
      <c r="AH270" s="687">
        <f t="shared" si="152"/>
        <v>-21.486150612742954</v>
      </c>
      <c r="AJ270" s="170">
        <f t="shared" si="153"/>
        <v>0</v>
      </c>
      <c r="AK270" s="170">
        <f t="shared" si="133"/>
        <v>0</v>
      </c>
      <c r="AM270" s="170" t="str">
        <f t="shared" ref="AM270:AM333" si="157">IMSUB(1,IMEXP(COMPLEX(0,-2*Pi*G270*Tsw)))</f>
        <v>1.77437534058803+0.632726506390539i</v>
      </c>
      <c r="AN270" s="170" t="str">
        <f t="shared" ref="AN270:AN333" si="158">COMPLEX(0, 2*Pi*G270*Tsw)</f>
        <v>2.45652357421482i</v>
      </c>
      <c r="AO270" s="170" t="str">
        <f t="shared" ref="AO270:AO333" si="159">IMDIV(AM270, AN270)</f>
        <v>0.2575698898362-0.722311545963964i</v>
      </c>
      <c r="AP270" s="170" t="str">
        <f t="shared" ref="AP270:AP333" si="160">IMDIV(IMEXP(COMPLEX(0,-2*Pi*G270*Tsw)),6)</f>
        <v>-0.129062556764671-0.105454417731756i</v>
      </c>
      <c r="AQ270" s="170" t="str">
        <f t="shared" ref="AQ270:AQ333" si="161">IMSUB(1, AP270)</f>
        <v>1.12906255676467+0.105454417731756i</v>
      </c>
      <c r="AR270" s="170" t="str">
        <f t="shared" ref="AR270:AR333" si="162">IMDIV(0.833, AQ270)</f>
        <v>0.731399793983623-0.0683127245178367i</v>
      </c>
    </row>
    <row r="271" spans="7:44">
      <c r="G271" s="688">
        <v>17180</v>
      </c>
      <c r="H271" s="676">
        <f t="shared" si="154"/>
        <v>17.18</v>
      </c>
      <c r="I271" s="677">
        <f t="shared" si="134"/>
        <v>15.578704120011887</v>
      </c>
      <c r="J271" s="678">
        <f t="shared" si="135"/>
        <v>1.5065619720725034</v>
      </c>
      <c r="K271" s="678">
        <f t="shared" si="136"/>
        <v>1.0002819422764719</v>
      </c>
      <c r="L271" s="679">
        <f t="shared" si="137"/>
        <v>2.3743464344220904E-2</v>
      </c>
      <c r="M271" s="678">
        <f t="shared" si="138"/>
        <v>1.0235691208257875</v>
      </c>
      <c r="N271" s="679">
        <f t="shared" si="139"/>
        <v>-0.21501313698246449</v>
      </c>
      <c r="O271" s="677">
        <f t="shared" si="140"/>
        <v>712437.81479710178</v>
      </c>
      <c r="P271" s="680">
        <f t="shared" si="141"/>
        <v>1.5707949231636193</v>
      </c>
      <c r="Q271" s="689">
        <f t="shared" si="131"/>
        <v>28.75238698600193</v>
      </c>
      <c r="R271" s="690">
        <f t="shared" si="132"/>
        <v>1.5360095901271074</v>
      </c>
      <c r="S271" s="677">
        <f t="shared" si="142"/>
        <v>1.0018824954237548</v>
      </c>
      <c r="T271" s="680">
        <f t="shared" si="143"/>
        <v>6.1311450845943881E-2</v>
      </c>
      <c r="U271" s="681">
        <f t="shared" si="155"/>
        <v>0.56083598685509095</v>
      </c>
      <c r="V271" s="682">
        <f t="shared" si="156"/>
        <v>-1.326767674773528</v>
      </c>
      <c r="W271" s="683">
        <f t="shared" si="144"/>
        <v>-6.5958760566138972</v>
      </c>
      <c r="X271" s="684">
        <f t="shared" si="145"/>
        <v>-178.80271607014726</v>
      </c>
      <c r="Y271" s="687">
        <f t="shared" si="146"/>
        <v>1.1972839298527447</v>
      </c>
      <c r="AA271" s="170">
        <f t="shared" si="147"/>
        <v>17180</v>
      </c>
      <c r="AB271" s="170">
        <f t="shared" si="148"/>
        <v>295152400</v>
      </c>
      <c r="AD271" s="686">
        <f t="shared" si="149"/>
        <v>17.207653169552945</v>
      </c>
      <c r="AE271" s="687">
        <f t="shared" si="150"/>
        <v>-5.5059401475369638</v>
      </c>
      <c r="AG271" s="686">
        <f t="shared" si="151"/>
        <v>43.972850357743908</v>
      </c>
      <c r="AH271" s="687">
        <f t="shared" si="152"/>
        <v>-21.260399431065455</v>
      </c>
      <c r="AJ271" s="170">
        <f t="shared" si="153"/>
        <v>0</v>
      </c>
      <c r="AK271" s="170">
        <f t="shared" si="133"/>
        <v>0</v>
      </c>
      <c r="AM271" s="170" t="str">
        <f t="shared" si="157"/>
        <v>1.78330518125951+0.621637348469352i</v>
      </c>
      <c r="AN271" s="170" t="str">
        <f t="shared" si="158"/>
        <v>2.47076137257834i</v>
      </c>
      <c r="AO271" s="170" t="str">
        <f t="shared" si="159"/>
        <v>0.251597485442574-0.721763421207512i</v>
      </c>
      <c r="AP271" s="170" t="str">
        <f t="shared" si="160"/>
        <v>-0.130550863543252-0.103606224744892i</v>
      </c>
      <c r="AQ271" s="170" t="str">
        <f t="shared" si="161"/>
        <v>1.13055086354325+0.103606224744892i</v>
      </c>
      <c r="AR271" s="170" t="str">
        <f t="shared" si="162"/>
        <v>0.730672546019495-0.0669604760466597i</v>
      </c>
    </row>
    <row r="272" spans="7:44">
      <c r="G272" s="688">
        <v>17279</v>
      </c>
      <c r="H272" s="676">
        <f t="shared" si="154"/>
        <v>17.279</v>
      </c>
      <c r="I272" s="677">
        <f t="shared" si="134"/>
        <v>15.66810778760992</v>
      </c>
      <c r="J272" s="678">
        <f t="shared" si="135"/>
        <v>1.5069289998353728</v>
      </c>
      <c r="K272" s="678">
        <f t="shared" si="136"/>
        <v>1.0002852005671832</v>
      </c>
      <c r="L272" s="679">
        <f t="shared" si="137"/>
        <v>2.3880234541245379E-2</v>
      </c>
      <c r="M272" s="678">
        <f t="shared" si="138"/>
        <v>1.0238383664692297</v>
      </c>
      <c r="N272" s="679">
        <f t="shared" si="139"/>
        <v>-0.21621400223127263</v>
      </c>
      <c r="O272" s="677">
        <f t="shared" si="140"/>
        <v>716543.2480721178</v>
      </c>
      <c r="P272" s="680">
        <f t="shared" si="141"/>
        <v>1.5707949312057221</v>
      </c>
      <c r="Q272" s="689">
        <f t="shared" si="131"/>
        <v>28.917873189217609</v>
      </c>
      <c r="R272" s="690">
        <f t="shared" si="132"/>
        <v>1.5362087412972241</v>
      </c>
      <c r="S272" s="677">
        <f t="shared" si="142"/>
        <v>1.0019042330722125</v>
      </c>
      <c r="T272" s="680">
        <f t="shared" si="143"/>
        <v>6.1663866587757042E-2</v>
      </c>
      <c r="U272" s="681">
        <f t="shared" si="155"/>
        <v>0.55835937861444174</v>
      </c>
      <c r="V272" s="682">
        <f t="shared" si="156"/>
        <v>-1.3321314734036001</v>
      </c>
      <c r="W272" s="683">
        <f t="shared" si="144"/>
        <v>-6.681957342381394</v>
      </c>
      <c r="X272" s="684">
        <f t="shared" si="145"/>
        <v>-179.20081826539345</v>
      </c>
      <c r="Y272" s="687">
        <f t="shared" si="146"/>
        <v>0.79918173460654884</v>
      </c>
      <c r="AA272" s="170">
        <f t="shared" si="147"/>
        <v>17279</v>
      </c>
      <c r="AB272" s="170">
        <f t="shared" si="148"/>
        <v>298563841</v>
      </c>
      <c r="AD272" s="686">
        <f t="shared" si="149"/>
        <v>17.207404689445404</v>
      </c>
      <c r="AE272" s="687">
        <f t="shared" si="150"/>
        <v>-5.5147220214326413</v>
      </c>
      <c r="AG272" s="686">
        <f t="shared" si="151"/>
        <v>43.96389986103771</v>
      </c>
      <c r="AH272" s="687">
        <f t="shared" si="152"/>
        <v>-21.035073704391301</v>
      </c>
      <c r="AJ272" s="170">
        <f t="shared" si="153"/>
        <v>0</v>
      </c>
      <c r="AK272" s="170">
        <f t="shared" si="133"/>
        <v>0</v>
      </c>
      <c r="AM272" s="170" t="str">
        <f t="shared" si="157"/>
        <v>1.79207623698012+0.610422177522589i</v>
      </c>
      <c r="AN272" s="170" t="str">
        <f t="shared" si="158"/>
        <v>2.48499917094186i</v>
      </c>
      <c r="AO272" s="170" t="str">
        <f t="shared" si="159"/>
        <v>0.245642809325859-0.721157680024855i</v>
      </c>
      <c r="AP272" s="170" t="str">
        <f t="shared" si="160"/>
        <v>-0.132012706163353-0.101737029587098i</v>
      </c>
      <c r="AQ272" s="170" t="str">
        <f t="shared" si="161"/>
        <v>1.13201270616335+0.101737029587098i</v>
      </c>
      <c r="AR272" s="170" t="str">
        <f t="shared" si="162"/>
        <v>0.72996149216647-0.0656036045546524i</v>
      </c>
    </row>
    <row r="273" spans="7:44">
      <c r="G273" s="688">
        <v>17378</v>
      </c>
      <c r="H273" s="676">
        <f t="shared" si="154"/>
        <v>17.378</v>
      </c>
      <c r="I273" s="677">
        <f t="shared" si="134"/>
        <v>15.757513541898495</v>
      </c>
      <c r="J273" s="678">
        <f t="shared" si="135"/>
        <v>1.5072918627263658</v>
      </c>
      <c r="K273" s="678">
        <f t="shared" si="136"/>
        <v>1.000288477569194</v>
      </c>
      <c r="L273" s="679">
        <f t="shared" si="137"/>
        <v>2.4017003844694355E-2</v>
      </c>
      <c r="M273" s="678">
        <f t="shared" si="138"/>
        <v>1.0241090877892032</v>
      </c>
      <c r="N273" s="679">
        <f t="shared" si="139"/>
        <v>-0.21741423431718718</v>
      </c>
      <c r="O273" s="677">
        <f t="shared" si="140"/>
        <v>720648.68134713382</v>
      </c>
      <c r="P273" s="680">
        <f t="shared" si="141"/>
        <v>1.5707949391561957</v>
      </c>
      <c r="Q273" s="689">
        <f t="shared" si="131"/>
        <v>29.083360526298414</v>
      </c>
      <c r="R273" s="690">
        <f t="shared" si="132"/>
        <v>1.5364056260934589</v>
      </c>
      <c r="S273" s="677">
        <f t="shared" si="142"/>
        <v>1.0019260951486166</v>
      </c>
      <c r="T273" s="680">
        <f t="shared" si="143"/>
        <v>6.2016266993878182E-2</v>
      </c>
      <c r="U273" s="681">
        <f t="shared" si="155"/>
        <v>0.55589342827477228</v>
      </c>
      <c r="V273" s="682">
        <f t="shared" si="156"/>
        <v>-1.3374832565759305</v>
      </c>
      <c r="W273" s="683">
        <f t="shared" si="144"/>
        <v>-6.7677492938753092</v>
      </c>
      <c r="X273" s="684">
        <f t="shared" si="145"/>
        <v>-179.59808613941487</v>
      </c>
      <c r="Y273" s="687">
        <f t="shared" si="146"/>
        <v>0.40191386058512535</v>
      </c>
      <c r="AA273" s="170">
        <f t="shared" si="147"/>
        <v>17378</v>
      </c>
      <c r="AB273" s="170">
        <f t="shared" si="148"/>
        <v>301994884</v>
      </c>
      <c r="AD273" s="686">
        <f t="shared" si="149"/>
        <v>17.207156156883837</v>
      </c>
      <c r="AE273" s="687">
        <f t="shared" si="150"/>
        <v>-5.5236328650662916</v>
      </c>
      <c r="AG273" s="686">
        <f t="shared" si="151"/>
        <v>43.955247457643729</v>
      </c>
      <c r="AH273" s="687">
        <f t="shared" si="152"/>
        <v>-20.810161556790966</v>
      </c>
      <c r="AJ273" s="170">
        <f t="shared" si="153"/>
        <v>0</v>
      </c>
      <c r="AK273" s="170">
        <f t="shared" si="133"/>
        <v>0</v>
      </c>
      <c r="AM273" s="170" t="str">
        <f t="shared" si="157"/>
        <v>1.80068672975617+0.599083266994135i</v>
      </c>
      <c r="AN273" s="170" t="str">
        <f t="shared" si="158"/>
        <v>2.49923696930537i</v>
      </c>
      <c r="AO273" s="170" t="str">
        <f t="shared" si="159"/>
        <v>0.239706468154815-0.720494595699201i</v>
      </c>
      <c r="AP273" s="170" t="str">
        <f t="shared" si="160"/>
        <v>-0.133447788292695-0.0998472111656892i</v>
      </c>
      <c r="AQ273" s="170" t="str">
        <f t="shared" si="161"/>
        <v>1.13344778829269+0.0998472111656892i</v>
      </c>
      <c r="AR273" s="170" t="str">
        <f t="shared" si="162"/>
        <v>0.729266578682497-0.0642422481475502i</v>
      </c>
    </row>
    <row r="274" spans="7:44">
      <c r="G274" s="688">
        <v>17479.25</v>
      </c>
      <c r="H274" s="676">
        <f t="shared" si="154"/>
        <v>17.47925</v>
      </c>
      <c r="I274" s="677">
        <f t="shared" si="134"/>
        <v>15.848953366711314</v>
      </c>
      <c r="J274" s="678">
        <f t="shared" si="135"/>
        <v>1.507658737927658</v>
      </c>
      <c r="K274" s="678">
        <f t="shared" si="136"/>
        <v>1.0002918484023491</v>
      </c>
      <c r="L274" s="679">
        <f t="shared" si="137"/>
        <v>2.4156880611811007E-2</v>
      </c>
      <c r="M274" s="678">
        <f t="shared" si="138"/>
        <v>1.0243874870118985</v>
      </c>
      <c r="N274" s="679">
        <f t="shared" si="139"/>
        <v>-0.21864108641432231</v>
      </c>
      <c r="O274" s="677">
        <f t="shared" si="140"/>
        <v>724847.41992385476</v>
      </c>
      <c r="P274" s="680">
        <f t="shared" si="141"/>
        <v>1.5707949471942075</v>
      </c>
      <c r="Q274" s="689">
        <f t="shared" si="131"/>
        <v>29.252610091979193</v>
      </c>
      <c r="R274" s="690">
        <f t="shared" si="132"/>
        <v>1.5366046813929064</v>
      </c>
      <c r="S274" s="677">
        <f t="shared" si="142"/>
        <v>1.0019485827838484</v>
      </c>
      <c r="T274" s="680">
        <f t="shared" si="143"/>
        <v>6.2376660547508678E-2</v>
      </c>
      <c r="U274" s="681">
        <f t="shared" si="155"/>
        <v>0.55338239552592094</v>
      </c>
      <c r="V274" s="682">
        <f t="shared" si="156"/>
        <v>-1.3429445300376091</v>
      </c>
      <c r="W274" s="683">
        <f t="shared" si="144"/>
        <v>-6.8551953731052873</v>
      </c>
      <c r="X274" s="684">
        <f t="shared" si="145"/>
        <v>-180.00353802106895</v>
      </c>
      <c r="Y274" s="687">
        <f t="shared" si="146"/>
        <v>-3.5380210689481828E-3</v>
      </c>
      <c r="AA274" s="170">
        <f t="shared" si="147"/>
        <v>17479.25</v>
      </c>
      <c r="AB274" s="170">
        <f t="shared" si="148"/>
        <v>305524180.5625</v>
      </c>
      <c r="AD274" s="686">
        <f t="shared" si="149"/>
        <v>17.206901897704917</v>
      </c>
      <c r="AE274" s="687">
        <f t="shared" si="150"/>
        <v>-5.5328773266597002</v>
      </c>
      <c r="AG274" s="686">
        <f t="shared" si="151"/>
        <v>43.94670367127403</v>
      </c>
      <c r="AH274" s="687">
        <f t="shared" si="152"/>
        <v>-20.580553135894572</v>
      </c>
      <c r="AJ274" s="170">
        <f t="shared" si="153"/>
        <v>0</v>
      </c>
      <c r="AK274" s="170">
        <f t="shared" si="133"/>
        <v>0</v>
      </c>
      <c r="AM274" s="170" t="str">
        <f t="shared" si="157"/>
        <v>1.8093250185177+0.587361059656941i</v>
      </c>
      <c r="AN274" s="170" t="str">
        <f t="shared" si="158"/>
        <v>2.51379835399534i</v>
      </c>
      <c r="AO274" s="170" t="str">
        <f t="shared" si="159"/>
        <v>0.233654803187937-0.71975742033645i</v>
      </c>
      <c r="AP274" s="170" t="str">
        <f t="shared" si="160"/>
        <v>-0.134887503086283-0.0978935099428235i</v>
      </c>
      <c r="AQ274" s="170" t="str">
        <f t="shared" si="161"/>
        <v>1.13488750308628+0.0978935099428235i</v>
      </c>
      <c r="AR274" s="170" t="str">
        <f t="shared" si="162"/>
        <v>0.72857251108719-0.0628454539892483i</v>
      </c>
    </row>
    <row r="275" spans="7:44">
      <c r="G275" s="688">
        <v>17580.5</v>
      </c>
      <c r="H275" s="676">
        <f t="shared" si="154"/>
        <v>17.580500000000001</v>
      </c>
      <c r="I275" s="677">
        <f t="shared" si="134"/>
        <v>15.940395300278167</v>
      </c>
      <c r="J275" s="678">
        <f t="shared" si="135"/>
        <v>1.5080214040247459</v>
      </c>
      <c r="K275" s="678">
        <f t="shared" si="136"/>
        <v>1.000295238806592</v>
      </c>
      <c r="L275" s="679">
        <f t="shared" si="137"/>
        <v>2.4296756433466758E-2</v>
      </c>
      <c r="M275" s="678">
        <f t="shared" si="138"/>
        <v>1.0246674272686813</v>
      </c>
      <c r="N275" s="679">
        <f t="shared" si="139"/>
        <v>-0.21986727000157172</v>
      </c>
      <c r="O275" s="677">
        <f t="shared" si="140"/>
        <v>729046.15850057581</v>
      </c>
      <c r="P275" s="680">
        <f t="shared" si="141"/>
        <v>1.5707949551396341</v>
      </c>
      <c r="Q275" s="689">
        <f t="shared" si="131"/>
        <v>29.42186080340127</v>
      </c>
      <c r="R275" s="690">
        <f t="shared" si="132"/>
        <v>1.5368014465491389</v>
      </c>
      <c r="S275" s="677">
        <f t="shared" si="142"/>
        <v>1.0019712005498311</v>
      </c>
      <c r="T275" s="680">
        <f t="shared" si="143"/>
        <v>6.2737037877422838E-2</v>
      </c>
      <c r="U275" s="681">
        <f t="shared" si="155"/>
        <v>0.55088238298254544</v>
      </c>
      <c r="V275" s="682">
        <f t="shared" si="156"/>
        <v>-1.3483938174054204</v>
      </c>
      <c r="W275" s="683">
        <f t="shared" si="144"/>
        <v>-6.9423460675928226</v>
      </c>
      <c r="X275" s="684">
        <f t="shared" si="145"/>
        <v>-180.40815401828559</v>
      </c>
      <c r="Y275" s="687">
        <f t="shared" si="146"/>
        <v>-0.40815401828558606</v>
      </c>
      <c r="AA275" s="170">
        <f t="shared" si="147"/>
        <v>17580.5</v>
      </c>
      <c r="AB275" s="170">
        <f t="shared" si="148"/>
        <v>309073980.25</v>
      </c>
      <c r="AD275" s="686">
        <f t="shared" si="149"/>
        <v>17.206647535848983</v>
      </c>
      <c r="AE275" s="687">
        <f t="shared" si="150"/>
        <v>-5.5422520689387405</v>
      </c>
      <c r="AG275" s="686">
        <f t="shared" si="151"/>
        <v>43.938465539350126</v>
      </c>
      <c r="AH275" s="687">
        <f t="shared" si="152"/>
        <v>-20.35135205505955</v>
      </c>
      <c r="AJ275" s="170">
        <f t="shared" si="153"/>
        <v>0</v>
      </c>
      <c r="AK275" s="170">
        <f t="shared" si="133"/>
        <v>0</v>
      </c>
      <c r="AM275" s="170" t="str">
        <f t="shared" si="157"/>
        <v>1.81779170595182+0.575514314049971i</v>
      </c>
      <c r="AN275" s="170" t="str">
        <f t="shared" si="158"/>
        <v>2.5283597386853i</v>
      </c>
      <c r="AO275" s="170" t="str">
        <f t="shared" si="159"/>
        <v>0.227623587436663-0.718960865472821i</v>
      </c>
      <c r="AP275" s="170" t="str">
        <f t="shared" si="160"/>
        <v>-0.136298617658637-0.0959190523416618i</v>
      </c>
      <c r="AQ275" s="170" t="str">
        <f t="shared" si="161"/>
        <v>1.13629861765864+0.0959190523416618i</v>
      </c>
      <c r="AR275" s="170" t="str">
        <f t="shared" si="162"/>
        <v>0.727895214055804-0.0614442524625498i</v>
      </c>
    </row>
    <row r="276" spans="7:44">
      <c r="G276" s="688">
        <v>17681.75</v>
      </c>
      <c r="H276" s="676">
        <f t="shared" si="154"/>
        <v>17.681750000000001</v>
      </c>
      <c r="I276" s="677">
        <f t="shared" si="134"/>
        <v>16.031839306515515</v>
      </c>
      <c r="J276" s="678">
        <f t="shared" si="135"/>
        <v>1.5083799329463299</v>
      </c>
      <c r="K276" s="678">
        <f t="shared" si="136"/>
        <v>1.0002986487817243</v>
      </c>
      <c r="L276" s="679">
        <f t="shared" si="137"/>
        <v>2.4436631304197848E-2</v>
      </c>
      <c r="M276" s="678">
        <f t="shared" si="138"/>
        <v>1.0249489072968621</v>
      </c>
      <c r="N276" s="679">
        <f t="shared" si="139"/>
        <v>-0.22109278194101625</v>
      </c>
      <c r="O276" s="677">
        <f t="shared" si="140"/>
        <v>733244.89707729698</v>
      </c>
      <c r="P276" s="680">
        <f t="shared" si="141"/>
        <v>1.5707949629940656</v>
      </c>
      <c r="Q276" s="689">
        <f t="shared" si="131"/>
        <v>29.591112640904942</v>
      </c>
      <c r="R276" s="690">
        <f t="shared" si="132"/>
        <v>1.5369959608434796</v>
      </c>
      <c r="S276" s="677">
        <f t="shared" si="142"/>
        <v>1.0019939484377527</v>
      </c>
      <c r="T276" s="680">
        <f t="shared" si="143"/>
        <v>6.3097398891116777E-2</v>
      </c>
      <c r="U276" s="681">
        <f t="shared" si="155"/>
        <v>0.5483933236846914</v>
      </c>
      <c r="V276" s="682">
        <f t="shared" si="156"/>
        <v>-1.3538314113539538</v>
      </c>
      <c r="W276" s="683">
        <f t="shared" si="144"/>
        <v>-7.0292050082228297</v>
      </c>
      <c r="X276" s="684">
        <f t="shared" si="145"/>
        <v>-180.81195258595505</v>
      </c>
      <c r="Y276" s="687">
        <f t="shared" si="146"/>
        <v>-0.81195258595505493</v>
      </c>
      <c r="AA276" s="170">
        <f t="shared" si="147"/>
        <v>17681.75</v>
      </c>
      <c r="AB276" s="170">
        <f t="shared" si="148"/>
        <v>312644283.0625</v>
      </c>
      <c r="AD276" s="686">
        <f t="shared" si="149"/>
        <v>17.206393048171464</v>
      </c>
      <c r="AE276" s="687">
        <f t="shared" si="150"/>
        <v>-5.5517548360404101</v>
      </c>
      <c r="AG276" s="686">
        <f t="shared" si="151"/>
        <v>43.930530090653022</v>
      </c>
      <c r="AH276" s="687">
        <f t="shared" si="152"/>
        <v>-20.122545487001634</v>
      </c>
      <c r="AJ276" s="170">
        <f t="shared" si="153"/>
        <v>0</v>
      </c>
      <c r="AK276" s="170">
        <f t="shared" si="133"/>
        <v>0</v>
      </c>
      <c r="AM276" s="170" t="str">
        <f t="shared" si="157"/>
        <v>1.82608499686531+0.56354554204079i</v>
      </c>
      <c r="AN276" s="170" t="str">
        <f t="shared" si="158"/>
        <v>2.54292112337526i</v>
      </c>
      <c r="AO276" s="170" t="str">
        <f t="shared" si="159"/>
        <v>0.221613457397682-0.718105245215596i</v>
      </c>
      <c r="AP276" s="170" t="str">
        <f t="shared" si="160"/>
        <v>-0.137680832810884-0.0939242570067983i</v>
      </c>
      <c r="AQ276" s="170" t="str">
        <f t="shared" si="161"/>
        <v>1.13768083281088+0.0939242570067983i</v>
      </c>
      <c r="AR276" s="170" t="str">
        <f t="shared" si="162"/>
        <v>0.727234632127474-0.0600387828662134i</v>
      </c>
    </row>
    <row r="277" spans="7:44">
      <c r="G277" s="688">
        <v>17783</v>
      </c>
      <c r="H277" s="676">
        <f t="shared" si="154"/>
        <v>17.783000000000001</v>
      </c>
      <c r="I277" s="677">
        <f t="shared" si="134"/>
        <v>16.123285350157584</v>
      </c>
      <c r="J277" s="678">
        <f t="shared" si="135"/>
        <v>1.5087343949935959</v>
      </c>
      <c r="K277" s="678">
        <f t="shared" si="136"/>
        <v>1.0003020783275451</v>
      </c>
      <c r="L277" s="679">
        <f t="shared" si="137"/>
        <v>2.4576505218540726E-2</v>
      </c>
      <c r="M277" s="678">
        <f t="shared" si="138"/>
        <v>1.0252319258281963</v>
      </c>
      <c r="N277" s="679">
        <f t="shared" si="139"/>
        <v>-0.22231761910624326</v>
      </c>
      <c r="O277" s="677">
        <f t="shared" si="140"/>
        <v>737443.63565401803</v>
      </c>
      <c r="P277" s="680">
        <f t="shared" si="141"/>
        <v>1.5707949707590565</v>
      </c>
      <c r="Q277" s="689">
        <f t="shared" si="131"/>
        <v>29.760365585277608</v>
      </c>
      <c r="R277" s="690">
        <f t="shared" si="132"/>
        <v>1.5371882626643412</v>
      </c>
      <c r="S277" s="677">
        <f t="shared" si="142"/>
        <v>1.0020168264387508</v>
      </c>
      <c r="T277" s="680">
        <f t="shared" si="143"/>
        <v>6.3457743496111912E-2</v>
      </c>
      <c r="U277" s="681">
        <f t="shared" si="155"/>
        <v>0.54591514912475025</v>
      </c>
      <c r="V277" s="682">
        <f t="shared" si="156"/>
        <v>-1.3592576035950121</v>
      </c>
      <c r="W277" s="683">
        <f t="shared" si="144"/>
        <v>-7.1157758036611041</v>
      </c>
      <c r="X277" s="684">
        <f t="shared" si="145"/>
        <v>-181.21495208237283</v>
      </c>
      <c r="Y277" s="687">
        <f t="shared" si="146"/>
        <v>-1.2149520823728324</v>
      </c>
      <c r="AA277" s="170">
        <f t="shared" si="147"/>
        <v>17783</v>
      </c>
      <c r="AB277" s="170">
        <f t="shared" si="148"/>
        <v>316235089</v>
      </c>
      <c r="AD277" s="686">
        <f t="shared" si="149"/>
        <v>17.206138412189244</v>
      </c>
      <c r="AE277" s="687">
        <f t="shared" si="150"/>
        <v>-5.5613834232610957</v>
      </c>
      <c r="AG277" s="686">
        <f t="shared" si="151"/>
        <v>43.922894442453867</v>
      </c>
      <c r="AH277" s="687">
        <f t="shared" si="152"/>
        <v>-19.894120567009704</v>
      </c>
      <c r="AJ277" s="170">
        <f t="shared" si="153"/>
        <v>0</v>
      </c>
      <c r="AK277" s="170">
        <f t="shared" si="133"/>
        <v>0</v>
      </c>
      <c r="AM277" s="170" t="str">
        <f t="shared" si="157"/>
        <v>1.8342031328302+0.551457281370255i</v>
      </c>
      <c r="AN277" s="170" t="str">
        <f t="shared" si="158"/>
        <v>2.55748250806522i</v>
      </c>
      <c r="AO277" s="170" t="str">
        <f t="shared" si="159"/>
        <v>0.215625045188458-0.717190880893964i</v>
      </c>
      <c r="AP277" s="170" t="str">
        <f t="shared" si="160"/>
        <v>-0.139033855471701-0.0919095468950425i</v>
      </c>
      <c r="AQ277" s="170" t="str">
        <f t="shared" si="161"/>
        <v>1.1390338554717+0.0919095468950425i</v>
      </c>
      <c r="AR277" s="170" t="str">
        <f t="shared" si="162"/>
        <v>0.726590710618533-0.0586291818020114i</v>
      </c>
    </row>
    <row r="278" spans="7:44">
      <c r="G278" s="688">
        <v>17886.5</v>
      </c>
      <c r="H278" s="676">
        <f t="shared" si="154"/>
        <v>17.886500000000002</v>
      </c>
      <c r="I278" s="677">
        <f t="shared" si="134"/>
        <v>16.216765598036154</v>
      </c>
      <c r="J278" s="678">
        <f t="shared" si="135"/>
        <v>1.509092602078465</v>
      </c>
      <c r="K278" s="678">
        <f t="shared" si="136"/>
        <v>1.0003056043131633</v>
      </c>
      <c r="L278" s="679">
        <f t="shared" si="137"/>
        <v>2.4719486447898651E-2</v>
      </c>
      <c r="M278" s="678">
        <f t="shared" si="138"/>
        <v>1.0255228225003661</v>
      </c>
      <c r="N278" s="679">
        <f t="shared" si="139"/>
        <v>-0.22356897419858815</v>
      </c>
      <c r="O278" s="677">
        <f t="shared" si="140"/>
        <v>741735.6795324441</v>
      </c>
      <c r="P278" s="680">
        <f t="shared" si="141"/>
        <v>1.5707949786057402</v>
      </c>
      <c r="Q278" s="689">
        <f t="shared" si="131"/>
        <v>29.933380830679784</v>
      </c>
      <c r="R278" s="690">
        <f t="shared" si="132"/>
        <v>1.5373825901531473</v>
      </c>
      <c r="S278" s="677">
        <f t="shared" si="142"/>
        <v>1.002040347312797</v>
      </c>
      <c r="T278" s="680">
        <f t="shared" si="143"/>
        <v>6.3826078703023495E-2</v>
      </c>
      <c r="U278" s="681">
        <f t="shared" si="155"/>
        <v>0.54339308137566711</v>
      </c>
      <c r="V278" s="682">
        <f t="shared" si="156"/>
        <v>-1.3647928960538749</v>
      </c>
      <c r="W278" s="683">
        <f t="shared" si="144"/>
        <v>-7.2039763086655642</v>
      </c>
      <c r="X278" s="684">
        <f t="shared" si="145"/>
        <v>-181.6261002351645</v>
      </c>
      <c r="Y278" s="687">
        <f t="shared" si="146"/>
        <v>-1.6261002351645004</v>
      </c>
      <c r="AA278" s="170">
        <f t="shared" si="147"/>
        <v>17886.5</v>
      </c>
      <c r="AB278" s="170">
        <f t="shared" si="148"/>
        <v>319926882.25</v>
      </c>
      <c r="AD278" s="686">
        <f t="shared" si="149"/>
        <v>17.205877941603614</v>
      </c>
      <c r="AE278" s="687">
        <f t="shared" si="150"/>
        <v>-5.5713537807045039</v>
      </c>
      <c r="AG278" s="686">
        <f t="shared" si="151"/>
        <v>43.915396070582695</v>
      </c>
      <c r="AH278" s="687">
        <f t="shared" si="152"/>
        <v>-19.661000569106346</v>
      </c>
      <c r="AJ278" s="170">
        <f t="shared" si="153"/>
        <v>0</v>
      </c>
      <c r="AK278" s="170">
        <f t="shared" si="133"/>
        <v>0</v>
      </c>
      <c r="AM278" s="170" t="str">
        <f t="shared" si="157"/>
        <v>1.84231884306848+0.538979560476814i</v>
      </c>
      <c r="AN278" s="170" t="str">
        <f t="shared" si="158"/>
        <v>2.57236747908163i</v>
      </c>
      <c r="AO278" s="170" t="str">
        <f t="shared" si="159"/>
        <v>0.209526657781118-0.716195822739219i</v>
      </c>
      <c r="AP278" s="170" t="str">
        <f t="shared" si="160"/>
        <v>-0.140386473844746-0.0898299267461357i</v>
      </c>
      <c r="AQ278" s="170" t="str">
        <f t="shared" si="161"/>
        <v>1.14038647384475+0.0898299267461357i</v>
      </c>
      <c r="AR278" s="170" t="str">
        <f t="shared" si="162"/>
        <v>0.725949643544354-0.0571841255544833i</v>
      </c>
    </row>
    <row r="279" spans="7:44">
      <c r="G279" s="688">
        <v>17990</v>
      </c>
      <c r="H279" s="676">
        <f t="shared" si="154"/>
        <v>17.989999999999998</v>
      </c>
      <c r="I279" s="677">
        <f t="shared" si="134"/>
        <v>16.310247902873481</v>
      </c>
      <c r="J279" s="678">
        <f t="shared" si="135"/>
        <v>1.5094467030752965</v>
      </c>
      <c r="K279" s="678">
        <f t="shared" si="136"/>
        <v>1.0003091507485165</v>
      </c>
      <c r="L279" s="679">
        <f t="shared" si="137"/>
        <v>2.4862466666345649E-2</v>
      </c>
      <c r="M279" s="678">
        <f t="shared" si="138"/>
        <v>1.0258153241157939</v>
      </c>
      <c r="N279" s="679">
        <f t="shared" si="139"/>
        <v>-0.22481961762404562</v>
      </c>
      <c r="O279" s="677">
        <f t="shared" si="140"/>
        <v>746027.7234108703</v>
      </c>
      <c r="P279" s="680">
        <f t="shared" si="141"/>
        <v>1.5707949863621371</v>
      </c>
      <c r="Q279" s="689">
        <f t="shared" ref="Q279:Q342" si="163">SQRT(1+(G279/Zero2)^2)</f>
        <v>30.10639719346926</v>
      </c>
      <c r="R279" s="690">
        <f t="shared" ref="R279:R342" si="164">ATAN(G279/Zero2)</f>
        <v>1.5375746841148441</v>
      </c>
      <c r="S279" s="677">
        <f t="shared" si="142"/>
        <v>1.002064004128091</v>
      </c>
      <c r="T279" s="680">
        <f t="shared" si="143"/>
        <v>6.4194396568523063E-2</v>
      </c>
      <c r="U279" s="681">
        <f t="shared" si="155"/>
        <v>0.54088223803568514</v>
      </c>
      <c r="V279" s="682">
        <f t="shared" si="156"/>
        <v>-1.3703168878305265</v>
      </c>
      <c r="W279" s="683">
        <f t="shared" si="144"/>
        <v>-7.2918832785475924</v>
      </c>
      <c r="X279" s="684">
        <f t="shared" si="145"/>
        <v>-182.03645190037</v>
      </c>
      <c r="Y279" s="687">
        <f t="shared" si="146"/>
        <v>-2.0364519003699968</v>
      </c>
      <c r="AA279" s="170">
        <f t="shared" si="147"/>
        <v>17990</v>
      </c>
      <c r="AB279" s="170">
        <f t="shared" si="148"/>
        <v>323640100</v>
      </c>
      <c r="AD279" s="686">
        <f t="shared" si="149"/>
        <v>17.205617270559355</v>
      </c>
      <c r="AE279" s="687">
        <f t="shared" si="150"/>
        <v>-5.5814511110620524</v>
      </c>
      <c r="AG279" s="686">
        <f t="shared" si="151"/>
        <v>43.908205156985247</v>
      </c>
      <c r="AH279" s="687">
        <f t="shared" si="152"/>
        <v>-19.428252073496726</v>
      </c>
      <c r="AJ279" s="170">
        <f t="shared" si="153"/>
        <v>0</v>
      </c>
      <c r="AK279" s="170">
        <f t="shared" ref="AK279:AK342" si="165">IF(AJ279&gt;0,Y279,0)</f>
        <v>0</v>
      </c>
      <c r="AM279" s="170" t="str">
        <f t="shared" si="157"/>
        <v>1.85024793059994+0.526382424203653i</v>
      </c>
      <c r="AN279" s="170" t="str">
        <f t="shared" si="158"/>
        <v>2.58725245009804i</v>
      </c>
      <c r="AO279" s="170" t="str">
        <f t="shared" si="159"/>
        <v>0.203452285525406-0.715140082495555i</v>
      </c>
      <c r="AP279" s="170" t="str">
        <f t="shared" si="160"/>
        <v>-0.141707988433324-0.0877304040339422i</v>
      </c>
      <c r="AQ279" s="170" t="str">
        <f t="shared" si="161"/>
        <v>1.14170798843332+0.0877304040339422i</v>
      </c>
      <c r="AR279" s="170" t="str">
        <f t="shared" si="162"/>
        <v>0.725325872699012-0.0557350325239249i</v>
      </c>
    </row>
    <row r="280" spans="7:44">
      <c r="G280" s="688">
        <v>18093.5</v>
      </c>
      <c r="H280" s="676">
        <f t="shared" si="154"/>
        <v>18.093499999999999</v>
      </c>
      <c r="I280" s="677">
        <f t="shared" si="134"/>
        <v>16.403732229502694</v>
      </c>
      <c r="J280" s="678">
        <f t="shared" si="135"/>
        <v>1.5097967680959019</v>
      </c>
      <c r="K280" s="678">
        <f t="shared" si="136"/>
        <v>1.0003127176333877</v>
      </c>
      <c r="L280" s="679">
        <f t="shared" si="137"/>
        <v>2.5005445868046518E-2</v>
      </c>
      <c r="M280" s="678">
        <f t="shared" si="138"/>
        <v>1.0261094293019692</v>
      </c>
      <c r="N280" s="679">
        <f t="shared" si="139"/>
        <v>-0.22606954608061092</v>
      </c>
      <c r="O280" s="677">
        <f t="shared" si="140"/>
        <v>750319.76728929637</v>
      </c>
      <c r="P280" s="680">
        <f t="shared" si="141"/>
        <v>1.5707949940297963</v>
      </c>
      <c r="Q280" s="689">
        <f t="shared" si="163"/>
        <v>30.279414654491802</v>
      </c>
      <c r="R280" s="690">
        <f t="shared" si="164"/>
        <v>1.5377645828224495</v>
      </c>
      <c r="S280" s="677">
        <f t="shared" si="142"/>
        <v>1.0020877968750046</v>
      </c>
      <c r="T280" s="680">
        <f t="shared" si="143"/>
        <v>6.4562696993911775E-2</v>
      </c>
      <c r="U280" s="681">
        <f t="shared" si="155"/>
        <v>0.53838254127522067</v>
      </c>
      <c r="V280" s="682">
        <f t="shared" si="156"/>
        <v>-1.3758298874948454</v>
      </c>
      <c r="W280" s="683">
        <f t="shared" si="144"/>
        <v>-7.3795005025796883</v>
      </c>
      <c r="X280" s="684">
        <f t="shared" si="145"/>
        <v>-182.44602638754668</v>
      </c>
      <c r="Y280" s="687">
        <f t="shared" si="146"/>
        <v>-2.4460263875466808</v>
      </c>
      <c r="AA280" s="170">
        <f t="shared" si="147"/>
        <v>18093.5</v>
      </c>
      <c r="AB280" s="170">
        <f t="shared" si="148"/>
        <v>327374742.25</v>
      </c>
      <c r="AD280" s="686">
        <f t="shared" si="149"/>
        <v>17.205356377041749</v>
      </c>
      <c r="AE280" s="687">
        <f t="shared" si="150"/>
        <v>-5.5916732158851072</v>
      </c>
      <c r="AG280" s="686">
        <f t="shared" si="151"/>
        <v>43.901318899914273</v>
      </c>
      <c r="AH280" s="687">
        <f t="shared" si="152"/>
        <v>-19.195861228683405</v>
      </c>
      <c r="AJ280" s="170">
        <f t="shared" si="153"/>
        <v>0</v>
      </c>
      <c r="AK280" s="170">
        <f t="shared" si="165"/>
        <v>0</v>
      </c>
      <c r="AM280" s="170" t="str">
        <f t="shared" si="157"/>
        <v>1.85798863866967+0.513668663550517i</v>
      </c>
      <c r="AN280" s="170" t="str">
        <f t="shared" si="158"/>
        <v>2.60213742111444i</v>
      </c>
      <c r="AO280" s="170" t="str">
        <f t="shared" si="159"/>
        <v>0.197402588880384-0.714024026399779i</v>
      </c>
      <c r="AP280" s="170" t="str">
        <f t="shared" si="160"/>
        <v>-0.142998106444944-0.0856114439250862i</v>
      </c>
      <c r="AQ280" s="170" t="str">
        <f t="shared" si="161"/>
        <v>1.14299810644494+0.0856114439250862i</v>
      </c>
      <c r="AR280" s="170" t="str">
        <f t="shared" si="162"/>
        <v>0.724719342468312-0.0542820403632401i</v>
      </c>
    </row>
    <row r="281" spans="7:44">
      <c r="G281" s="688">
        <v>18197</v>
      </c>
      <c r="H281" s="676">
        <f t="shared" si="154"/>
        <v>18.196999999999999</v>
      </c>
      <c r="I281" s="677">
        <f t="shared" si="134"/>
        <v>16.497218543553306</v>
      </c>
      <c r="J281" s="678">
        <f t="shared" si="135"/>
        <v>1.5101428656668652</v>
      </c>
      <c r="K281" s="678">
        <f t="shared" si="136"/>
        <v>1.0003163049675576</v>
      </c>
      <c r="L281" s="679">
        <f t="shared" si="137"/>
        <v>2.5148424047166294E-2</v>
      </c>
      <c r="M281" s="678">
        <f t="shared" si="138"/>
        <v>1.0264051366804354</v>
      </c>
      <c r="N281" s="679">
        <f t="shared" si="139"/>
        <v>-0.22731875627898962</v>
      </c>
      <c r="O281" s="677">
        <f t="shared" si="140"/>
        <v>754611.81116772268</v>
      </c>
      <c r="P281" s="680">
        <f t="shared" si="141"/>
        <v>1.5707950016102319</v>
      </c>
      <c r="Q281" s="689">
        <f t="shared" si="163"/>
        <v>30.452433195028366</v>
      </c>
      <c r="R281" s="690">
        <f t="shared" si="164"/>
        <v>1.5379523236798156</v>
      </c>
      <c r="S281" s="677">
        <f t="shared" si="142"/>
        <v>1.0021117255438559</v>
      </c>
      <c r="T281" s="680">
        <f t="shared" si="143"/>
        <v>6.4930979880519088E-2</v>
      </c>
      <c r="U281" s="681">
        <f t="shared" si="155"/>
        <v>0.53589391181235768</v>
      </c>
      <c r="V281" s="682">
        <f t="shared" si="156"/>
        <v>-1.3813322026320676</v>
      </c>
      <c r="W281" s="683">
        <f t="shared" si="144"/>
        <v>-7.4668317501845483</v>
      </c>
      <c r="X281" s="684">
        <f t="shared" si="145"/>
        <v>-182.85484290953647</v>
      </c>
      <c r="Y281" s="687">
        <f t="shared" si="146"/>
        <v>-2.8548429095364725</v>
      </c>
      <c r="AA281" s="170">
        <f t="shared" si="147"/>
        <v>18197</v>
      </c>
      <c r="AB281" s="170">
        <f t="shared" si="148"/>
        <v>331130809</v>
      </c>
      <c r="AD281" s="686">
        <f t="shared" si="149"/>
        <v>17.205095239665315</v>
      </c>
      <c r="AE281" s="687">
        <f t="shared" si="150"/>
        <v>-5.6020179465241515</v>
      </c>
      <c r="AG281" s="686">
        <f t="shared" si="151"/>
        <v>43.894734588176789</v>
      </c>
      <c r="AH281" s="687">
        <f t="shared" si="152"/>
        <v>-18.963814149486172</v>
      </c>
      <c r="AJ281" s="170">
        <f t="shared" si="153"/>
        <v>0</v>
      </c>
      <c r="AK281" s="170">
        <f t="shared" si="165"/>
        <v>0</v>
      </c>
      <c r="AM281" s="170" t="str">
        <f t="shared" si="157"/>
        <v>1.86553925225976+0.50084109535622i</v>
      </c>
      <c r="AN281" s="170" t="str">
        <f t="shared" si="158"/>
        <v>2.61702239213085i</v>
      </c>
      <c r="AO281" s="170" t="str">
        <f t="shared" si="159"/>
        <v>0.191378223152467-0.712848028304713i</v>
      </c>
      <c r="AP281" s="170" t="str">
        <f t="shared" si="160"/>
        <v>-0.144256542043293-0.0834735158927033i</v>
      </c>
      <c r="AQ281" s="170" t="str">
        <f t="shared" si="161"/>
        <v>1.14425654204329+0.0834735158927033i</v>
      </c>
      <c r="AR281" s="170" t="str">
        <f t="shared" si="162"/>
        <v>0.72412999826803-0.0528252841018258i</v>
      </c>
    </row>
    <row r="282" spans="7:44">
      <c r="G282" s="688">
        <v>18303</v>
      </c>
      <c r="H282" s="676">
        <f t="shared" si="154"/>
        <v>18.303000000000001</v>
      </c>
      <c r="I282" s="677">
        <f t="shared" si="134"/>
        <v>16.592965006041709</v>
      </c>
      <c r="J282" s="678">
        <f t="shared" si="135"/>
        <v>1.510493280709279</v>
      </c>
      <c r="K282" s="678">
        <f t="shared" si="136"/>
        <v>1.0003200001482624</v>
      </c>
      <c r="L282" s="679">
        <f t="shared" si="137"/>
        <v>2.5294854739465928E-2</v>
      </c>
      <c r="M282" s="678">
        <f t="shared" si="138"/>
        <v>1.0267096460128069</v>
      </c>
      <c r="N282" s="679">
        <f t="shared" si="139"/>
        <v>-0.22859739272169985</v>
      </c>
      <c r="O282" s="677">
        <f t="shared" si="140"/>
        <v>759007.52760359889</v>
      </c>
      <c r="P282" s="680">
        <f t="shared" si="141"/>
        <v>1.5707950092849068</v>
      </c>
      <c r="Q282" s="689">
        <f t="shared" si="163"/>
        <v>30.629632027192624</v>
      </c>
      <c r="R282" s="690">
        <f t="shared" si="164"/>
        <v>1.5381424008721734</v>
      </c>
      <c r="S282" s="677">
        <f t="shared" si="142"/>
        <v>1.0021363730760007</v>
      </c>
      <c r="T282" s="680">
        <f t="shared" si="143"/>
        <v>6.5308140206596157E-2</v>
      </c>
      <c r="U282" s="681">
        <f t="shared" si="155"/>
        <v>0.53335655773413571</v>
      </c>
      <c r="V282" s="682">
        <f t="shared" si="156"/>
        <v>-1.3869566695386177</v>
      </c>
      <c r="W282" s="683">
        <f t="shared" si="144"/>
        <v>-7.5559799457097725</v>
      </c>
      <c r="X282" s="684">
        <f t="shared" si="145"/>
        <v>-183.27276855352417</v>
      </c>
      <c r="Y282" s="687">
        <f t="shared" si="146"/>
        <v>-3.2727685535241733</v>
      </c>
      <c r="AA282" s="170">
        <f t="shared" si="147"/>
        <v>18303</v>
      </c>
      <c r="AB282" s="170">
        <f t="shared" si="148"/>
        <v>334999809</v>
      </c>
      <c r="AD282" s="686">
        <f t="shared" si="149"/>
        <v>17.20482752015138</v>
      </c>
      <c r="AE282" s="687">
        <f t="shared" si="150"/>
        <v>-5.6127374602430846</v>
      </c>
      <c r="AG282" s="686">
        <f t="shared" si="151"/>
        <v>43.888301469424427</v>
      </c>
      <c r="AH282" s="687">
        <f t="shared" si="152"/>
        <v>-18.72650384750586</v>
      </c>
      <c r="AJ282" s="170">
        <f t="shared" si="153"/>
        <v>0</v>
      </c>
      <c r="AK282" s="170">
        <f t="shared" si="165"/>
        <v>0</v>
      </c>
      <c r="AM282" s="170" t="str">
        <f t="shared" si="157"/>
        <v>1.87307346271008+0.487588688047033i</v>
      </c>
      <c r="AN282" s="170" t="str">
        <f t="shared" si="158"/>
        <v>2.63226690350997i</v>
      </c>
      <c r="AO282" s="170" t="str">
        <f t="shared" si="159"/>
        <v>0.18523527663432-0.711581891719434i</v>
      </c>
      <c r="AP282" s="170" t="str">
        <f t="shared" si="160"/>
        <v>-0.145512243785014-0.0812647813411722i</v>
      </c>
      <c r="AQ282" s="170" t="str">
        <f t="shared" si="161"/>
        <v>1.14551224378501+0.0812647813411722i</v>
      </c>
      <c r="AR282" s="170" t="str">
        <f t="shared" si="162"/>
        <v>0.723544176519341-0.0513295773262447i</v>
      </c>
    </row>
    <row r="283" spans="7:44">
      <c r="G283" s="688">
        <v>18409</v>
      </c>
      <c r="H283" s="676">
        <f t="shared" si="154"/>
        <v>18.408999999999999</v>
      </c>
      <c r="I283" s="677">
        <f t="shared" si="134"/>
        <v>16.688713482613139</v>
      </c>
      <c r="J283" s="678">
        <f t="shared" si="135"/>
        <v>1.5108396749079076</v>
      </c>
      <c r="K283" s="678">
        <f t="shared" si="136"/>
        <v>1.0003237167776178</v>
      </c>
      <c r="L283" s="679">
        <f t="shared" si="137"/>
        <v>2.5441284346800298E-2</v>
      </c>
      <c r="M283" s="678">
        <f t="shared" si="138"/>
        <v>1.0270158329272343</v>
      </c>
      <c r="N283" s="679">
        <f t="shared" si="139"/>
        <v>-0.22987526884613968</v>
      </c>
      <c r="O283" s="677">
        <f t="shared" si="140"/>
        <v>763403.24403947499</v>
      </c>
      <c r="P283" s="680">
        <f t="shared" si="141"/>
        <v>1.5707950168711993</v>
      </c>
      <c r="Q283" s="689">
        <f t="shared" si="163"/>
        <v>30.806831953254715</v>
      </c>
      <c r="R283" s="690">
        <f t="shared" si="164"/>
        <v>1.5383302914352197</v>
      </c>
      <c r="S283" s="677">
        <f t="shared" si="142"/>
        <v>1.0021611631549321</v>
      </c>
      <c r="T283" s="680">
        <f t="shared" si="143"/>
        <v>6.5685281926976799E-2</v>
      </c>
      <c r="U283" s="681">
        <f t="shared" si="155"/>
        <v>0.5308306393043446</v>
      </c>
      <c r="V283" s="682">
        <f t="shared" si="156"/>
        <v>-1.3925705794808156</v>
      </c>
      <c r="W283" s="683">
        <f t="shared" si="144"/>
        <v>-7.6448361263813949</v>
      </c>
      <c r="X283" s="684">
        <f t="shared" si="145"/>
        <v>-183.6899396633053</v>
      </c>
      <c r="Y283" s="687">
        <f t="shared" si="146"/>
        <v>-3.6899396633052959</v>
      </c>
      <c r="AA283" s="170">
        <f t="shared" si="147"/>
        <v>18409</v>
      </c>
      <c r="AB283" s="170">
        <f t="shared" si="148"/>
        <v>338891281</v>
      </c>
      <c r="AD283" s="686">
        <f t="shared" si="149"/>
        <v>17.20455950138383</v>
      </c>
      <c r="AE283" s="687">
        <f t="shared" si="150"/>
        <v>-5.6235811875012356</v>
      </c>
      <c r="AG283" s="686">
        <f t="shared" si="151"/>
        <v>43.882179587809382</v>
      </c>
      <c r="AH283" s="687">
        <f t="shared" si="152"/>
        <v>-18.489524536784753</v>
      </c>
      <c r="AJ283" s="170">
        <f t="shared" si="153"/>
        <v>0</v>
      </c>
      <c r="AK283" s="170">
        <f t="shared" si="165"/>
        <v>0</v>
      </c>
      <c r="AM283" s="170" t="str">
        <f t="shared" si="157"/>
        <v>1.88040477907134+0.474222969697107i</v>
      </c>
      <c r="AN283" s="170" t="str">
        <f t="shared" si="158"/>
        <v>2.64751141488909i</v>
      </c>
      <c r="AO283" s="170" t="str">
        <f t="shared" si="159"/>
        <v>0.179120273865551-0.710253700322616i</v>
      </c>
      <c r="AP283" s="170" t="str">
        <f t="shared" si="160"/>
        <v>-0.146734129845223-0.0790371616161845i</v>
      </c>
      <c r="AQ283" s="170" t="str">
        <f t="shared" si="161"/>
        <v>1.14673412984522+0.0790371616161845i</v>
      </c>
      <c r="AR283" s="170" t="str">
        <f t="shared" si="162"/>
        <v>0.722976268667937-0.0498302010066505i</v>
      </c>
    </row>
    <row r="284" spans="7:44">
      <c r="G284" s="688">
        <v>18515</v>
      </c>
      <c r="H284" s="676">
        <f t="shared" si="154"/>
        <v>18.515000000000001</v>
      </c>
      <c r="I284" s="677">
        <f t="shared" si="134"/>
        <v>16.784463938799046</v>
      </c>
      <c r="J284" s="678">
        <f t="shared" si="135"/>
        <v>1.5111821169921167</v>
      </c>
      <c r="K284" s="678">
        <f t="shared" si="136"/>
        <v>1.0003274548553844</v>
      </c>
      <c r="L284" s="679">
        <f t="shared" si="137"/>
        <v>2.5587712862902151E-2</v>
      </c>
      <c r="M284" s="678">
        <f t="shared" si="138"/>
        <v>1.0273236959237413</v>
      </c>
      <c r="N284" s="679">
        <f t="shared" si="139"/>
        <v>-0.23115238116054551</v>
      </c>
      <c r="O284" s="677">
        <f t="shared" si="140"/>
        <v>767798.96047535131</v>
      </c>
      <c r="P284" s="680">
        <f t="shared" si="141"/>
        <v>1.5707950243706275</v>
      </c>
      <c r="Q284" s="689">
        <f t="shared" si="163"/>
        <v>30.984032954446395</v>
      </c>
      <c r="R284" s="690">
        <f t="shared" si="164"/>
        <v>1.5385160328722751</v>
      </c>
      <c r="S284" s="677">
        <f t="shared" si="142"/>
        <v>1.0021860957700719</v>
      </c>
      <c r="T284" s="680">
        <f t="shared" si="143"/>
        <v>6.6062404935759503E-2</v>
      </c>
      <c r="U284" s="681">
        <f t="shared" si="155"/>
        <v>0.5283160669728435</v>
      </c>
      <c r="V284" s="682">
        <f t="shared" si="156"/>
        <v>-1.3981742597907603</v>
      </c>
      <c r="W284" s="683">
        <f t="shared" si="144"/>
        <v>-7.7334042836177863</v>
      </c>
      <c r="X284" s="684">
        <f t="shared" si="145"/>
        <v>-184.10637657706314</v>
      </c>
      <c r="Y284" s="687">
        <f t="shared" si="146"/>
        <v>-4.1063765770631449</v>
      </c>
      <c r="AA284" s="170">
        <f t="shared" si="147"/>
        <v>18515</v>
      </c>
      <c r="AB284" s="170">
        <f t="shared" si="148"/>
        <v>342805225</v>
      </c>
      <c r="AD284" s="686">
        <f t="shared" si="149"/>
        <v>17.204291162305982</v>
      </c>
      <c r="AE284" s="687">
        <f t="shared" si="150"/>
        <v>-5.6345469735358966</v>
      </c>
      <c r="AG284" s="686">
        <f t="shared" si="151"/>
        <v>43.876366317230392</v>
      </c>
      <c r="AH284" s="687">
        <f t="shared" si="152"/>
        <v>-18.25286120077342</v>
      </c>
      <c r="AJ284" s="170">
        <f t="shared" si="153"/>
        <v>0</v>
      </c>
      <c r="AK284" s="170">
        <f t="shared" si="165"/>
        <v>0</v>
      </c>
      <c r="AM284" s="170" t="str">
        <f t="shared" si="157"/>
        <v>1.88753149761433+0.460747046374107i</v>
      </c>
      <c r="AN284" s="170" t="str">
        <f t="shared" si="158"/>
        <v>2.66275592626821i</v>
      </c>
      <c r="AO284" s="170" t="str">
        <f t="shared" si="159"/>
        <v>0.173033901390967-0.708863880085195i</v>
      </c>
      <c r="AP284" s="170" t="str">
        <f t="shared" si="160"/>
        <v>-0.147921916269055-0.0767911743956845i</v>
      </c>
      <c r="AQ284" s="170" t="str">
        <f t="shared" si="161"/>
        <v>1.14792191626906+0.0767911743956845i</v>
      </c>
      <c r="AR284" s="170" t="str">
        <f t="shared" si="162"/>
        <v>0.72242621969878-0.0483272921604375i</v>
      </c>
    </row>
    <row r="285" spans="7:44">
      <c r="G285" s="688">
        <v>18621</v>
      </c>
      <c r="H285" s="676">
        <f t="shared" si="154"/>
        <v>18.620999999999999</v>
      </c>
      <c r="I285" s="677">
        <f t="shared" si="134"/>
        <v>16.880216340912256</v>
      </c>
      <c r="J285" s="678">
        <f t="shared" si="135"/>
        <v>1.5115206741355687</v>
      </c>
      <c r="K285" s="678">
        <f t="shared" si="136"/>
        <v>1.0003312143813219</v>
      </c>
      <c r="L285" s="679">
        <f t="shared" si="137"/>
        <v>2.5734140281504524E-2</v>
      </c>
      <c r="M285" s="678">
        <f t="shared" si="138"/>
        <v>1.0276332334959433</v>
      </c>
      <c r="N285" s="679">
        <f t="shared" si="139"/>
        <v>-0.23242872618729288</v>
      </c>
      <c r="O285" s="677">
        <f t="shared" si="140"/>
        <v>772194.67691122752</v>
      </c>
      <c r="P285" s="680">
        <f t="shared" si="141"/>
        <v>1.5707950317846746</v>
      </c>
      <c r="Q285" s="689">
        <f t="shared" si="163"/>
        <v>31.161235012426218</v>
      </c>
      <c r="R285" s="690">
        <f t="shared" si="164"/>
        <v>1.5386996618341917</v>
      </c>
      <c r="S285" s="677">
        <f t="shared" si="142"/>
        <v>1.0022111709107822</v>
      </c>
      <c r="T285" s="680">
        <f t="shared" si="143"/>
        <v>6.6439509127074609E-2</v>
      </c>
      <c r="U285" s="681">
        <f t="shared" si="155"/>
        <v>0.52581274982363324</v>
      </c>
      <c r="V285" s="682">
        <f t="shared" si="156"/>
        <v>-1.4037680368056074</v>
      </c>
      <c r="W285" s="683">
        <f t="shared" si="144"/>
        <v>-7.8216883916283129</v>
      </c>
      <c r="X285" s="684">
        <f t="shared" si="145"/>
        <v>-184.52209953649273</v>
      </c>
      <c r="Y285" s="687">
        <f t="shared" si="146"/>
        <v>-4.5220995364927319</v>
      </c>
      <c r="AA285" s="170">
        <f t="shared" si="147"/>
        <v>18621</v>
      </c>
      <c r="AB285" s="170">
        <f t="shared" si="148"/>
        <v>346741641</v>
      </c>
      <c r="AD285" s="686">
        <f t="shared" si="149"/>
        <v>17.20402248246436</v>
      </c>
      <c r="AE285" s="687">
        <f t="shared" si="150"/>
        <v>-5.6456327124270409</v>
      </c>
      <c r="AG285" s="686">
        <f t="shared" si="151"/>
        <v>43.870859125304989</v>
      </c>
      <c r="AH285" s="687">
        <f t="shared" si="152"/>
        <v>-18.01649879160334</v>
      </c>
      <c r="AJ285" s="170">
        <f t="shared" si="153"/>
        <v>0</v>
      </c>
      <c r="AK285" s="170">
        <f t="shared" si="165"/>
        <v>0</v>
      </c>
      <c r="AM285" s="170" t="str">
        <f t="shared" si="157"/>
        <v>1.89445196215646+0.447164049756296i</v>
      </c>
      <c r="AN285" s="170" t="str">
        <f t="shared" si="158"/>
        <v>2.67800043764733i</v>
      </c>
      <c r="AO285" s="170" t="str">
        <f t="shared" si="159"/>
        <v>0.166976839686082-0.707412865033274i</v>
      </c>
      <c r="AP285" s="170" t="str">
        <f t="shared" si="160"/>
        <v>-0.149075327026077-0.0745273416260493i</v>
      </c>
      <c r="AQ285" s="170" t="str">
        <f t="shared" si="161"/>
        <v>1.14907532702608+0.0745273416260493i</v>
      </c>
      <c r="AR285" s="170" t="str">
        <f t="shared" si="162"/>
        <v>0.721893975900119-0.0468209852690311i</v>
      </c>
    </row>
    <row r="286" spans="7:44">
      <c r="G286" s="688">
        <v>18729.5</v>
      </c>
      <c r="H286" s="676">
        <f t="shared" si="154"/>
        <v>18.729500000000002</v>
      </c>
      <c r="I286" s="677">
        <f t="shared" si="134"/>
        <v>16.97822903534092</v>
      </c>
      <c r="J286" s="678">
        <f t="shared" si="135"/>
        <v>1.5118632611855116</v>
      </c>
      <c r="K286" s="678">
        <f t="shared" si="136"/>
        <v>1.000335084787987</v>
      </c>
      <c r="L286" s="679">
        <f t="shared" si="137"/>
        <v>2.5884020033788212E-2</v>
      </c>
      <c r="M286" s="678">
        <f t="shared" si="138"/>
        <v>1.0279518041870304</v>
      </c>
      <c r="N286" s="679">
        <f t="shared" si="139"/>
        <v>-0.23373437543036599</v>
      </c>
      <c r="O286" s="677">
        <f t="shared" si="140"/>
        <v>776694.06590455386</v>
      </c>
      <c r="P286" s="680">
        <f t="shared" si="141"/>
        <v>1.5707950392866692</v>
      </c>
      <c r="Q286" s="689">
        <f t="shared" si="163"/>
        <v>31.342617439985396</v>
      </c>
      <c r="R286" s="690">
        <f t="shared" si="164"/>
        <v>1.5388854712578035</v>
      </c>
      <c r="S286" s="677">
        <f t="shared" si="142"/>
        <v>1.0022369850425428</v>
      </c>
      <c r="T286" s="680">
        <f t="shared" si="143"/>
        <v>6.6825487686279578E-2</v>
      </c>
      <c r="U286" s="681">
        <f t="shared" si="155"/>
        <v>0.52326195239119977</v>
      </c>
      <c r="V286" s="682">
        <f t="shared" si="156"/>
        <v>-1.4094838257325424</v>
      </c>
      <c r="W286" s="683">
        <f t="shared" si="144"/>
        <v>-7.9117646262501964</v>
      </c>
      <c r="X286" s="684">
        <f t="shared" si="145"/>
        <v>-184.94690890155979</v>
      </c>
      <c r="Y286" s="687">
        <f t="shared" si="146"/>
        <v>-4.9469089015597945</v>
      </c>
      <c r="AA286" s="170">
        <f t="shared" si="147"/>
        <v>18729.5</v>
      </c>
      <c r="AB286" s="170">
        <f t="shared" si="148"/>
        <v>350794170.25</v>
      </c>
      <c r="AD286" s="686">
        <f t="shared" si="149"/>
        <v>17.203747092182727</v>
      </c>
      <c r="AE286" s="687">
        <f t="shared" si="150"/>
        <v>-5.6571019889310383</v>
      </c>
      <c r="AG286" s="686">
        <f t="shared" si="151"/>
        <v>43.86553649248966</v>
      </c>
      <c r="AH286" s="687">
        <f t="shared" si="152"/>
        <v>-17.774857715216026</v>
      </c>
      <c r="AJ286" s="170">
        <f t="shared" si="153"/>
        <v>0</v>
      </c>
      <c r="AK286" s="170">
        <f t="shared" si="165"/>
        <v>0</v>
      </c>
      <c r="AM286" s="170" t="str">
        <f t="shared" si="157"/>
        <v>1.9013203587237+0.433153103359742i</v>
      </c>
      <c r="AN286" s="170" t="str">
        <f t="shared" si="158"/>
        <v>2.69360448938917i</v>
      </c>
      <c r="AO286" s="170" t="str">
        <f t="shared" si="159"/>
        <v>0.160807982413917-0.705864712586243i</v>
      </c>
      <c r="AP286" s="170" t="str">
        <f t="shared" si="160"/>
        <v>-0.150220059787284-0.0721921838932903i</v>
      </c>
      <c r="AQ286" s="170" t="str">
        <f t="shared" si="161"/>
        <v>1.15022005978728+0.0721921838932903i</v>
      </c>
      <c r="AR286" s="170" t="str">
        <f t="shared" si="162"/>
        <v>0.721367564548515-0.0452757708678567i</v>
      </c>
    </row>
    <row r="287" spans="7:44">
      <c r="G287" s="688">
        <v>18838</v>
      </c>
      <c r="H287" s="676">
        <f t="shared" si="154"/>
        <v>18.838000000000001</v>
      </c>
      <c r="I287" s="677">
        <f t="shared" si="134"/>
        <v>17.076243699559718</v>
      </c>
      <c r="J287" s="678">
        <f t="shared" si="135"/>
        <v>1.5122019154948432</v>
      </c>
      <c r="K287" s="678">
        <f t="shared" si="136"/>
        <v>1.0003389776659455</v>
      </c>
      <c r="L287" s="679">
        <f t="shared" si="137"/>
        <v>2.6033898622907007E-2</v>
      </c>
      <c r="M287" s="678">
        <f t="shared" si="138"/>
        <v>1.0282721261605103</v>
      </c>
      <c r="N287" s="679">
        <f t="shared" si="139"/>
        <v>-0.23503921343857603</v>
      </c>
      <c r="O287" s="677">
        <f t="shared" si="140"/>
        <v>781193.45489788009</v>
      </c>
      <c r="P287" s="680">
        <f t="shared" si="141"/>
        <v>1.5707950467022465</v>
      </c>
      <c r="Q287" s="689">
        <f t="shared" si="163"/>
        <v>31.524000937200427</v>
      </c>
      <c r="R287" s="690">
        <f t="shared" si="164"/>
        <v>1.5390691424589138</v>
      </c>
      <c r="S287" s="677">
        <f t="shared" si="142"/>
        <v>1.002262948479312</v>
      </c>
      <c r="T287" s="680">
        <f t="shared" si="143"/>
        <v>6.7211446305575254E-2</v>
      </c>
      <c r="U287" s="681">
        <f t="shared" si="155"/>
        <v>0.52072275039420346</v>
      </c>
      <c r="V287" s="682">
        <f t="shared" si="156"/>
        <v>-1.4151899275188735</v>
      </c>
      <c r="W287" s="683">
        <f t="shared" si="144"/>
        <v>-8.001551630680666</v>
      </c>
      <c r="X287" s="684">
        <f t="shared" si="145"/>
        <v>-185.37101285492656</v>
      </c>
      <c r="Y287" s="687">
        <f t="shared" si="146"/>
        <v>-5.3710128549265619</v>
      </c>
      <c r="AA287" s="170">
        <f t="shared" si="147"/>
        <v>18838</v>
      </c>
      <c r="AB287" s="170">
        <f t="shared" si="148"/>
        <v>354870244</v>
      </c>
      <c r="AD287" s="686">
        <f t="shared" si="149"/>
        <v>17.203471303358359</v>
      </c>
      <c r="AE287" s="687">
        <f t="shared" si="150"/>
        <v>-5.6686926291361894</v>
      </c>
      <c r="AG287" s="686">
        <f t="shared" si="151"/>
        <v>43.860529472190976</v>
      </c>
      <c r="AH287" s="687">
        <f t="shared" si="152"/>
        <v>-17.533499927972827</v>
      </c>
      <c r="AJ287" s="170">
        <f t="shared" si="153"/>
        <v>0</v>
      </c>
      <c r="AK287" s="170">
        <f t="shared" si="165"/>
        <v>0</v>
      </c>
      <c r="AM287" s="170" t="str">
        <f t="shared" si="157"/>
        <v>1.90796930046673+0.41903669220004i</v>
      </c>
      <c r="AN287" s="170" t="str">
        <f t="shared" si="158"/>
        <v>2.70920854113101i</v>
      </c>
      <c r="AO287" s="170" t="str">
        <f t="shared" si="159"/>
        <v>0.154671257615741-0.704253390427528i</v>
      </c>
      <c r="AP287" s="170" t="str">
        <f t="shared" si="160"/>
        <v>-0.151328216744455-0.0698394487000067i</v>
      </c>
      <c r="AQ287" s="170" t="str">
        <f t="shared" si="161"/>
        <v>1.15132821674445+0.0698394487000067i</v>
      </c>
      <c r="AR287" s="170" t="str">
        <f t="shared" si="162"/>
        <v>0.720859698605488-0.0437272736031925i</v>
      </c>
    </row>
    <row r="288" spans="7:44">
      <c r="G288" s="688">
        <v>18946.5</v>
      </c>
      <c r="H288" s="676">
        <f t="shared" si="154"/>
        <v>18.9465</v>
      </c>
      <c r="I288" s="677">
        <f t="shared" si="134"/>
        <v>17.174260299843471</v>
      </c>
      <c r="J288" s="678">
        <f t="shared" si="135"/>
        <v>1.5125367043197913</v>
      </c>
      <c r="K288" s="678">
        <f t="shared" si="136"/>
        <v>1.000342893014935</v>
      </c>
      <c r="L288" s="679">
        <f t="shared" si="137"/>
        <v>2.6183776042140894E-2</v>
      </c>
      <c r="M288" s="678">
        <f t="shared" si="138"/>
        <v>1.0285941977802444</v>
      </c>
      <c r="N288" s="679">
        <f t="shared" si="139"/>
        <v>-0.2363432365286641</v>
      </c>
      <c r="O288" s="677">
        <f t="shared" si="140"/>
        <v>785692.84389120655</v>
      </c>
      <c r="P288" s="680">
        <f t="shared" si="141"/>
        <v>1.5707950540328908</v>
      </c>
      <c r="Q288" s="689">
        <f t="shared" si="163"/>
        <v>31.705385485713105</v>
      </c>
      <c r="R288" s="690">
        <f t="shared" si="164"/>
        <v>1.539250712122938</v>
      </c>
      <c r="S288" s="677">
        <f t="shared" si="142"/>
        <v>1.0022890612094868</v>
      </c>
      <c r="T288" s="680">
        <f t="shared" si="143"/>
        <v>6.7597384871527777E-2</v>
      </c>
      <c r="U288" s="681">
        <f t="shared" si="155"/>
        <v>0.51819504222692003</v>
      </c>
      <c r="V288" s="682">
        <f t="shared" si="156"/>
        <v>-1.4208866890638199</v>
      </c>
      <c r="W288" s="683">
        <f t="shared" si="144"/>
        <v>-8.0910536183338415</v>
      </c>
      <c r="X288" s="684">
        <f t="shared" si="145"/>
        <v>-185.79443280696836</v>
      </c>
      <c r="Y288" s="687">
        <f t="shared" si="146"/>
        <v>-5.7944328069683593</v>
      </c>
      <c r="AA288" s="170">
        <f t="shared" si="147"/>
        <v>18946.5</v>
      </c>
      <c r="AB288" s="170">
        <f t="shared" si="148"/>
        <v>358969862.25</v>
      </c>
      <c r="AD288" s="686">
        <f t="shared" si="149"/>
        <v>17.20319509588942</v>
      </c>
      <c r="AE288" s="687">
        <f t="shared" si="150"/>
        <v>-5.6804025247087724</v>
      </c>
      <c r="AG288" s="686">
        <f t="shared" si="151"/>
        <v>43.855835644993384</v>
      </c>
      <c r="AH288" s="687">
        <f t="shared" si="152"/>
        <v>-17.292409196860397</v>
      </c>
      <c r="AJ288" s="170">
        <f t="shared" si="153"/>
        <v>0</v>
      </c>
      <c r="AK288" s="170">
        <f t="shared" si="165"/>
        <v>0</v>
      </c>
      <c r="AM288" s="170" t="str">
        <f t="shared" si="157"/>
        <v>1.91439716849131+0.404818253362027i</v>
      </c>
      <c r="AN288" s="170" t="str">
        <f t="shared" si="158"/>
        <v>2.72481259287284i</v>
      </c>
      <c r="AO288" s="170" t="str">
        <f t="shared" si="159"/>
        <v>0.148567374659413-0.702579389679388i</v>
      </c>
      <c r="AP288" s="170" t="str">
        <f t="shared" si="160"/>
        <v>-0.152399528081884-0.0674697088936712i</v>
      </c>
      <c r="AQ288" s="170" t="str">
        <f t="shared" si="161"/>
        <v>1.15239952808188+0.0674697088936712i</v>
      </c>
      <c r="AR288" s="170" t="str">
        <f t="shared" si="162"/>
        <v>0.720370324953676-0.0421756300101596i</v>
      </c>
    </row>
    <row r="289" spans="7:44">
      <c r="G289" s="688">
        <v>19055</v>
      </c>
      <c r="H289" s="676">
        <f t="shared" si="154"/>
        <v>19.055</v>
      </c>
      <c r="I289" s="677">
        <f t="shared" si="134"/>
        <v>17.272278803231885</v>
      </c>
      <c r="J289" s="678">
        <f t="shared" si="135"/>
        <v>1.512867693393406</v>
      </c>
      <c r="K289" s="678">
        <f t="shared" si="136"/>
        <v>1.0003468308346917</v>
      </c>
      <c r="L289" s="679">
        <f t="shared" si="137"/>
        <v>2.6333652284770193E-2</v>
      </c>
      <c r="M289" s="678">
        <f t="shared" si="138"/>
        <v>1.0289180174032115</v>
      </c>
      <c r="N289" s="679">
        <f t="shared" si="139"/>
        <v>-0.23764644103305643</v>
      </c>
      <c r="O289" s="677">
        <f t="shared" si="140"/>
        <v>790192.23288453277</v>
      </c>
      <c r="P289" s="680">
        <f t="shared" si="141"/>
        <v>1.570795061280053</v>
      </c>
      <c r="Q289" s="689">
        <f t="shared" si="163"/>
        <v>31.886771067582846</v>
      </c>
      <c r="R289" s="690">
        <f t="shared" si="164"/>
        <v>1.5394302161011246</v>
      </c>
      <c r="S289" s="677">
        <f t="shared" si="142"/>
        <v>1.002315323221399</v>
      </c>
      <c r="T289" s="680">
        <f t="shared" si="143"/>
        <v>6.7983303270738954E-2</v>
      </c>
      <c r="U289" s="681">
        <f t="shared" si="155"/>
        <v>0.51567872500811085</v>
      </c>
      <c r="V289" s="682">
        <f t="shared" si="156"/>
        <v>-1.4265744562864076</v>
      </c>
      <c r="W289" s="683">
        <f t="shared" si="144"/>
        <v>-8.1802747886443221</v>
      </c>
      <c r="X289" s="684">
        <f t="shared" si="145"/>
        <v>-186.21719007332095</v>
      </c>
      <c r="Y289" s="687">
        <f t="shared" si="146"/>
        <v>-6.2171900733209498</v>
      </c>
      <c r="AA289" s="170">
        <f t="shared" si="147"/>
        <v>19055</v>
      </c>
      <c r="AB289" s="170">
        <f t="shared" si="148"/>
        <v>363093025</v>
      </c>
      <c r="AD289" s="686">
        <f t="shared" si="149"/>
        <v>17.202918450251012</v>
      </c>
      <c r="AE289" s="687">
        <f t="shared" si="150"/>
        <v>-5.692229615109424</v>
      </c>
      <c r="AG289" s="686">
        <f t="shared" si="151"/>
        <v>43.851452688694735</v>
      </c>
      <c r="AH289" s="687">
        <f t="shared" si="152"/>
        <v>-17.051569258653323</v>
      </c>
      <c r="AJ289" s="170">
        <f t="shared" si="153"/>
        <v>0</v>
      </c>
      <c r="AK289" s="170">
        <f t="shared" si="165"/>
        <v>0</v>
      </c>
      <c r="AM289" s="170" t="str">
        <f t="shared" si="157"/>
        <v>1.92060239773054+0.390501248772363i</v>
      </c>
      <c r="AN289" s="170" t="str">
        <f t="shared" si="158"/>
        <v>2.74041664461468i</v>
      </c>
      <c r="AO289" s="170" t="str">
        <f t="shared" si="159"/>
        <v>0.142497035821088-0.700843209920216i</v>
      </c>
      <c r="AP289" s="170" t="str">
        <f t="shared" si="160"/>
        <v>-0.15343373295509-0.0650835414620605i</v>
      </c>
      <c r="AQ289" s="170" t="str">
        <f t="shared" si="161"/>
        <v>1.15343373295509+0.0650835414620605i</v>
      </c>
      <c r="AR289" s="170" t="str">
        <f t="shared" si="162"/>
        <v>0.71989939206364-0.0406209742209008i</v>
      </c>
    </row>
    <row r="290" spans="7:44">
      <c r="G290" s="688">
        <v>19165.75</v>
      </c>
      <c r="H290" s="676">
        <f t="shared" si="154"/>
        <v>19.165749999999999</v>
      </c>
      <c r="I290" s="677">
        <f t="shared" si="134"/>
        <v>17.37233187765564</v>
      </c>
      <c r="J290" s="678">
        <f t="shared" si="135"/>
        <v>1.5132016942477804</v>
      </c>
      <c r="K290" s="678">
        <f t="shared" si="136"/>
        <v>1.0003508734886035</v>
      </c>
      <c r="L290" s="679">
        <f t="shared" si="137"/>
        <v>2.6486635339645983E-2</v>
      </c>
      <c r="M290" s="678">
        <f t="shared" si="138"/>
        <v>1.0292503532187691</v>
      </c>
      <c r="N290" s="679">
        <f t="shared" si="139"/>
        <v>-0.23897582249884722</v>
      </c>
      <c r="O290" s="677">
        <f t="shared" si="140"/>
        <v>794784.92717956414</v>
      </c>
      <c r="P290" s="680">
        <f t="shared" si="141"/>
        <v>1.5707950685928778</v>
      </c>
      <c r="Q290" s="689">
        <f t="shared" si="163"/>
        <v>32.071919149127162</v>
      </c>
      <c r="R290" s="690">
        <f t="shared" si="164"/>
        <v>1.5396113485105309</v>
      </c>
      <c r="S290" s="677">
        <f t="shared" si="142"/>
        <v>1.0023422837824518</v>
      </c>
      <c r="T290" s="680">
        <f t="shared" si="143"/>
        <v>6.837720366995792E-2</v>
      </c>
      <c r="U290" s="681">
        <f t="shared" si="155"/>
        <v>0.51312186570551777</v>
      </c>
      <c r="V290" s="682">
        <f t="shared" si="156"/>
        <v>-1.4323712547932144</v>
      </c>
      <c r="W290" s="683">
        <f t="shared" si="144"/>
        <v>-8.2710609023037343</v>
      </c>
      <c r="X290" s="684">
        <f t="shared" si="145"/>
        <v>-186.64805279304753</v>
      </c>
      <c r="Y290" s="687">
        <f t="shared" si="146"/>
        <v>-6.6480527930475262</v>
      </c>
      <c r="AA290" s="170">
        <f t="shared" si="147"/>
        <v>19165.75</v>
      </c>
      <c r="AB290" s="170">
        <f t="shared" si="148"/>
        <v>367325973.0625</v>
      </c>
      <c r="AD290" s="686">
        <f t="shared" si="149"/>
        <v>17.202635596134265</v>
      </c>
      <c r="AE290" s="687">
        <f t="shared" si="150"/>
        <v>-5.7044207419491038</v>
      </c>
      <c r="AG290" s="686">
        <f t="shared" si="151"/>
        <v>43.847297137921863</v>
      </c>
      <c r="AH290" s="687">
        <f t="shared" si="152"/>
        <v>-16.80597667252567</v>
      </c>
      <c r="AJ290" s="170">
        <f t="shared" si="153"/>
        <v>0</v>
      </c>
      <c r="AK290" s="170">
        <f t="shared" si="165"/>
        <v>0</v>
      </c>
      <c r="AM290" s="170" t="str">
        <f t="shared" si="157"/>
        <v>1.92670512612456+0.375789314928543i</v>
      </c>
      <c r="AN290" s="170" t="str">
        <f t="shared" si="158"/>
        <v>2.75634428268296i</v>
      </c>
      <c r="AO290" s="170" t="str">
        <f t="shared" si="159"/>
        <v>0.136336130899714-0.699007427420914i</v>
      </c>
      <c r="AP290" s="170" t="str">
        <f t="shared" si="160"/>
        <v>-0.154450854354093-0.0626315524880905i</v>
      </c>
      <c r="AQ290" s="170" t="str">
        <f t="shared" si="161"/>
        <v>1.15445085435409+0.0626315524880905i</v>
      </c>
      <c r="AR290" s="170" t="str">
        <f t="shared" si="162"/>
        <v>0.719437659812594-0.0390311093646963i</v>
      </c>
    </row>
    <row r="291" spans="7:44">
      <c r="G291" s="688">
        <v>19276.5</v>
      </c>
      <c r="H291" s="676">
        <f t="shared" si="154"/>
        <v>19.276499999999999</v>
      </c>
      <c r="I291" s="677">
        <f t="shared" si="134"/>
        <v>17.47238686788172</v>
      </c>
      <c r="J291" s="678">
        <f t="shared" si="135"/>
        <v>1.5135318698510594</v>
      </c>
      <c r="K291" s="678">
        <f t="shared" si="136"/>
        <v>1.0003549395543527</v>
      </c>
      <c r="L291" s="679">
        <f t="shared" si="137"/>
        <v>2.6639617154465202E-2</v>
      </c>
      <c r="M291" s="678">
        <f t="shared" si="138"/>
        <v>1.029584506806106</v>
      </c>
      <c r="N291" s="679">
        <f t="shared" si="139"/>
        <v>-0.24030434340469864</v>
      </c>
      <c r="O291" s="677">
        <f t="shared" si="140"/>
        <v>799377.62147459551</v>
      </c>
      <c r="P291" s="680">
        <f t="shared" si="141"/>
        <v>1.5707950758216731</v>
      </c>
      <c r="Q291" s="689">
        <f t="shared" si="163"/>
        <v>32.257068270838147</v>
      </c>
      <c r="R291" s="690">
        <f t="shared" si="164"/>
        <v>1.5397904015981345</v>
      </c>
      <c r="S291" s="677">
        <f t="shared" si="142"/>
        <v>1.0023693998560719</v>
      </c>
      <c r="T291" s="680">
        <f t="shared" si="143"/>
        <v>6.8771082818718618E-2</v>
      </c>
      <c r="U291" s="681">
        <f t="shared" si="155"/>
        <v>0.51057665423350829</v>
      </c>
      <c r="V291" s="682">
        <f t="shared" si="156"/>
        <v>-1.4381594073853672</v>
      </c>
      <c r="W291" s="683">
        <f t="shared" si="144"/>
        <v>-8.3615632332430803</v>
      </c>
      <c r="X291" s="684">
        <f t="shared" si="145"/>
        <v>-187.07826964619522</v>
      </c>
      <c r="Y291" s="687">
        <f t="shared" si="146"/>
        <v>-7.0782696461952241</v>
      </c>
      <c r="AA291" s="170">
        <f t="shared" si="147"/>
        <v>19276.5</v>
      </c>
      <c r="AB291" s="170">
        <f t="shared" si="148"/>
        <v>371583452.25</v>
      </c>
      <c r="AD291" s="686">
        <f t="shared" si="149"/>
        <v>17.202352246132932</v>
      </c>
      <c r="AE291" s="687">
        <f t="shared" si="150"/>
        <v>-5.7167297827763592</v>
      </c>
      <c r="AG291" s="686">
        <f t="shared" si="151"/>
        <v>43.843460899849461</v>
      </c>
      <c r="AH291" s="687">
        <f t="shared" si="152"/>
        <v>-16.560611054672098</v>
      </c>
      <c r="AJ291" s="170">
        <f t="shared" si="153"/>
        <v>0</v>
      </c>
      <c r="AK291" s="170">
        <f t="shared" si="165"/>
        <v>0</v>
      </c>
      <c r="AM291" s="170" t="str">
        <f t="shared" si="157"/>
        <v>1.93257276398543+0.360982049238696i</v>
      </c>
      <c r="AN291" s="170" t="str">
        <f t="shared" si="158"/>
        <v>2.77227192075124i</v>
      </c>
      <c r="AO291" s="170" t="str">
        <f t="shared" si="159"/>
        <v>0.130211631310999-0.697107938625925i</v>
      </c>
      <c r="AP291" s="170" t="str">
        <f t="shared" si="160"/>
        <v>-0.155428793997572-0.060163674873116i</v>
      </c>
      <c r="AQ291" s="170" t="str">
        <f t="shared" si="161"/>
        <v>1.15542879399757+0.060163674873116i</v>
      </c>
      <c r="AR291" s="170" t="str">
        <f t="shared" si="162"/>
        <v>0.718995037789288-0.0374383812431019i</v>
      </c>
    </row>
    <row r="292" spans="7:44">
      <c r="G292" s="688">
        <v>19387.25</v>
      </c>
      <c r="H292" s="676">
        <f t="shared" si="154"/>
        <v>19.387250000000002</v>
      </c>
      <c r="I292" s="677">
        <f t="shared" si="134"/>
        <v>17.572443741185204</v>
      </c>
      <c r="J292" s="678">
        <f t="shared" si="135"/>
        <v>1.5138582854731659</v>
      </c>
      <c r="K292" s="678">
        <f t="shared" si="136"/>
        <v>1.0003590290316537</v>
      </c>
      <c r="L292" s="679">
        <f t="shared" si="137"/>
        <v>2.6792597722082416E-2</v>
      </c>
      <c r="M292" s="678">
        <f t="shared" si="138"/>
        <v>1.0299204763959162</v>
      </c>
      <c r="N292" s="679">
        <f t="shared" si="139"/>
        <v>-0.24163199990092424</v>
      </c>
      <c r="O292" s="677">
        <f t="shared" si="140"/>
        <v>803970.31576962699</v>
      </c>
      <c r="P292" s="680">
        <f t="shared" si="141"/>
        <v>1.5707950829678792</v>
      </c>
      <c r="Q292" s="689">
        <f t="shared" si="163"/>
        <v>32.442218414906968</v>
      </c>
      <c r="R292" s="690">
        <f t="shared" si="164"/>
        <v>1.5399674109528858</v>
      </c>
      <c r="S292" s="677">
        <f t="shared" si="142"/>
        <v>1.0023966714296388</v>
      </c>
      <c r="T292" s="680">
        <f t="shared" si="143"/>
        <v>6.9164940596537175E-2</v>
      </c>
      <c r="U292" s="681">
        <f t="shared" si="155"/>
        <v>0.50804297738867377</v>
      </c>
      <c r="V292" s="682">
        <f t="shared" si="156"/>
        <v>-1.4439392789901333</v>
      </c>
      <c r="W292" s="683">
        <f t="shared" si="144"/>
        <v>-8.4517862103278887</v>
      </c>
      <c r="X292" s="684">
        <f t="shared" si="145"/>
        <v>-187.50786301516871</v>
      </c>
      <c r="Y292" s="687">
        <f t="shared" si="146"/>
        <v>-7.5078630151687094</v>
      </c>
      <c r="AA292" s="170">
        <f t="shared" si="147"/>
        <v>19387.25</v>
      </c>
      <c r="AB292" s="170">
        <f t="shared" si="148"/>
        <v>375865462.5625</v>
      </c>
      <c r="AD292" s="686">
        <f t="shared" si="149"/>
        <v>17.202068381218485</v>
      </c>
      <c r="AE292" s="687">
        <f t="shared" si="150"/>
        <v>-5.7291546916738181</v>
      </c>
      <c r="AG292" s="686">
        <f t="shared" si="151"/>
        <v>43.839941810053702</v>
      </c>
      <c r="AH292" s="687">
        <f t="shared" si="152"/>
        <v>-16.315455015830072</v>
      </c>
      <c r="AJ292" s="170">
        <f t="shared" si="153"/>
        <v>0</v>
      </c>
      <c r="AK292" s="170">
        <f t="shared" si="165"/>
        <v>0</v>
      </c>
      <c r="AM292" s="170" t="str">
        <f t="shared" si="157"/>
        <v>1.93820382278561+0.346083208073525i</v>
      </c>
      <c r="AN292" s="170" t="str">
        <f t="shared" si="158"/>
        <v>2.78819955881952i</v>
      </c>
      <c r="AO292" s="170" t="str">
        <f t="shared" si="159"/>
        <v>0.124124260395497-0.695145301438257i</v>
      </c>
      <c r="AP292" s="170" t="str">
        <f t="shared" si="160"/>
        <v>-0.156367303797602-0.0576805346789208i</v>
      </c>
      <c r="AQ292" s="170" t="str">
        <f t="shared" si="161"/>
        <v>1.1563673037976+0.0576805346789208i</v>
      </c>
      <c r="AR292" s="170" t="str">
        <f t="shared" si="162"/>
        <v>0.718571476529394-0.0358429253707883i</v>
      </c>
    </row>
    <row r="293" spans="7:44">
      <c r="G293" s="688">
        <v>19498</v>
      </c>
      <c r="H293" s="676">
        <f t="shared" si="154"/>
        <v>19.498000000000001</v>
      </c>
      <c r="I293" s="677">
        <f t="shared" si="134"/>
        <v>17.672502465581687</v>
      </c>
      <c r="J293" s="678">
        <f t="shared" si="135"/>
        <v>1.51418100490908</v>
      </c>
      <c r="K293" s="678">
        <f t="shared" si="136"/>
        <v>1.0003631419202195</v>
      </c>
      <c r="L293" s="679">
        <f t="shared" si="137"/>
        <v>2.6945577035352542E-2</v>
      </c>
      <c r="M293" s="678">
        <f t="shared" si="138"/>
        <v>1.0302582602115915</v>
      </c>
      <c r="N293" s="679">
        <f t="shared" si="139"/>
        <v>-0.24295878815503499</v>
      </c>
      <c r="O293" s="677">
        <f t="shared" si="140"/>
        <v>808563.01006465848</v>
      </c>
      <c r="P293" s="680">
        <f t="shared" si="141"/>
        <v>1.5707950900329033</v>
      </c>
      <c r="Q293" s="689">
        <f t="shared" si="163"/>
        <v>32.627369563928951</v>
      </c>
      <c r="R293" s="690">
        <f t="shared" si="164"/>
        <v>1.5401424113564253</v>
      </c>
      <c r="S293" s="677">
        <f t="shared" si="142"/>
        <v>1.0024240984904615</v>
      </c>
      <c r="T293" s="680">
        <f t="shared" si="143"/>
        <v>6.9558776882969256E-2</v>
      </c>
      <c r="U293" s="681">
        <f t="shared" si="155"/>
        <v>0.5055207207938196</v>
      </c>
      <c r="V293" s="682">
        <f t="shared" si="156"/>
        <v>-1.4497112336067577</v>
      </c>
      <c r="W293" s="683">
        <f t="shared" si="144"/>
        <v>-8.5417342524601292</v>
      </c>
      <c r="X293" s="684">
        <f t="shared" si="145"/>
        <v>-187.93685519193397</v>
      </c>
      <c r="Y293" s="687">
        <f t="shared" si="146"/>
        <v>-7.9368551919339723</v>
      </c>
      <c r="AA293" s="170">
        <f t="shared" si="147"/>
        <v>19498</v>
      </c>
      <c r="AB293" s="170">
        <f t="shared" si="148"/>
        <v>380172004</v>
      </c>
      <c r="AD293" s="686">
        <f t="shared" si="149"/>
        <v>17.201783982908164</v>
      </c>
      <c r="AE293" s="687">
        <f t="shared" si="150"/>
        <v>-5.7416934689799826</v>
      </c>
      <c r="AG293" s="686">
        <f t="shared" si="151"/>
        <v>43.836737804374607</v>
      </c>
      <c r="AH293" s="687">
        <f t="shared" si="152"/>
        <v>-16.070491136386142</v>
      </c>
      <c r="AJ293" s="170">
        <f t="shared" si="153"/>
        <v>0</v>
      </c>
      <c r="AK293" s="170">
        <f t="shared" si="165"/>
        <v>0</v>
      </c>
      <c r="AM293" s="170" t="str">
        <f t="shared" si="157"/>
        <v>1.94359687401394+0.331096571034991i</v>
      </c>
      <c r="AN293" s="170" t="str">
        <f t="shared" si="158"/>
        <v>2.8041271968878i</v>
      </c>
      <c r="AO293" s="170" t="str">
        <f t="shared" si="159"/>
        <v>0.118074733343931-0.69312008248808i</v>
      </c>
      <c r="AP293" s="170" t="str">
        <f t="shared" si="160"/>
        <v>-0.157266145668989-0.0551827618391652i</v>
      </c>
      <c r="AQ293" s="170" t="str">
        <f t="shared" si="161"/>
        <v>1.15726614566899+0.0551827618391652i</v>
      </c>
      <c r="AR293" s="170" t="str">
        <f t="shared" si="162"/>
        <v>0.718166928433534-0.0342448750625147i</v>
      </c>
    </row>
    <row r="294" spans="7:44">
      <c r="G294" s="688">
        <v>19611.75</v>
      </c>
      <c r="H294" s="676">
        <f t="shared" si="154"/>
        <v>19.611750000000001</v>
      </c>
      <c r="I294" s="677">
        <f t="shared" si="134"/>
        <v>17.775273478468925</v>
      </c>
      <c r="J294" s="678">
        <f t="shared" si="135"/>
        <v>1.5145086839492161</v>
      </c>
      <c r="K294" s="678">
        <f t="shared" si="136"/>
        <v>1.0003673905896575</v>
      </c>
      <c r="L294" s="679">
        <f t="shared" si="137"/>
        <v>2.7102698944506943E-2</v>
      </c>
      <c r="M294" s="678">
        <f t="shared" si="138"/>
        <v>1.0306070806608378</v>
      </c>
      <c r="N294" s="679">
        <f t="shared" si="139"/>
        <v>-0.24432060865076555</v>
      </c>
      <c r="O294" s="677">
        <f t="shared" si="140"/>
        <v>813280.11142862984</v>
      </c>
      <c r="P294" s="680">
        <f t="shared" si="141"/>
        <v>1.5707950972062397</v>
      </c>
      <c r="Q294" s="689">
        <f t="shared" si="163"/>
        <v>32.817537122251395</v>
      </c>
      <c r="R294" s="690">
        <f t="shared" si="164"/>
        <v>1.540320096566177</v>
      </c>
      <c r="S294" s="677">
        <f t="shared" si="142"/>
        <v>1.0024524303451594</v>
      </c>
      <c r="T294" s="680">
        <f t="shared" si="143"/>
        <v>6.9963258921969709E-2</v>
      </c>
      <c r="U294" s="681">
        <f t="shared" si="155"/>
        <v>0.50294190835711616</v>
      </c>
      <c r="V294" s="682">
        <f t="shared" si="156"/>
        <v>-1.4556316789633779</v>
      </c>
      <c r="W294" s="683">
        <f t="shared" si="144"/>
        <v>-8.6338372358553865</v>
      </c>
      <c r="X294" s="684">
        <f t="shared" si="145"/>
        <v>-188.37686540696458</v>
      </c>
      <c r="Y294" s="687">
        <f t="shared" si="146"/>
        <v>-8.3768654069645834</v>
      </c>
      <c r="AA294" s="170">
        <f t="shared" si="147"/>
        <v>19611.75</v>
      </c>
      <c r="AB294" s="170">
        <f t="shared" si="148"/>
        <v>384620738.0625</v>
      </c>
      <c r="AD294" s="686">
        <f t="shared" si="149"/>
        <v>17.201491306684943</v>
      </c>
      <c r="AE294" s="687">
        <f t="shared" si="150"/>
        <v>-5.7546883811196272</v>
      </c>
      <c r="AG294" s="686">
        <f t="shared" si="151"/>
        <v>43.83377294729307</v>
      </c>
      <c r="AH294" s="687">
        <f t="shared" si="152"/>
        <v>-15.819073374957579</v>
      </c>
      <c r="AJ294" s="170">
        <f t="shared" si="153"/>
        <v>0</v>
      </c>
      <c r="AK294" s="170">
        <f t="shared" si="165"/>
        <v>0</v>
      </c>
      <c r="AM294" s="170" t="str">
        <f t="shared" si="157"/>
        <v>1.94888681012722+0.31561657365638i</v>
      </c>
      <c r="AN294" s="170" t="str">
        <f t="shared" si="158"/>
        <v>2.82048628339134i</v>
      </c>
      <c r="AO294" s="170" t="str">
        <f t="shared" si="159"/>
        <v>0.11190147440706-0.690975461076835i</v>
      </c>
      <c r="AP294" s="170" t="str">
        <f t="shared" si="160"/>
        <v>-0.15814780168787-0.0526027622760633i</v>
      </c>
      <c r="AQ294" s="170" t="str">
        <f t="shared" si="161"/>
        <v>1.15814780168787+0.0526027622760633i</v>
      </c>
      <c r="AR294" s="170" t="str">
        <f t="shared" si="162"/>
        <v>0.717771166614455-0.0326009737194222i</v>
      </c>
    </row>
    <row r="295" spans="7:44">
      <c r="G295" s="688">
        <v>19725.5</v>
      </c>
      <c r="H295" s="676">
        <f t="shared" si="154"/>
        <v>19.7255</v>
      </c>
      <c r="I295" s="677">
        <f t="shared" si="134"/>
        <v>17.878046378007404</v>
      </c>
      <c r="J295" s="678">
        <f t="shared" si="135"/>
        <v>1.5148325956630531</v>
      </c>
      <c r="K295" s="678">
        <f t="shared" si="136"/>
        <v>1.0003716639552496</v>
      </c>
      <c r="L295" s="679">
        <f t="shared" si="137"/>
        <v>2.7259819515160391E-2</v>
      </c>
      <c r="M295" s="678">
        <f t="shared" si="138"/>
        <v>1.0309578111322231</v>
      </c>
      <c r="N295" s="679">
        <f t="shared" si="139"/>
        <v>-0.24568150508989597</v>
      </c>
      <c r="O295" s="677">
        <f t="shared" si="140"/>
        <v>817997.21279260132</v>
      </c>
      <c r="P295" s="680">
        <f t="shared" si="141"/>
        <v>1.5707951042968435</v>
      </c>
      <c r="Q295" s="689">
        <f t="shared" si="163"/>
        <v>33.007705704751437</v>
      </c>
      <c r="R295" s="690">
        <f t="shared" si="164"/>
        <v>1.5404957343719601</v>
      </c>
      <c r="S295" s="677">
        <f t="shared" si="142"/>
        <v>1.0024809261975229</v>
      </c>
      <c r="T295" s="680">
        <f t="shared" si="143"/>
        <v>7.0367718032066984E-2</v>
      </c>
      <c r="U295" s="681">
        <f t="shared" si="155"/>
        <v>0.50037489507183863</v>
      </c>
      <c r="V295" s="682">
        <f t="shared" si="156"/>
        <v>-1.4615445481348852</v>
      </c>
      <c r="W295" s="683">
        <f t="shared" si="144"/>
        <v>-8.7256596103379014</v>
      </c>
      <c r="X295" s="684">
        <f t="shared" si="145"/>
        <v>-188.81628880794977</v>
      </c>
      <c r="Y295" s="687">
        <f t="shared" si="146"/>
        <v>-8.8162888079497748</v>
      </c>
      <c r="AA295" s="170">
        <f t="shared" si="147"/>
        <v>19725.5</v>
      </c>
      <c r="AB295" s="170">
        <f t="shared" si="148"/>
        <v>389095350.25</v>
      </c>
      <c r="AD295" s="686">
        <f t="shared" si="149"/>
        <v>17.201198029943427</v>
      </c>
      <c r="AE295" s="687">
        <f t="shared" si="150"/>
        <v>-5.7677992823961688</v>
      </c>
      <c r="AG295" s="686">
        <f t="shared" si="151"/>
        <v>43.831136381487816</v>
      </c>
      <c r="AH295" s="687">
        <f t="shared" si="152"/>
        <v>-15.567820977211227</v>
      </c>
      <c r="AJ295" s="170">
        <f t="shared" si="153"/>
        <v>0</v>
      </c>
      <c r="AK295" s="170">
        <f t="shared" si="165"/>
        <v>0</v>
      </c>
      <c r="AM295" s="170" t="str">
        <f t="shared" si="157"/>
        <v>1.95392281108963+0.300052112945165i</v>
      </c>
      <c r="AN295" s="170" t="str">
        <f t="shared" si="158"/>
        <v>2.83684536989488i</v>
      </c>
      <c r="AO295" s="170" t="str">
        <f t="shared" si="159"/>
        <v>0.105769639801088-0.688766061000369i</v>
      </c>
      <c r="AP295" s="170" t="str">
        <f t="shared" si="160"/>
        <v>-0.158987135181605-0.0500086854908608i</v>
      </c>
      <c r="AQ295" s="170" t="str">
        <f t="shared" si="161"/>
        <v>1.15898713518161+0.0500086854908608i</v>
      </c>
      <c r="AR295" s="170" t="str">
        <f t="shared" si="162"/>
        <v>0.717395366360333-0.030954613869198i</v>
      </c>
    </row>
    <row r="296" spans="7:44">
      <c r="G296" s="688">
        <v>19839.25</v>
      </c>
      <c r="H296" s="676">
        <f t="shared" si="154"/>
        <v>19.83925</v>
      </c>
      <c r="I296" s="677">
        <f t="shared" si="134"/>
        <v>17.980821131846564</v>
      </c>
      <c r="J296" s="678">
        <f t="shared" si="135"/>
        <v>1.5151528045818685</v>
      </c>
      <c r="K296" s="678">
        <f t="shared" si="136"/>
        <v>1.0003759620166794</v>
      </c>
      <c r="L296" s="679">
        <f t="shared" si="137"/>
        <v>2.7416938739572457E-2</v>
      </c>
      <c r="M296" s="678">
        <f t="shared" si="138"/>
        <v>1.0313104496770527</v>
      </c>
      <c r="N296" s="679">
        <f t="shared" si="139"/>
        <v>-0.24704147337690674</v>
      </c>
      <c r="O296" s="677">
        <f t="shared" si="140"/>
        <v>822714.3141565728</v>
      </c>
      <c r="P296" s="680">
        <f t="shared" si="141"/>
        <v>1.5707951113061385</v>
      </c>
      <c r="Q296" s="689">
        <f t="shared" si="163"/>
        <v>33.197875293828588</v>
      </c>
      <c r="R296" s="690">
        <f t="shared" si="164"/>
        <v>1.5406693599476833</v>
      </c>
      <c r="S296" s="677">
        <f t="shared" si="142"/>
        <v>1.0025095860335675</v>
      </c>
      <c r="T296" s="680">
        <f t="shared" si="143"/>
        <v>7.0772154082893363E-2</v>
      </c>
      <c r="U296" s="681">
        <f t="shared" si="155"/>
        <v>0.4978195534536024</v>
      </c>
      <c r="V296" s="682">
        <f t="shared" si="156"/>
        <v>-1.4674502326939205</v>
      </c>
      <c r="W296" s="683">
        <f t="shared" si="144"/>
        <v>-8.8172061394505992</v>
      </c>
      <c r="X296" s="684">
        <f t="shared" si="145"/>
        <v>-189.25514927080215</v>
      </c>
      <c r="Y296" s="687">
        <f t="shared" si="146"/>
        <v>-9.2551492708021499</v>
      </c>
      <c r="AA296" s="170">
        <f t="shared" si="147"/>
        <v>19839.25</v>
      </c>
      <c r="AB296" s="170">
        <f t="shared" si="148"/>
        <v>393595840.5625</v>
      </c>
      <c r="AD296" s="686">
        <f t="shared" si="149"/>
        <v>17.200904134336568</v>
      </c>
      <c r="AE296" s="687">
        <f t="shared" si="150"/>
        <v>-5.7810241501051198</v>
      </c>
      <c r="AG296" s="686">
        <f t="shared" si="151"/>
        <v>43.828826193221111</v>
      </c>
      <c r="AH296" s="687">
        <f t="shared" si="152"/>
        <v>-15.316714970844743</v>
      </c>
      <c r="AJ296" s="170">
        <f t="shared" si="153"/>
        <v>0</v>
      </c>
      <c r="AK296" s="170">
        <f t="shared" si="165"/>
        <v>0</v>
      </c>
      <c r="AM296" s="170" t="str">
        <f t="shared" si="157"/>
        <v>1.9587035291981+0.284407354164941i</v>
      </c>
      <c r="AN296" s="170" t="str">
        <f t="shared" si="158"/>
        <v>2.85320445639841i</v>
      </c>
      <c r="AO296" s="170" t="str">
        <f t="shared" si="159"/>
        <v>0.0996799768509921-0.686492524153199i</v>
      </c>
      <c r="AP296" s="170" t="str">
        <f t="shared" si="160"/>
        <v>-0.159783921533017-0.0474012256941568i</v>
      </c>
      <c r="AQ296" s="170" t="str">
        <f t="shared" si="161"/>
        <v>1.15978392153302+0.0474012256941568i</v>
      </c>
      <c r="AR296" s="170" t="str">
        <f t="shared" si="162"/>
        <v>0.71703948243952-0.0293059333792199i</v>
      </c>
    </row>
    <row r="297" spans="7:44">
      <c r="G297" s="688">
        <v>19953</v>
      </c>
      <c r="H297" s="676">
        <f t="shared" si="154"/>
        <v>19.952999999999999</v>
      </c>
      <c r="I297" s="677">
        <f t="shared" si="134"/>
        <v>18.083597708370679</v>
      </c>
      <c r="J297" s="678">
        <f t="shared" si="135"/>
        <v>1.5154693737729854</v>
      </c>
      <c r="K297" s="678">
        <f t="shared" si="136"/>
        <v>1.0003802847736285</v>
      </c>
      <c r="L297" s="679">
        <f t="shared" si="137"/>
        <v>2.757405661000311E-2</v>
      </c>
      <c r="M297" s="678">
        <f t="shared" si="138"/>
        <v>1.0316649943387024</v>
      </c>
      <c r="N297" s="679">
        <f t="shared" si="139"/>
        <v>-0.2484005094355958</v>
      </c>
      <c r="O297" s="677">
        <f t="shared" si="140"/>
        <v>827431.4155205444</v>
      </c>
      <c r="P297" s="680">
        <f t="shared" si="141"/>
        <v>1.5707951182355149</v>
      </c>
      <c r="Q297" s="689">
        <f t="shared" si="163"/>
        <v>33.388045872283229</v>
      </c>
      <c r="R297" s="690">
        <f t="shared" si="164"/>
        <v>1.5408410076663777</v>
      </c>
      <c r="S297" s="677">
        <f t="shared" si="142"/>
        <v>1.0025384098392294</v>
      </c>
      <c r="T297" s="680">
        <f t="shared" si="143"/>
        <v>7.1176566944126149E-2</v>
      </c>
      <c r="U297" s="681">
        <f t="shared" si="155"/>
        <v>0.49527575491296744</v>
      </c>
      <c r="V297" s="682">
        <f t="shared" si="156"/>
        <v>-1.4733491233464189</v>
      </c>
      <c r="W297" s="683">
        <f t="shared" si="144"/>
        <v>-8.9084815814124934</v>
      </c>
      <c r="X297" s="684">
        <f t="shared" si="145"/>
        <v>-189.69347058489168</v>
      </c>
      <c r="Y297" s="687">
        <f t="shared" si="146"/>
        <v>-9.6934705848916849</v>
      </c>
      <c r="AA297" s="170">
        <f t="shared" si="147"/>
        <v>19953</v>
      </c>
      <c r="AB297" s="170">
        <f t="shared" si="148"/>
        <v>398122209</v>
      </c>
      <c r="AD297" s="686">
        <f t="shared" si="149"/>
        <v>17.200609602046562</v>
      </c>
      <c r="AE297" s="687">
        <f t="shared" si="150"/>
        <v>-5.7943610074295968</v>
      </c>
      <c r="AG297" s="686">
        <f t="shared" si="151"/>
        <v>43.826840575433401</v>
      </c>
      <c r="AH297" s="687">
        <f t="shared" si="152"/>
        <v>-15.065736350442712</v>
      </c>
      <c r="AJ297" s="170">
        <f t="shared" si="153"/>
        <v>0</v>
      </c>
      <c r="AK297" s="170">
        <f t="shared" si="165"/>
        <v>0</v>
      </c>
      <c r="AM297" s="170" t="str">
        <f t="shared" si="157"/>
        <v>1.96322768506678+0.268686484068145i</v>
      </c>
      <c r="AN297" s="170" t="str">
        <f t="shared" si="158"/>
        <v>2.86956354290195i</v>
      </c>
      <c r="AO297" s="170" t="str">
        <f t="shared" si="159"/>
        <v>0.0936332233285993-0.684155501599869i</v>
      </c>
      <c r="AP297" s="170" t="str">
        <f t="shared" si="160"/>
        <v>-0.160537947511129-0.0447810806780242i</v>
      </c>
      <c r="AQ297" s="170" t="str">
        <f t="shared" si="161"/>
        <v>1.16053794751113+0.0447810806780242i</v>
      </c>
      <c r="AR297" s="170" t="str">
        <f t="shared" si="162"/>
        <v>0.716703471822836-0.0276550681197012i</v>
      </c>
    </row>
    <row r="298" spans="7:44">
      <c r="G298" s="688">
        <v>20069</v>
      </c>
      <c r="H298" s="676">
        <f t="shared" si="154"/>
        <v>20.068999999999999</v>
      </c>
      <c r="I298" s="677">
        <f t="shared" si="134"/>
        <v>18.188409073257144</v>
      </c>
      <c r="J298" s="678">
        <f t="shared" si="135"/>
        <v>1.5157885202377646</v>
      </c>
      <c r="K298" s="678">
        <f t="shared" si="136"/>
        <v>1.0003847184684027</v>
      </c>
      <c r="L298" s="679">
        <f t="shared" si="137"/>
        <v>2.7734280903999591E-2</v>
      </c>
      <c r="M298" s="678">
        <f t="shared" si="138"/>
        <v>1.0320285129799509</v>
      </c>
      <c r="N298" s="679">
        <f t="shared" si="139"/>
        <v>-0.24978546325055057</v>
      </c>
      <c r="O298" s="677">
        <f t="shared" si="140"/>
        <v>832241.8221862209</v>
      </c>
      <c r="P298" s="680">
        <f t="shared" si="141"/>
        <v>1.5707951252210592</v>
      </c>
      <c r="Q298" s="689">
        <f t="shared" si="163"/>
        <v>33.581979068077352</v>
      </c>
      <c r="R298" s="690">
        <f t="shared" si="164"/>
        <v>1.5410140485094215</v>
      </c>
      <c r="S298" s="677">
        <f t="shared" si="142"/>
        <v>1.0025679726381682</v>
      </c>
      <c r="T298" s="680">
        <f t="shared" si="143"/>
        <v>7.1588955163410309E-2</v>
      </c>
      <c r="U298" s="681">
        <f t="shared" si="155"/>
        <v>0.49269339289382241</v>
      </c>
      <c r="V298" s="682">
        <f t="shared" si="156"/>
        <v>-1.4793581027097658</v>
      </c>
      <c r="W298" s="683">
        <f t="shared" si="144"/>
        <v>-9.0012882168492077</v>
      </c>
      <c r="X298" s="684">
        <f t="shared" si="145"/>
        <v>-190.13993131491546</v>
      </c>
      <c r="Y298" s="687">
        <f t="shared" si="146"/>
        <v>-10.139931314915458</v>
      </c>
      <c r="AA298" s="170">
        <f t="shared" si="147"/>
        <v>20069</v>
      </c>
      <c r="AB298" s="170">
        <f t="shared" si="148"/>
        <v>402764761</v>
      </c>
      <c r="AD298" s="686">
        <f t="shared" si="149"/>
        <v>17.200308570206513</v>
      </c>
      <c r="AE298" s="687">
        <f t="shared" si="150"/>
        <v>-5.8080750021835765</v>
      </c>
      <c r="AG298" s="686">
        <f t="shared" si="151"/>
        <v>43.825148182490629</v>
      </c>
      <c r="AH298" s="687">
        <f t="shared" si="152"/>
        <v>-14.809904771523753</v>
      </c>
      <c r="AJ298" s="170">
        <f t="shared" si="153"/>
        <v>0</v>
      </c>
      <c r="AK298" s="170">
        <f t="shared" si="165"/>
        <v>0</v>
      </c>
      <c r="AM298" s="170" t="str">
        <f t="shared" si="157"/>
        <v>1.96757585026222+0.252580628689819i</v>
      </c>
      <c r="AN298" s="170" t="str">
        <f t="shared" si="158"/>
        <v>2.88624621573193i</v>
      </c>
      <c r="AO298" s="170" t="str">
        <f t="shared" si="159"/>
        <v>0.0875118093921057-0.681707554794752i</v>
      </c>
      <c r="AP298" s="170" t="str">
        <f t="shared" si="160"/>
        <v>-0.16126264171037-0.0420967714483032i</v>
      </c>
      <c r="AQ298" s="170" t="str">
        <f t="shared" si="161"/>
        <v>1.16126264171037+0.0420967714483032i</v>
      </c>
      <c r="AR298" s="170" t="str">
        <f t="shared" si="162"/>
        <v>0.716381239398319-0.0259694372501176i</v>
      </c>
    </row>
    <row r="299" spans="7:44">
      <c r="G299" s="688">
        <v>20185</v>
      </c>
      <c r="H299" s="676">
        <f t="shared" si="154"/>
        <v>20.184999999999999</v>
      </c>
      <c r="I299" s="677">
        <f t="shared" si="134"/>
        <v>18.293222269485515</v>
      </c>
      <c r="J299" s="678">
        <f t="shared" si="135"/>
        <v>1.5161040095589928</v>
      </c>
      <c r="K299" s="678">
        <f t="shared" si="136"/>
        <v>1.0003891778446499</v>
      </c>
      <c r="L299" s="679">
        <f t="shared" si="137"/>
        <v>2.7894503773664352E-2</v>
      </c>
      <c r="M299" s="678">
        <f t="shared" si="138"/>
        <v>1.0323940097558173</v>
      </c>
      <c r="N299" s="679">
        <f t="shared" si="139"/>
        <v>-0.25116943909263989</v>
      </c>
      <c r="O299" s="677">
        <f t="shared" si="140"/>
        <v>837052.22885189741</v>
      </c>
      <c r="P299" s="680">
        <f t="shared" si="141"/>
        <v>1.5707951321263138</v>
      </c>
      <c r="Q299" s="689">
        <f t="shared" si="163"/>
        <v>33.775913257873881</v>
      </c>
      <c r="R299" s="690">
        <f t="shared" si="164"/>
        <v>1.5411851022292886</v>
      </c>
      <c r="S299" s="677">
        <f t="shared" si="142"/>
        <v>1.0025977059277984</v>
      </c>
      <c r="T299" s="680">
        <f t="shared" si="143"/>
        <v>7.200131899304188E-2</v>
      </c>
      <c r="U299" s="681">
        <f t="shared" si="155"/>
        <v>0.49012276170088204</v>
      </c>
      <c r="V299" s="682">
        <f t="shared" si="156"/>
        <v>-1.4853608348402929</v>
      </c>
      <c r="W299" s="683">
        <f t="shared" si="144"/>
        <v>-9.0938229184982227</v>
      </c>
      <c r="X299" s="684">
        <f t="shared" si="145"/>
        <v>-190.58588106561146</v>
      </c>
      <c r="Y299" s="687">
        <f t="shared" si="146"/>
        <v>-10.58588106561146</v>
      </c>
      <c r="AA299" s="170">
        <f t="shared" si="147"/>
        <v>20185</v>
      </c>
      <c r="AB299" s="170">
        <f t="shared" si="148"/>
        <v>407434225</v>
      </c>
      <c r="AD299" s="686">
        <f t="shared" si="149"/>
        <v>17.20000684042575</v>
      </c>
      <c r="AE299" s="687">
        <f t="shared" si="150"/>
        <v>-5.8219014486846632</v>
      </c>
      <c r="AG299" s="686">
        <f t="shared" si="151"/>
        <v>43.823789865685612</v>
      </c>
      <c r="AH299" s="687">
        <f t="shared" si="152"/>
        <v>-14.554165641679097</v>
      </c>
      <c r="AJ299" s="170">
        <f t="shared" si="153"/>
        <v>0</v>
      </c>
      <c r="AK299" s="170">
        <f t="shared" si="165"/>
        <v>0</v>
      </c>
      <c r="AM299" s="170" t="str">
        <f t="shared" si="157"/>
        <v>1.97165473414645+0.236404478829803i</v>
      </c>
      <c r="AN299" s="170" t="str">
        <f t="shared" si="158"/>
        <v>2.90292888856192i</v>
      </c>
      <c r="AO299" s="170" t="str">
        <f t="shared" si="159"/>
        <v>0.0814365380293264-0.679194981976698i</v>
      </c>
      <c r="AP299" s="170" t="str">
        <f t="shared" si="160"/>
        <v>-0.161942455691075-0.0394007464716338i</v>
      </c>
      <c r="AQ299" s="170" t="str">
        <f t="shared" si="161"/>
        <v>1.16194245569107+0.0394007464716338i</v>
      </c>
      <c r="AR299" s="170" t="str">
        <f t="shared" si="162"/>
        <v>0.716079590975636-0.0242818138534768i</v>
      </c>
    </row>
    <row r="300" spans="7:44">
      <c r="G300" s="688">
        <v>20301</v>
      </c>
      <c r="H300" s="676">
        <f t="shared" si="154"/>
        <v>20.300999999999998</v>
      </c>
      <c r="I300" s="677">
        <f t="shared" si="134"/>
        <v>18.398037265756457</v>
      </c>
      <c r="J300" s="678">
        <f t="shared" si="135"/>
        <v>1.5164159041783862</v>
      </c>
      <c r="K300" s="678">
        <f t="shared" si="136"/>
        <v>1.0003936629020262</v>
      </c>
      <c r="L300" s="679">
        <f t="shared" si="137"/>
        <v>2.8054725210790214E-2</v>
      </c>
      <c r="M300" s="678">
        <f t="shared" si="138"/>
        <v>1.0327614825661022</v>
      </c>
      <c r="N300" s="679">
        <f t="shared" si="139"/>
        <v>-0.25255243270130528</v>
      </c>
      <c r="O300" s="677">
        <f t="shared" si="140"/>
        <v>841862.63551757403</v>
      </c>
      <c r="P300" s="680">
        <f t="shared" si="141"/>
        <v>1.5707951389526551</v>
      </c>
      <c r="Q300" s="689">
        <f t="shared" si="163"/>
        <v>33.969848424648511</v>
      </c>
      <c r="R300" s="690">
        <f t="shared" si="164"/>
        <v>1.5413542028495697</v>
      </c>
      <c r="S300" s="677">
        <f t="shared" si="142"/>
        <v>1.0026276096929523</v>
      </c>
      <c r="T300" s="680">
        <f t="shared" si="143"/>
        <v>7.2413658294957009E-2</v>
      </c>
      <c r="U300" s="681">
        <f t="shared" si="155"/>
        <v>0.48756372169515116</v>
      </c>
      <c r="V300" s="682">
        <f t="shared" si="156"/>
        <v>-1.4913577315897562</v>
      </c>
      <c r="W300" s="683">
        <f t="shared" si="144"/>
        <v>-9.186090724784675</v>
      </c>
      <c r="X300" s="684">
        <f t="shared" si="145"/>
        <v>-191.03134481111226</v>
      </c>
      <c r="Y300" s="687">
        <f t="shared" si="146"/>
        <v>-11.031344811112263</v>
      </c>
      <c r="AA300" s="170">
        <f t="shared" si="147"/>
        <v>20301</v>
      </c>
      <c r="AB300" s="170">
        <f t="shared" si="148"/>
        <v>412130601</v>
      </c>
      <c r="AD300" s="686">
        <f t="shared" si="149"/>
        <v>17.199704395395692</v>
      </c>
      <c r="AE300" s="687">
        <f t="shared" si="150"/>
        <v>-5.8358383896930874</v>
      </c>
      <c r="AG300" s="686">
        <f t="shared" si="151"/>
        <v>43.822764044689919</v>
      </c>
      <c r="AH300" s="687">
        <f t="shared" si="152"/>
        <v>-14.298498697546329</v>
      </c>
      <c r="AJ300" s="170">
        <f t="shared" si="153"/>
        <v>0</v>
      </c>
      <c r="AK300" s="170">
        <f t="shared" si="165"/>
        <v>0</v>
      </c>
      <c r="AM300" s="170" t="str">
        <f t="shared" si="157"/>
        <v>1.9754632015452+0.220162536393412i</v>
      </c>
      <c r="AN300" s="170" t="str">
        <f t="shared" si="158"/>
        <v>2.9196115613919i</v>
      </c>
      <c r="AO300" s="170" t="str">
        <f t="shared" si="159"/>
        <v>0.0754081602171939-0.676618502155614i</v>
      </c>
      <c r="AP300" s="170" t="str">
        <f t="shared" si="160"/>
        <v>-0.162577200257534-0.0366937560655687i</v>
      </c>
      <c r="AQ300" s="170" t="str">
        <f t="shared" si="161"/>
        <v>1.16257720025753+0.0366937560655687i</v>
      </c>
      <c r="AR300" s="170" t="str">
        <f t="shared" si="162"/>
        <v>0.715798488167018-0.022592336329222i</v>
      </c>
    </row>
    <row r="301" spans="7:44">
      <c r="G301" s="688">
        <v>20417</v>
      </c>
      <c r="H301" s="676">
        <f t="shared" si="154"/>
        <v>20.417000000000002</v>
      </c>
      <c r="I301" s="677">
        <f t="shared" si="134"/>
        <v>18.502854031479313</v>
      </c>
      <c r="J301" s="678">
        <f t="shared" si="135"/>
        <v>1.516724265125591</v>
      </c>
      <c r="K301" s="678">
        <f t="shared" si="136"/>
        <v>1.0003981736401866</v>
      </c>
      <c r="L301" s="679">
        <f t="shared" si="137"/>
        <v>2.8214945207170442E-2</v>
      </c>
      <c r="M301" s="678">
        <f t="shared" si="138"/>
        <v>1.0331309293022473</v>
      </c>
      <c r="N301" s="679">
        <f t="shared" si="139"/>
        <v>-0.25393443983706288</v>
      </c>
      <c r="O301" s="677">
        <f t="shared" si="140"/>
        <v>846673.04218325065</v>
      </c>
      <c r="P301" s="680">
        <f t="shared" si="141"/>
        <v>1.5707951457014282</v>
      </c>
      <c r="Q301" s="689">
        <f t="shared" si="163"/>
        <v>34.163784551763413</v>
      </c>
      <c r="R301" s="690">
        <f t="shared" si="164"/>
        <v>1.5415213836217465</v>
      </c>
      <c r="S301" s="677">
        <f t="shared" si="142"/>
        <v>1.0026576839183765</v>
      </c>
      <c r="T301" s="680">
        <f t="shared" si="143"/>
        <v>7.2825972931141694E-2</v>
      </c>
      <c r="U301" s="681">
        <f t="shared" si="155"/>
        <v>0.48501613222589912</v>
      </c>
      <c r="V301" s="682">
        <f t="shared" si="156"/>
        <v>-1.4973492040660099</v>
      </c>
      <c r="W301" s="683">
        <f t="shared" si="144"/>
        <v>-9.278096674660647</v>
      </c>
      <c r="X301" s="684">
        <f t="shared" si="145"/>
        <v>-191.47634744746964</v>
      </c>
      <c r="Y301" s="687">
        <f t="shared" si="146"/>
        <v>-11.476347447469635</v>
      </c>
      <c r="AA301" s="170">
        <f t="shared" si="147"/>
        <v>20417</v>
      </c>
      <c r="AB301" s="170">
        <f t="shared" si="148"/>
        <v>416853889</v>
      </c>
      <c r="AD301" s="686">
        <f t="shared" si="149"/>
        <v>17.199401218306527</v>
      </c>
      <c r="AE301" s="687">
        <f t="shared" si="150"/>
        <v>-5.8498839122087407</v>
      </c>
      <c r="AG301" s="686">
        <f t="shared" si="151"/>
        <v>43.822069250295328</v>
      </c>
      <c r="AH301" s="687">
        <f t="shared" si="152"/>
        <v>-14.042883638687284</v>
      </c>
      <c r="AJ301" s="170">
        <f t="shared" si="153"/>
        <v>0</v>
      </c>
      <c r="AK301" s="170">
        <f t="shared" si="165"/>
        <v>0</v>
      </c>
      <c r="AM301" s="170" t="str">
        <f t="shared" si="157"/>
        <v>1.97900019254251+0.203859321596343i</v>
      </c>
      <c r="AN301" s="170" t="str">
        <f t="shared" si="158"/>
        <v>2.93629423422188i</v>
      </c>
      <c r="AO301" s="170" t="str">
        <f t="shared" si="159"/>
        <v>0.0694274161016993-0.673978843631434i</v>
      </c>
      <c r="AP301" s="170" t="str">
        <f t="shared" si="160"/>
        <v>-0.163166698757086-0.0339765535993905i</v>
      </c>
      <c r="AQ301" s="170" t="str">
        <f t="shared" si="161"/>
        <v>1.16316669875709+0.0339765535993905i</v>
      </c>
      <c r="AR301" s="170" t="str">
        <f t="shared" si="162"/>
        <v>0.71553789507405-0.0209011414016209i</v>
      </c>
    </row>
    <row r="302" spans="7:44">
      <c r="G302" s="688">
        <v>20536</v>
      </c>
      <c r="H302" s="676">
        <f t="shared" si="154"/>
        <v>20.536000000000001</v>
      </c>
      <c r="I302" s="677">
        <f t="shared" si="134"/>
        <v>18.610383382977041</v>
      </c>
      <c r="J302" s="678">
        <f t="shared" si="135"/>
        <v>1.5170369915056257</v>
      </c>
      <c r="K302" s="678">
        <f t="shared" si="136"/>
        <v>1.0004028277206138</v>
      </c>
      <c r="L302" s="679">
        <f t="shared" si="137"/>
        <v>2.8379307318427367E-2</v>
      </c>
      <c r="M302" s="678">
        <f t="shared" si="138"/>
        <v>1.0335119796373502</v>
      </c>
      <c r="N302" s="679">
        <f t="shared" si="139"/>
        <v>-0.25535115904445937</v>
      </c>
      <c r="O302" s="677">
        <f t="shared" si="140"/>
        <v>851607.85591786716</v>
      </c>
      <c r="P302" s="680">
        <f t="shared" si="141"/>
        <v>1.5707951525455128</v>
      </c>
      <c r="Q302" s="689">
        <f t="shared" si="163"/>
        <v>34.362737249246941</v>
      </c>
      <c r="R302" s="690">
        <f t="shared" si="164"/>
        <v>1.5416909271265824</v>
      </c>
      <c r="S302" s="677">
        <f t="shared" si="142"/>
        <v>1.002688713039376</v>
      </c>
      <c r="T302" s="680">
        <f t="shared" si="143"/>
        <v>7.3248925101445705E-2</v>
      </c>
      <c r="U302" s="681">
        <f t="shared" si="155"/>
        <v>0.48241440695152704</v>
      </c>
      <c r="V302" s="682">
        <f t="shared" si="156"/>
        <v>-1.503490422049613</v>
      </c>
      <c r="W302" s="683">
        <f t="shared" si="144"/>
        <v>-9.3722152700407655</v>
      </c>
      <c r="X302" s="684">
        <f t="shared" si="145"/>
        <v>-191.93240563645205</v>
      </c>
      <c r="Y302" s="687">
        <f t="shared" si="146"/>
        <v>-11.932405636452046</v>
      </c>
      <c r="AA302" s="170">
        <f t="shared" si="147"/>
        <v>20536</v>
      </c>
      <c r="AB302" s="170">
        <f t="shared" si="148"/>
        <v>421727296</v>
      </c>
      <c r="AD302" s="686">
        <f t="shared" si="149"/>
        <v>17.199089422617991</v>
      </c>
      <c r="AE302" s="687">
        <f t="shared" si="150"/>
        <v>-5.8644035513858528</v>
      </c>
      <c r="AG302" s="686">
        <f t="shared" si="151"/>
        <v>43.821699042346225</v>
      </c>
      <c r="AH302" s="687">
        <f t="shared" si="152"/>
        <v>-13.780690444627833</v>
      </c>
      <c r="AJ302" s="170">
        <f t="shared" si="153"/>
        <v>0</v>
      </c>
      <c r="AK302" s="170">
        <f t="shared" si="165"/>
        <v>0</v>
      </c>
      <c r="AM302" s="170" t="str">
        <f t="shared" si="157"/>
        <v>1.98234552766052+0.187075557690918i</v>
      </c>
      <c r="AN302" s="170" t="str">
        <f t="shared" si="158"/>
        <v>2.95340835548712i</v>
      </c>
      <c r="AO302" s="170" t="str">
        <f t="shared" si="159"/>
        <v>0.0633422592386696-0.671206040294947i</v>
      </c>
      <c r="AP302" s="170" t="str">
        <f t="shared" si="160"/>
        <v>-0.163724254610087-0.031179259615153i</v>
      </c>
      <c r="AQ302" s="170" t="str">
        <f t="shared" si="161"/>
        <v>1.16372425461009+0.031179259615153i</v>
      </c>
      <c r="AR302" s="170" t="str">
        <f t="shared" si="162"/>
        <v>0.715291839739576-0.0191645657323806i</v>
      </c>
    </row>
    <row r="303" spans="7:44">
      <c r="G303" s="688">
        <v>20655</v>
      </c>
      <c r="H303" s="676">
        <f t="shared" si="154"/>
        <v>20.655000000000001</v>
      </c>
      <c r="I303" s="677">
        <f t="shared" si="134"/>
        <v>18.717914533617574</v>
      </c>
      <c r="J303" s="678">
        <f t="shared" si="135"/>
        <v>1.5173461247987083</v>
      </c>
      <c r="K303" s="678">
        <f t="shared" si="136"/>
        <v>1.0004075088265749</v>
      </c>
      <c r="L303" s="679">
        <f t="shared" si="137"/>
        <v>2.8543667895958344E-2</v>
      </c>
      <c r="M303" s="678">
        <f t="shared" si="138"/>
        <v>1.0338951027959682</v>
      </c>
      <c r="N303" s="679">
        <f t="shared" si="139"/>
        <v>-0.25676683112436016</v>
      </c>
      <c r="O303" s="677">
        <f t="shared" si="140"/>
        <v>856542.66965248389</v>
      </c>
      <c r="P303" s="680">
        <f t="shared" si="141"/>
        <v>1.5707951593107357</v>
      </c>
      <c r="Q303" s="689">
        <f t="shared" si="163"/>
        <v>34.561690923115378</v>
      </c>
      <c r="R303" s="690">
        <f t="shared" si="164"/>
        <v>1.5418585186886855</v>
      </c>
      <c r="S303" s="677">
        <f t="shared" si="142"/>
        <v>1.0027199215187739</v>
      </c>
      <c r="T303" s="680">
        <f t="shared" si="143"/>
        <v>7.3671851019623702E-2</v>
      </c>
      <c r="U303" s="681">
        <f t="shared" si="155"/>
        <v>0.47982442917929952</v>
      </c>
      <c r="V303" s="682">
        <f t="shared" si="156"/>
        <v>-1.5096268058643252</v>
      </c>
      <c r="W303" s="683">
        <f t="shared" si="144"/>
        <v>-9.4660690412125792</v>
      </c>
      <c r="X303" s="684">
        <f t="shared" si="145"/>
        <v>-192.38803140055714</v>
      </c>
      <c r="Y303" s="687">
        <f t="shared" si="146"/>
        <v>-12.388031400557139</v>
      </c>
      <c r="AA303" s="170">
        <f t="shared" si="147"/>
        <v>20655</v>
      </c>
      <c r="AB303" s="170">
        <f t="shared" si="148"/>
        <v>426629025</v>
      </c>
      <c r="AD303" s="686">
        <f t="shared" si="149"/>
        <v>17.198776822215883</v>
      </c>
      <c r="AE303" s="687">
        <f t="shared" si="150"/>
        <v>-5.8790335199890702</v>
      </c>
      <c r="AG303" s="686">
        <f t="shared" si="151"/>
        <v>43.821674427246876</v>
      </c>
      <c r="AH303" s="687">
        <f t="shared" si="152"/>
        <v>-13.518508451215434</v>
      </c>
      <c r="AJ303" s="170">
        <f t="shared" si="153"/>
        <v>0</v>
      </c>
      <c r="AK303" s="170">
        <f t="shared" si="165"/>
        <v>0</v>
      </c>
      <c r="AM303" s="170" t="str">
        <f t="shared" si="157"/>
        <v>1.9854031475284+0.170237001974098i</v>
      </c>
      <c r="AN303" s="170" t="str">
        <f t="shared" si="158"/>
        <v>2.97052247675236i</v>
      </c>
      <c r="AO303" s="170" t="str">
        <f t="shared" si="159"/>
        <v>0.0573087742329478-0.66836833017302i</v>
      </c>
      <c r="AP303" s="170" t="str">
        <f t="shared" si="160"/>
        <v>-0.164233857921399-0.0283728336623497i</v>
      </c>
      <c r="AQ303" s="170" t="str">
        <f t="shared" si="161"/>
        <v>1.1642338579214+0.0283728336623497i</v>
      </c>
      <c r="AR303" s="170" t="str">
        <f t="shared" si="162"/>
        <v>0.715067300286152-0.0174264692873879i</v>
      </c>
    </row>
    <row r="304" spans="7:44">
      <c r="G304" s="688">
        <v>20774</v>
      </c>
      <c r="H304" s="676">
        <f t="shared" si="154"/>
        <v>20.774000000000001</v>
      </c>
      <c r="I304" s="677">
        <f t="shared" si="134"/>
        <v>18.825447452570742</v>
      </c>
      <c r="J304" s="678">
        <f t="shared" si="135"/>
        <v>1.5176517265175056</v>
      </c>
      <c r="K304" s="678">
        <f t="shared" si="136"/>
        <v>1.000412216957691</v>
      </c>
      <c r="L304" s="679">
        <f t="shared" si="137"/>
        <v>2.8708026930904757E-2</v>
      </c>
      <c r="M304" s="678">
        <f t="shared" si="138"/>
        <v>1.0342802964746249</v>
      </c>
      <c r="N304" s="679">
        <f t="shared" si="139"/>
        <v>-0.25818145156920164</v>
      </c>
      <c r="O304" s="677">
        <f t="shared" si="140"/>
        <v>861477.48338710039</v>
      </c>
      <c r="P304" s="680">
        <f t="shared" si="141"/>
        <v>1.5707951659984518</v>
      </c>
      <c r="Q304" s="689">
        <f t="shared" si="163"/>
        <v>34.76064555660362</v>
      </c>
      <c r="R304" s="690">
        <f t="shared" si="164"/>
        <v>1.5420241918147426</v>
      </c>
      <c r="S304" s="677">
        <f t="shared" si="142"/>
        <v>1.0027513093398237</v>
      </c>
      <c r="T304" s="680">
        <f t="shared" si="143"/>
        <v>7.409475053683949E-2</v>
      </c>
      <c r="U304" s="681">
        <f t="shared" si="155"/>
        <v>0.47724604400141646</v>
      </c>
      <c r="V304" s="682">
        <f t="shared" si="156"/>
        <v>-1.5157587972397877</v>
      </c>
      <c r="W304" s="683">
        <f t="shared" si="144"/>
        <v>-9.5596634405190599</v>
      </c>
      <c r="X304" s="684">
        <f t="shared" si="145"/>
        <v>-192.84325138744671</v>
      </c>
      <c r="Y304" s="687">
        <f t="shared" si="146"/>
        <v>-12.843251387446713</v>
      </c>
      <c r="AA304" s="170">
        <f t="shared" si="147"/>
        <v>20774</v>
      </c>
      <c r="AB304" s="170">
        <f t="shared" si="148"/>
        <v>431559076</v>
      </c>
      <c r="AD304" s="686">
        <f t="shared" si="149"/>
        <v>17.198463400480016</v>
      </c>
      <c r="AE304" s="687">
        <f t="shared" si="150"/>
        <v>-5.8937718897765938</v>
      </c>
      <c r="AG304" s="686">
        <f t="shared" si="151"/>
        <v>43.821994177766939</v>
      </c>
      <c r="AH304" s="687">
        <f t="shared" si="152"/>
        <v>-13.256315615865301</v>
      </c>
      <c r="AJ304" s="170">
        <f t="shared" si="153"/>
        <v>0</v>
      </c>
      <c r="AK304" s="170">
        <f t="shared" si="165"/>
        <v>0</v>
      </c>
      <c r="AM304" s="170" t="str">
        <f t="shared" si="157"/>
        <v>1.98817215661209+0.153348586223078i</v>
      </c>
      <c r="AN304" s="170" t="str">
        <f t="shared" si="158"/>
        <v>2.9876365980176i</v>
      </c>
      <c r="AO304" s="170" t="str">
        <f t="shared" si="159"/>
        <v>0.0513277238352315-0.665466528938396i</v>
      </c>
      <c r="AP304" s="170" t="str">
        <f t="shared" si="160"/>
        <v>-0.164695359435348-0.0255580977038463i</v>
      </c>
      <c r="AQ304" s="170" t="str">
        <f t="shared" si="161"/>
        <v>1.16469535943535+0.0255580977038463i</v>
      </c>
      <c r="AR304" s="170" t="str">
        <f t="shared" si="162"/>
        <v>0.714864246263842-0.0156869949751112i</v>
      </c>
    </row>
    <row r="305" spans="7:44">
      <c r="G305" s="688">
        <v>20893</v>
      </c>
      <c r="H305" s="676">
        <f t="shared" si="154"/>
        <v>20.893000000000001</v>
      </c>
      <c r="I305" s="677">
        <f t="shared" si="134"/>
        <v>18.932982109706291</v>
      </c>
      <c r="J305" s="678">
        <f t="shared" si="135"/>
        <v>1.5179538567798494</v>
      </c>
      <c r="K305" s="678">
        <f t="shared" si="136"/>
        <v>1.0004169521135802</v>
      </c>
      <c r="L305" s="679">
        <f t="shared" si="137"/>
        <v>2.8872384414408495E-2</v>
      </c>
      <c r="M305" s="678">
        <f t="shared" si="138"/>
        <v>1.0346675583608345</v>
      </c>
      <c r="N305" s="679">
        <f t="shared" si="139"/>
        <v>-0.2595950158949506</v>
      </c>
      <c r="O305" s="677">
        <f t="shared" si="140"/>
        <v>866412.29712171713</v>
      </c>
      <c r="P305" s="680">
        <f t="shared" si="141"/>
        <v>1.5707951726099856</v>
      </c>
      <c r="Q305" s="689">
        <f t="shared" si="163"/>
        <v>34.959601133328128</v>
      </c>
      <c r="R305" s="690">
        <f t="shared" si="164"/>
        <v>1.5421879792491191</v>
      </c>
      <c r="S305" s="677">
        <f t="shared" si="142"/>
        <v>1.0027828764856848</v>
      </c>
      <c r="T305" s="680">
        <f t="shared" si="143"/>
        <v>7.4517623504313235E-2</v>
      </c>
      <c r="U305" s="681">
        <f t="shared" si="155"/>
        <v>0.47467909555709387</v>
      </c>
      <c r="V305" s="682">
        <f t="shared" si="156"/>
        <v>-1.5218868373092349</v>
      </c>
      <c r="W305" s="683">
        <f t="shared" si="144"/>
        <v>-9.6530039280109001</v>
      </c>
      <c r="X305" s="684">
        <f t="shared" si="145"/>
        <v>-193.29809217572017</v>
      </c>
      <c r="Y305" s="687">
        <f t="shared" si="146"/>
        <v>-13.298092175720171</v>
      </c>
      <c r="AA305" s="170">
        <f t="shared" si="147"/>
        <v>20893</v>
      </c>
      <c r="AB305" s="170">
        <f t="shared" si="148"/>
        <v>436517449</v>
      </c>
      <c r="AD305" s="686">
        <f t="shared" si="149"/>
        <v>17.198149141271585</v>
      </c>
      <c r="AE305" s="687">
        <f t="shared" si="150"/>
        <v>-5.9086167761859087</v>
      </c>
      <c r="AG305" s="686">
        <f t="shared" si="151"/>
        <v>43.822657186212794</v>
      </c>
      <c r="AH305" s="687">
        <f t="shared" si="152"/>
        <v>-12.99408985159428</v>
      </c>
      <c r="AJ305" s="170">
        <f t="shared" si="153"/>
        <v>0</v>
      </c>
      <c r="AK305" s="170">
        <f t="shared" si="165"/>
        <v>0</v>
      </c>
      <c r="AM305" s="170" t="str">
        <f t="shared" si="157"/>
        <v>1.99065174390761+0.136415256818358i</v>
      </c>
      <c r="AN305" s="170" t="str">
        <f t="shared" si="158"/>
        <v>3.00475071928284i</v>
      </c>
      <c r="AO305" s="170" t="str">
        <f t="shared" si="159"/>
        <v>0.0453998582787317-0.662501461812689i</v>
      </c>
      <c r="AP305" s="170" t="str">
        <f t="shared" si="160"/>
        <v>-0.165108623984601-0.022735876136393i</v>
      </c>
      <c r="AQ305" s="170" t="str">
        <f t="shared" si="161"/>
        <v>1.1651086239846+0.022735876136393i</v>
      </c>
      <c r="AR305" s="170" t="str">
        <f t="shared" si="162"/>
        <v>0.714682650067382-0.0139462843843613i</v>
      </c>
    </row>
    <row r="306" spans="7:44">
      <c r="G306" s="688">
        <v>21014.75</v>
      </c>
      <c r="H306" s="676">
        <f t="shared" si="154"/>
        <v>21.014749999999999</v>
      </c>
      <c r="I306" s="677">
        <f t="shared" si="134"/>
        <v>19.043003579628586</v>
      </c>
      <c r="J306" s="678">
        <f t="shared" si="135"/>
        <v>1.5182594376019312</v>
      </c>
      <c r="K306" s="678">
        <f t="shared" si="136"/>
        <v>1.0004218246637129</v>
      </c>
      <c r="L306" s="679">
        <f t="shared" si="137"/>
        <v>2.9040538460178459E-2</v>
      </c>
      <c r="M306" s="678">
        <f t="shared" si="138"/>
        <v>1.0350659076071371</v>
      </c>
      <c r="N306" s="679">
        <f t="shared" si="139"/>
        <v>-0.26104014896123579</v>
      </c>
      <c r="O306" s="677">
        <f t="shared" si="140"/>
        <v>871461.15066952875</v>
      </c>
      <c r="P306" s="680">
        <f t="shared" si="141"/>
        <v>1.5707951792968133</v>
      </c>
      <c r="Q306" s="689">
        <f t="shared" si="163"/>
        <v>35.16315538244686</v>
      </c>
      <c r="R306" s="690">
        <f t="shared" si="164"/>
        <v>1.5423536334989587</v>
      </c>
      <c r="S306" s="677">
        <f t="shared" si="142"/>
        <v>1.0028153586955366</v>
      </c>
      <c r="T306" s="680">
        <f t="shared" si="143"/>
        <v>7.4950241113993885E-2</v>
      </c>
      <c r="U306" s="681">
        <f t="shared" si="155"/>
        <v>0.47206449959561503</v>
      </c>
      <c r="V306" s="682">
        <f t="shared" si="156"/>
        <v>-1.5281528619167875</v>
      </c>
      <c r="W306" s="683">
        <f t="shared" si="144"/>
        <v>-9.7482443667001828</v>
      </c>
      <c r="X306" s="684">
        <f t="shared" si="145"/>
        <v>-193.76307919732761</v>
      </c>
      <c r="Y306" s="687">
        <f t="shared" si="146"/>
        <v>-13.763079197327613</v>
      </c>
      <c r="AA306" s="170">
        <f t="shared" si="147"/>
        <v>21014.75</v>
      </c>
      <c r="AB306" s="170">
        <f t="shared" si="148"/>
        <v>441619717.5625</v>
      </c>
      <c r="AD306" s="686">
        <f t="shared" si="149"/>
        <v>17.197826736700939</v>
      </c>
      <c r="AE306" s="687">
        <f t="shared" si="150"/>
        <v>-5.9239130331339238</v>
      </c>
      <c r="AG306" s="686">
        <f t="shared" si="151"/>
        <v>43.82368973394739</v>
      </c>
      <c r="AH306" s="687">
        <f t="shared" si="152"/>
        <v>-12.725747086757471</v>
      </c>
      <c r="AJ306" s="170">
        <f t="shared" si="153"/>
        <v>0</v>
      </c>
      <c r="AK306" s="170">
        <f t="shared" si="165"/>
        <v>0</v>
      </c>
      <c r="AM306" s="170" t="str">
        <f t="shared" si="157"/>
        <v>1.99288834416073+0.119049300836914i</v>
      </c>
      <c r="AN306" s="170" t="str">
        <f t="shared" si="158"/>
        <v>3.02226033494707i</v>
      </c>
      <c r="AO306" s="170" t="str">
        <f t="shared" si="159"/>
        <v>0.0393908160261114-0.659403268843692i</v>
      </c>
      <c r="AP306" s="170" t="str">
        <f t="shared" si="160"/>
        <v>-0.165481390693455-0.0198415501394857i</v>
      </c>
      <c r="AQ306" s="170" t="str">
        <f t="shared" si="161"/>
        <v>1.16548139069345+0.0198415501394857i</v>
      </c>
      <c r="AR306" s="170" t="str">
        <f t="shared" si="162"/>
        <v>0.714519038899154-0.01216421424584i</v>
      </c>
    </row>
    <row r="307" spans="7:44">
      <c r="G307" s="688">
        <v>21136.5</v>
      </c>
      <c r="H307" s="676">
        <f t="shared" si="154"/>
        <v>21.136500000000002</v>
      </c>
      <c r="I307" s="677">
        <f t="shared" si="134"/>
        <v>19.153026807350088</v>
      </c>
      <c r="J307" s="678">
        <f t="shared" si="135"/>
        <v>1.5185615076764776</v>
      </c>
      <c r="K307" s="678">
        <f t="shared" si="136"/>
        <v>1.00042672550128</v>
      </c>
      <c r="L307" s="679">
        <f t="shared" si="137"/>
        <v>2.9208690863214721E-2</v>
      </c>
      <c r="M307" s="678">
        <f t="shared" si="138"/>
        <v>1.0354664168291752</v>
      </c>
      <c r="N307" s="679">
        <f t="shared" si="139"/>
        <v>-0.26248416711198946</v>
      </c>
      <c r="O307" s="677">
        <f t="shared" si="140"/>
        <v>876510.00421734049</v>
      </c>
      <c r="P307" s="680">
        <f t="shared" si="141"/>
        <v>1.5707951859066065</v>
      </c>
      <c r="Q307" s="689">
        <f t="shared" si="163"/>
        <v>35.366710585382044</v>
      </c>
      <c r="R307" s="690">
        <f t="shared" si="164"/>
        <v>1.542517380887505</v>
      </c>
      <c r="S307" s="677">
        <f t="shared" si="142"/>
        <v>1.0028480285781225</v>
      </c>
      <c r="T307" s="680">
        <f t="shared" si="143"/>
        <v>7.5382830617776689E-2</v>
      </c>
      <c r="U307" s="681">
        <f t="shared" si="155"/>
        <v>0.46946154209891833</v>
      </c>
      <c r="V307" s="682">
        <f t="shared" si="156"/>
        <v>-1.5344156830115092</v>
      </c>
      <c r="W307" s="683">
        <f t="shared" si="144"/>
        <v>-9.8432306178160829</v>
      </c>
      <c r="X307" s="684">
        <f t="shared" si="145"/>
        <v>-194.22772537466147</v>
      </c>
      <c r="Y307" s="687">
        <f t="shared" si="146"/>
        <v>-14.227725374661475</v>
      </c>
      <c r="AA307" s="170">
        <f t="shared" si="147"/>
        <v>21136.5</v>
      </c>
      <c r="AB307" s="170">
        <f t="shared" si="148"/>
        <v>446751632.25</v>
      </c>
      <c r="AD307" s="686">
        <f t="shared" si="149"/>
        <v>17.19750342280047</v>
      </c>
      <c r="AE307" s="687">
        <f t="shared" si="150"/>
        <v>-5.9393169304231908</v>
      </c>
      <c r="AG307" s="686">
        <f t="shared" si="151"/>
        <v>43.825079622246584</v>
      </c>
      <c r="AH307" s="687">
        <f t="shared" si="152"/>
        <v>-12.457322932835915</v>
      </c>
      <c r="AJ307" s="170">
        <f t="shared" si="153"/>
        <v>0</v>
      </c>
      <c r="AK307" s="170">
        <f t="shared" si="165"/>
        <v>0</v>
      </c>
      <c r="AM307" s="170" t="str">
        <f t="shared" si="157"/>
        <v>1.99482054588899+0.101646846862755i</v>
      </c>
      <c r="AN307" s="170" t="str">
        <f t="shared" si="158"/>
        <v>3.03976995061129i</v>
      </c>
      <c r="AO307" s="170" t="str">
        <f t="shared" si="159"/>
        <v>0.0334389932508919-0.656240629488372i</v>
      </c>
      <c r="AP307" s="170" t="str">
        <f t="shared" si="160"/>
        <v>-0.165803424314831-0.0169411411437925i</v>
      </c>
      <c r="AQ307" s="170" t="str">
        <f t="shared" si="161"/>
        <v>1.16580342431483+0.0169411411437925i</v>
      </c>
      <c r="AR307" s="170" t="str">
        <f t="shared" si="162"/>
        <v>0.714377839493963-0.0103811462176633i</v>
      </c>
    </row>
    <row r="308" spans="7:44">
      <c r="G308" s="688">
        <v>21258.25</v>
      </c>
      <c r="H308" s="676">
        <f t="shared" si="154"/>
        <v>21.25825</v>
      </c>
      <c r="I308" s="677">
        <f t="shared" si="134"/>
        <v>19.26305176275115</v>
      </c>
      <c r="J308" s="678">
        <f t="shared" si="135"/>
        <v>1.5188601271049953</v>
      </c>
      <c r="K308" s="678">
        <f t="shared" si="136"/>
        <v>1.000431654625866</v>
      </c>
      <c r="L308" s="679">
        <f t="shared" si="137"/>
        <v>2.9376841614032399E-2</v>
      </c>
      <c r="M308" s="678">
        <f t="shared" si="138"/>
        <v>1.0358690835215441</v>
      </c>
      <c r="N308" s="679">
        <f t="shared" si="139"/>
        <v>-0.26392706562183255</v>
      </c>
      <c r="O308" s="677">
        <f t="shared" si="140"/>
        <v>881558.85776515224</v>
      </c>
      <c r="P308" s="680">
        <f t="shared" si="141"/>
        <v>1.5707951924406884</v>
      </c>
      <c r="Q308" s="689">
        <f t="shared" si="163"/>
        <v>35.570266725758692</v>
      </c>
      <c r="R308" s="690">
        <f t="shared" si="164"/>
        <v>1.5426792541427923</v>
      </c>
      <c r="S308" s="677">
        <f t="shared" si="142"/>
        <v>1.0028808861151022</v>
      </c>
      <c r="T308" s="680">
        <f t="shared" si="143"/>
        <v>7.5815391856512163E-2</v>
      </c>
      <c r="U308" s="681">
        <f t="shared" si="155"/>
        <v>0.46687005328224512</v>
      </c>
      <c r="V308" s="682">
        <f t="shared" si="156"/>
        <v>-1.5406757714694594</v>
      </c>
      <c r="W308" s="683">
        <f t="shared" si="144"/>
        <v>-9.9379685657775969</v>
      </c>
      <c r="X308" s="684">
        <f t="shared" si="145"/>
        <v>-194.69205897607361</v>
      </c>
      <c r="Y308" s="687">
        <f t="shared" si="146"/>
        <v>-14.692058976073611</v>
      </c>
      <c r="AA308" s="170">
        <f t="shared" si="147"/>
        <v>21258.25</v>
      </c>
      <c r="AB308" s="170">
        <f t="shared" si="148"/>
        <v>451913193.0625</v>
      </c>
      <c r="AD308" s="686">
        <f t="shared" si="149"/>
        <v>17.19717918374722</v>
      </c>
      <c r="AE308" s="687">
        <f t="shared" si="150"/>
        <v>-5.9548265838327206</v>
      </c>
      <c r="AG308" s="686">
        <f t="shared" si="151"/>
        <v>43.826826049113158</v>
      </c>
      <c r="AH308" s="687">
        <f t="shared" si="152"/>
        <v>-12.188793583980557</v>
      </c>
      <c r="AJ308" s="170">
        <f t="shared" si="153"/>
        <v>0</v>
      </c>
      <c r="AK308" s="170">
        <f t="shared" si="165"/>
        <v>0</v>
      </c>
      <c r="AM308" s="170" t="str">
        <f t="shared" si="157"/>
        <v>1.99644775672026+0.0842132301194538i</v>
      </c>
      <c r="AN308" s="170" t="str">
        <f t="shared" si="158"/>
        <v>3.05727956627552i</v>
      </c>
      <c r="AO308" s="170" t="str">
        <f t="shared" si="159"/>
        <v>0.0275451519214663-0.653014457278567i</v>
      </c>
      <c r="AP308" s="170" t="str">
        <f t="shared" si="160"/>
        <v>-0.166074626120044-0.0140355383532423i</v>
      </c>
      <c r="AQ308" s="170" t="str">
        <f t="shared" si="161"/>
        <v>1.16607462612004+0.0140355383532423i</v>
      </c>
      <c r="AR308" s="170" t="str">
        <f t="shared" si="162"/>
        <v>0.714259031637337-0.0085972285204871i</v>
      </c>
    </row>
    <row r="309" spans="7:44">
      <c r="G309" s="688">
        <v>21380</v>
      </c>
      <c r="H309" s="676">
        <f t="shared" si="154"/>
        <v>21.38</v>
      </c>
      <c r="I309" s="677">
        <f t="shared" si="134"/>
        <v>19.373078416395895</v>
      </c>
      <c r="J309" s="678">
        <f t="shared" si="135"/>
        <v>1.5191553546261327</v>
      </c>
      <c r="K309" s="678">
        <f t="shared" si="136"/>
        <v>1.0004366120370527</v>
      </c>
      <c r="L309" s="679">
        <f t="shared" si="137"/>
        <v>2.9544990703147166E-2</v>
      </c>
      <c r="M309" s="678">
        <f t="shared" si="138"/>
        <v>1.0362739051692487</v>
      </c>
      <c r="N309" s="679">
        <f t="shared" si="139"/>
        <v>-0.26536883979135939</v>
      </c>
      <c r="O309" s="677">
        <f t="shared" si="140"/>
        <v>886607.71131296409</v>
      </c>
      <c r="P309" s="680">
        <f t="shared" si="141"/>
        <v>1.570795198900353</v>
      </c>
      <c r="Q309" s="689">
        <f t="shared" si="163"/>
        <v>35.773823787574429</v>
      </c>
      <c r="R309" s="690">
        <f t="shared" si="164"/>
        <v>1.5428392852483483</v>
      </c>
      <c r="S309" s="677">
        <f t="shared" si="142"/>
        <v>1.0029139312880313</v>
      </c>
      <c r="T309" s="680">
        <f t="shared" si="143"/>
        <v>7.624792467111402E-2</v>
      </c>
      <c r="U309" s="681">
        <f t="shared" si="155"/>
        <v>0.46428986246427012</v>
      </c>
      <c r="V309" s="682">
        <f t="shared" si="156"/>
        <v>-1.5469335977751826</v>
      </c>
      <c r="W309" s="683">
        <f t="shared" si="144"/>
        <v>-10.032464111576182</v>
      </c>
      <c r="X309" s="684">
        <f t="shared" si="145"/>
        <v>-195.15610821354457</v>
      </c>
      <c r="Y309" s="687">
        <f t="shared" si="146"/>
        <v>-15.15610821354457</v>
      </c>
      <c r="AA309" s="170">
        <f t="shared" si="147"/>
        <v>21380</v>
      </c>
      <c r="AB309" s="170">
        <f t="shared" si="148"/>
        <v>457104400</v>
      </c>
      <c r="AD309" s="686">
        <f t="shared" si="149"/>
        <v>17.196854004177883</v>
      </c>
      <c r="AE309" s="687">
        <f t="shared" si="150"/>
        <v>-5.9704401518005117</v>
      </c>
      <c r="AG309" s="686">
        <f t="shared" si="151"/>
        <v>43.82892834097472</v>
      </c>
      <c r="AH309" s="687">
        <f t="shared" si="152"/>
        <v>-11.920135180176596</v>
      </c>
      <c r="AJ309" s="170">
        <f t="shared" si="153"/>
        <v>0</v>
      </c>
      <c r="AK309" s="170">
        <f t="shared" si="165"/>
        <v>0</v>
      </c>
      <c r="AM309" s="170" t="str">
        <f t="shared" si="157"/>
        <v>1.99776947778621+0.0667537953844583i</v>
      </c>
      <c r="AN309" s="170" t="str">
        <f t="shared" si="158"/>
        <v>3.07478918193975i</v>
      </c>
      <c r="AO309" s="170" t="str">
        <f t="shared" si="159"/>
        <v>0.0217100397570497-0.649725675347246i</v>
      </c>
      <c r="AP309" s="170" t="str">
        <f t="shared" si="160"/>
        <v>-0.166294912964369-0.0111256325640764i</v>
      </c>
      <c r="AQ309" s="170" t="str">
        <f t="shared" si="161"/>
        <v>1.16629491296437+0.0111256325640764i</v>
      </c>
      <c r="AR309" s="170" t="str">
        <f t="shared" si="162"/>
        <v>0.714162598294949-0.00681260851892134i</v>
      </c>
    </row>
    <row r="310" spans="7:44">
      <c r="G310" s="688">
        <v>21504.5</v>
      </c>
      <c r="H310" s="676">
        <f t="shared" si="154"/>
        <v>21.5045</v>
      </c>
      <c r="I310" s="677">
        <f t="shared" si="134"/>
        <v>19.485591997904191</v>
      </c>
      <c r="J310" s="678">
        <f t="shared" si="135"/>
        <v>1.5194538026506632</v>
      </c>
      <c r="K310" s="678">
        <f t="shared" si="136"/>
        <v>1.0004417106743733</v>
      </c>
      <c r="L310" s="679">
        <f t="shared" si="137"/>
        <v>2.9716936092660708E-2</v>
      </c>
      <c r="M310" s="678">
        <f t="shared" si="138"/>
        <v>1.0366900965188814</v>
      </c>
      <c r="N310" s="679">
        <f t="shared" si="139"/>
        <v>-0.26684201211193675</v>
      </c>
      <c r="O310" s="677">
        <f t="shared" si="140"/>
        <v>891770.60467397072</v>
      </c>
      <c r="P310" s="680">
        <f t="shared" si="141"/>
        <v>1.5707952054302825</v>
      </c>
      <c r="Q310" s="689">
        <f t="shared" si="163"/>
        <v>35.981979584100458</v>
      </c>
      <c r="R310" s="690">
        <f t="shared" si="164"/>
        <v>1.5430010585525802</v>
      </c>
      <c r="S310" s="677">
        <f t="shared" si="142"/>
        <v>1.0029479168829352</v>
      </c>
      <c r="T310" s="680">
        <f t="shared" si="143"/>
        <v>7.6690197660639128E-2</v>
      </c>
      <c r="U310" s="681">
        <f t="shared" si="155"/>
        <v>0.46166289710643316</v>
      </c>
      <c r="V310" s="682">
        <f t="shared" si="156"/>
        <v>-1.5533309217824516</v>
      </c>
      <c r="W310" s="683">
        <f t="shared" si="144"/>
        <v>-10.128849544822856</v>
      </c>
      <c r="X310" s="684">
        <f t="shared" si="145"/>
        <v>-195.63037432568851</v>
      </c>
      <c r="Y310" s="687">
        <f t="shared" si="146"/>
        <v>-15.630374325688507</v>
      </c>
      <c r="AA310" s="170">
        <f t="shared" si="147"/>
        <v>21504.5</v>
      </c>
      <c r="AB310" s="170">
        <f t="shared" si="148"/>
        <v>462443520.25</v>
      </c>
      <c r="AD310" s="686">
        <f t="shared" si="149"/>
        <v>17.196520491526538</v>
      </c>
      <c r="AE310" s="687">
        <f t="shared" si="150"/>
        <v>-5.9865119740783248</v>
      </c>
      <c r="AG310" s="686">
        <f t="shared" si="151"/>
        <v>43.831445562977848</v>
      </c>
      <c r="AH310" s="687">
        <f t="shared" si="152"/>
        <v>-11.645250137616593</v>
      </c>
      <c r="AJ310" s="170">
        <f t="shared" si="153"/>
        <v>0</v>
      </c>
      <c r="AK310" s="170">
        <f t="shared" si="165"/>
        <v>0</v>
      </c>
      <c r="AM310" s="170" t="str">
        <f t="shared" si="157"/>
        <v>1.99880471331137+0.048878877513678i</v>
      </c>
      <c r="AN310" s="170" t="str">
        <f t="shared" si="158"/>
        <v>3.09269429200296i</v>
      </c>
      <c r="AO310" s="170" t="str">
        <f t="shared" si="159"/>
        <v>0.0158046262897915-0.646298833505739i</v>
      </c>
      <c r="AP310" s="170" t="str">
        <f t="shared" si="160"/>
        <v>-0.166467452218561-0.008146479585613i</v>
      </c>
      <c r="AQ310" s="170" t="str">
        <f t="shared" si="161"/>
        <v>1.16646745221856+0.008146479585613i</v>
      </c>
      <c r="AR310" s="170" t="str">
        <f t="shared" si="162"/>
        <v>0.714087110672351-0.00498710534818394i</v>
      </c>
    </row>
    <row r="311" spans="7:44">
      <c r="G311" s="688">
        <v>21629</v>
      </c>
      <c r="H311" s="676">
        <f t="shared" si="154"/>
        <v>21.629000000000001</v>
      </c>
      <c r="I311" s="677">
        <f t="shared" si="134"/>
        <v>19.598107295089545</v>
      </c>
      <c r="J311" s="678">
        <f t="shared" si="135"/>
        <v>1.519748823842936</v>
      </c>
      <c r="K311" s="678">
        <f t="shared" si="136"/>
        <v>1.0004468388896679</v>
      </c>
      <c r="L311" s="679">
        <f t="shared" si="137"/>
        <v>2.9888879724499478E-2</v>
      </c>
      <c r="M311" s="678">
        <f t="shared" si="138"/>
        <v>1.0371085359228081</v>
      </c>
      <c r="N311" s="679">
        <f t="shared" si="139"/>
        <v>-0.26831399887114815</v>
      </c>
      <c r="O311" s="677">
        <f t="shared" si="140"/>
        <v>896933.49803497747</v>
      </c>
      <c r="P311" s="680">
        <f t="shared" si="141"/>
        <v>1.5707952118850375</v>
      </c>
      <c r="Q311" s="689">
        <f t="shared" si="163"/>
        <v>36.190136311464073</v>
      </c>
      <c r="R311" s="690">
        <f t="shared" si="164"/>
        <v>1.5431609709007608</v>
      </c>
      <c r="S311" s="677">
        <f t="shared" si="142"/>
        <v>1.0029820986465474</v>
      </c>
      <c r="T311" s="680">
        <f t="shared" si="143"/>
        <v>7.7132440591219542E-2</v>
      </c>
      <c r="U311" s="681">
        <f t="shared" si="155"/>
        <v>0.45904738216773289</v>
      </c>
      <c r="V311" s="682">
        <f t="shared" si="156"/>
        <v>-1.5597268743962334</v>
      </c>
      <c r="W311" s="683">
        <f t="shared" si="144"/>
        <v>-10.224994044404266</v>
      </c>
      <c r="X311" s="684">
        <f t="shared" si="145"/>
        <v>-196.10440259116234</v>
      </c>
      <c r="Y311" s="687">
        <f t="shared" si="146"/>
        <v>-16.104402591162341</v>
      </c>
      <c r="AA311" s="170">
        <f t="shared" si="147"/>
        <v>21629</v>
      </c>
      <c r="AB311" s="170">
        <f t="shared" si="148"/>
        <v>467813641</v>
      </c>
      <c r="AD311" s="686">
        <f t="shared" si="149"/>
        <v>17.196185964303744</v>
      </c>
      <c r="AE311" s="687">
        <f t="shared" si="150"/>
        <v>-6.0026886947260047</v>
      </c>
      <c r="AG311" s="686">
        <f t="shared" si="151"/>
        <v>43.834333892253774</v>
      </c>
      <c r="AH311" s="687">
        <f t="shared" si="152"/>
        <v>-11.370179500134503</v>
      </c>
      <c r="AJ311" s="170">
        <f t="shared" si="153"/>
        <v>0</v>
      </c>
      <c r="AK311" s="170">
        <f t="shared" si="165"/>
        <v>0</v>
      </c>
      <c r="AM311" s="170" t="str">
        <f t="shared" si="157"/>
        <v>1.99951974762531+0.0309882898372051i</v>
      </c>
      <c r="AN311" s="170" t="str">
        <f t="shared" si="158"/>
        <v>3.11059940206617i</v>
      </c>
      <c r="AO311" s="170" t="str">
        <f t="shared" si="159"/>
        <v>0.00996216028866385-0.642808503819926i</v>
      </c>
      <c r="AP311" s="170" t="str">
        <f t="shared" si="160"/>
        <v>-0.166586624604218-0.00516471497286752i</v>
      </c>
      <c r="AQ311" s="170" t="str">
        <f t="shared" si="161"/>
        <v>1.16658662460422+0.00516471497286752i</v>
      </c>
      <c r="AR311" s="170" t="str">
        <f t="shared" si="162"/>
        <v>0.714034993931604-0.00316117735839896i</v>
      </c>
    </row>
    <row r="312" spans="7:44">
      <c r="G312" s="688">
        <v>21753.5</v>
      </c>
      <c r="H312" s="676">
        <f t="shared" si="154"/>
        <v>21.753499999999999</v>
      </c>
      <c r="I312" s="677">
        <f t="shared" si="134"/>
        <v>19.710624278570855</v>
      </c>
      <c r="J312" s="678">
        <f t="shared" si="135"/>
        <v>1.5200404768367848</v>
      </c>
      <c r="K312" s="678">
        <f t="shared" si="136"/>
        <v>1.0004519966824821</v>
      </c>
      <c r="L312" s="679">
        <f t="shared" si="137"/>
        <v>3.0060821588523679E-2</v>
      </c>
      <c r="M312" s="678">
        <f t="shared" si="138"/>
        <v>1.0375292206610829</v>
      </c>
      <c r="N312" s="679">
        <f t="shared" si="139"/>
        <v>-0.26978479512845072</v>
      </c>
      <c r="O312" s="677">
        <f t="shared" si="140"/>
        <v>902096.39139598433</v>
      </c>
      <c r="P312" s="680">
        <f t="shared" si="141"/>
        <v>1.5707952182659084</v>
      </c>
      <c r="Q312" s="689">
        <f t="shared" si="163"/>
        <v>36.398293953695294</v>
      </c>
      <c r="R312" s="690">
        <f t="shared" si="164"/>
        <v>1.5433190542124195</v>
      </c>
      <c r="S312" s="677">
        <f t="shared" si="142"/>
        <v>1.0030164765588121</v>
      </c>
      <c r="T312" s="680">
        <f t="shared" si="143"/>
        <v>7.7574653292950629E-2</v>
      </c>
      <c r="U312" s="681">
        <f t="shared" si="155"/>
        <v>0.45644313242590551</v>
      </c>
      <c r="V312" s="682">
        <f t="shared" si="156"/>
        <v>-1.5661219578768166</v>
      </c>
      <c r="W312" s="683">
        <f t="shared" si="144"/>
        <v>-10.320903987813226</v>
      </c>
      <c r="X312" s="684">
        <f t="shared" si="145"/>
        <v>-196.57822302582548</v>
      </c>
      <c r="Y312" s="687">
        <f t="shared" si="146"/>
        <v>-16.57822302582548</v>
      </c>
      <c r="AA312" s="170">
        <f t="shared" si="147"/>
        <v>21753.5</v>
      </c>
      <c r="AB312" s="170">
        <f t="shared" si="148"/>
        <v>473214762.25</v>
      </c>
      <c r="AD312" s="686">
        <f t="shared" si="149"/>
        <v>17.195850407473781</v>
      </c>
      <c r="AE312" s="687">
        <f t="shared" si="150"/>
        <v>-6.0189684752283554</v>
      </c>
      <c r="AG312" s="686">
        <f t="shared" si="151"/>
        <v>43.837593022796838</v>
      </c>
      <c r="AH312" s="687">
        <f t="shared" si="152"/>
        <v>-11.09489756731546</v>
      </c>
      <c r="AJ312" s="170">
        <f t="shared" si="153"/>
        <v>0</v>
      </c>
      <c r="AK312" s="170">
        <f t="shared" si="165"/>
        <v>0</v>
      </c>
      <c r="AM312" s="170" t="str">
        <f t="shared" si="157"/>
        <v>1.9999143514992+0.0130877677983715i</v>
      </c>
      <c r="AN312" s="170" t="str">
        <f t="shared" si="158"/>
        <v>3.12850451212939i</v>
      </c>
      <c r="AO312" s="170" t="str">
        <f t="shared" si="159"/>
        <v>0.00418339425358969-0.639255703082869i</v>
      </c>
      <c r="AP312" s="170" t="str">
        <f t="shared" si="160"/>
        <v>-0.166652391916532-0.00218129463306192i</v>
      </c>
      <c r="AQ312" s="170" t="str">
        <f t="shared" si="161"/>
        <v>1.16665239191653+0.00218129463306192i</v>
      </c>
      <c r="AR312" s="170" t="str">
        <f t="shared" si="162"/>
        <v>0.71400624023595-0.00133498031683702i</v>
      </c>
    </row>
    <row r="313" spans="7:44">
      <c r="G313" s="688">
        <v>21878</v>
      </c>
      <c r="H313" s="676">
        <f t="shared" si="154"/>
        <v>21.878</v>
      </c>
      <c r="I313" s="677">
        <f t="shared" si="134"/>
        <v>19.823142919633664</v>
      </c>
      <c r="J313" s="678">
        <f t="shared" si="135"/>
        <v>1.5203288189371127</v>
      </c>
      <c r="K313" s="678">
        <f t="shared" si="136"/>
        <v>1.0004571840523582</v>
      </c>
      <c r="L313" s="679">
        <f t="shared" si="137"/>
        <v>3.0232761674594159E-2</v>
      </c>
      <c r="M313" s="678">
        <f t="shared" si="138"/>
        <v>1.0379521480035858</v>
      </c>
      <c r="N313" s="679">
        <f t="shared" si="139"/>
        <v>-0.27125439597189244</v>
      </c>
      <c r="O313" s="677">
        <f t="shared" si="140"/>
        <v>907259.2847569912</v>
      </c>
      <c r="P313" s="680">
        <f t="shared" si="141"/>
        <v>1.5707952245741568</v>
      </c>
      <c r="Q313" s="689">
        <f t="shared" si="163"/>
        <v>36.606452495187298</v>
      </c>
      <c r="R313" s="690">
        <f t="shared" si="164"/>
        <v>1.5434753396814282</v>
      </c>
      <c r="S313" s="677">
        <f t="shared" si="142"/>
        <v>1.0030510505995613</v>
      </c>
      <c r="T313" s="680">
        <f t="shared" si="143"/>
        <v>7.8016835595998216E-2</v>
      </c>
      <c r="U313" s="681">
        <f t="shared" si="155"/>
        <v>0.45384996180314829</v>
      </c>
      <c r="V313" s="682">
        <f t="shared" si="156"/>
        <v>-1.5725166743537573</v>
      </c>
      <c r="W313" s="683">
        <f t="shared" si="144"/>
        <v>-10.416585780044532</v>
      </c>
      <c r="X313" s="684">
        <f t="shared" si="145"/>
        <v>-197.05186560512263</v>
      </c>
      <c r="Y313" s="687">
        <f t="shared" si="146"/>
        <v>-17.051865605122629</v>
      </c>
      <c r="AA313" s="170">
        <f t="shared" si="147"/>
        <v>21878</v>
      </c>
      <c r="AB313" s="170">
        <f t="shared" si="148"/>
        <v>478646884</v>
      </c>
      <c r="AD313" s="686">
        <f t="shared" si="149"/>
        <v>17.195513806438942</v>
      </c>
      <c r="AE313" s="687">
        <f t="shared" si="150"/>
        <v>-6.0353495186496628</v>
      </c>
      <c r="AG313" s="686">
        <f t="shared" si="151"/>
        <v>43.841222787750226</v>
      </c>
      <c r="AH313" s="687">
        <f t="shared" si="152"/>
        <v>-10.819378571731015</v>
      </c>
      <c r="AJ313" s="170">
        <f t="shared" si="153"/>
        <v>0</v>
      </c>
      <c r="AK313" s="170">
        <f t="shared" si="165"/>
        <v>0</v>
      </c>
      <c r="AM313" s="170" t="str">
        <f t="shared" si="157"/>
        <v>1.99998839842917-0.00481694997465811i</v>
      </c>
      <c r="AN313" s="170" t="str">
        <f t="shared" si="158"/>
        <v>3.1464096221926i</v>
      </c>
      <c r="AO313" s="170" t="str">
        <f t="shared" si="159"/>
        <v>-0.00153093543214548-0.635641457591101i</v>
      </c>
      <c r="AP313" s="170" t="str">
        <f t="shared" si="160"/>
        <v>-0.166664733071529+0.000802824995776352i</v>
      </c>
      <c r="AQ313" s="170" t="str">
        <f t="shared" si="161"/>
        <v>1.16666473307153-0.000802824995776352i</v>
      </c>
      <c r="AR313" s="170" t="str">
        <f t="shared" si="162"/>
        <v>0.714000845259704+0.000491330293383257i</v>
      </c>
    </row>
    <row r="314" spans="7:44">
      <c r="G314" s="688">
        <v>22005.25</v>
      </c>
      <c r="H314" s="676">
        <f t="shared" si="154"/>
        <v>22.00525</v>
      </c>
      <c r="I314" s="677">
        <f t="shared" si="134"/>
        <v>19.938148595898351</v>
      </c>
      <c r="J314" s="678">
        <f t="shared" si="135"/>
        <v>1.5206201669420047</v>
      </c>
      <c r="K314" s="678">
        <f t="shared" si="136"/>
        <v>1.0004625165664547</v>
      </c>
      <c r="L314" s="679">
        <f t="shared" si="137"/>
        <v>3.0408497786202134E-2</v>
      </c>
      <c r="M314" s="678">
        <f t="shared" si="138"/>
        <v>1.0383867317165776</v>
      </c>
      <c r="N314" s="679">
        <f t="shared" si="139"/>
        <v>-0.27275521748228138</v>
      </c>
      <c r="O314" s="677">
        <f t="shared" si="140"/>
        <v>912536.21793119295</v>
      </c>
      <c r="P314" s="680">
        <f t="shared" si="141"/>
        <v>1.5707952309479809</v>
      </c>
      <c r="Q314" s="689">
        <f t="shared" si="163"/>
        <v>36.819209829507713</v>
      </c>
      <c r="R314" s="690">
        <f t="shared" si="164"/>
        <v>1.5436332511251383</v>
      </c>
      <c r="S314" s="677">
        <f t="shared" si="142"/>
        <v>1.0030865909773923</v>
      </c>
      <c r="T314" s="680">
        <f t="shared" si="143"/>
        <v>7.8468753388023699E-2</v>
      </c>
      <c r="U314" s="681">
        <f t="shared" si="155"/>
        <v>0.45121076663967369</v>
      </c>
      <c r="V314" s="682">
        <f t="shared" si="156"/>
        <v>-1.5790527829871928</v>
      </c>
      <c r="W314" s="683">
        <f t="shared" si="144"/>
        <v>-10.514151958307632</v>
      </c>
      <c r="X314" s="684">
        <f t="shared" si="145"/>
        <v>-197.53581754480663</v>
      </c>
      <c r="Y314" s="687">
        <f t="shared" si="146"/>
        <v>-17.535817544806633</v>
      </c>
      <c r="AA314" s="170">
        <f t="shared" si="147"/>
        <v>22005.25</v>
      </c>
      <c r="AB314" s="170">
        <f t="shared" si="148"/>
        <v>484231027.5625</v>
      </c>
      <c r="AD314" s="686">
        <f t="shared" si="149"/>
        <v>17.195168676631734</v>
      </c>
      <c r="AE314" s="687">
        <f t="shared" si="150"/>
        <v>-6.0521952067706621</v>
      </c>
      <c r="AG314" s="686">
        <f t="shared" si="151"/>
        <v>43.845315704994299</v>
      </c>
      <c r="AH314" s="687">
        <f t="shared" si="152"/>
        <v>-10.537501944168483</v>
      </c>
      <c r="AJ314" s="170">
        <f t="shared" si="153"/>
        <v>0</v>
      </c>
      <c r="AK314" s="170">
        <f t="shared" si="165"/>
        <v>0</v>
      </c>
      <c r="AM314" s="170" t="str">
        <f t="shared" si="157"/>
        <v>1.99973280080787-0.0231155140293781i</v>
      </c>
      <c r="AN314" s="170" t="str">
        <f t="shared" si="158"/>
        <v>3.1647102266548i</v>
      </c>
      <c r="AO314" s="170" t="str">
        <f t="shared" si="159"/>
        <v>-0.00730414868150881-0.631884961841088i</v>
      </c>
      <c r="AP314" s="170" t="str">
        <f t="shared" si="160"/>
        <v>-0.166622133467979+0.00385258567156302i</v>
      </c>
      <c r="AQ314" s="170" t="str">
        <f t="shared" si="161"/>
        <v>1.16662213346798-0.00385258567156302i</v>
      </c>
      <c r="AR314" s="170" t="str">
        <f t="shared" si="162"/>
        <v>0.714019468643672+0.00235793672621003i</v>
      </c>
    </row>
    <row r="315" spans="7:44">
      <c r="G315" s="688">
        <v>22132.5</v>
      </c>
      <c r="H315" s="676">
        <f t="shared" si="154"/>
        <v>22.1325</v>
      </c>
      <c r="I315" s="677">
        <f t="shared" si="134"/>
        <v>20.053155945173746</v>
      </c>
      <c r="J315" s="678">
        <f t="shared" si="135"/>
        <v>1.5209081731368528</v>
      </c>
      <c r="K315" s="678">
        <f t="shared" si="136"/>
        <v>1.000467879977686</v>
      </c>
      <c r="L315" s="679">
        <f t="shared" si="137"/>
        <v>3.0584232019028806E-2</v>
      </c>
      <c r="M315" s="678">
        <f t="shared" si="138"/>
        <v>1.0388236523995351</v>
      </c>
      <c r="N315" s="679">
        <f t="shared" si="139"/>
        <v>-0.27425477990165742</v>
      </c>
      <c r="O315" s="677">
        <f t="shared" si="140"/>
        <v>917813.15110539482</v>
      </c>
      <c r="P315" s="680">
        <f t="shared" si="141"/>
        <v>1.5707952372485126</v>
      </c>
      <c r="Q315" s="689">
        <f t="shared" si="163"/>
        <v>37.031968071403128</v>
      </c>
      <c r="R315" s="690">
        <f t="shared" si="164"/>
        <v>1.5437893480884679</v>
      </c>
      <c r="S315" s="677">
        <f t="shared" si="142"/>
        <v>1.0031223362007466</v>
      </c>
      <c r="T315" s="680">
        <f t="shared" si="143"/>
        <v>7.8920639065089213E-2</v>
      </c>
      <c r="U315" s="681">
        <f t="shared" si="155"/>
        <v>0.44858274974242135</v>
      </c>
      <c r="V315" s="682">
        <f t="shared" si="156"/>
        <v>-1.5855895688317572</v>
      </c>
      <c r="W315" s="683">
        <f t="shared" si="144"/>
        <v>-10.611493423420722</v>
      </c>
      <c r="X315" s="684">
        <f t="shared" si="145"/>
        <v>-198.01964689908067</v>
      </c>
      <c r="Y315" s="687">
        <f t="shared" si="146"/>
        <v>-18.019646899080669</v>
      </c>
      <c r="AA315" s="170">
        <f t="shared" si="147"/>
        <v>22132.5</v>
      </c>
      <c r="AB315" s="170">
        <f t="shared" si="148"/>
        <v>489847556.25</v>
      </c>
      <c r="AD315" s="686">
        <f t="shared" si="149"/>
        <v>17.19482242648159</v>
      </c>
      <c r="AE315" s="687">
        <f t="shared" si="150"/>
        <v>-6.0691430127085653</v>
      </c>
      <c r="AG315" s="686">
        <f t="shared" si="151"/>
        <v>43.849795902904553</v>
      </c>
      <c r="AH315" s="687">
        <f t="shared" si="152"/>
        <v>-10.255323010699799</v>
      </c>
      <c r="AJ315" s="170">
        <f t="shared" si="153"/>
        <v>0</v>
      </c>
      <c r="AK315" s="170">
        <f t="shared" si="165"/>
        <v>0</v>
      </c>
      <c r="AM315" s="170" t="str">
        <f t="shared" si="157"/>
        <v>1.99914238989572-0.0414063366342665i</v>
      </c>
      <c r="AN315" s="170" t="str">
        <f t="shared" si="158"/>
        <v>3.183010831117i</v>
      </c>
      <c r="AO315" s="170" t="str">
        <f t="shared" si="159"/>
        <v>-0.0130085440581853-0.628066474154651i</v>
      </c>
      <c r="AP315" s="170" t="str">
        <f t="shared" si="160"/>
        <v>-0.166523731649286+0.00690105610571108i</v>
      </c>
      <c r="AQ315" s="170" t="str">
        <f t="shared" si="161"/>
        <v>1.16652373164929-0.00690105610571108i</v>
      </c>
      <c r="AR315" s="170" t="str">
        <f t="shared" si="162"/>
        <v>0.714062496147757+0.00422433356064915i</v>
      </c>
    </row>
    <row r="316" spans="7:44">
      <c r="G316" s="688">
        <v>22259.75</v>
      </c>
      <c r="H316" s="676">
        <f t="shared" si="154"/>
        <v>22.25975</v>
      </c>
      <c r="I316" s="677">
        <f t="shared" si="134"/>
        <v>20.168164938839226</v>
      </c>
      <c r="J316" s="678">
        <f t="shared" si="135"/>
        <v>1.5211928946434961</v>
      </c>
      <c r="K316" s="678">
        <f t="shared" si="136"/>
        <v>1.0004732742855555</v>
      </c>
      <c r="L316" s="679">
        <f t="shared" si="137"/>
        <v>3.0759964362250244E-2</v>
      </c>
      <c r="M316" s="678">
        <f t="shared" si="138"/>
        <v>1.0392629071049739</v>
      </c>
      <c r="N316" s="679">
        <f t="shared" si="139"/>
        <v>-0.27575307807821314</v>
      </c>
      <c r="O316" s="677">
        <f t="shared" si="140"/>
        <v>923090.08427959669</v>
      </c>
      <c r="P316" s="680">
        <f t="shared" si="141"/>
        <v>1.5707952434770092</v>
      </c>
      <c r="Q316" s="689">
        <f t="shared" si="163"/>
        <v>37.244727205320146</v>
      </c>
      <c r="R316" s="690">
        <f t="shared" si="164"/>
        <v>1.5439436616592015</v>
      </c>
      <c r="S316" s="677">
        <f t="shared" si="142"/>
        <v>1.0031582862477268</v>
      </c>
      <c r="T316" s="680">
        <f t="shared" si="143"/>
        <v>7.9372492446086962E-2</v>
      </c>
      <c r="U316" s="681">
        <f t="shared" si="155"/>
        <v>0.4459657098172129</v>
      </c>
      <c r="V316" s="682">
        <f t="shared" si="156"/>
        <v>-1.5921275681013365</v>
      </c>
      <c r="W316" s="683">
        <f t="shared" si="144"/>
        <v>-10.708617119370032</v>
      </c>
      <c r="X316" s="684">
        <f t="shared" si="145"/>
        <v>-198.50338557751721</v>
      </c>
      <c r="Y316" s="687">
        <f t="shared" si="146"/>
        <v>-18.503385577517207</v>
      </c>
      <c r="AA316" s="170">
        <f t="shared" si="147"/>
        <v>22259.75</v>
      </c>
      <c r="AB316" s="170">
        <f t="shared" si="148"/>
        <v>495496470.0625</v>
      </c>
      <c r="AD316" s="686">
        <f t="shared" si="149"/>
        <v>17.194475041726662</v>
      </c>
      <c r="AE316" s="687">
        <f t="shared" si="150"/>
        <v>-6.0861911449598791</v>
      </c>
      <c r="AG316" s="686">
        <f t="shared" si="151"/>
        <v>43.854663653927858</v>
      </c>
      <c r="AH316" s="687">
        <f t="shared" si="152"/>
        <v>-9.9728140268159962</v>
      </c>
      <c r="AJ316" s="170">
        <f t="shared" si="153"/>
        <v>0</v>
      </c>
      <c r="AK316" s="170">
        <f t="shared" si="165"/>
        <v>0</v>
      </c>
      <c r="AM316" s="170" t="str">
        <f t="shared" si="157"/>
        <v>1.99821736342296-0.0596832921420469i</v>
      </c>
      <c r="AN316" s="170" t="str">
        <f t="shared" si="158"/>
        <v>3.2013114355792i</v>
      </c>
      <c r="AO316" s="170" t="str">
        <f t="shared" si="159"/>
        <v>-0.0186433882935381-0.624187119445763i</v>
      </c>
      <c r="AP316" s="170" t="str">
        <f t="shared" si="160"/>
        <v>-0.166369560570493+0.00994721535700782i</v>
      </c>
      <c r="AQ316" s="170" t="str">
        <f t="shared" si="161"/>
        <v>1.16636956057049-0.00994721535700782i</v>
      </c>
      <c r="AR316" s="170" t="str">
        <f t="shared" si="162"/>
        <v>0.714129934532505+0.00609035462843032i</v>
      </c>
    </row>
    <row r="317" spans="7:44">
      <c r="G317" s="688">
        <v>22387</v>
      </c>
      <c r="H317" s="676">
        <f t="shared" si="154"/>
        <v>22.387</v>
      </c>
      <c r="I317" s="677">
        <f t="shared" si="134"/>
        <v>20.283175548922884</v>
      </c>
      <c r="J317" s="678">
        <f t="shared" si="135"/>
        <v>1.5214743872903527</v>
      </c>
      <c r="K317" s="678">
        <f t="shared" si="136"/>
        <v>1.0004786994895631</v>
      </c>
      <c r="L317" s="679">
        <f t="shared" si="137"/>
        <v>3.0935694805043223E-2</v>
      </c>
      <c r="M317" s="678">
        <f t="shared" si="138"/>
        <v>1.0397044928746582</v>
      </c>
      <c r="N317" s="679">
        <f t="shared" si="139"/>
        <v>-0.27725010689152851</v>
      </c>
      <c r="O317" s="677">
        <f t="shared" si="140"/>
        <v>928367.01745379867</v>
      </c>
      <c r="P317" s="680">
        <f t="shared" si="141"/>
        <v>1.5707952496346991</v>
      </c>
      <c r="Q317" s="689">
        <f t="shared" si="163"/>
        <v>37.457487216058674</v>
      </c>
      <c r="R317" s="690">
        <f t="shared" si="164"/>
        <v>1.5440962222191481</v>
      </c>
      <c r="S317" s="677">
        <f t="shared" si="142"/>
        <v>1.0031944410963134</v>
      </c>
      <c r="T317" s="680">
        <f t="shared" si="143"/>
        <v>7.982431334998781E-2</v>
      </c>
      <c r="U317" s="681">
        <f t="shared" si="155"/>
        <v>0.44335944473594341</v>
      </c>
      <c r="V317" s="682">
        <f t="shared" si="156"/>
        <v>-1.5986673172004127</v>
      </c>
      <c r="W317" s="683">
        <f t="shared" si="144"/>
        <v>-10.80553003111638</v>
      </c>
      <c r="X317" s="684">
        <f t="shared" si="145"/>
        <v>-198.9870654687526</v>
      </c>
      <c r="Y317" s="687">
        <f t="shared" si="146"/>
        <v>-18.987065468752604</v>
      </c>
      <c r="AA317" s="170">
        <f t="shared" si="147"/>
        <v>22387</v>
      </c>
      <c r="AB317" s="170">
        <f t="shared" si="148"/>
        <v>501177769</v>
      </c>
      <c r="AD317" s="686">
        <f t="shared" si="149"/>
        <v>17.194126508521784</v>
      </c>
      <c r="AE317" s="687">
        <f t="shared" si="150"/>
        <v>-6.1033378524733264</v>
      </c>
      <c r="AG317" s="686">
        <f t="shared" si="151"/>
        <v>43.859919382714914</v>
      </c>
      <c r="AH317" s="687">
        <f t="shared" si="152"/>
        <v>-9.6899471647785251</v>
      </c>
      <c r="AJ317" s="170">
        <f t="shared" si="153"/>
        <v>0</v>
      </c>
      <c r="AK317" s="170">
        <f t="shared" si="165"/>
        <v>0</v>
      </c>
      <c r="AM317" s="170" t="str">
        <f t="shared" si="157"/>
        <v>1.99695803118353-0.0779402595495722i</v>
      </c>
      <c r="AN317" s="170" t="str">
        <f t="shared" si="158"/>
        <v>3.2196120400414i</v>
      </c>
      <c r="AO317" s="170" t="str">
        <f t="shared" si="159"/>
        <v>-0.0242079662332764-0.620248031858476i</v>
      </c>
      <c r="AP317" s="170" t="str">
        <f t="shared" si="160"/>
        <v>-0.166159671863922+0.012990043258262i</v>
      </c>
      <c r="AQ317" s="170" t="str">
        <f t="shared" si="161"/>
        <v>1.16615967186392-0.012990043258262i</v>
      </c>
      <c r="AR317" s="170" t="str">
        <f t="shared" si="162"/>
        <v>0.714221794387228+0.0079558333467788i</v>
      </c>
    </row>
    <row r="318" spans="7:44">
      <c r="G318" s="688">
        <v>22517.5</v>
      </c>
      <c r="H318" s="676">
        <f t="shared" si="154"/>
        <v>22.517499999999998</v>
      </c>
      <c r="I318" s="677">
        <f t="shared" si="134"/>
        <v>20.40112521185722</v>
      </c>
      <c r="J318" s="678">
        <f t="shared" si="135"/>
        <v>1.5217597728791379</v>
      </c>
      <c r="K318" s="678">
        <f t="shared" si="136"/>
        <v>1.000484295344106</v>
      </c>
      <c r="L318" s="679">
        <f t="shared" si="137"/>
        <v>3.1115911466488785E-2</v>
      </c>
      <c r="M318" s="678">
        <f t="shared" si="138"/>
        <v>1.0401597748849907</v>
      </c>
      <c r="N318" s="679">
        <f t="shared" si="139"/>
        <v>-0.27878404649501737</v>
      </c>
      <c r="O318" s="677">
        <f t="shared" si="140"/>
        <v>933778.72495268553</v>
      </c>
      <c r="P318" s="680">
        <f t="shared" si="141"/>
        <v>1.5707952558773728</v>
      </c>
      <c r="Q318" s="689">
        <f t="shared" si="163"/>
        <v>37.675682071129913</v>
      </c>
      <c r="R318" s="690">
        <f t="shared" si="164"/>
        <v>1.5442508895778491</v>
      </c>
      <c r="S318" s="677">
        <f t="shared" si="142"/>
        <v>1.0032317320409194</v>
      </c>
      <c r="T318" s="680">
        <f t="shared" si="143"/>
        <v>8.0287639962606017E-2</v>
      </c>
      <c r="U318" s="681">
        <f t="shared" si="155"/>
        <v>0.44069759349129878</v>
      </c>
      <c r="V318" s="682">
        <f t="shared" si="156"/>
        <v>-1.6053764728894804</v>
      </c>
      <c r="W318" s="683">
        <f t="shared" si="144"/>
        <v>-10.904706559937569</v>
      </c>
      <c r="X318" s="684">
        <f t="shared" si="145"/>
        <v>-199.48307100561547</v>
      </c>
      <c r="Y318" s="687">
        <f t="shared" si="146"/>
        <v>-19.483071005615471</v>
      </c>
      <c r="AA318" s="170">
        <f t="shared" si="147"/>
        <v>22517.5</v>
      </c>
      <c r="AB318" s="170">
        <f t="shared" si="148"/>
        <v>507037806.25</v>
      </c>
      <c r="AD318" s="686">
        <f t="shared" si="149"/>
        <v>17.193767866782789</v>
      </c>
      <c r="AE318" s="687">
        <f t="shared" si="150"/>
        <v>-6.1210230827295042</v>
      </c>
      <c r="AG318" s="686">
        <f t="shared" si="151"/>
        <v>43.865712917807741</v>
      </c>
      <c r="AH318" s="687">
        <f t="shared" si="152"/>
        <v>-9.3994548603471841</v>
      </c>
      <c r="AJ318" s="170">
        <f t="shared" si="153"/>
        <v>0</v>
      </c>
      <c r="AK318" s="170">
        <f t="shared" si="165"/>
        <v>0</v>
      </c>
      <c r="AM318" s="170" t="str">
        <f t="shared" si="157"/>
        <v>1.99531975558541-0.0966363500003819i</v>
      </c>
      <c r="AN318" s="170" t="str">
        <f t="shared" si="158"/>
        <v>3.23838004697513i</v>
      </c>
      <c r="AO318" s="170" t="str">
        <f t="shared" si="159"/>
        <v>-0.0298409539950837-0.616147495550801i</v>
      </c>
      <c r="AP318" s="170" t="str">
        <f t="shared" si="160"/>
        <v>-0.165886625930902+0.016106058333397i</v>
      </c>
      <c r="AQ318" s="170" t="str">
        <f t="shared" si="161"/>
        <v>1.1658866259309-0.016106058333397i</v>
      </c>
      <c r="AR318" s="170" t="str">
        <f t="shared" si="162"/>
        <v>0.714341380520233+0.00986821847744577i</v>
      </c>
    </row>
    <row r="319" spans="7:44">
      <c r="G319" s="688">
        <v>22648</v>
      </c>
      <c r="H319" s="676">
        <f t="shared" si="154"/>
        <v>22.648</v>
      </c>
      <c r="I319" s="677">
        <f t="shared" si="134"/>
        <v>20.519076517257414</v>
      </c>
      <c r="J319" s="678">
        <f t="shared" si="135"/>
        <v>1.5220418774850542</v>
      </c>
      <c r="K319" s="678">
        <f t="shared" si="136"/>
        <v>1.0004899236920588</v>
      </c>
      <c r="L319" s="679">
        <f t="shared" si="137"/>
        <v>3.1296126106136551E-2</v>
      </c>
      <c r="M319" s="678">
        <f t="shared" si="138"/>
        <v>1.0406175022158586</v>
      </c>
      <c r="N319" s="679">
        <f t="shared" si="139"/>
        <v>-0.28031664026078884</v>
      </c>
      <c r="O319" s="677">
        <f t="shared" si="140"/>
        <v>939190.43245157239</v>
      </c>
      <c r="P319" s="680">
        <f t="shared" si="141"/>
        <v>1.5707952620481047</v>
      </c>
      <c r="Q319" s="689">
        <f t="shared" si="163"/>
        <v>37.893877817099295</v>
      </c>
      <c r="R319" s="690">
        <f t="shared" si="164"/>
        <v>1.5444037757680331</v>
      </c>
      <c r="S319" s="677">
        <f t="shared" si="142"/>
        <v>1.0032692383347994</v>
      </c>
      <c r="T319" s="680">
        <f t="shared" si="143"/>
        <v>8.0750932032598657E-2</v>
      </c>
      <c r="U319" s="681">
        <f t="shared" si="155"/>
        <v>0.43804664129649018</v>
      </c>
      <c r="V319" s="682">
        <f t="shared" si="156"/>
        <v>-1.6120886126282727</v>
      </c>
      <c r="W319" s="683">
        <f t="shared" si="144"/>
        <v>-11.003676425073268</v>
      </c>
      <c r="X319" s="684">
        <f t="shared" si="145"/>
        <v>-199.97908260465172</v>
      </c>
      <c r="Y319" s="687">
        <f t="shared" si="146"/>
        <v>-19.979082604651722</v>
      </c>
      <c r="AA319" s="170">
        <f t="shared" si="147"/>
        <v>22648</v>
      </c>
      <c r="AB319" s="170">
        <f t="shared" si="148"/>
        <v>512931904</v>
      </c>
      <c r="AD319" s="686">
        <f t="shared" si="149"/>
        <v>17.193407988971128</v>
      </c>
      <c r="AE319" s="687">
        <f t="shared" si="150"/>
        <v>-6.1388083831558049</v>
      </c>
      <c r="AG319" s="686">
        <f t="shared" si="151"/>
        <v>43.871915899445106</v>
      </c>
      <c r="AH319" s="687">
        <f t="shared" si="152"/>
        <v>-9.1085266010085881</v>
      </c>
      <c r="AJ319" s="170">
        <f t="shared" si="153"/>
        <v>0</v>
      </c>
      <c r="AK319" s="170">
        <f t="shared" si="165"/>
        <v>0</v>
      </c>
      <c r="AM319" s="170" t="str">
        <f t="shared" si="157"/>
        <v>1.99333090075415-0.115298402447539i</v>
      </c>
      <c r="AN319" s="170" t="str">
        <f t="shared" si="158"/>
        <v>3.25714805390886i</v>
      </c>
      <c r="AO319" s="170" t="str">
        <f t="shared" si="159"/>
        <v>-0.035398575852016-0.611986580825511i</v>
      </c>
      <c r="AP319" s="170" t="str">
        <f t="shared" si="160"/>
        <v>-0.165555150125691+0.0192164004079232i</v>
      </c>
      <c r="AQ319" s="170" t="str">
        <f t="shared" si="161"/>
        <v>1.16555515012569-0.0192164004079232i</v>
      </c>
      <c r="AR319" s="170" t="str">
        <f t="shared" si="162"/>
        <v>0.714486686396455+0.0117796761915933i</v>
      </c>
    </row>
    <row r="320" spans="7:44">
      <c r="G320" s="688">
        <v>22778.5</v>
      </c>
      <c r="H320" s="676">
        <f t="shared" si="154"/>
        <v>22.778500000000001</v>
      </c>
      <c r="I320" s="677">
        <f t="shared" si="134"/>
        <v>20.637029436960844</v>
      </c>
      <c r="J320" s="678">
        <f t="shared" si="135"/>
        <v>1.5223207573211266</v>
      </c>
      <c r="K320" s="678">
        <f t="shared" si="136"/>
        <v>1.0004955845328731</v>
      </c>
      <c r="L320" s="679">
        <f t="shared" si="137"/>
        <v>3.1476338712314963E-2</v>
      </c>
      <c r="M320" s="678">
        <f t="shared" si="138"/>
        <v>1.0410776716418828</v>
      </c>
      <c r="N320" s="679">
        <f t="shared" si="139"/>
        <v>-0.28184788276912254</v>
      </c>
      <c r="O320" s="677">
        <f t="shared" si="140"/>
        <v>944602.13995045936</v>
      </c>
      <c r="P320" s="680">
        <f t="shared" si="141"/>
        <v>1.5707952681481312</v>
      </c>
      <c r="Q320" s="689">
        <f t="shared" si="163"/>
        <v>38.11207443866536</v>
      </c>
      <c r="R320" s="690">
        <f t="shared" si="164"/>
        <v>1.5445549113747605</v>
      </c>
      <c r="S320" s="677">
        <f t="shared" si="142"/>
        <v>1.0033069599538023</v>
      </c>
      <c r="T320" s="680">
        <f t="shared" si="143"/>
        <v>8.1214189364969255E-2</v>
      </c>
      <c r="U320" s="681">
        <f t="shared" si="155"/>
        <v>0.43540636752497097</v>
      </c>
      <c r="V320" s="682">
        <f t="shared" si="156"/>
        <v>-1.6188043161600352</v>
      </c>
      <c r="W320" s="683">
        <f t="shared" si="144"/>
        <v>-11.102447313959559</v>
      </c>
      <c r="X320" s="684">
        <f t="shared" si="145"/>
        <v>-200.47513463011688</v>
      </c>
      <c r="Y320" s="687">
        <f t="shared" si="146"/>
        <v>-20.475134630116884</v>
      </c>
      <c r="AA320" s="170">
        <f t="shared" si="147"/>
        <v>22778.5</v>
      </c>
      <c r="AB320" s="170">
        <f t="shared" si="148"/>
        <v>518860062.25</v>
      </c>
      <c r="AD320" s="686">
        <f t="shared" si="149"/>
        <v>17.193046861428677</v>
      </c>
      <c r="AE320" s="687">
        <f t="shared" si="150"/>
        <v>-6.1566919902556956</v>
      </c>
      <c r="AG320" s="686">
        <f t="shared" si="151"/>
        <v>43.87852928742501</v>
      </c>
      <c r="AH320" s="687">
        <f t="shared" si="152"/>
        <v>-8.8171320808322537</v>
      </c>
      <c r="AJ320" s="170">
        <f t="shared" si="153"/>
        <v>0</v>
      </c>
      <c r="AK320" s="170">
        <f t="shared" si="165"/>
        <v>0</v>
      </c>
      <c r="AM320" s="170" t="str">
        <f t="shared" si="157"/>
        <v>1.99099216721959-0.13391984359839i</v>
      </c>
      <c r="AN320" s="170" t="str">
        <f t="shared" si="158"/>
        <v>3.27591606084259i</v>
      </c>
      <c r="AO320" s="170" t="str">
        <f t="shared" si="159"/>
        <v>-0.0408801205864673-0.60776653926459i</v>
      </c>
      <c r="AP320" s="170" t="str">
        <f t="shared" si="160"/>
        <v>-0.165165361203265+0.022319973933065i</v>
      </c>
      <c r="AQ320" s="170" t="str">
        <f t="shared" si="161"/>
        <v>1.16516536120327-0.022319973933065i</v>
      </c>
      <c r="AR320" s="170" t="str">
        <f t="shared" si="162"/>
        <v>0.714657735925074+0.0136900242386524i</v>
      </c>
    </row>
    <row r="321" spans="7:44">
      <c r="G321" s="688">
        <v>22909</v>
      </c>
      <c r="H321" s="676">
        <f t="shared" si="154"/>
        <v>22.908999999999999</v>
      </c>
      <c r="I321" s="677">
        <f t="shared" si="134"/>
        <v>20.754983943444703</v>
      </c>
      <c r="J321" s="678">
        <f t="shared" si="135"/>
        <v>1.5225964673245362</v>
      </c>
      <c r="K321" s="678">
        <f t="shared" si="136"/>
        <v>1.0005012778659974</v>
      </c>
      <c r="L321" s="679">
        <f t="shared" si="137"/>
        <v>3.165654927335327E-2</v>
      </c>
      <c r="M321" s="678">
        <f t="shared" si="138"/>
        <v>1.0415402799261915</v>
      </c>
      <c r="N321" s="679">
        <f t="shared" si="139"/>
        <v>-0.2833777686351967</v>
      </c>
      <c r="O321" s="677">
        <f t="shared" si="140"/>
        <v>950013.84744934633</v>
      </c>
      <c r="P321" s="680">
        <f t="shared" si="141"/>
        <v>1.5707952741786608</v>
      </c>
      <c r="Q321" s="689">
        <f t="shared" si="163"/>
        <v>38.330271920874999</v>
      </c>
      <c r="R321" s="690">
        <f t="shared" si="164"/>
        <v>1.5447043262869864</v>
      </c>
      <c r="S321" s="677">
        <f t="shared" si="142"/>
        <v>1.0033448968736423</v>
      </c>
      <c r="T321" s="680">
        <f t="shared" si="143"/>
        <v>8.1677411764810193E-2</v>
      </c>
      <c r="U321" s="681">
        <f t="shared" si="155"/>
        <v>0.43277655070178023</v>
      </c>
      <c r="V321" s="682">
        <f t="shared" si="156"/>
        <v>-1.6255241638138787</v>
      </c>
      <c r="W321" s="683">
        <f t="shared" si="144"/>
        <v>-11.20102697254225</v>
      </c>
      <c r="X321" s="684">
        <f t="shared" si="145"/>
        <v>-200.97126144862025</v>
      </c>
      <c r="Y321" s="687">
        <f t="shared" si="146"/>
        <v>-20.971261448620254</v>
      </c>
      <c r="AA321" s="170">
        <f t="shared" si="147"/>
        <v>22909</v>
      </c>
      <c r="AB321" s="170">
        <f t="shared" si="148"/>
        <v>524822281</v>
      </c>
      <c r="AD321" s="686">
        <f t="shared" si="149"/>
        <v>17.192684470899106</v>
      </c>
      <c r="AE321" s="687">
        <f t="shared" si="150"/>
        <v>-6.1746721804200932</v>
      </c>
      <c r="AG321" s="686">
        <f t="shared" si="151"/>
        <v>43.885554212363104</v>
      </c>
      <c r="AH321" s="687">
        <f t="shared" si="152"/>
        <v>-8.5252408892190985</v>
      </c>
      <c r="AJ321" s="170">
        <f t="shared" si="153"/>
        <v>0</v>
      </c>
      <c r="AK321" s="170">
        <f t="shared" si="165"/>
        <v>0</v>
      </c>
      <c r="AM321" s="170" t="str">
        <f t="shared" si="157"/>
        <v>1.98830437874858-0.152494114464708i</v>
      </c>
      <c r="AN321" s="170" t="str">
        <f t="shared" si="158"/>
        <v>3.29468406777632i</v>
      </c>
      <c r="AO321" s="170" t="str">
        <f t="shared" si="159"/>
        <v>-0.046284897528166-0.603488631336523i</v>
      </c>
      <c r="AP321" s="170" t="str">
        <f t="shared" si="160"/>
        <v>-0.164717396458097+0.025415685744118i</v>
      </c>
      <c r="AQ321" s="170" t="str">
        <f t="shared" si="161"/>
        <v>1.1647173964581-0.025415685744118i</v>
      </c>
      <c r="AR321" s="170" t="str">
        <f t="shared" si="162"/>
        <v>0.714854557199911+0.0155990790845865i</v>
      </c>
    </row>
    <row r="322" spans="7:44">
      <c r="G322" s="688">
        <v>23042.25</v>
      </c>
      <c r="H322" s="676">
        <f t="shared" si="154"/>
        <v>23.042249999999999</v>
      </c>
      <c r="I322" s="677">
        <f t="shared" si="134"/>
        <v>20.875425690631868</v>
      </c>
      <c r="J322" s="678">
        <f t="shared" si="135"/>
        <v>1.5228747723656448</v>
      </c>
      <c r="K322" s="678">
        <f t="shared" si="136"/>
        <v>1.0005071246995785</v>
      </c>
      <c r="L322" s="679">
        <f t="shared" si="137"/>
        <v>3.1840555252584397E-2</v>
      </c>
      <c r="M322" s="678">
        <f t="shared" si="138"/>
        <v>1.0420151497758061</v>
      </c>
      <c r="N322" s="679">
        <f t="shared" si="139"/>
        <v>-0.28493848809085415</v>
      </c>
      <c r="O322" s="677">
        <f t="shared" si="140"/>
        <v>955539.59476142831</v>
      </c>
      <c r="P322" s="680">
        <f t="shared" si="141"/>
        <v>1.5707952802657883</v>
      </c>
      <c r="Q322" s="689">
        <f t="shared" si="163"/>
        <v>38.553068307173923</v>
      </c>
      <c r="R322" s="690">
        <f t="shared" si="164"/>
        <v>1.5448551446735155</v>
      </c>
      <c r="S322" s="677">
        <f t="shared" si="142"/>
        <v>1.0033838553592409</v>
      </c>
      <c r="T322" s="680">
        <f t="shared" si="143"/>
        <v>8.2150359309312609E-2</v>
      </c>
      <c r="U322" s="681">
        <f t="shared" si="155"/>
        <v>0.43010187508619263</v>
      </c>
      <c r="V322" s="682">
        <f t="shared" si="156"/>
        <v>-1.6323904972058008</v>
      </c>
      <c r="W322" s="683">
        <f t="shared" si="144"/>
        <v>-11.30149477627892</v>
      </c>
      <c r="X322" s="684">
        <f t="shared" si="145"/>
        <v>-201.47795593933353</v>
      </c>
      <c r="Y322" s="687">
        <f t="shared" si="146"/>
        <v>-21.477955939333526</v>
      </c>
      <c r="AA322" s="170">
        <f t="shared" si="147"/>
        <v>23042.25</v>
      </c>
      <c r="AB322" s="170">
        <f t="shared" si="148"/>
        <v>530945285.0625</v>
      </c>
      <c r="AD322" s="686">
        <f t="shared" si="149"/>
        <v>17.192313127229053</v>
      </c>
      <c r="AE322" s="687">
        <f t="shared" si="150"/>
        <v>-6.1931291704178735</v>
      </c>
      <c r="AG322" s="686">
        <f t="shared" si="151"/>
        <v>43.893153163036168</v>
      </c>
      <c r="AH322" s="687">
        <f t="shared" si="152"/>
        <v>-8.2266545408617784</v>
      </c>
      <c r="AJ322" s="170">
        <f t="shared" si="153"/>
        <v>0</v>
      </c>
      <c r="AK322" s="170">
        <f t="shared" si="165"/>
        <v>0</v>
      </c>
      <c r="AM322" s="170" t="str">
        <f t="shared" si="157"/>
        <v>1.98520076965559-0.171404327454238i</v>
      </c>
      <c r="AN322" s="170" t="str">
        <f t="shared" si="158"/>
        <v>3.31384756910903i</v>
      </c>
      <c r="AO322" s="170" t="str">
        <f t="shared" si="159"/>
        <v>-0.051723660753751-0.599062186251776i</v>
      </c>
      <c r="AP322" s="170" t="str">
        <f t="shared" si="160"/>
        <v>-0.164200128275931+0.0285673879090397i</v>
      </c>
      <c r="AQ322" s="170" t="str">
        <f t="shared" si="161"/>
        <v>1.16420012827593-0.0285673879090397i</v>
      </c>
      <c r="AR322" s="170" t="str">
        <f t="shared" si="162"/>
        <v>0.715082151683141+0.0175468364225445i</v>
      </c>
    </row>
    <row r="323" spans="7:44">
      <c r="G323" s="688">
        <v>23175.5</v>
      </c>
      <c r="H323" s="676">
        <f t="shared" si="154"/>
        <v>23.1755</v>
      </c>
      <c r="I323" s="677">
        <f t="shared" si="134"/>
        <v>20.99586903614755</v>
      </c>
      <c r="J323" s="678">
        <f t="shared" si="135"/>
        <v>1.5231498844197322</v>
      </c>
      <c r="K323" s="678">
        <f t="shared" si="136"/>
        <v>1.0005130054081333</v>
      </c>
      <c r="L323" s="679">
        <f t="shared" si="137"/>
        <v>3.2024559074984096E-2</v>
      </c>
      <c r="M323" s="678">
        <f t="shared" si="138"/>
        <v>1.0424925554970779</v>
      </c>
      <c r="N323" s="679">
        <f t="shared" si="139"/>
        <v>-0.28649778189008096</v>
      </c>
      <c r="O323" s="677">
        <f t="shared" si="140"/>
        <v>961065.34207351028</v>
      </c>
      <c r="P323" s="680">
        <f t="shared" si="141"/>
        <v>1.5707952862829186</v>
      </c>
      <c r="Q323" s="689">
        <f t="shared" si="163"/>
        <v>38.7758655603308</v>
      </c>
      <c r="R323" s="690">
        <f t="shared" si="164"/>
        <v>1.5450042299275077</v>
      </c>
      <c r="S323" s="677">
        <f t="shared" si="142"/>
        <v>1.0034230382636611</v>
      </c>
      <c r="T323" s="680">
        <f t="shared" si="143"/>
        <v>8.2623270023106654E-2</v>
      </c>
      <c r="U323" s="681">
        <f t="shared" si="155"/>
        <v>0.4274376324467864</v>
      </c>
      <c r="V323" s="682">
        <f t="shared" si="156"/>
        <v>-1.6392623763254972</v>
      </c>
      <c r="W323" s="683">
        <f t="shared" si="144"/>
        <v>-11.40177972858651</v>
      </c>
      <c r="X323" s="684">
        <f t="shared" si="145"/>
        <v>-201.98480085856829</v>
      </c>
      <c r="Y323" s="687">
        <f t="shared" si="146"/>
        <v>-21.984800858568292</v>
      </c>
      <c r="AA323" s="170">
        <f t="shared" si="147"/>
        <v>23175.5</v>
      </c>
      <c r="AB323" s="170">
        <f t="shared" si="148"/>
        <v>537103800.25</v>
      </c>
      <c r="AD323" s="686">
        <f t="shared" si="149"/>
        <v>17.191940440071669</v>
      </c>
      <c r="AE323" s="687">
        <f t="shared" si="150"/>
        <v>-6.2116833473407693</v>
      </c>
      <c r="AG323" s="686">
        <f t="shared" si="151"/>
        <v>43.901184108847815</v>
      </c>
      <c r="AH323" s="687">
        <f t="shared" si="152"/>
        <v>-7.9274859405084666</v>
      </c>
      <c r="AJ323" s="170">
        <f t="shared" si="153"/>
        <v>0</v>
      </c>
      <c r="AK323" s="170">
        <f t="shared" si="165"/>
        <v>0</v>
      </c>
      <c r="AM323" s="170" t="str">
        <f t="shared" si="157"/>
        <v>1.9817353667177-0.190251595882048i</v>
      </c>
      <c r="AN323" s="170" t="str">
        <f t="shared" si="158"/>
        <v>3.33301107044175i</v>
      </c>
      <c r="AO323" s="170" t="str">
        <f t="shared" si="159"/>
        <v>-0.0570809972907868-0.594578093151981i</v>
      </c>
      <c r="AP323" s="170" t="str">
        <f t="shared" si="160"/>
        <v>-0.163622561119616+0.0317085993136747i</v>
      </c>
      <c r="AQ323" s="170" t="str">
        <f t="shared" si="161"/>
        <v>1.16362256111962-0.0317085993136747i</v>
      </c>
      <c r="AR323" s="170" t="str">
        <f t="shared" si="162"/>
        <v>0.715336687963332+0.0194928537576444i</v>
      </c>
    </row>
    <row r="324" spans="7:44">
      <c r="G324" s="688">
        <v>23308.75</v>
      </c>
      <c r="H324" s="676">
        <f t="shared" si="154"/>
        <v>23.30875</v>
      </c>
      <c r="I324" s="677">
        <f t="shared" si="134"/>
        <v>21.116313952642074</v>
      </c>
      <c r="J324" s="678">
        <f t="shared" si="135"/>
        <v>1.523421858082036</v>
      </c>
      <c r="K324" s="678">
        <f t="shared" si="136"/>
        <v>1.0005189199910651</v>
      </c>
      <c r="L324" s="679">
        <f t="shared" si="137"/>
        <v>3.220856072813072E-2</v>
      </c>
      <c r="M324" s="678">
        <f t="shared" si="138"/>
        <v>1.0429724936077296</v>
      </c>
      <c r="N324" s="679">
        <f t="shared" si="139"/>
        <v>-0.28805564441329784</v>
      </c>
      <c r="O324" s="677">
        <f t="shared" si="140"/>
        <v>966591.08938559226</v>
      </c>
      <c r="P324" s="680">
        <f t="shared" si="141"/>
        <v>1.5707952922312522</v>
      </c>
      <c r="Q324" s="689">
        <f t="shared" si="163"/>
        <v>38.998663665488678</v>
      </c>
      <c r="R324" s="690">
        <f t="shared" si="164"/>
        <v>1.5451516117462689</v>
      </c>
      <c r="S324" s="677">
        <f t="shared" si="142"/>
        <v>1.0034624455606134</v>
      </c>
      <c r="T324" s="680">
        <f t="shared" si="143"/>
        <v>8.3096143698991459E-2</v>
      </c>
      <c r="U324" s="681">
        <f t="shared" si="155"/>
        <v>0.42478358434966007</v>
      </c>
      <c r="V324" s="682">
        <f t="shared" si="156"/>
        <v>-1.6461404214689914</v>
      </c>
      <c r="W324" s="683">
        <f t="shared" si="144"/>
        <v>-11.501890287328788</v>
      </c>
      <c r="X324" s="684">
        <f t="shared" si="145"/>
        <v>-202.49183284014572</v>
      </c>
      <c r="Y324" s="687">
        <f t="shared" si="146"/>
        <v>-22.491832840145719</v>
      </c>
      <c r="AA324" s="170">
        <f t="shared" si="147"/>
        <v>23308.75</v>
      </c>
      <c r="AB324" s="170">
        <f t="shared" si="148"/>
        <v>543297826.5625</v>
      </c>
      <c r="AD324" s="686">
        <f t="shared" si="149"/>
        <v>17.191566396525722</v>
      </c>
      <c r="AE324" s="687">
        <f t="shared" si="150"/>
        <v>-6.2303329978555482</v>
      </c>
      <c r="AG324" s="686">
        <f t="shared" si="151"/>
        <v>43.909648811546688</v>
      </c>
      <c r="AH324" s="687">
        <f t="shared" si="152"/>
        <v>-7.6277023546251623</v>
      </c>
      <c r="AJ324" s="170">
        <f t="shared" si="153"/>
        <v>0</v>
      </c>
      <c r="AK324" s="170">
        <f t="shared" si="165"/>
        <v>0</v>
      </c>
      <c r="AM324" s="170" t="str">
        <f t="shared" si="157"/>
        <v>1.9779094425298-0.209028998493164i</v>
      </c>
      <c r="AN324" s="170" t="str">
        <f t="shared" si="158"/>
        <v>3.35217457177446i</v>
      </c>
      <c r="AO324" s="170" t="str">
        <f t="shared" si="159"/>
        <v>-0.0623562389182242-0.590037720345454i</v>
      </c>
      <c r="AP324" s="170" t="str">
        <f t="shared" si="160"/>
        <v>-0.1629849070883+0.0348381664155273i</v>
      </c>
      <c r="AQ324" s="170" t="str">
        <f t="shared" si="161"/>
        <v>1.1629849070883-0.0348381664155273i</v>
      </c>
      <c r="AR324" s="170" t="str">
        <f t="shared" si="162"/>
        <v>0.715618209304414+0.0214369301903898i</v>
      </c>
    </row>
    <row r="325" spans="7:44">
      <c r="G325" s="688">
        <v>23442</v>
      </c>
      <c r="H325" s="676">
        <f t="shared" si="154"/>
        <v>23.442</v>
      </c>
      <c r="I325" s="677">
        <f t="shared" si="134"/>
        <v>21.236760413385891</v>
      </c>
      <c r="J325" s="678">
        <f t="shared" si="135"/>
        <v>1.5236907467111049</v>
      </c>
      <c r="K325" s="678">
        <f t="shared" si="136"/>
        <v>1.000524868447773</v>
      </c>
      <c r="L325" s="679">
        <f t="shared" si="137"/>
        <v>3.2392560199603494E-2</v>
      </c>
      <c r="M325" s="678">
        <f t="shared" si="138"/>
        <v>1.0434549606134367</v>
      </c>
      <c r="N325" s="679">
        <f t="shared" si="139"/>
        <v>-0.28961207007902617</v>
      </c>
      <c r="O325" s="677">
        <f t="shared" si="140"/>
        <v>972116.83669767436</v>
      </c>
      <c r="P325" s="680">
        <f t="shared" si="141"/>
        <v>1.5707952981119624</v>
      </c>
      <c r="Q325" s="689">
        <f t="shared" si="163"/>
        <v>39.221462608128135</v>
      </c>
      <c r="R325" s="690">
        <f t="shared" si="164"/>
        <v>1.545297319152618</v>
      </c>
      <c r="S325" s="677">
        <f t="shared" si="142"/>
        <v>1.0035020772236629</v>
      </c>
      <c r="T325" s="680">
        <f t="shared" si="143"/>
        <v>8.3568980129864814E-2</v>
      </c>
      <c r="U325" s="681">
        <f t="shared" si="155"/>
        <v>0.4221394914839639</v>
      </c>
      <c r="V325" s="682">
        <f t="shared" si="156"/>
        <v>-1.6530252539787187</v>
      </c>
      <c r="W325" s="683">
        <f t="shared" si="144"/>
        <v>-11.601834989760505</v>
      </c>
      <c r="X325" s="684">
        <f t="shared" si="145"/>
        <v>-202.99908854781728</v>
      </c>
      <c r="Y325" s="687">
        <f t="shared" si="146"/>
        <v>-22.99908854781728</v>
      </c>
      <c r="AA325" s="170">
        <f t="shared" si="147"/>
        <v>23442</v>
      </c>
      <c r="AB325" s="170">
        <f t="shared" si="148"/>
        <v>549527364</v>
      </c>
      <c r="AD325" s="686">
        <f t="shared" si="149"/>
        <v>17.191190984070705</v>
      </c>
      <c r="AE325" s="687">
        <f t="shared" si="150"/>
        <v>-6.2490764472783145</v>
      </c>
      <c r="AG325" s="686">
        <f t="shared" si="151"/>
        <v>43.918549223702612</v>
      </c>
      <c r="AH325" s="687">
        <f t="shared" si="152"/>
        <v>-7.327270921048787</v>
      </c>
      <c r="AJ325" s="170">
        <f t="shared" si="153"/>
        <v>0</v>
      </c>
      <c r="AK325" s="170">
        <f t="shared" si="165"/>
        <v>0</v>
      </c>
      <c r="AM325" s="170" t="str">
        <f t="shared" si="157"/>
        <v>1.97372440208046-0.22772963968937i</v>
      </c>
      <c r="AN325" s="170" t="str">
        <f t="shared" si="158"/>
        <v>3.37133807310718i</v>
      </c>
      <c r="AO325" s="170" t="str">
        <f t="shared" si="159"/>
        <v>-0.0675487402185933-0.585442444299686i</v>
      </c>
      <c r="AP325" s="170" t="str">
        <f t="shared" si="160"/>
        <v>-0.162287400346743+0.0379549399482283i</v>
      </c>
      <c r="AQ325" s="170" t="str">
        <f t="shared" si="161"/>
        <v>1.16228740034674-0.0379549399482283i</v>
      </c>
      <c r="AR325" s="170" t="str">
        <f t="shared" si="162"/>
        <v>0.71592676340611+0.0233788624950266i</v>
      </c>
    </row>
    <row r="326" spans="7:44">
      <c r="G326" s="688">
        <v>23578.5</v>
      </c>
      <c r="H326" s="676">
        <f t="shared" si="154"/>
        <v>23.578499999999998</v>
      </c>
      <c r="I326" s="677">
        <f t="shared" si="134"/>
        <v>21.360146166582918</v>
      </c>
      <c r="J326" s="678">
        <f t="shared" si="135"/>
        <v>1.5239630492940255</v>
      </c>
      <c r="K326" s="678">
        <f t="shared" si="136"/>
        <v>1.0005309971112952</v>
      </c>
      <c r="L326" s="679">
        <f t="shared" si="137"/>
        <v>3.258104518794068E-2</v>
      </c>
      <c r="M326" s="678">
        <f t="shared" si="138"/>
        <v>1.0439518136096795</v>
      </c>
      <c r="N326" s="679">
        <f t="shared" si="139"/>
        <v>-0.29120496169924759</v>
      </c>
      <c r="O326" s="677">
        <f t="shared" si="140"/>
        <v>977777.35833444144</v>
      </c>
      <c r="P326" s="680">
        <f t="shared" si="141"/>
        <v>1.5707953040671851</v>
      </c>
      <c r="Q326" s="689">
        <f t="shared" si="163"/>
        <v>39.449696524857615</v>
      </c>
      <c r="R326" s="690">
        <f t="shared" si="164"/>
        <v>1.5454448738773929</v>
      </c>
      <c r="S326" s="677">
        <f t="shared" si="142"/>
        <v>1.0035429081262015</v>
      </c>
      <c r="T326" s="680">
        <f t="shared" si="143"/>
        <v>8.4053310321518943E-2</v>
      </c>
      <c r="U326" s="681">
        <f t="shared" si="155"/>
        <v>0.4194409798864871</v>
      </c>
      <c r="V326" s="682">
        <f t="shared" si="156"/>
        <v>-1.6600856976409699</v>
      </c>
      <c r="W326" s="683">
        <f t="shared" si="144"/>
        <v>-11.70405440633801</v>
      </c>
      <c r="X326" s="684">
        <f t="shared" si="145"/>
        <v>-203.5189866873321</v>
      </c>
      <c r="Y326" s="687">
        <f t="shared" si="146"/>
        <v>-23.518986687332102</v>
      </c>
      <c r="AA326" s="170">
        <f t="shared" si="147"/>
        <v>23578.5</v>
      </c>
      <c r="AB326" s="170">
        <f t="shared" si="148"/>
        <v>555945662.25</v>
      </c>
      <c r="AD326" s="686">
        <f t="shared" si="149"/>
        <v>17.190804983115161</v>
      </c>
      <c r="AE326" s="687">
        <f t="shared" si="150"/>
        <v>-6.2683726014052112</v>
      </c>
      <c r="AG326" s="686">
        <f t="shared" si="151"/>
        <v>43.928120742249178</v>
      </c>
      <c r="AH326" s="687">
        <f t="shared" si="152"/>
        <v>-7.0188056588384367</v>
      </c>
      <c r="AJ326" s="170">
        <f t="shared" si="153"/>
        <v>0</v>
      </c>
      <c r="AK326" s="170">
        <f t="shared" si="165"/>
        <v>0</v>
      </c>
      <c r="AM326" s="170" t="str">
        <f t="shared" si="157"/>
        <v>1.96906653333998-0.246799623096222i</v>
      </c>
      <c r="AN326" s="170" t="str">
        <f t="shared" si="158"/>
        <v>3.39096897691143i</v>
      </c>
      <c r="AO326" s="170" t="str">
        <f t="shared" si="159"/>
        <v>-0.0727814452967991-0.580679607140921i</v>
      </c>
      <c r="AP326" s="170" t="str">
        <f t="shared" si="160"/>
        <v>-0.161511088889996+0.041133270516037i</v>
      </c>
      <c r="AQ326" s="170" t="str">
        <f t="shared" si="161"/>
        <v>1.16151108889-0.041133270516037i</v>
      </c>
      <c r="AR326" s="170" t="str">
        <f t="shared" si="162"/>
        <v>0.716270927508174+0.0253657206597333i</v>
      </c>
    </row>
    <row r="327" spans="7:44">
      <c r="G327" s="688">
        <v>23715</v>
      </c>
      <c r="H327" s="676">
        <f t="shared" si="154"/>
        <v>23.715</v>
      </c>
      <c r="I327" s="677">
        <f t="shared" si="134"/>
        <v>21.483533485414185</v>
      </c>
      <c r="J327" s="678">
        <f t="shared" si="135"/>
        <v>1.5242322240420121</v>
      </c>
      <c r="K327" s="678">
        <f t="shared" si="136"/>
        <v>1.0005371613198368</v>
      </c>
      <c r="L327" s="679">
        <f t="shared" si="137"/>
        <v>3.2769527860499928E-2</v>
      </c>
      <c r="M327" s="678">
        <f t="shared" si="138"/>
        <v>1.0444513129046891</v>
      </c>
      <c r="N327" s="679">
        <f t="shared" si="139"/>
        <v>-0.29279633378233383</v>
      </c>
      <c r="O327" s="677">
        <f t="shared" si="140"/>
        <v>983437.87997120852</v>
      </c>
      <c r="P327" s="680">
        <f t="shared" si="141"/>
        <v>1.5707953099538532</v>
      </c>
      <c r="Q327" s="689">
        <f t="shared" si="163"/>
        <v>39.677931290620307</v>
      </c>
      <c r="R327" s="690">
        <f t="shared" si="164"/>
        <v>1.5455907310814276</v>
      </c>
      <c r="S327" s="677">
        <f t="shared" si="142"/>
        <v>1.0035839744163675</v>
      </c>
      <c r="T327" s="680">
        <f t="shared" si="143"/>
        <v>8.4537600989538608E-2</v>
      </c>
      <c r="U327" s="681">
        <f t="shared" si="155"/>
        <v>0.4167524038894807</v>
      </c>
      <c r="V327" s="682">
        <f t="shared" si="156"/>
        <v>-1.6671545875482048</v>
      </c>
      <c r="W327" s="683">
        <f t="shared" si="144"/>
        <v>-11.806118187101216</v>
      </c>
      <c r="X327" s="684">
        <f t="shared" si="145"/>
        <v>-204.03919761122521</v>
      </c>
      <c r="Y327" s="687">
        <f t="shared" si="146"/>
        <v>-24.039197611225205</v>
      </c>
      <c r="AA327" s="170">
        <f t="shared" si="147"/>
        <v>23715</v>
      </c>
      <c r="AB327" s="170">
        <f t="shared" si="148"/>
        <v>562401225</v>
      </c>
      <c r="AD327" s="686">
        <f t="shared" si="149"/>
        <v>17.190417520232387</v>
      </c>
      <c r="AE327" s="687">
        <f t="shared" si="150"/>
        <v>-6.2877637478409421</v>
      </c>
      <c r="AG327" s="686">
        <f t="shared" si="151"/>
        <v>43.938154252834124</v>
      </c>
      <c r="AH327" s="687">
        <f t="shared" si="152"/>
        <v>-6.7095903203158489</v>
      </c>
      <c r="AJ327" s="170">
        <f t="shared" si="153"/>
        <v>0</v>
      </c>
      <c r="AK327" s="170">
        <f t="shared" si="165"/>
        <v>0</v>
      </c>
      <c r="AM327" s="170" t="str">
        <f t="shared" si="157"/>
        <v>1.96403522511213-0.265774499798249i</v>
      </c>
      <c r="AN327" s="170" t="str">
        <f t="shared" si="158"/>
        <v>3.41059988071567i</v>
      </c>
      <c r="AO327" s="170" t="str">
        <f t="shared" si="159"/>
        <v>-0.0779260274126555-0.575862104557396i</v>
      </c>
      <c r="AP327" s="170" t="str">
        <f t="shared" si="160"/>
        <v>-0.160672537518688+0.0442957499663748i</v>
      </c>
      <c r="AQ327" s="170" t="str">
        <f t="shared" si="161"/>
        <v>1.16067253751869-0.0442957499663748i</v>
      </c>
      <c r="AR327" s="170" t="str">
        <f t="shared" si="162"/>
        <v>0.71664357455335+0.0273498885924258i</v>
      </c>
    </row>
    <row r="328" spans="7:44">
      <c r="G328" s="688">
        <v>23851.5</v>
      </c>
      <c r="H328" s="676">
        <f t="shared" si="154"/>
        <v>23.851500000000001</v>
      </c>
      <c r="I328" s="677">
        <f t="shared" si="134"/>
        <v>21.606922343057811</v>
      </c>
      <c r="J328" s="678">
        <f t="shared" si="135"/>
        <v>1.5244983245013224</v>
      </c>
      <c r="K328" s="678">
        <f t="shared" si="136"/>
        <v>1.0005433610727403</v>
      </c>
      <c r="L328" s="679">
        <f t="shared" si="137"/>
        <v>3.2958008203932208E-2</v>
      </c>
      <c r="M328" s="678">
        <f t="shared" si="138"/>
        <v>1.0449534547035861</v>
      </c>
      <c r="N328" s="679">
        <f t="shared" si="139"/>
        <v>-0.29438618045296205</v>
      </c>
      <c r="O328" s="677">
        <f t="shared" si="140"/>
        <v>989098.40160797548</v>
      </c>
      <c r="P328" s="680">
        <f t="shared" si="141"/>
        <v>1.5707953157731436</v>
      </c>
      <c r="Q328" s="689">
        <f t="shared" si="163"/>
        <v>39.90616689084861</v>
      </c>
      <c r="R328" s="690">
        <f t="shared" si="164"/>
        <v>1.5457349198843864</v>
      </c>
      <c r="S328" s="677">
        <f t="shared" si="142"/>
        <v>1.0036252760652664</v>
      </c>
      <c r="T328" s="680">
        <f t="shared" si="143"/>
        <v>8.5021851911620913E-2</v>
      </c>
      <c r="U328" s="681">
        <f t="shared" si="155"/>
        <v>0.41407350341238575</v>
      </c>
      <c r="V328" s="682">
        <f t="shared" si="156"/>
        <v>-1.6742325957063917</v>
      </c>
      <c r="W328" s="683">
        <f t="shared" si="144"/>
        <v>-11.908035796616975</v>
      </c>
      <c r="X328" s="684">
        <f t="shared" si="145"/>
        <v>-204.55976087360719</v>
      </c>
      <c r="Y328" s="687">
        <f t="shared" si="146"/>
        <v>-24.559760873607189</v>
      </c>
      <c r="AA328" s="170">
        <f t="shared" si="147"/>
        <v>23851.5</v>
      </c>
      <c r="AB328" s="170">
        <f t="shared" si="148"/>
        <v>568894052.25</v>
      </c>
      <c r="AD328" s="686">
        <f t="shared" si="149"/>
        <v>17.190028583123972</v>
      </c>
      <c r="AE328" s="687">
        <f t="shared" si="150"/>
        <v>-6.3072482054820309</v>
      </c>
      <c r="AG328" s="686">
        <f t="shared" si="151"/>
        <v>43.948652489216983</v>
      </c>
      <c r="AH328" s="687">
        <f t="shared" si="152"/>
        <v>-6.3995891344833948</v>
      </c>
      <c r="AJ328" s="170">
        <f t="shared" si="153"/>
        <v>0</v>
      </c>
      <c r="AK328" s="170">
        <f t="shared" si="165"/>
        <v>0</v>
      </c>
      <c r="AM328" s="170" t="str">
        <f t="shared" si="157"/>
        <v>1.95863241626188-0.284646957636826i</v>
      </c>
      <c r="AN328" s="170" t="str">
        <f t="shared" si="158"/>
        <v>3.43023078451992i</v>
      </c>
      <c r="AO328" s="170" t="str">
        <f t="shared" si="159"/>
        <v>-0.0829818678444004-0.570991440313833i</v>
      </c>
      <c r="AP328" s="170" t="str">
        <f t="shared" si="160"/>
        <v>-0.159772069376981+0.0474411596061377i</v>
      </c>
      <c r="AQ328" s="170" t="str">
        <f t="shared" si="161"/>
        <v>1.15977206937698-0.0474411596061377i</v>
      </c>
      <c r="AR328" s="170" t="str">
        <f t="shared" si="162"/>
        <v>0.717044770026397+0.0293311386588595i</v>
      </c>
    </row>
    <row r="329" spans="7:44">
      <c r="G329" s="688">
        <v>23988</v>
      </c>
      <c r="H329" s="676">
        <f t="shared" si="154"/>
        <v>23.988</v>
      </c>
      <c r="I329" s="677">
        <f t="shared" si="134"/>
        <v>21.730312713300783</v>
      </c>
      <c r="J329" s="678">
        <f t="shared" si="135"/>
        <v>1.5247614030037802</v>
      </c>
      <c r="K329" s="678">
        <f t="shared" si="136"/>
        <v>1.0005495963693454</v>
      </c>
      <c r="L329" s="679">
        <f t="shared" si="137"/>
        <v>3.3146486204889483E-2</v>
      </c>
      <c r="M329" s="678">
        <f t="shared" si="138"/>
        <v>1.0454582351987241</v>
      </c>
      <c r="N329" s="679">
        <f t="shared" si="139"/>
        <v>-0.29597449587791297</v>
      </c>
      <c r="O329" s="677">
        <f t="shared" si="140"/>
        <v>994758.92324474279</v>
      </c>
      <c r="P329" s="680">
        <f t="shared" si="141"/>
        <v>1.5707953215262063</v>
      </c>
      <c r="Q329" s="689">
        <f t="shared" si="163"/>
        <v>40.134403311306251</v>
      </c>
      <c r="R329" s="690">
        <f t="shared" si="164"/>
        <v>1.5458774687438239</v>
      </c>
      <c r="S329" s="677">
        <f t="shared" si="142"/>
        <v>1.0036668130438426</v>
      </c>
      <c r="T329" s="680">
        <f t="shared" si="143"/>
        <v>8.5506062865574009E-2</v>
      </c>
      <c r="U329" s="681">
        <f t="shared" si="155"/>
        <v>0.41140401742542515</v>
      </c>
      <c r="V329" s="682">
        <f t="shared" si="156"/>
        <v>-1.6813203957200602</v>
      </c>
      <c r="W329" s="683">
        <f t="shared" si="144"/>
        <v>-12.009816806264006</v>
      </c>
      <c r="X329" s="684">
        <f t="shared" si="145"/>
        <v>-205.08071609095074</v>
      </c>
      <c r="Y329" s="687">
        <f t="shared" si="146"/>
        <v>-25.080716090950745</v>
      </c>
      <c r="AA329" s="170">
        <f t="shared" si="147"/>
        <v>23988</v>
      </c>
      <c r="AB329" s="170">
        <f t="shared" si="148"/>
        <v>575424144</v>
      </c>
      <c r="AD329" s="686">
        <f t="shared" si="149"/>
        <v>17.189638159857122</v>
      </c>
      <c r="AE329" s="687">
        <f t="shared" si="150"/>
        <v>-6.3268243311659544</v>
      </c>
      <c r="AG329" s="686">
        <f t="shared" si="151"/>
        <v>43.959618403974488</v>
      </c>
      <c r="AH329" s="687">
        <f t="shared" si="152"/>
        <v>-6.0887661715830088</v>
      </c>
      <c r="AJ329" s="170">
        <f t="shared" si="153"/>
        <v>0</v>
      </c>
      <c r="AK329" s="170">
        <f t="shared" si="165"/>
        <v>0</v>
      </c>
      <c r="AM329" s="170" t="str">
        <f t="shared" si="157"/>
        <v>1.95286018881572-0.303409723921425i</v>
      </c>
      <c r="AN329" s="170" t="str">
        <f t="shared" si="158"/>
        <v>3.44986168832416i</v>
      </c>
      <c r="AO329" s="170" t="str">
        <f t="shared" si="159"/>
        <v>-0.0879483733937207-0.566069125444957i</v>
      </c>
      <c r="AP329" s="170" t="str">
        <f t="shared" si="160"/>
        <v>-0.158810031469286+0.0505682873202375i</v>
      </c>
      <c r="AQ329" s="170" t="str">
        <f t="shared" si="161"/>
        <v>1.15881003146929-0.0505682873202375i</v>
      </c>
      <c r="AR329" s="170" t="str">
        <f t="shared" si="162"/>
        <v>0.717474584097704+0.0313092395891829i</v>
      </c>
    </row>
    <row r="330" spans="7:44">
      <c r="G330" s="688">
        <v>24127.75</v>
      </c>
      <c r="H330" s="676">
        <f t="shared" si="154"/>
        <v>24.127749999999999</v>
      </c>
      <c r="I330" s="677">
        <f t="shared" si="134"/>
        <v>21.856642489800727</v>
      </c>
      <c r="J330" s="678">
        <f t="shared" si="135"/>
        <v>1.5250276679460111</v>
      </c>
      <c r="K330" s="678">
        <f t="shared" si="136"/>
        <v>1.0005560169478938</v>
      </c>
      <c r="L330" s="679">
        <f t="shared" si="137"/>
        <v>3.333944933656207E-2</v>
      </c>
      <c r="M330" s="678">
        <f t="shared" si="138"/>
        <v>1.0459777639711059</v>
      </c>
      <c r="N330" s="679">
        <f t="shared" si="139"/>
        <v>-0.29759903592283699</v>
      </c>
      <c r="O330" s="677">
        <f t="shared" si="140"/>
        <v>1000554.2192061947</v>
      </c>
      <c r="P330" s="680">
        <f t="shared" si="141"/>
        <v>1.5707953273488089</v>
      </c>
      <c r="Q330" s="689">
        <f t="shared" si="163"/>
        <v>40.368074767479065</v>
      </c>
      <c r="R330" s="690">
        <f t="shared" si="164"/>
        <v>1.5460217416861393</v>
      </c>
      <c r="S330" s="677">
        <f t="shared" si="142"/>
        <v>1.0037095827686018</v>
      </c>
      <c r="T330" s="680">
        <f t="shared" si="143"/>
        <v>8.6001761012972952E-2</v>
      </c>
      <c r="U330" s="681">
        <f t="shared" si="155"/>
        <v>0.40868045206864012</v>
      </c>
      <c r="V330" s="682">
        <f t="shared" si="156"/>
        <v>-1.688587802403253</v>
      </c>
      <c r="W330" s="683">
        <f t="shared" si="144"/>
        <v>-12.11388976844545</v>
      </c>
      <c r="X330" s="684">
        <f t="shared" si="145"/>
        <v>-205.614522509789</v>
      </c>
      <c r="Y330" s="687">
        <f t="shared" si="146"/>
        <v>-25.614522509788998</v>
      </c>
      <c r="AA330" s="170">
        <f t="shared" si="147"/>
        <v>24127.75</v>
      </c>
      <c r="AB330" s="170">
        <f t="shared" si="148"/>
        <v>582148320.0625</v>
      </c>
      <c r="AD330" s="686">
        <f t="shared" si="149"/>
        <v>17.18923688905203</v>
      </c>
      <c r="AE330" s="687">
        <f t="shared" si="150"/>
        <v>-6.3469598458653271</v>
      </c>
      <c r="AG330" s="686">
        <f t="shared" si="151"/>
        <v>43.971333241501597</v>
      </c>
      <c r="AH330" s="687">
        <f t="shared" si="152"/>
        <v>-5.7696536128660512</v>
      </c>
      <c r="AJ330" s="170">
        <f t="shared" si="153"/>
        <v>0</v>
      </c>
      <c r="AK330" s="170">
        <f t="shared" si="165"/>
        <v>0</v>
      </c>
      <c r="AM330" s="170" t="str">
        <f t="shared" si="157"/>
        <v>1.94657013418345-0.322498032663654i</v>
      </c>
      <c r="AN330" s="170" t="str">
        <f t="shared" si="158"/>
        <v>3.46995999459994i</v>
      </c>
      <c r="AO330" s="170" t="str">
        <f t="shared" si="159"/>
        <v>-0.09293998581123-0.560977687700366i</v>
      </c>
      <c r="AP330" s="170" t="str">
        <f t="shared" si="160"/>
        <v>-0.157761689030575+0.053749672110609i</v>
      </c>
      <c r="AQ330" s="170" t="str">
        <f t="shared" si="161"/>
        <v>1.15776168903058-0.053749672110609i</v>
      </c>
      <c r="AR330" s="170" t="str">
        <f t="shared" si="162"/>
        <v>0.717944358769022+0.0333309300550513i</v>
      </c>
    </row>
    <row r="331" spans="7:44">
      <c r="G331" s="688">
        <v>24267.5</v>
      </c>
      <c r="H331" s="676">
        <f t="shared" si="154"/>
        <v>24.267499999999998</v>
      </c>
      <c r="I331" s="677">
        <f t="shared" si="134"/>
        <v>21.982973798061547</v>
      </c>
      <c r="J331" s="678">
        <f t="shared" si="135"/>
        <v>1.5252908725747776</v>
      </c>
      <c r="K331" s="678">
        <f t="shared" si="136"/>
        <v>1.0005624747814363</v>
      </c>
      <c r="L331" s="679">
        <f t="shared" si="137"/>
        <v>3.3532409984572888E-2</v>
      </c>
      <c r="M331" s="678">
        <f t="shared" si="138"/>
        <v>1.0465000504700708</v>
      </c>
      <c r="N331" s="679">
        <f t="shared" si="139"/>
        <v>-0.29922195869873791</v>
      </c>
      <c r="O331" s="677">
        <f t="shared" si="140"/>
        <v>1006349.5151676469</v>
      </c>
      <c r="P331" s="680">
        <f t="shared" si="141"/>
        <v>1.5707953331043498</v>
      </c>
      <c r="Q331" s="689">
        <f t="shared" si="163"/>
        <v>40.601747054228902</v>
      </c>
      <c r="R331" s="690">
        <f t="shared" si="164"/>
        <v>1.546164353984216</v>
      </c>
      <c r="S331" s="677">
        <f t="shared" si="142"/>
        <v>1.0037525991004677</v>
      </c>
      <c r="T331" s="680">
        <f t="shared" si="143"/>
        <v>8.6497416795357981E-2</v>
      </c>
      <c r="U331" s="681">
        <f t="shared" si="155"/>
        <v>0.40596619806596351</v>
      </c>
      <c r="V331" s="682">
        <f t="shared" si="156"/>
        <v>-1.6958669073136339</v>
      </c>
      <c r="W331" s="683">
        <f t="shared" si="144"/>
        <v>-12.217840218224453</v>
      </c>
      <c r="X331" s="684">
        <f t="shared" si="145"/>
        <v>-206.14882404096923</v>
      </c>
      <c r="Y331" s="687">
        <f t="shared" si="146"/>
        <v>-26.148824040969231</v>
      </c>
      <c r="AA331" s="170">
        <f t="shared" si="147"/>
        <v>24267.5</v>
      </c>
      <c r="AB331" s="170">
        <f t="shared" si="148"/>
        <v>588911556.25</v>
      </c>
      <c r="AD331" s="686">
        <f t="shared" si="149"/>
        <v>17.188834036284774</v>
      </c>
      <c r="AE331" s="687">
        <f t="shared" si="150"/>
        <v>-6.367188077292111</v>
      </c>
      <c r="AG331" s="686">
        <f t="shared" si="151"/>
        <v>43.983545270834163</v>
      </c>
      <c r="AH331" s="687">
        <f t="shared" si="152"/>
        <v>-5.4496029316708405</v>
      </c>
      <c r="AJ331" s="170">
        <f t="shared" si="153"/>
        <v>0</v>
      </c>
      <c r="AK331" s="170">
        <f t="shared" si="165"/>
        <v>0</v>
      </c>
      <c r="AM331" s="170" t="str">
        <f t="shared" si="157"/>
        <v>1.93989773306909-0.341456075318009i</v>
      </c>
      <c r="AN331" s="170" t="str">
        <f t="shared" si="158"/>
        <v>3.49005830087571i</v>
      </c>
      <c r="AO331" s="170" t="str">
        <f t="shared" si="159"/>
        <v>-0.0978367826211764-0.555835337358788i</v>
      </c>
      <c r="AP331" s="170" t="str">
        <f t="shared" si="160"/>
        <v>-0.156649622178182+0.0569093458863348i</v>
      </c>
      <c r="AQ331" s="170" t="str">
        <f t="shared" si="161"/>
        <v>1.15664962217818-0.0569093458863348i</v>
      </c>
      <c r="AR331" s="170" t="str">
        <f t="shared" si="162"/>
        <v>0.7184442946768+0.035348816168573i</v>
      </c>
    </row>
    <row r="332" spans="7:44">
      <c r="G332" s="688">
        <v>24407.25</v>
      </c>
      <c r="H332" s="676">
        <f t="shared" si="154"/>
        <v>24.407250000000001</v>
      </c>
      <c r="I332" s="677">
        <f t="shared" si="134"/>
        <v>22.10930661182606</v>
      </c>
      <c r="J332" s="678">
        <f t="shared" si="135"/>
        <v>1.525551069313287</v>
      </c>
      <c r="K332" s="678">
        <f t="shared" si="136"/>
        <v>1.0005689698692519</v>
      </c>
      <c r="L332" s="679">
        <f t="shared" si="137"/>
        <v>3.372536813460085E-2</v>
      </c>
      <c r="M332" s="678">
        <f t="shared" si="138"/>
        <v>1.0470250905687168</v>
      </c>
      <c r="N332" s="679">
        <f t="shared" si="139"/>
        <v>-0.30084325808309409</v>
      </c>
      <c r="O332" s="677">
        <f t="shared" si="140"/>
        <v>1012144.811129099</v>
      </c>
      <c r="P332" s="680">
        <f t="shared" si="141"/>
        <v>1.570795338793981</v>
      </c>
      <c r="Q332" s="689">
        <f t="shared" si="163"/>
        <v>40.835420157297328</v>
      </c>
      <c r="R332" s="690">
        <f t="shared" si="164"/>
        <v>1.546305334140387</v>
      </c>
      <c r="S332" s="677">
        <f t="shared" si="142"/>
        <v>1.0037958620077361</v>
      </c>
      <c r="T332" s="680">
        <f t="shared" si="143"/>
        <v>8.6993029974651206E-2</v>
      </c>
      <c r="U332" s="681">
        <f t="shared" si="155"/>
        <v>0.40326097219280466</v>
      </c>
      <c r="V332" s="682">
        <f t="shared" si="156"/>
        <v>-1.7031584392474992</v>
      </c>
      <c r="W332" s="683">
        <f t="shared" si="144"/>
        <v>-12.321678809862702</v>
      </c>
      <c r="X332" s="684">
        <f t="shared" si="145"/>
        <v>-206.68366344845964</v>
      </c>
      <c r="Y332" s="687">
        <f t="shared" si="146"/>
        <v>-26.68366344845964</v>
      </c>
      <c r="AA332" s="170">
        <f t="shared" si="147"/>
        <v>24407.25</v>
      </c>
      <c r="AB332" s="170">
        <f t="shared" si="148"/>
        <v>595713852.5625</v>
      </c>
      <c r="AD332" s="686">
        <f t="shared" si="149"/>
        <v>17.188429589862086</v>
      </c>
      <c r="AE332" s="687">
        <f t="shared" si="150"/>
        <v>-6.3875073788080599</v>
      </c>
      <c r="AG332" s="686">
        <f t="shared" si="151"/>
        <v>43.996258391927221</v>
      </c>
      <c r="AH332" s="687">
        <f t="shared" si="152"/>
        <v>-5.1285750246998374</v>
      </c>
      <c r="AJ332" s="170">
        <f t="shared" si="153"/>
        <v>0</v>
      </c>
      <c r="AK332" s="170">
        <f t="shared" si="165"/>
        <v>0</v>
      </c>
      <c r="AM332" s="170" t="str">
        <f t="shared" si="157"/>
        <v>1.9328456806444-0.360276194194227i</v>
      </c>
      <c r="AN332" s="170" t="str">
        <f t="shared" si="158"/>
        <v>3.51015660715149i</v>
      </c>
      <c r="AO332" s="170" t="str">
        <f t="shared" si="159"/>
        <v>-0.102638210916348-0.550643716780749i</v>
      </c>
      <c r="AP332" s="170" t="str">
        <f t="shared" si="160"/>
        <v>-0.155474280107401+0.0600460323657045i</v>
      </c>
      <c r="AQ332" s="170" t="str">
        <f t="shared" si="161"/>
        <v>1.1554742801074-0.0600460323657045i</v>
      </c>
      <c r="AR332" s="170" t="str">
        <f t="shared" si="162"/>
        <v>0.718974481948827+0.0373626360676779i</v>
      </c>
    </row>
    <row r="333" spans="7:44">
      <c r="G333" s="688">
        <v>24547</v>
      </c>
      <c r="H333" s="676">
        <f t="shared" si="154"/>
        <v>24.547000000000001</v>
      </c>
      <c r="I333" s="677">
        <f t="shared" ref="I333:I396" si="166">SQRT(1+(G333/pole1)^2)</f>
        <v>22.235640905433506</v>
      </c>
      <c r="J333" s="678">
        <f t="shared" ref="J333:J396" si="167">ATAN(G333/pole1)</f>
        <v>1.5258083093950037</v>
      </c>
      <c r="K333" s="678">
        <f t="shared" ref="K333:K396" si="168">SQRT(1+(G333/Zero1)^2)</f>
        <v>1.0005755022106153</v>
      </c>
      <c r="L333" s="679">
        <f t="shared" ref="L333:L396" si="169">ATAN(G333/Zero1)</f>
        <v>3.3918323772325995E-2</v>
      </c>
      <c r="M333" s="678">
        <f t="shared" ref="M333:M396" si="170">SQRT(1+(G333/z_RHP)^2)</f>
        <v>1.0475528801266794</v>
      </c>
      <c r="N333" s="679">
        <f t="shared" ref="N333:N396" si="171">-ATAN(G333/z_RHP)</f>
        <v>-0.30246292799976432</v>
      </c>
      <c r="O333" s="677">
        <f t="shared" ref="O333:O396" si="172">SQRT(1+(G333/Pole2)^2)</f>
        <v>1017940.1070905512</v>
      </c>
      <c r="P333" s="680">
        <f t="shared" ref="P333:P396" si="173">ATAN(G333/Pole2)</f>
        <v>1.5707953444188285</v>
      </c>
      <c r="Q333" s="689">
        <f t="shared" si="163"/>
        <v>41.069094062750388</v>
      </c>
      <c r="R333" s="690">
        <f t="shared" si="164"/>
        <v>1.5464447100085603</v>
      </c>
      <c r="S333" s="677">
        <f t="shared" ref="S333:S396" si="174">SQRT(1+(G333/pole4)^2)</f>
        <v>1.003839371458527</v>
      </c>
      <c r="T333" s="680">
        <f t="shared" ref="T333:T396" si="175">ATAN(G333/pole4)</f>
        <v>8.7488600312899317E-2</v>
      </c>
      <c r="U333" s="681">
        <f t="shared" si="155"/>
        <v>0.4005644901693276</v>
      </c>
      <c r="V333" s="682">
        <f t="shared" si="156"/>
        <v>-1.7104631292341552</v>
      </c>
      <c r="W333" s="683">
        <f t="shared" ref="W333:W396" si="176">20*LOG10(((K333*Q333*M333*U333)/(I333*O333*S333))*Adc)</f>
        <v>-12.425416339042364</v>
      </c>
      <c r="X333" s="684">
        <f t="shared" ref="X333:X396" si="177">((L333+R333+N333+V333)-(J333+P333+T333))*radconv</f>
        <v>-207.21908359581809</v>
      </c>
      <c r="Y333" s="687">
        <f t="shared" ref="Y333:Y396" si="178">IF(X333&gt;0,X333,X333+180)</f>
        <v>-27.219083595818091</v>
      </c>
      <c r="AA333" s="170">
        <f t="shared" ref="AA333:AA396" si="179">IF(W333&lt;0,G333,1000000000)</f>
        <v>24547</v>
      </c>
      <c r="AB333" s="170">
        <f t="shared" ref="AB333:AB396" si="180">G333^2</f>
        <v>602555209</v>
      </c>
      <c r="AD333" s="686">
        <f t="shared" ref="AD333:AD396" si="181">20*LOG10((Q333/(O333*S333))*Aea)</f>
        <v>17.188023538440934</v>
      </c>
      <c r="AE333" s="687">
        <f t="shared" ref="AE333:AE396" si="182">(R333-(P333+T333))*radconv</f>
        <v>-6.4079161409325822</v>
      </c>
      <c r="AG333" s="686">
        <f t="shared" ref="AG333:AG396" si="183">20*LOG10((K333*M333/(I333*U333))*Acs*Am)</f>
        <v>44.009476758473625</v>
      </c>
      <c r="AH333" s="687">
        <f t="shared" ref="AH333:AH396" si="184">(L333+N333-(J333+V333))*radconv</f>
        <v>-4.8065305952035553</v>
      </c>
      <c r="AJ333" s="170">
        <f t="shared" ref="AJ333:AJ396" si="185">SUM((W334&lt;0)*(W333&gt;0))*G333</f>
        <v>0</v>
      </c>
      <c r="AK333" s="170">
        <f t="shared" si="165"/>
        <v>0</v>
      </c>
      <c r="AM333" s="170" t="str">
        <f t="shared" si="157"/>
        <v>1.92541682543306-0.378950787313341i</v>
      </c>
      <c r="AN333" s="170" t="str">
        <f t="shared" si="158"/>
        <v>3.53025491342727i</v>
      </c>
      <c r="AO333" s="170" t="str">
        <f t="shared" si="159"/>
        <v>-0.107343746161788-0.545404474365227i</v>
      </c>
      <c r="AP333" s="170" t="str">
        <f t="shared" si="160"/>
        <v>-0.154236137572176+0.0631584645522235i</v>
      </c>
      <c r="AQ333" s="170" t="str">
        <f t="shared" si="161"/>
        <v>1.15423613757218-0.0631584645522235i</v>
      </c>
      <c r="AR333" s="170" t="str">
        <f t="shared" si="162"/>
        <v>0.719535015542222+0.0393721226479665i</v>
      </c>
    </row>
    <row r="334" spans="7:44">
      <c r="G334" s="688">
        <v>24690</v>
      </c>
      <c r="H334" s="676">
        <f t="shared" ref="H334:H397" si="186">G334/1000</f>
        <v>24.69</v>
      </c>
      <c r="I334" s="677">
        <f t="shared" si="166"/>
        <v>22.364914711573849</v>
      </c>
      <c r="J334" s="678">
        <f t="shared" si="167"/>
        <v>1.5260685234413625</v>
      </c>
      <c r="K334" s="678">
        <f t="shared" si="168"/>
        <v>1.0005822250292968</v>
      </c>
      <c r="L334" s="679">
        <f t="shared" si="169"/>
        <v>3.4115764134905559E-2</v>
      </c>
      <c r="M334" s="678">
        <f t="shared" si="170"/>
        <v>1.048095785641481</v>
      </c>
      <c r="N334" s="679">
        <f t="shared" si="171"/>
        <v>-0.30411857161865485</v>
      </c>
      <c r="O334" s="677">
        <f t="shared" si="172"/>
        <v>1023870.1773766885</v>
      </c>
      <c r="P334" s="680">
        <f t="shared" si="173"/>
        <v>1.5707953501085725</v>
      </c>
      <c r="Q334" s="689">
        <f t="shared" si="163"/>
        <v>41.308203061461384</v>
      </c>
      <c r="R334" s="690">
        <f t="shared" si="164"/>
        <v>1.546585694886202</v>
      </c>
      <c r="S334" s="677">
        <f t="shared" si="174"/>
        <v>1.0038841479341163</v>
      </c>
      <c r="T334" s="680">
        <f t="shared" si="175"/>
        <v>8.7995650947553267E-2</v>
      </c>
      <c r="U334" s="681">
        <f t="shared" ref="U334:U397" si="187">IMABS(IMPRODUCT(AO334, AR334))</f>
        <v>0.39781405282453502</v>
      </c>
      <c r="V334" s="682">
        <f t="shared" ref="V334:V397" si="188">IMARGUMENT(IMPRODUCT(AO334, AR334))</f>
        <v>-1.7179520814036018</v>
      </c>
      <c r="W334" s="683">
        <f t="shared" si="176"/>
        <v>-12.531473170742869</v>
      </c>
      <c r="X334" s="684">
        <f t="shared" si="177"/>
        <v>-207.76760135651409</v>
      </c>
      <c r="Y334" s="687">
        <f t="shared" si="178"/>
        <v>-27.767601356514092</v>
      </c>
      <c r="AA334" s="170">
        <f t="shared" si="179"/>
        <v>24690</v>
      </c>
      <c r="AB334" s="170">
        <f t="shared" si="180"/>
        <v>609596100</v>
      </c>
      <c r="AD334" s="686">
        <f t="shared" si="181"/>
        <v>17.187606371064966</v>
      </c>
      <c r="AE334" s="687">
        <f t="shared" si="182"/>
        <v>-6.4288904898559247</v>
      </c>
      <c r="AG334" s="686">
        <f t="shared" si="183"/>
        <v>44.023530139280219</v>
      </c>
      <c r="AH334" s="687">
        <f t="shared" si="184"/>
        <v>-4.4759033014263609</v>
      </c>
      <c r="AJ334" s="170">
        <f t="shared" si="185"/>
        <v>0</v>
      </c>
      <c r="AK334" s="170">
        <f t="shared" si="165"/>
        <v>0</v>
      </c>
      <c r="AM334" s="170" t="str">
        <f t="shared" ref="AM334:AM397" si="189">IMSUB(1,IMEXP(COMPLEX(0,-2*Pi*G334*Tsw)))</f>
        <v>1.91742828839274-0.397901163175937i</v>
      </c>
      <c r="AN334" s="170" t="str">
        <f t="shared" ref="AN334:AN397" si="190">COMPLEX(0, 2*Pi*G334*Tsw)</f>
        <v>3.55082062217457i</v>
      </c>
      <c r="AO334" s="170" t="str">
        <f t="shared" ref="AO334:AO397" si="191">IMDIV(AM334, AN334)</f>
        <v>-0.112058931023178-0.539995818549257i</v>
      </c>
      <c r="AP334" s="170" t="str">
        <f t="shared" ref="AP334:AP397" si="192">IMDIV(IMEXP(COMPLEX(0,-2*Pi*G334*Tsw)),6)</f>
        <v>-0.152904714732124+0.0663168605293228i</v>
      </c>
      <c r="AQ334" s="170" t="str">
        <f t="shared" ref="AQ334:AQ397" si="193">IMSUB(1, AP334)</f>
        <v>1.15290471473212-0.0663168605293228i</v>
      </c>
      <c r="AR334" s="170" t="str">
        <f t="shared" ref="AR334:AR397" si="194">IMDIV(0.833, AQ334)</f>
        <v>0.720140101942032+0.0414235713427181i</v>
      </c>
    </row>
    <row r="335" spans="7:44">
      <c r="G335" s="688">
        <v>24833</v>
      </c>
      <c r="H335" s="676">
        <f t="shared" si="186"/>
        <v>24.832999999999998</v>
      </c>
      <c r="I335" s="677">
        <f t="shared" si="166"/>
        <v>22.4941900146667</v>
      </c>
      <c r="J335" s="678">
        <f t="shared" si="167"/>
        <v>1.5263257465771194</v>
      </c>
      <c r="K335" s="678">
        <f t="shared" si="168"/>
        <v>1.0005889868528466</v>
      </c>
      <c r="L335" s="679">
        <f t="shared" si="169"/>
        <v>3.4313201836639648E-2</v>
      </c>
      <c r="M335" s="678">
        <f t="shared" si="170"/>
        <v>1.0486415611706974</v>
      </c>
      <c r="N335" s="679">
        <f t="shared" si="171"/>
        <v>-0.30577249637617776</v>
      </c>
      <c r="O335" s="677">
        <f t="shared" si="172"/>
        <v>1029800.2476628255</v>
      </c>
      <c r="P335" s="680">
        <f t="shared" si="173"/>
        <v>1.5707953557327881</v>
      </c>
      <c r="Q335" s="689">
        <f t="shared" si="163"/>
        <v>41.547312871793899</v>
      </c>
      <c r="R335" s="690">
        <f t="shared" si="164"/>
        <v>1.5467250569965441</v>
      </c>
      <c r="S335" s="677">
        <f t="shared" si="174"/>
        <v>1.0039291824856056</v>
      </c>
      <c r="T335" s="680">
        <f t="shared" si="175"/>
        <v>8.8502656221694759E-2</v>
      </c>
      <c r="U335" s="681">
        <f t="shared" si="187"/>
        <v>0.39507216509994914</v>
      </c>
      <c r="V335" s="682">
        <f t="shared" si="188"/>
        <v>-1.7254563670513945</v>
      </c>
      <c r="W335" s="683">
        <f t="shared" si="176"/>
        <v>-12.637447536578957</v>
      </c>
      <c r="X335" s="684">
        <f t="shared" si="177"/>
        <v>-208.31681833820124</v>
      </c>
      <c r="Y335" s="687">
        <f t="shared" si="178"/>
        <v>-28.316818338201244</v>
      </c>
      <c r="AA335" s="170">
        <f t="shared" si="179"/>
        <v>24833</v>
      </c>
      <c r="AB335" s="170">
        <f t="shared" si="180"/>
        <v>616677889</v>
      </c>
      <c r="AD335" s="686">
        <f t="shared" si="181"/>
        <v>17.187187500214609</v>
      </c>
      <c r="AE335" s="687">
        <f t="shared" si="182"/>
        <v>-6.4499552137763594</v>
      </c>
      <c r="AG335" s="686">
        <f t="shared" si="183"/>
        <v>44.038122168979292</v>
      </c>
      <c r="AH335" s="687">
        <f t="shared" si="184"/>
        <v>-4.1441277664522609</v>
      </c>
      <c r="AJ335" s="170">
        <f t="shared" si="185"/>
        <v>0</v>
      </c>
      <c r="AK335" s="170">
        <f t="shared" si="165"/>
        <v>0</v>
      </c>
      <c r="AM335" s="170" t="str">
        <f t="shared" si="189"/>
        <v>1.90905174022351-0.416683253319131i</v>
      </c>
      <c r="AN335" s="170" t="str">
        <f t="shared" si="190"/>
        <v>3.57138633092188i</v>
      </c>
      <c r="AO335" s="170" t="str">
        <f t="shared" si="191"/>
        <v>-0.116672690857159-0.534540809459482i</v>
      </c>
      <c r="AP335" s="170" t="str">
        <f t="shared" si="192"/>
        <v>-0.151508623370584+0.0694472088865218i</v>
      </c>
      <c r="AQ335" s="170" t="str">
        <f t="shared" si="193"/>
        <v>1.15150862337058-0.0694472088865218i</v>
      </c>
      <c r="AR335" s="170" t="str">
        <f t="shared" si="194"/>
        <v>0.720777178750298+0.0434698987722654i</v>
      </c>
    </row>
    <row r="336" spans="7:44">
      <c r="G336" s="688">
        <v>24976</v>
      </c>
      <c r="H336" s="676">
        <f t="shared" si="186"/>
        <v>24.975999999999999</v>
      </c>
      <c r="I336" s="677">
        <f t="shared" si="166"/>
        <v>22.623466789050347</v>
      </c>
      <c r="J336" s="678">
        <f t="shared" si="167"/>
        <v>1.5265800300406245</v>
      </c>
      <c r="K336" s="678">
        <f t="shared" si="168"/>
        <v>1.0005957876804741</v>
      </c>
      <c r="L336" s="679">
        <f t="shared" si="169"/>
        <v>3.4510636862189456E-2</v>
      </c>
      <c r="M336" s="678">
        <f t="shared" si="170"/>
        <v>1.0491902022354926</v>
      </c>
      <c r="N336" s="679">
        <f t="shared" si="171"/>
        <v>-0.30742469591329369</v>
      </c>
      <c r="O336" s="677">
        <f t="shared" si="172"/>
        <v>1035730.3179489628</v>
      </c>
      <c r="P336" s="680">
        <f t="shared" si="173"/>
        <v>1.5707953612926007</v>
      </c>
      <c r="Q336" s="689">
        <f t="shared" si="163"/>
        <v>41.786423479815184</v>
      </c>
      <c r="R336" s="690">
        <f t="shared" si="164"/>
        <v>1.5468628241915621</v>
      </c>
      <c r="S336" s="677">
        <f t="shared" si="174"/>
        <v>1.003974475078266</v>
      </c>
      <c r="T336" s="680">
        <f t="shared" si="175"/>
        <v>8.9009615880789719E-2</v>
      </c>
      <c r="U336" s="681">
        <f t="shared" si="187"/>
        <v>0.39233851893482191</v>
      </c>
      <c r="V336" s="682">
        <f t="shared" si="188"/>
        <v>-1.7329767774113054</v>
      </c>
      <c r="W336" s="683">
        <f t="shared" si="176"/>
        <v>-12.743351506441105</v>
      </c>
      <c r="X336" s="684">
        <f t="shared" si="177"/>
        <v>-208.86678083718942</v>
      </c>
      <c r="Y336" s="687">
        <f t="shared" si="178"/>
        <v>-28.866780837189424</v>
      </c>
      <c r="AA336" s="170">
        <f t="shared" si="179"/>
        <v>24976</v>
      </c>
      <c r="AB336" s="170">
        <f t="shared" si="180"/>
        <v>623800576</v>
      </c>
      <c r="AD336" s="686">
        <f t="shared" si="181"/>
        <v>17.186766914800597</v>
      </c>
      <c r="AE336" s="687">
        <f t="shared" si="182"/>
        <v>-6.4711087023739733</v>
      </c>
      <c r="AG336" s="686">
        <f t="shared" si="183"/>
        <v>44.053258150130922</v>
      </c>
      <c r="AH336" s="687">
        <f t="shared" si="184"/>
        <v>-3.8111612281993947</v>
      </c>
      <c r="AJ336" s="170">
        <f t="shared" si="185"/>
        <v>0</v>
      </c>
      <c r="AK336" s="170">
        <f t="shared" si="165"/>
        <v>0</v>
      </c>
      <c r="AM336" s="170" t="str">
        <f t="shared" si="189"/>
        <v>1.90029072364794-0.435289114168358i</v>
      </c>
      <c r="AN336" s="170" t="str">
        <f t="shared" si="190"/>
        <v>3.59195203966918i</v>
      </c>
      <c r="AO336" s="170" t="str">
        <f t="shared" si="191"/>
        <v>-0.121184556297263-0.529041229576929i</v>
      </c>
      <c r="AP336" s="170" t="str">
        <f t="shared" si="192"/>
        <v>-0.150048453941323+0.0725481856947263i</v>
      </c>
      <c r="AQ336" s="170" t="str">
        <f t="shared" si="193"/>
        <v>1.15004845394132-0.0725481856947263i</v>
      </c>
      <c r="AR336" s="170" t="str">
        <f t="shared" si="194"/>
        <v>0.721446362731634+0.0455107995779368i</v>
      </c>
    </row>
    <row r="337" spans="7:44">
      <c r="G337" s="688">
        <v>25119</v>
      </c>
      <c r="H337" s="676">
        <f t="shared" si="186"/>
        <v>25.119</v>
      </c>
      <c r="I337" s="677">
        <f t="shared" si="166"/>
        <v>22.752745009646009</v>
      </c>
      <c r="J337" s="678">
        <f t="shared" si="167"/>
        <v>1.526831423907248</v>
      </c>
      <c r="K337" s="678">
        <f t="shared" si="168"/>
        <v>1.000602627511384</v>
      </c>
      <c r="L337" s="679">
        <f t="shared" si="169"/>
        <v>3.4708069196217446E-2</v>
      </c>
      <c r="M337" s="678">
        <f t="shared" si="170"/>
        <v>1.0497417043429029</v>
      </c>
      <c r="N337" s="679">
        <f t="shared" si="171"/>
        <v>-0.3090751639218976</v>
      </c>
      <c r="O337" s="677">
        <f t="shared" si="172"/>
        <v>1041660.3882351001</v>
      </c>
      <c r="P337" s="680">
        <f t="shared" si="173"/>
        <v>1.5707953667891104</v>
      </c>
      <c r="Q337" s="689">
        <f t="shared" si="163"/>
        <v>42.025534871909514</v>
      </c>
      <c r="R337" s="690">
        <f t="shared" si="164"/>
        <v>1.5469990236896036</v>
      </c>
      <c r="S337" s="677">
        <f t="shared" si="174"/>
        <v>1.0040200256771759</v>
      </c>
      <c r="T337" s="680">
        <f t="shared" si="175"/>
        <v>8.9516529670443643E-2</v>
      </c>
      <c r="U337" s="681">
        <f t="shared" si="187"/>
        <v>0.38961280507261975</v>
      </c>
      <c r="V337" s="682">
        <f t="shared" si="188"/>
        <v>-1.7405141066595353</v>
      </c>
      <c r="W337" s="683">
        <f t="shared" si="176"/>
        <v>-12.849197335393194</v>
      </c>
      <c r="X337" s="684">
        <f t="shared" si="177"/>
        <v>-209.41753529097235</v>
      </c>
      <c r="Y337" s="687">
        <f t="shared" si="178"/>
        <v>-29.417535290972353</v>
      </c>
      <c r="AA337" s="170">
        <f t="shared" si="179"/>
        <v>25119</v>
      </c>
      <c r="AB337" s="170">
        <f t="shared" si="180"/>
        <v>630964161</v>
      </c>
      <c r="AD337" s="686">
        <f t="shared" si="181"/>
        <v>17.186344604068506</v>
      </c>
      <c r="AE337" s="687">
        <f t="shared" si="182"/>
        <v>-6.4923493816396176</v>
      </c>
      <c r="AG337" s="686">
        <f t="shared" si="183"/>
        <v>44.068943682851007</v>
      </c>
      <c r="AH337" s="687">
        <f t="shared" si="184"/>
        <v>-3.476960692281577</v>
      </c>
      <c r="AJ337" s="170">
        <f t="shared" si="185"/>
        <v>0</v>
      </c>
      <c r="AK337" s="170">
        <f t="shared" si="165"/>
        <v>0</v>
      </c>
      <c r="AM337" s="170" t="str">
        <f t="shared" si="189"/>
        <v>1.89114894399316-0.453710876682356i</v>
      </c>
      <c r="AN337" s="170" t="str">
        <f t="shared" si="190"/>
        <v>3.61251774841649i</v>
      </c>
      <c r="AO337" s="170" t="str">
        <f t="shared" si="191"/>
        <v>-0.125594089297204-0.523498865804085i</v>
      </c>
      <c r="AP337" s="170" t="str">
        <f t="shared" si="192"/>
        <v>-0.14852482399886+0.0756184794470593i</v>
      </c>
      <c r="AQ337" s="170" t="str">
        <f t="shared" si="193"/>
        <v>1.14852482399886-0.0756184794470593i</v>
      </c>
      <c r="AR337" s="170" t="str">
        <f t="shared" si="194"/>
        <v>0.722147775459152+0.0475459611975715i</v>
      </c>
    </row>
    <row r="338" spans="7:44">
      <c r="G338" s="688">
        <v>25265.25</v>
      </c>
      <c r="H338" s="676">
        <f t="shared" si="186"/>
        <v>25.265250000000002</v>
      </c>
      <c r="I338" s="677">
        <f t="shared" si="166"/>
        <v>22.884962841963954</v>
      </c>
      <c r="J338" s="678">
        <f t="shared" si="167"/>
        <v>1.5270855934220939</v>
      </c>
      <c r="K338" s="678">
        <f t="shared" si="168"/>
        <v>1.0006096631351757</v>
      </c>
      <c r="L338" s="679">
        <f t="shared" si="169"/>
        <v>3.4909985828789458E-2</v>
      </c>
      <c r="M338" s="678">
        <f t="shared" si="170"/>
        <v>1.0503086952090428</v>
      </c>
      <c r="N338" s="679">
        <f t="shared" si="171"/>
        <v>-0.31076134504116215</v>
      </c>
      <c r="O338" s="677">
        <f t="shared" si="172"/>
        <v>1047725.2328459222</v>
      </c>
      <c r="P338" s="680">
        <f t="shared" si="173"/>
        <v>1.5707953723461836</v>
      </c>
      <c r="Q338" s="689">
        <f t="shared" si="163"/>
        <v>42.270081410962256</v>
      </c>
      <c r="R338" s="690">
        <f t="shared" si="164"/>
        <v>1.5471367248060151</v>
      </c>
      <c r="S338" s="677">
        <f t="shared" si="174"/>
        <v>1.0040668783489242</v>
      </c>
      <c r="T338" s="680">
        <f t="shared" si="175"/>
        <v>9.0034916518046695E-2</v>
      </c>
      <c r="U338" s="681">
        <f t="shared" si="187"/>
        <v>0.38683302436995948</v>
      </c>
      <c r="V338" s="682">
        <f t="shared" si="188"/>
        <v>-1.7482410697690718</v>
      </c>
      <c r="W338" s="683">
        <f t="shared" si="176"/>
        <v>-12.957401588119007</v>
      </c>
      <c r="X338" s="684">
        <f t="shared" si="177"/>
        <v>-209.98167460161187</v>
      </c>
      <c r="Y338" s="687">
        <f t="shared" si="178"/>
        <v>-29.981674601611871</v>
      </c>
      <c r="AA338" s="170">
        <f t="shared" si="179"/>
        <v>25265.25</v>
      </c>
      <c r="AB338" s="170">
        <f t="shared" si="180"/>
        <v>638332857.5625</v>
      </c>
      <c r="AD338" s="686">
        <f t="shared" si="181"/>
        <v>17.185910899914962</v>
      </c>
      <c r="AE338" s="687">
        <f t="shared" si="182"/>
        <v>-6.5141613857795182</v>
      </c>
      <c r="AG338" s="686">
        <f t="shared" si="183"/>
        <v>44.085560287351967</v>
      </c>
      <c r="AH338" s="687">
        <f t="shared" si="184"/>
        <v>-3.1338432485099781</v>
      </c>
      <c r="AJ338" s="170">
        <f t="shared" si="185"/>
        <v>0</v>
      </c>
      <c r="AK338" s="170">
        <f t="shared" si="165"/>
        <v>0</v>
      </c>
      <c r="AM338" s="170" t="str">
        <f t="shared" si="189"/>
        <v>1.88140958505628-0.47235277428095i</v>
      </c>
      <c r="AN338" s="170" t="str">
        <f t="shared" si="190"/>
        <v>3.63355085963532i</v>
      </c>
      <c r="AO338" s="170" t="str">
        <f t="shared" si="191"/>
        <v>-0.12999756781397-0.517788152068169i</v>
      </c>
      <c r="AP338" s="170" t="str">
        <f t="shared" si="192"/>
        <v>-0.146901597509381+0.0787254623801583i</v>
      </c>
      <c r="AQ338" s="170" t="str">
        <f t="shared" si="193"/>
        <v>1.14690159750938-0.0787254623801583i</v>
      </c>
      <c r="AR338" s="170" t="str">
        <f t="shared" si="194"/>
        <v>0.722898596749392+0.0496211064721253i</v>
      </c>
    </row>
    <row r="339" spans="7:44">
      <c r="G339" s="688">
        <v>25411.5</v>
      </c>
      <c r="H339" s="676">
        <f t="shared" si="186"/>
        <v>25.4115</v>
      </c>
      <c r="I339" s="677">
        <f t="shared" si="166"/>
        <v>23.017182135714496</v>
      </c>
      <c r="J339" s="678">
        <f t="shared" si="167"/>
        <v>1.5273368428637066</v>
      </c>
      <c r="K339" s="678">
        <f t="shared" si="168"/>
        <v>1.0006167395535754</v>
      </c>
      <c r="L339" s="679">
        <f t="shared" si="169"/>
        <v>3.5111899613661693E-2</v>
      </c>
      <c r="M339" s="678">
        <f t="shared" si="170"/>
        <v>1.0508786690926266</v>
      </c>
      <c r="N339" s="679">
        <f t="shared" si="171"/>
        <v>-0.31244570184867249</v>
      </c>
      <c r="O339" s="677">
        <f t="shared" si="172"/>
        <v>1053790.0774567446</v>
      </c>
      <c r="P339" s="680">
        <f t="shared" si="173"/>
        <v>1.570795377839292</v>
      </c>
      <c r="Q339" s="689">
        <f t="shared" si="163"/>
        <v>42.514628742302605</v>
      </c>
      <c r="R339" s="690">
        <f t="shared" si="164"/>
        <v>1.547272841790696</v>
      </c>
      <c r="S339" s="677">
        <f t="shared" si="174"/>
        <v>1.0041140008132459</v>
      </c>
      <c r="T339" s="680">
        <f t="shared" si="175"/>
        <v>9.0553254849765244E-2</v>
      </c>
      <c r="U339" s="681">
        <f t="shared" si="187"/>
        <v>0.38406088244492081</v>
      </c>
      <c r="V339" s="682">
        <f t="shared" si="188"/>
        <v>-1.7559874197154024</v>
      </c>
      <c r="W339" s="683">
        <f t="shared" si="176"/>
        <v>-13.065571583713584</v>
      </c>
      <c r="X339" s="684">
        <f t="shared" si="177"/>
        <v>-210.54674100674589</v>
      </c>
      <c r="Y339" s="687">
        <f t="shared" si="178"/>
        <v>-30.54674100674589</v>
      </c>
      <c r="AA339" s="170">
        <f t="shared" si="179"/>
        <v>25411.5</v>
      </c>
      <c r="AB339" s="170">
        <f t="shared" si="180"/>
        <v>645744332.25</v>
      </c>
      <c r="AD339" s="686">
        <f t="shared" si="181"/>
        <v>17.185475369399644</v>
      </c>
      <c r="AE339" s="687">
        <f t="shared" si="182"/>
        <v>-6.5360613705615238</v>
      </c>
      <c r="AG339" s="686">
        <f t="shared" si="183"/>
        <v>44.102764532508274</v>
      </c>
      <c r="AH339" s="687">
        <f t="shared" si="184"/>
        <v>-2.7893433507354004</v>
      </c>
      <c r="AJ339" s="170">
        <f t="shared" si="185"/>
        <v>0</v>
      </c>
      <c r="AK339" s="170">
        <f t="shared" si="165"/>
        <v>0</v>
      </c>
      <c r="AM339" s="170" t="str">
        <f t="shared" si="189"/>
        <v>1.87128031215002-0.49078571460442i</v>
      </c>
      <c r="AN339" s="170" t="str">
        <f t="shared" si="190"/>
        <v>3.65458397085416i</v>
      </c>
      <c r="AO339" s="170" t="str">
        <f t="shared" si="191"/>
        <v>-0.134293183169003-0.512036479958801i</v>
      </c>
      <c r="AP339" s="170" t="str">
        <f t="shared" si="192"/>
        <v>-0.145213385358336+0.0817976191007367i</v>
      </c>
      <c r="AQ339" s="170" t="str">
        <f t="shared" si="193"/>
        <v>1.14521338535834-0.0817976191007367i</v>
      </c>
      <c r="AR339" s="170" t="str">
        <f t="shared" si="194"/>
        <v>0.723683400344076+0.0516895627379942i</v>
      </c>
    </row>
    <row r="340" spans="7:44">
      <c r="G340" s="688">
        <v>25557.75</v>
      </c>
      <c r="H340" s="676">
        <f t="shared" si="186"/>
        <v>25.557749999999999</v>
      </c>
      <c r="I340" s="677">
        <f t="shared" si="166"/>
        <v>23.14940286585643</v>
      </c>
      <c r="J340" s="678">
        <f t="shared" si="167"/>
        <v>1.5275852222351882</v>
      </c>
      <c r="K340" s="678">
        <f t="shared" si="168"/>
        <v>1.000623856765718</v>
      </c>
      <c r="L340" s="679">
        <f t="shared" si="169"/>
        <v>3.5313810534431014E-2</v>
      </c>
      <c r="M340" s="678">
        <f t="shared" si="170"/>
        <v>1.0514516211425267</v>
      </c>
      <c r="N340" s="679">
        <f t="shared" si="171"/>
        <v>-0.31412822776177424</v>
      </c>
      <c r="O340" s="677">
        <f t="shared" si="172"/>
        <v>1059854.9220675668</v>
      </c>
      <c r="P340" s="680">
        <f t="shared" si="173"/>
        <v>1.5707953832695336</v>
      </c>
      <c r="Q340" s="689">
        <f t="shared" si="163"/>
        <v>42.759176852336886</v>
      </c>
      <c r="R340" s="690">
        <f t="shared" si="164"/>
        <v>1.5474074018184378</v>
      </c>
      <c r="S340" s="677">
        <f t="shared" si="174"/>
        <v>1.0041613930321591</v>
      </c>
      <c r="T340" s="680">
        <f t="shared" si="175"/>
        <v>9.1071544393920401E-2</v>
      </c>
      <c r="U340" s="681">
        <f t="shared" si="187"/>
        <v>0.38129604450575266</v>
      </c>
      <c r="V340" s="682">
        <f t="shared" si="188"/>
        <v>-1.7637540163625134</v>
      </c>
      <c r="W340" s="683">
        <f t="shared" si="176"/>
        <v>-13.173721087799377</v>
      </c>
      <c r="X340" s="684">
        <f t="shared" si="177"/>
        <v>-211.11278468919608</v>
      </c>
      <c r="Y340" s="687">
        <f t="shared" si="178"/>
        <v>-31.112784689196076</v>
      </c>
      <c r="AA340" s="170">
        <f t="shared" si="179"/>
        <v>25557.75</v>
      </c>
      <c r="AB340" s="170">
        <f t="shared" si="180"/>
        <v>653198585.0625</v>
      </c>
      <c r="AD340" s="686">
        <f t="shared" si="181"/>
        <v>17.185038002033309</v>
      </c>
      <c r="AE340" s="687">
        <f t="shared" si="182"/>
        <v>-6.5580477634816496</v>
      </c>
      <c r="AG340" s="686">
        <f t="shared" si="183"/>
        <v>44.120563413342573</v>
      </c>
      <c r="AH340" s="687">
        <f t="shared" si="184"/>
        <v>-2.4434142211286534</v>
      </c>
      <c r="AJ340" s="170">
        <f t="shared" si="185"/>
        <v>0</v>
      </c>
      <c r="AK340" s="170">
        <f t="shared" si="165"/>
        <v>0</v>
      </c>
      <c r="AM340" s="170" t="str">
        <f t="shared" si="189"/>
        <v>1.86076560621611-0.50900154337232i</v>
      </c>
      <c r="AN340" s="170" t="str">
        <f t="shared" si="190"/>
        <v>3.67561708207299i</v>
      </c>
      <c r="AO340" s="170" t="str">
        <f t="shared" si="191"/>
        <v>-0.13848056857034-0.506245771707718i</v>
      </c>
      <c r="AP340" s="170" t="str">
        <f t="shared" si="192"/>
        <v>-0.143460934369353+0.0848335905620533i</v>
      </c>
      <c r="AQ340" s="170" t="str">
        <f t="shared" si="193"/>
        <v>1.14346093436935-0.0848335905620533i</v>
      </c>
      <c r="AR340" s="170" t="str">
        <f t="shared" si="194"/>
        <v>0.724502330896254+0.0537509697560451i</v>
      </c>
    </row>
    <row r="341" spans="7:44">
      <c r="G341" s="688">
        <v>25704</v>
      </c>
      <c r="H341" s="676">
        <f t="shared" si="186"/>
        <v>25.704000000000001</v>
      </c>
      <c r="I341" s="677">
        <f t="shared" si="166"/>
        <v>23.28162500791715</v>
      </c>
      <c r="J341" s="678">
        <f t="shared" si="167"/>
        <v>1.5278307804051559</v>
      </c>
      <c r="K341" s="678">
        <f t="shared" si="168"/>
        <v>1.0006310147707322</v>
      </c>
      <c r="L341" s="679">
        <f t="shared" si="169"/>
        <v>3.5515718574695695E-2</v>
      </c>
      <c r="M341" s="678">
        <f t="shared" si="170"/>
        <v>1.0520275464928637</v>
      </c>
      <c r="N341" s="679">
        <f t="shared" si="171"/>
        <v>-0.31580891625357987</v>
      </c>
      <c r="O341" s="677">
        <f t="shared" si="172"/>
        <v>1065919.7666783892</v>
      </c>
      <c r="P341" s="680">
        <f t="shared" si="173"/>
        <v>1.5707953886379815</v>
      </c>
      <c r="Q341" s="689">
        <f t="shared" si="163"/>
        <v>43.003725727780534</v>
      </c>
      <c r="R341" s="690">
        <f t="shared" si="164"/>
        <v>1.5475404314461223</v>
      </c>
      <c r="S341" s="677">
        <f t="shared" si="174"/>
        <v>1.0042090549674716</v>
      </c>
      <c r="T341" s="680">
        <f t="shared" si="175"/>
        <v>9.1589784878989278E-2</v>
      </c>
      <c r="U341" s="681">
        <f t="shared" si="187"/>
        <v>0.37853817439255805</v>
      </c>
      <c r="V341" s="682">
        <f t="shared" si="188"/>
        <v>-1.7715417232846187</v>
      </c>
      <c r="W341" s="683">
        <f t="shared" si="176"/>
        <v>-13.281864106620617</v>
      </c>
      <c r="X341" s="684">
        <f t="shared" si="177"/>
        <v>-211.67985601796946</v>
      </c>
      <c r="Y341" s="687">
        <f t="shared" si="178"/>
        <v>-31.679856017969456</v>
      </c>
      <c r="AA341" s="170">
        <f t="shared" si="179"/>
        <v>25704</v>
      </c>
      <c r="AB341" s="170">
        <f t="shared" si="180"/>
        <v>660695616</v>
      </c>
      <c r="AD341" s="686">
        <f t="shared" si="181"/>
        <v>17.184598787646259</v>
      </c>
      <c r="AE341" s="687">
        <f t="shared" si="182"/>
        <v>-6.5801190274470267</v>
      </c>
      <c r="AG341" s="686">
        <f t="shared" si="183"/>
        <v>44.138964277716035</v>
      </c>
      <c r="AH341" s="687">
        <f t="shared" si="184"/>
        <v>-2.0960088074740821</v>
      </c>
      <c r="AJ341" s="170">
        <f t="shared" si="185"/>
        <v>0</v>
      </c>
      <c r="AK341" s="170">
        <f t="shared" si="165"/>
        <v>0</v>
      </c>
      <c r="AM341" s="170" t="str">
        <f t="shared" si="189"/>
        <v>1.84987011870243-0.526992202349062i</v>
      </c>
      <c r="AN341" s="170" t="str">
        <f t="shared" si="190"/>
        <v>3.69665019329183i</v>
      </c>
      <c r="AO341" s="170" t="str">
        <f t="shared" si="191"/>
        <v>-0.142559391555461-0.500417951922884i</v>
      </c>
      <c r="AP341" s="170" t="str">
        <f t="shared" si="192"/>
        <v>-0.141645019783739+0.0878320337248437i</v>
      </c>
      <c r="AQ341" s="170" t="str">
        <f t="shared" si="193"/>
        <v>1.14164501978374-0.0878320337248437i</v>
      </c>
      <c r="AR341" s="170" t="str">
        <f t="shared" si="194"/>
        <v>0.725355537599487+0.0558049577030596i</v>
      </c>
    </row>
    <row r="342" spans="7:44">
      <c r="G342" s="688">
        <v>25853.75</v>
      </c>
      <c r="H342" s="676">
        <f t="shared" si="186"/>
        <v>25.853750000000002</v>
      </c>
      <c r="I342" s="677">
        <f t="shared" si="166"/>
        <v>23.417012878584533</v>
      </c>
      <c r="J342" s="678">
        <f t="shared" si="167"/>
        <v>1.5280793417801619</v>
      </c>
      <c r="K342" s="678">
        <f t="shared" si="168"/>
        <v>1.0006383863464294</v>
      </c>
      <c r="L342" s="679">
        <f t="shared" si="169"/>
        <v>3.5722455600387233E-2</v>
      </c>
      <c r="M342" s="678">
        <f t="shared" si="170"/>
        <v>1.0526203304603554</v>
      </c>
      <c r="N342" s="679">
        <f t="shared" si="171"/>
        <v>-0.31752791568573308</v>
      </c>
      <c r="O342" s="677">
        <f t="shared" si="172"/>
        <v>1072129.7528696414</v>
      </c>
      <c r="P342" s="680">
        <f t="shared" si="173"/>
        <v>1.5707953940719708</v>
      </c>
      <c r="Q342" s="689">
        <f t="shared" si="163"/>
        <v>43.254127834489609</v>
      </c>
      <c r="R342" s="690">
        <f t="shared" si="164"/>
        <v>1.5476750860196051</v>
      </c>
      <c r="S342" s="677">
        <f t="shared" si="174"/>
        <v>1.0042581369659485</v>
      </c>
      <c r="T342" s="680">
        <f t="shared" si="175"/>
        <v>9.2120376582795413E-2</v>
      </c>
      <c r="U342" s="681">
        <f t="shared" si="187"/>
        <v>0.37572117136065719</v>
      </c>
      <c r="V342" s="682">
        <f t="shared" si="188"/>
        <v>-1.7795385827812733</v>
      </c>
      <c r="W342" s="683">
        <f t="shared" si="176"/>
        <v>-13.392603336196823</v>
      </c>
      <c r="X342" s="684">
        <f t="shared" si="177"/>
        <v>-212.26161592616074</v>
      </c>
      <c r="Y342" s="687">
        <f t="shared" si="178"/>
        <v>-32.261615926160744</v>
      </c>
      <c r="AA342" s="170">
        <f t="shared" si="179"/>
        <v>25853.75</v>
      </c>
      <c r="AB342" s="170">
        <f t="shared" si="180"/>
        <v>668416389.0625</v>
      </c>
      <c r="AD342" s="686">
        <f t="shared" si="181"/>
        <v>17.184147137995463</v>
      </c>
      <c r="AE342" s="687">
        <f t="shared" si="182"/>
        <v>-6.6028048653376432</v>
      </c>
      <c r="AG342" s="686">
        <f t="shared" si="183"/>
        <v>44.158437323762016</v>
      </c>
      <c r="AH342" s="687">
        <f t="shared" si="184"/>
        <v>-1.7387102796927547</v>
      </c>
      <c r="AJ342" s="170">
        <f t="shared" si="185"/>
        <v>0</v>
      </c>
      <c r="AK342" s="170">
        <f t="shared" si="165"/>
        <v>0</v>
      </c>
      <c r="AM342" s="170" t="str">
        <f t="shared" si="189"/>
        <v>1.83832435995672-0.545171777977505i</v>
      </c>
      <c r="AN342" s="170" t="str">
        <f t="shared" si="190"/>
        <v>3.71818666101846i</v>
      </c>
      <c r="AO342" s="170" t="str">
        <f t="shared" si="191"/>
        <v>-0.146623025598229-0.494414220574171i</v>
      </c>
      <c r="AP342" s="170" t="str">
        <f t="shared" si="192"/>
        <v>-0.139720726659454+0.0908619629962508i</v>
      </c>
      <c r="AQ342" s="170" t="str">
        <f t="shared" si="193"/>
        <v>1.13972072665945-0.0908619629962508i</v>
      </c>
      <c r="AR342" s="170" t="str">
        <f t="shared" si="194"/>
        <v>0.726264839686335+0.0579000165965883i</v>
      </c>
    </row>
    <row r="343" spans="7:44">
      <c r="G343" s="688">
        <v>26003.5</v>
      </c>
      <c r="H343" s="676">
        <f t="shared" si="186"/>
        <v>26.003499999999999</v>
      </c>
      <c r="I343" s="677">
        <f t="shared" si="166"/>
        <v>23.552402179386387</v>
      </c>
      <c r="J343" s="678">
        <f t="shared" si="167"/>
        <v>1.5283250454956008</v>
      </c>
      <c r="K343" s="678">
        <f t="shared" si="168"/>
        <v>1.0006458006889778</v>
      </c>
      <c r="L343" s="679">
        <f t="shared" si="169"/>
        <v>3.5929189571254766E-2</v>
      </c>
      <c r="M343" s="678">
        <f t="shared" si="170"/>
        <v>1.053216221371136</v>
      </c>
      <c r="N343" s="679">
        <f t="shared" si="171"/>
        <v>-0.31924497502865429</v>
      </c>
      <c r="O343" s="677">
        <f t="shared" si="172"/>
        <v>1078339.7390608939</v>
      </c>
      <c r="P343" s="680">
        <f t="shared" si="173"/>
        <v>1.570795399443373</v>
      </c>
      <c r="Q343" s="689">
        <f t="shared" ref="Q343:Q406" si="195">SQRT(1+(G343/Zero2)^2)</f>
        <v>43.504530716447974</v>
      </c>
      <c r="R343" s="690">
        <f t="shared" ref="R343:R406" si="196">ATAN(G343/Zero2)</f>
        <v>1.54780819050896</v>
      </c>
      <c r="S343" s="677">
        <f t="shared" si="174"/>
        <v>1.0043075016630834</v>
      </c>
      <c r="T343" s="680">
        <f t="shared" si="175"/>
        <v>9.2650916275634029E-2</v>
      </c>
      <c r="U343" s="681">
        <f t="shared" si="187"/>
        <v>0.37291075586423911</v>
      </c>
      <c r="V343" s="682">
        <f t="shared" si="188"/>
        <v>-1.787559419918249</v>
      </c>
      <c r="W343" s="683">
        <f t="shared" si="176"/>
        <v>-13.503366305428994</v>
      </c>
      <c r="X343" s="684">
        <f t="shared" si="177"/>
        <v>-212.84456076590109</v>
      </c>
      <c r="Y343" s="687">
        <f t="shared" si="178"/>
        <v>-32.844560765901093</v>
      </c>
      <c r="AA343" s="170">
        <f t="shared" si="179"/>
        <v>26003.5</v>
      </c>
      <c r="AB343" s="170">
        <f t="shared" si="180"/>
        <v>676182012.25</v>
      </c>
      <c r="AD343" s="686">
        <f t="shared" si="181"/>
        <v>17.183693531262886</v>
      </c>
      <c r="AE343" s="687">
        <f t="shared" si="182"/>
        <v>-6.6255765329118788</v>
      </c>
      <c r="AG343" s="686">
        <f t="shared" si="183"/>
        <v>44.178558270881965</v>
      </c>
      <c r="AH343" s="687">
        <f t="shared" si="184"/>
        <v>-1.3797632185876312</v>
      </c>
      <c r="AJ343" s="170">
        <f t="shared" si="185"/>
        <v>0</v>
      </c>
      <c r="AK343" s="170">
        <f t="shared" ref="AK343:AK406" si="197">IF(AJ343&gt;0,Y343,0)</f>
        <v>0</v>
      </c>
      <c r="AM343" s="170" t="str">
        <f t="shared" si="189"/>
        <v>1.82638978510276-0.563098502109371i</v>
      </c>
      <c r="AN343" s="170" t="str">
        <f t="shared" si="190"/>
        <v>3.7397231287451i</v>
      </c>
      <c r="AO343" s="170" t="str">
        <f t="shared" si="191"/>
        <v>-0.150572243645835-0.488375669060726i</v>
      </c>
      <c r="AP343" s="170" t="str">
        <f t="shared" si="192"/>
        <v>-0.13773163085046+0.0938497503515618i</v>
      </c>
      <c r="AQ343" s="170" t="str">
        <f t="shared" si="193"/>
        <v>1.13773163085046-0.0938497503515618i</v>
      </c>
      <c r="AR343" s="170" t="str">
        <f t="shared" si="194"/>
        <v>0.727210408350499+0.0599864796109568i</v>
      </c>
    </row>
    <row r="344" spans="7:44">
      <c r="G344" s="688">
        <v>26153.25</v>
      </c>
      <c r="H344" s="676">
        <f t="shared" si="186"/>
        <v>26.15325</v>
      </c>
      <c r="I344" s="677">
        <f t="shared" si="166"/>
        <v>23.687792885800587</v>
      </c>
      <c r="J344" s="678">
        <f t="shared" si="167"/>
        <v>1.5285679405215398</v>
      </c>
      <c r="K344" s="678">
        <f t="shared" si="168"/>
        <v>1.000653257797427</v>
      </c>
      <c r="L344" s="679">
        <f t="shared" si="169"/>
        <v>3.6135920469695229E-2</v>
      </c>
      <c r="M344" s="678">
        <f t="shared" si="170"/>
        <v>1.0538152139546437</v>
      </c>
      <c r="N344" s="679">
        <f t="shared" si="171"/>
        <v>-0.32096008745730314</v>
      </c>
      <c r="O344" s="677">
        <f t="shared" si="172"/>
        <v>1084549.7252521461</v>
      </c>
      <c r="P344" s="680">
        <f t="shared" si="173"/>
        <v>1.5707954047532633</v>
      </c>
      <c r="Q344" s="689">
        <f t="shared" si="195"/>
        <v>43.754934360345715</v>
      </c>
      <c r="R344" s="690">
        <f t="shared" si="196"/>
        <v>1.547939771522203</v>
      </c>
      <c r="S344" s="677">
        <f t="shared" si="174"/>
        <v>1.0043571490171919</v>
      </c>
      <c r="T344" s="680">
        <f t="shared" si="175"/>
        <v>9.3181403666531798E-2</v>
      </c>
      <c r="U344" s="681">
        <f t="shared" si="187"/>
        <v>0.37010656246143886</v>
      </c>
      <c r="V344" s="682">
        <f t="shared" si="188"/>
        <v>-1.7956051745691819</v>
      </c>
      <c r="W344" s="683">
        <f t="shared" si="176"/>
        <v>-13.614168904694591</v>
      </c>
      <c r="X344" s="684">
        <f t="shared" si="177"/>
        <v>-213.42874526258703</v>
      </c>
      <c r="Y344" s="687">
        <f t="shared" si="178"/>
        <v>-33.428745262587029</v>
      </c>
      <c r="AA344" s="170">
        <f t="shared" si="179"/>
        <v>26153.25</v>
      </c>
      <c r="AB344" s="170">
        <f t="shared" si="180"/>
        <v>683992485.5625</v>
      </c>
      <c r="AD344" s="686">
        <f t="shared" si="181"/>
        <v>17.183237957504009</v>
      </c>
      <c r="AE344" s="687">
        <f t="shared" si="182"/>
        <v>-6.6484324890327731</v>
      </c>
      <c r="AG344" s="686">
        <f t="shared" si="183"/>
        <v>44.199336210910715</v>
      </c>
      <c r="AH344" s="687">
        <f t="shared" si="184"/>
        <v>-1.0191161891067719</v>
      </c>
      <c r="AJ344" s="170">
        <f t="shared" si="185"/>
        <v>0</v>
      </c>
      <c r="AK344" s="170">
        <f t="shared" si="197"/>
        <v>0</v>
      </c>
      <c r="AM344" s="170" t="str">
        <f t="shared" si="189"/>
        <v>1.81407192941445-0.580764060302831i</v>
      </c>
      <c r="AN344" s="170" t="str">
        <f t="shared" si="190"/>
        <v>3.76125959647173i</v>
      </c>
      <c r="AO344" s="170" t="str">
        <f t="shared" si="191"/>
        <v>-0.154406800542994-0.482304367163636i</v>
      </c>
      <c r="AP344" s="170" t="str">
        <f t="shared" si="192"/>
        <v>-0.135678654902409+0.0967940100504718i</v>
      </c>
      <c r="AQ344" s="170" t="str">
        <f t="shared" si="193"/>
        <v>1.13567865490241-0.0967940100504718i</v>
      </c>
      <c r="AR344" s="170" t="str">
        <f t="shared" si="194"/>
        <v>0.728192417074995+0.0620639155563694i</v>
      </c>
    </row>
    <row r="345" spans="7:44">
      <c r="G345" s="688">
        <v>26303</v>
      </c>
      <c r="H345" s="676">
        <f t="shared" si="186"/>
        <v>26.303000000000001</v>
      </c>
      <c r="I345" s="677">
        <f t="shared" si="166"/>
        <v>23.823184973862229</v>
      </c>
      <c r="J345" s="678">
        <f t="shared" si="167"/>
        <v>1.528808074716161</v>
      </c>
      <c r="K345" s="678">
        <f t="shared" si="168"/>
        <v>1.0006607576708209</v>
      </c>
      <c r="L345" s="679">
        <f t="shared" si="169"/>
        <v>3.6342648278107119E-2</v>
      </c>
      <c r="M345" s="678">
        <f t="shared" si="170"/>
        <v>1.0544173029248909</v>
      </c>
      <c r="N345" s="679">
        <f t="shared" si="171"/>
        <v>-0.32267324620792398</v>
      </c>
      <c r="O345" s="677">
        <f t="shared" si="172"/>
        <v>1090759.7114433986</v>
      </c>
      <c r="P345" s="680">
        <f t="shared" si="173"/>
        <v>1.5707954100026926</v>
      </c>
      <c r="Q345" s="689">
        <f t="shared" si="195"/>
        <v>44.005338753175842</v>
      </c>
      <c r="R345" s="690">
        <f t="shared" si="196"/>
        <v>1.5480698550619314</v>
      </c>
      <c r="S345" s="677">
        <f t="shared" si="174"/>
        <v>1.0044070789863595</v>
      </c>
      <c r="T345" s="680">
        <f t="shared" si="175"/>
        <v>9.3711838464690569E-2</v>
      </c>
      <c r="U345" s="681">
        <f t="shared" si="187"/>
        <v>0.36730822413561176</v>
      </c>
      <c r="V345" s="682">
        <f t="shared" si="188"/>
        <v>-1.8036767911444869</v>
      </c>
      <c r="W345" s="683">
        <f t="shared" si="176"/>
        <v>-13.725027337616392</v>
      </c>
      <c r="X345" s="684">
        <f t="shared" si="177"/>
        <v>-214.0142243760549</v>
      </c>
      <c r="Y345" s="687">
        <f t="shared" si="178"/>
        <v>-34.014224376054898</v>
      </c>
      <c r="AA345" s="170">
        <f t="shared" si="179"/>
        <v>26303</v>
      </c>
      <c r="AB345" s="170">
        <f t="shared" si="180"/>
        <v>691847809</v>
      </c>
      <c r="AD345" s="686">
        <f t="shared" si="181"/>
        <v>17.182780407080735</v>
      </c>
      <c r="AE345" s="687">
        <f t="shared" si="182"/>
        <v>-6.6713712272599501</v>
      </c>
      <c r="AG345" s="686">
        <f t="shared" si="183"/>
        <v>44.220780661507192</v>
      </c>
      <c r="AH345" s="687">
        <f t="shared" si="184"/>
        <v>-0.6567174360649124</v>
      </c>
      <c r="AJ345" s="170">
        <f t="shared" si="185"/>
        <v>0</v>
      </c>
      <c r="AK345" s="170">
        <f t="shared" si="197"/>
        <v>0</v>
      </c>
      <c r="AM345" s="170" t="str">
        <f t="shared" si="189"/>
        <v>1.80137650593192-0.598160259245247i</v>
      </c>
      <c r="AN345" s="170" t="str">
        <f t="shared" si="190"/>
        <v>3.78279606419837i</v>
      </c>
      <c r="AO345" s="170" t="str">
        <f t="shared" si="191"/>
        <v>-0.158126488738432-0.476202384522058i</v>
      </c>
      <c r="AP345" s="170" t="str">
        <f t="shared" si="192"/>
        <v>-0.133562750988654+0.0996933765408745i</v>
      </c>
      <c r="AQ345" s="170" t="str">
        <f t="shared" si="193"/>
        <v>1.13356275098865-0.0996933765408745i</v>
      </c>
      <c r="AR345" s="170" t="str">
        <f t="shared" si="194"/>
        <v>0.729211043277415+0.0641318807025154i</v>
      </c>
    </row>
    <row r="346" spans="7:44">
      <c r="G346" s="688">
        <v>26456</v>
      </c>
      <c r="H346" s="676">
        <f t="shared" si="186"/>
        <v>26.456</v>
      </c>
      <c r="I346" s="677">
        <f t="shared" si="166"/>
        <v>23.961516857073956</v>
      </c>
      <c r="J346" s="678">
        <f t="shared" si="167"/>
        <v>1.5290506178010226</v>
      </c>
      <c r="K346" s="678">
        <f t="shared" si="168"/>
        <v>1.0006684644789492</v>
      </c>
      <c r="L346" s="679">
        <f t="shared" si="169"/>
        <v>3.6553859457009785E-2</v>
      </c>
      <c r="M346" s="678">
        <f t="shared" si="170"/>
        <v>1.055035651336355</v>
      </c>
      <c r="N346" s="679">
        <f t="shared" si="171"/>
        <v>-0.32442156065482819</v>
      </c>
      <c r="O346" s="677">
        <f t="shared" si="172"/>
        <v>1097104.4719593357</v>
      </c>
      <c r="P346" s="680">
        <f t="shared" si="173"/>
        <v>1.5707954153046735</v>
      </c>
      <c r="Q346" s="689">
        <f t="shared" si="195"/>
        <v>44.261178392260788</v>
      </c>
      <c r="R346" s="690">
        <f t="shared" si="196"/>
        <v>1.5482012416426039</v>
      </c>
      <c r="S346" s="677">
        <f t="shared" si="174"/>
        <v>1.0044583844156592</v>
      </c>
      <c r="T346" s="680">
        <f t="shared" si="175"/>
        <v>9.425373058381252E-2</v>
      </c>
      <c r="U346" s="681">
        <f t="shared" si="187"/>
        <v>0.36445481753222725</v>
      </c>
      <c r="V346" s="682">
        <f t="shared" si="188"/>
        <v>-1.8119512819191892</v>
      </c>
      <c r="W346" s="683">
        <f t="shared" si="176"/>
        <v>-13.838366575318535</v>
      </c>
      <c r="X346" s="684">
        <f t="shared" si="177"/>
        <v>-214.61380453939634</v>
      </c>
      <c r="Y346" s="687">
        <f t="shared" si="178"/>
        <v>-34.613804539396341</v>
      </c>
      <c r="AA346" s="170">
        <f t="shared" si="179"/>
        <v>26456</v>
      </c>
      <c r="AB346" s="170">
        <f t="shared" si="180"/>
        <v>699919936</v>
      </c>
      <c r="AD346" s="686">
        <f t="shared" si="181"/>
        <v>17.182310875319608</v>
      </c>
      <c r="AE346" s="687">
        <f t="shared" si="182"/>
        <v>-6.6948917658878448</v>
      </c>
      <c r="AG346" s="686">
        <f t="shared" si="183"/>
        <v>44.243389240501926</v>
      </c>
      <c r="AH346" s="687">
        <f t="shared" si="184"/>
        <v>-0.28459026167422519</v>
      </c>
      <c r="AJ346" s="170">
        <f t="shared" si="185"/>
        <v>0</v>
      </c>
      <c r="AK346" s="170">
        <f t="shared" si="197"/>
        <v>0</v>
      </c>
      <c r="AM346" s="170" t="str">
        <f t="shared" si="189"/>
        <v>1.78802173377371-0.615647421094479i</v>
      </c>
      <c r="AN346" s="170" t="str">
        <f t="shared" si="190"/>
        <v>3.80479993439653i</v>
      </c>
      <c r="AO346" s="170" t="str">
        <f t="shared" si="191"/>
        <v>-0.161808092858929-0.469938436870086i</v>
      </c>
      <c r="AP346" s="170" t="str">
        <f t="shared" si="192"/>
        <v>-0.131336955628951+0.102607903515747i</v>
      </c>
      <c r="AQ346" s="170" t="str">
        <f t="shared" si="193"/>
        <v>1.13133695562895-0.102607903515747i</v>
      </c>
      <c r="AR346" s="170" t="str">
        <f t="shared" si="194"/>
        <v>0.73028978306282+0.0662344699571734i</v>
      </c>
    </row>
    <row r="347" spans="7:44">
      <c r="G347" s="688">
        <v>26609</v>
      </c>
      <c r="H347" s="676">
        <f t="shared" si="186"/>
        <v>26.609000000000002</v>
      </c>
      <c r="I347" s="677">
        <f t="shared" si="166"/>
        <v>24.099850133691415</v>
      </c>
      <c r="J347" s="678">
        <f t="shared" si="167"/>
        <v>1.5292903765024852</v>
      </c>
      <c r="K347" s="678">
        <f t="shared" si="168"/>
        <v>1.0006762159263711</v>
      </c>
      <c r="L347" s="679">
        <f t="shared" si="169"/>
        <v>3.6765067373162347E-2</v>
      </c>
      <c r="M347" s="678">
        <f t="shared" si="170"/>
        <v>1.0556572207897714</v>
      </c>
      <c r="N347" s="679">
        <f t="shared" si="171"/>
        <v>-0.32616782162407104</v>
      </c>
      <c r="O347" s="677">
        <f t="shared" si="172"/>
        <v>1103449.2324752731</v>
      </c>
      <c r="P347" s="680">
        <f t="shared" si="173"/>
        <v>1.5707954205456822</v>
      </c>
      <c r="Q347" s="689">
        <f t="shared" si="195"/>
        <v>44.517018786619303</v>
      </c>
      <c r="R347" s="690">
        <f t="shared" si="196"/>
        <v>1.5483311180617201</v>
      </c>
      <c r="S347" s="677">
        <f t="shared" si="174"/>
        <v>1.0045099847710388</v>
      </c>
      <c r="T347" s="680">
        <f t="shared" si="175"/>
        <v>9.4795567189460209E-2</v>
      </c>
      <c r="U347" s="681">
        <f t="shared" si="187"/>
        <v>0.36160674325551512</v>
      </c>
      <c r="V347" s="682">
        <f t="shared" si="188"/>
        <v>-1.8202547773380779</v>
      </c>
      <c r="W347" s="683">
        <f t="shared" si="176"/>
        <v>-13.951799350811591</v>
      </c>
      <c r="X347" s="684">
        <f t="shared" si="177"/>
        <v>-215.2148528860611</v>
      </c>
      <c r="Y347" s="687">
        <f t="shared" si="178"/>
        <v>-35.214852886061095</v>
      </c>
      <c r="AA347" s="170">
        <f t="shared" si="179"/>
        <v>26609</v>
      </c>
      <c r="AB347" s="170">
        <f t="shared" si="180"/>
        <v>708038881</v>
      </c>
      <c r="AD347" s="686">
        <f t="shared" si="181"/>
        <v>17.181839260759112</v>
      </c>
      <c r="AE347" s="687">
        <f t="shared" si="182"/>
        <v>-6.7184956462181775</v>
      </c>
      <c r="AG347" s="686">
        <f t="shared" si="183"/>
        <v>44.26671506716248</v>
      </c>
      <c r="AH347" s="687">
        <f t="shared" si="184"/>
        <v>8.947575849565638E-2</v>
      </c>
      <c r="AJ347" s="170">
        <f t="shared" si="185"/>
        <v>0</v>
      </c>
      <c r="AK347" s="170">
        <f t="shared" si="197"/>
        <v>0</v>
      </c>
      <c r="AM347" s="170" t="str">
        <f t="shared" si="189"/>
        <v>1.77428544028713-0.632836516771401i</v>
      </c>
      <c r="AN347" s="170" t="str">
        <f t="shared" si="190"/>
        <v>3.8268038045947i</v>
      </c>
      <c r="AO347" s="170" t="str">
        <f t="shared" si="191"/>
        <v>-0.165369469950766-0.463646826669507i</v>
      </c>
      <c r="AP347" s="170" t="str">
        <f t="shared" si="192"/>
        <v>-0.129047573381189+0.105472752795233i</v>
      </c>
      <c r="AQ347" s="170" t="str">
        <f t="shared" si="193"/>
        <v>1.12904757338119-0.105472752795233i</v>
      </c>
      <c r="AR347" s="170" t="str">
        <f t="shared" si="194"/>
        <v>0.731407132600496+0.0683261941376115i</v>
      </c>
    </row>
    <row r="348" spans="7:44">
      <c r="G348" s="688">
        <v>26762</v>
      </c>
      <c r="H348" s="676">
        <f t="shared" si="186"/>
        <v>26.762</v>
      </c>
      <c r="I348" s="677">
        <f t="shared" si="166"/>
        <v>24.238184779857079</v>
      </c>
      <c r="J348" s="678">
        <f t="shared" si="167"/>
        <v>1.5295273984666982</v>
      </c>
      <c r="K348" s="678">
        <f t="shared" si="168"/>
        <v>1.0006840120120495</v>
      </c>
      <c r="L348" s="679">
        <f t="shared" si="169"/>
        <v>3.6976272007797392E-2</v>
      </c>
      <c r="M348" s="678">
        <f t="shared" si="170"/>
        <v>1.0562820055988711</v>
      </c>
      <c r="N348" s="679">
        <f t="shared" si="171"/>
        <v>-0.32791202209999926</v>
      </c>
      <c r="O348" s="677">
        <f t="shared" si="172"/>
        <v>1109793.9929912107</v>
      </c>
      <c r="P348" s="680">
        <f t="shared" si="173"/>
        <v>1.5707954257267647</v>
      </c>
      <c r="Q348" s="689">
        <f t="shared" si="195"/>
        <v>44.77285992330409</v>
      </c>
      <c r="R348" s="690">
        <f t="shared" si="196"/>
        <v>1.5484595102029619</v>
      </c>
      <c r="S348" s="677">
        <f t="shared" si="174"/>
        <v>1.0045618800070508</v>
      </c>
      <c r="T348" s="680">
        <f t="shared" si="175"/>
        <v>9.5337347972060504E-2</v>
      </c>
      <c r="U348" s="681">
        <f t="shared" si="187"/>
        <v>0.35876360467501173</v>
      </c>
      <c r="V348" s="682">
        <f t="shared" si="188"/>
        <v>-1.8285882999183614</v>
      </c>
      <c r="W348" s="683">
        <f t="shared" si="176"/>
        <v>-14.06534404874882</v>
      </c>
      <c r="X348" s="684">
        <f t="shared" si="177"/>
        <v>-215.81742883029804</v>
      </c>
      <c r="Y348" s="687">
        <f t="shared" si="178"/>
        <v>-35.817428830298041</v>
      </c>
      <c r="AA348" s="170">
        <f t="shared" si="179"/>
        <v>26762</v>
      </c>
      <c r="AB348" s="170">
        <f t="shared" si="180"/>
        <v>716204644</v>
      </c>
      <c r="AD348" s="686">
        <f t="shared" si="181"/>
        <v>17.181365554045946</v>
      </c>
      <c r="AE348" s="687">
        <f t="shared" si="182"/>
        <v>-6.7421813675478859</v>
      </c>
      <c r="AG348" s="686">
        <f t="shared" si="183"/>
        <v>44.290769743222967</v>
      </c>
      <c r="AH348" s="687">
        <f t="shared" si="184"/>
        <v>0.46553688133407184</v>
      </c>
      <c r="AJ348" s="170">
        <f t="shared" si="185"/>
        <v>0</v>
      </c>
      <c r="AK348" s="170">
        <f t="shared" si="197"/>
        <v>0</v>
      </c>
      <c r="AM348" s="170" t="str">
        <f t="shared" si="189"/>
        <v>1.76017427590927-0.649719224162114i</v>
      </c>
      <c r="AN348" s="170" t="str">
        <f t="shared" si="190"/>
        <v>3.84880767479287i</v>
      </c>
      <c r="AO348" s="170" t="str">
        <f t="shared" si="191"/>
        <v>-0.168810519792231-0.457329756287185i</v>
      </c>
      <c r="AP348" s="170" t="str">
        <f t="shared" si="192"/>
        <v>-0.126695712651545+0.108286537360352i</v>
      </c>
      <c r="AQ348" s="170" t="str">
        <f t="shared" si="193"/>
        <v>1.12669571265155-0.108286537360352i</v>
      </c>
      <c r="AR348" s="170" t="str">
        <f t="shared" si="194"/>
        <v>0.732563291704017+0.0704065360018483i</v>
      </c>
    </row>
    <row r="349" spans="7:44">
      <c r="G349" s="688">
        <v>26915</v>
      </c>
      <c r="H349" s="676">
        <f t="shared" si="186"/>
        <v>26.914999999999999</v>
      </c>
      <c r="I349" s="677">
        <f t="shared" si="166"/>
        <v>24.37652077225475</v>
      </c>
      <c r="J349" s="678">
        <f t="shared" si="167"/>
        <v>1.5297617302594952</v>
      </c>
      <c r="K349" s="678">
        <f t="shared" si="168"/>
        <v>1.0006918527349407</v>
      </c>
      <c r="L349" s="679">
        <f t="shared" si="169"/>
        <v>3.7187473342149259E-2</v>
      </c>
      <c r="M349" s="678">
        <f t="shared" si="170"/>
        <v>1.0569100000614504</v>
      </c>
      <c r="N349" s="679">
        <f t="shared" si="171"/>
        <v>-0.32965415513365365</v>
      </c>
      <c r="O349" s="677">
        <f t="shared" si="172"/>
        <v>1116138.753507148</v>
      </c>
      <c r="P349" s="680">
        <f t="shared" si="173"/>
        <v>1.5707954308489429</v>
      </c>
      <c r="Q349" s="689">
        <f t="shared" si="195"/>
        <v>45.028701789662023</v>
      </c>
      <c r="R349" s="690">
        <f t="shared" si="196"/>
        <v>1.5485864433619516</v>
      </c>
      <c r="S349" s="677">
        <f t="shared" si="174"/>
        <v>1.0046140700779973</v>
      </c>
      <c r="T349" s="680">
        <f t="shared" si="175"/>
        <v>9.587907262223519E-2</v>
      </c>
      <c r="U349" s="681">
        <f t="shared" si="187"/>
        <v>0.3559250033807147</v>
      </c>
      <c r="V349" s="682">
        <f t="shared" si="188"/>
        <v>-1.8369528774928885</v>
      </c>
      <c r="W349" s="683">
        <f t="shared" si="176"/>
        <v>-14.17901945766847</v>
      </c>
      <c r="X349" s="684">
        <f t="shared" si="177"/>
        <v>-216.42159206654642</v>
      </c>
      <c r="Y349" s="687">
        <f t="shared" si="178"/>
        <v>-36.421592066546424</v>
      </c>
      <c r="AA349" s="170">
        <f t="shared" si="179"/>
        <v>26915</v>
      </c>
      <c r="AB349" s="170">
        <f t="shared" si="180"/>
        <v>724417225</v>
      </c>
      <c r="AD349" s="686">
        <f t="shared" si="181"/>
        <v>17.180889746118226</v>
      </c>
      <c r="AE349" s="687">
        <f t="shared" si="182"/>
        <v>-6.7659474628770724</v>
      </c>
      <c r="AG349" s="686">
        <f t="shared" si="183"/>
        <v>44.315565386269064</v>
      </c>
      <c r="AH349" s="687">
        <f t="shared" si="184"/>
        <v>0.84364972637047575</v>
      </c>
      <c r="AJ349" s="170">
        <f t="shared" si="185"/>
        <v>0</v>
      </c>
      <c r="AK349" s="170">
        <f t="shared" si="197"/>
        <v>0</v>
      </c>
      <c r="AM349" s="170" t="str">
        <f t="shared" si="189"/>
        <v>1.7456950725712-0.666287369490848i</v>
      </c>
      <c r="AN349" s="170" t="str">
        <f t="shared" si="190"/>
        <v>3.87081154499103i</v>
      </c>
      <c r="AO349" s="170" t="str">
        <f t="shared" si="191"/>
        <v>-0.172131182762707-0.450989424899849i</v>
      </c>
      <c r="AP349" s="170" t="str">
        <f t="shared" si="192"/>
        <v>-0.1242825120952+0.111047894915141i</v>
      </c>
      <c r="AQ349" s="170" t="str">
        <f t="shared" si="193"/>
        <v>1.1242825120952-0.111047894915141i</v>
      </c>
      <c r="AR349" s="170" t="str">
        <f t="shared" si="194"/>
        <v>0.733758462954572+0.0724749623076722i</v>
      </c>
    </row>
    <row r="350" spans="7:44">
      <c r="G350" s="688">
        <v>27071.75</v>
      </c>
      <c r="H350" s="676">
        <f t="shared" si="186"/>
        <v>27.071750000000002</v>
      </c>
      <c r="I350" s="677">
        <f t="shared" si="166"/>
        <v>24.518248725006906</v>
      </c>
      <c r="J350" s="678">
        <f t="shared" si="167"/>
        <v>1.5299990631778466</v>
      </c>
      <c r="K350" s="678">
        <f t="shared" si="168"/>
        <v>1.0006999319230101</v>
      </c>
      <c r="L350" s="679">
        <f t="shared" si="169"/>
        <v>3.7403847737567296E-2</v>
      </c>
      <c r="M350" s="678">
        <f t="shared" si="170"/>
        <v>1.0575567091862863</v>
      </c>
      <c r="N350" s="679">
        <f t="shared" si="171"/>
        <v>-0.33143683623892328</v>
      </c>
      <c r="O350" s="677">
        <f t="shared" si="172"/>
        <v>1122639.0228592604</v>
      </c>
      <c r="P350" s="680">
        <f t="shared" si="173"/>
        <v>1.5707954360366212</v>
      </c>
      <c r="Q350" s="689">
        <f t="shared" si="195"/>
        <v>45.290815033789286</v>
      </c>
      <c r="R350" s="690">
        <f t="shared" si="196"/>
        <v>1.5487150004147181</v>
      </c>
      <c r="S350" s="677">
        <f t="shared" si="174"/>
        <v>1.0046678450323199</v>
      </c>
      <c r="T350" s="680">
        <f t="shared" si="175"/>
        <v>9.6434016301126538E-2</v>
      </c>
      <c r="U350" s="681">
        <f t="shared" si="187"/>
        <v>0.35302111555003585</v>
      </c>
      <c r="V350" s="682">
        <f t="shared" si="188"/>
        <v>-1.8455557555743782</v>
      </c>
      <c r="W350" s="683">
        <f t="shared" si="176"/>
        <v>-14.29563667166841</v>
      </c>
      <c r="X350" s="684">
        <f t="shared" si="177"/>
        <v>-217.04227206279901</v>
      </c>
      <c r="Y350" s="687">
        <f t="shared" si="178"/>
        <v>-37.042272062799015</v>
      </c>
      <c r="AA350" s="170">
        <f t="shared" si="179"/>
        <v>27071.75</v>
      </c>
      <c r="AB350" s="170">
        <f t="shared" si="180"/>
        <v>732879648.0625</v>
      </c>
      <c r="AD350" s="686">
        <f t="shared" si="181"/>
        <v>17.180400087956986</v>
      </c>
      <c r="AE350" s="687">
        <f t="shared" si="182"/>
        <v>-6.7903779142548411</v>
      </c>
      <c r="AG350" s="686">
        <f t="shared" si="183"/>
        <v>44.341750424333995</v>
      </c>
      <c r="AH350" s="687">
        <f t="shared" si="184"/>
        <v>1.2332173940920088</v>
      </c>
      <c r="AJ350" s="170">
        <f t="shared" si="185"/>
        <v>0</v>
      </c>
      <c r="AK350" s="170">
        <f t="shared" si="197"/>
        <v>0</v>
      </c>
      <c r="AM350" s="170" t="str">
        <f t="shared" si="189"/>
        <v>1.73048663691497-0.682926989720465i</v>
      </c>
      <c r="AN350" s="170" t="str">
        <f t="shared" si="190"/>
        <v>3.89335472573327i</v>
      </c>
      <c r="AO350" s="170" t="str">
        <f t="shared" si="191"/>
        <v>-0.175408365748601-0.444471865221336i</v>
      </c>
      <c r="AP350" s="170" t="str">
        <f t="shared" si="192"/>
        <v>-0.121747772819162+0.113821164953411i</v>
      </c>
      <c r="AQ350" s="170" t="str">
        <f t="shared" si="193"/>
        <v>1.12174777281916-0.113821164953411i</v>
      </c>
      <c r="AR350" s="170" t="str">
        <f t="shared" si="194"/>
        <v>0.735023599997716+0.0745811531318968i</v>
      </c>
    </row>
    <row r="351" spans="7:44">
      <c r="G351" s="688">
        <v>27228.5</v>
      </c>
      <c r="H351" s="676">
        <f t="shared" si="186"/>
        <v>27.2285</v>
      </c>
      <c r="I351" s="677">
        <f t="shared" si="166"/>
        <v>24.659978042921875</v>
      </c>
      <c r="J351" s="678">
        <f t="shared" si="167"/>
        <v>1.5302336680425719</v>
      </c>
      <c r="K351" s="678">
        <f t="shared" si="168"/>
        <v>1.00070805796097</v>
      </c>
      <c r="L351" s="679">
        <f t="shared" si="169"/>
        <v>3.7620218629070272E-2</v>
      </c>
      <c r="M351" s="678">
        <f t="shared" si="170"/>
        <v>1.0582067750613782</v>
      </c>
      <c r="N351" s="679">
        <f t="shared" si="171"/>
        <v>-0.33321733276289089</v>
      </c>
      <c r="O351" s="677">
        <f t="shared" si="172"/>
        <v>1129139.2922113729</v>
      </c>
      <c r="P351" s="680">
        <f t="shared" si="173"/>
        <v>1.5707954411645701</v>
      </c>
      <c r="Q351" s="689">
        <f t="shared" si="195"/>
        <v>45.552929017820034</v>
      </c>
      <c r="R351" s="690">
        <f t="shared" si="196"/>
        <v>1.5488420780212833</v>
      </c>
      <c r="S351" s="677">
        <f t="shared" si="174"/>
        <v>1.0047219293534753</v>
      </c>
      <c r="T351" s="680">
        <f t="shared" si="175"/>
        <v>9.6988900405495321E-2</v>
      </c>
      <c r="U351" s="681">
        <f t="shared" si="187"/>
        <v>0.35012113776872683</v>
      </c>
      <c r="V351" s="682">
        <f t="shared" si="188"/>
        <v>-1.8541934311019586</v>
      </c>
      <c r="W351" s="683">
        <f t="shared" si="176"/>
        <v>-14.412432382865063</v>
      </c>
      <c r="X351" s="684">
        <f t="shared" si="177"/>
        <v>-217.6647458825968</v>
      </c>
      <c r="Y351" s="687">
        <f t="shared" si="178"/>
        <v>-37.664745882596804</v>
      </c>
      <c r="AA351" s="170">
        <f t="shared" si="179"/>
        <v>27228.5</v>
      </c>
      <c r="AB351" s="170">
        <f t="shared" si="180"/>
        <v>741391212.25</v>
      </c>
      <c r="AD351" s="686">
        <f t="shared" si="181"/>
        <v>17.179908205958117</v>
      </c>
      <c r="AE351" s="687">
        <f t="shared" si="182"/>
        <v>-6.8148897148651022</v>
      </c>
      <c r="AG351" s="686">
        <f t="shared" si="183"/>
        <v>44.368740670634594</v>
      </c>
      <c r="AH351" s="687">
        <f t="shared" si="184"/>
        <v>1.625060081103096</v>
      </c>
      <c r="AJ351" s="170">
        <f t="shared" si="185"/>
        <v>0</v>
      </c>
      <c r="AK351" s="170">
        <f t="shared" si="197"/>
        <v>0</v>
      </c>
      <c r="AM351" s="170" t="str">
        <f t="shared" si="189"/>
        <v>1.71490698732493-0.699219564567523i</v>
      </c>
      <c r="AN351" s="170" t="str">
        <f t="shared" si="190"/>
        <v>3.91589790647551i</v>
      </c>
      <c r="AO351" s="170" t="str">
        <f t="shared" si="191"/>
        <v>-0.178559191599776-0.437934549950621i</v>
      </c>
      <c r="AP351" s="170" t="str">
        <f t="shared" si="192"/>
        <v>-0.119151164554154+0.116536594094587i</v>
      </c>
      <c r="AQ351" s="170" t="str">
        <f t="shared" si="193"/>
        <v>1.11915116455415-0.116536594094587i</v>
      </c>
      <c r="AR351" s="170" t="str">
        <f t="shared" si="194"/>
        <v>0.736330122401561+0.0766736499158389i</v>
      </c>
    </row>
    <row r="352" spans="7:44">
      <c r="G352" s="688">
        <v>27385.25</v>
      </c>
      <c r="H352" s="676">
        <f t="shared" si="186"/>
        <v>27.385249999999999</v>
      </c>
      <c r="I352" s="677">
        <f t="shared" si="166"/>
        <v>24.801708702595995</v>
      </c>
      <c r="J352" s="678">
        <f t="shared" si="167"/>
        <v>1.5304655915964369</v>
      </c>
      <c r="K352" s="678">
        <f t="shared" si="168"/>
        <v>1.0007162308476794</v>
      </c>
      <c r="L352" s="679">
        <f t="shared" si="169"/>
        <v>3.7836585996484387E-2</v>
      </c>
      <c r="M352" s="678">
        <f t="shared" si="170"/>
        <v>1.0588601915042981</v>
      </c>
      <c r="N352" s="679">
        <f t="shared" si="171"/>
        <v>-0.33499563745057753</v>
      </c>
      <c r="O352" s="677">
        <f t="shared" si="172"/>
        <v>1135639.5615634853</v>
      </c>
      <c r="P352" s="680">
        <f t="shared" si="173"/>
        <v>1.5707954462338156</v>
      </c>
      <c r="Q352" s="689">
        <f t="shared" si="195"/>
        <v>45.815043729054999</v>
      </c>
      <c r="R352" s="690">
        <f t="shared" si="196"/>
        <v>1.5489677015699055</v>
      </c>
      <c r="S352" s="677">
        <f t="shared" si="174"/>
        <v>1.0047763229915063</v>
      </c>
      <c r="T352" s="680">
        <f t="shared" si="175"/>
        <v>9.7543724603295801E-2</v>
      </c>
      <c r="U352" s="681">
        <f t="shared" si="187"/>
        <v>0.34722463573759754</v>
      </c>
      <c r="V352" s="682">
        <f t="shared" si="188"/>
        <v>-1.8628670270985495</v>
      </c>
      <c r="W352" s="683">
        <f t="shared" si="176"/>
        <v>-14.529428231694595</v>
      </c>
      <c r="X352" s="684">
        <f t="shared" si="177"/>
        <v>-218.28907866044673</v>
      </c>
      <c r="Y352" s="687">
        <f t="shared" si="178"/>
        <v>-38.289078660446734</v>
      </c>
      <c r="AA352" s="170">
        <f t="shared" si="179"/>
        <v>27385.25</v>
      </c>
      <c r="AB352" s="170">
        <f t="shared" si="180"/>
        <v>749951917.5625</v>
      </c>
      <c r="AD352" s="686">
        <f t="shared" si="181"/>
        <v>17.179414091266167</v>
      </c>
      <c r="AE352" s="687">
        <f t="shared" si="182"/>
        <v>-6.8394813911017573</v>
      </c>
      <c r="AG352" s="686">
        <f t="shared" si="183"/>
        <v>44.396550941355393</v>
      </c>
      <c r="AH352" s="687">
        <f t="shared" si="184"/>
        <v>2.0192398682380062</v>
      </c>
      <c r="AJ352" s="170">
        <f t="shared" si="185"/>
        <v>0</v>
      </c>
      <c r="AK352" s="170">
        <f t="shared" si="197"/>
        <v>0</v>
      </c>
      <c r="AM352" s="170" t="str">
        <f t="shared" si="189"/>
        <v>1.69896404096576-0.715156814577622i</v>
      </c>
      <c r="AN352" s="170" t="str">
        <f t="shared" si="190"/>
        <v>3.93844108721775i</v>
      </c>
      <c r="AO352" s="170" t="str">
        <f t="shared" si="191"/>
        <v>-0.181583727860922-0.431379828551902i</v>
      </c>
      <c r="AP352" s="170" t="str">
        <f t="shared" si="192"/>
        <v>-0.116494006827627+0.119192802429604i</v>
      </c>
      <c r="AQ352" s="170" t="str">
        <f t="shared" si="193"/>
        <v>1.11649400682763-0.119192802429604i</v>
      </c>
      <c r="AR352" s="170" t="str">
        <f t="shared" si="194"/>
        <v>0.737678253968403+0.0787518229781645i</v>
      </c>
    </row>
    <row r="353" spans="7:44">
      <c r="G353" s="688">
        <v>27542</v>
      </c>
      <c r="H353" s="676">
        <f t="shared" si="186"/>
        <v>27.542000000000002</v>
      </c>
      <c r="I353" s="677">
        <f t="shared" si="166"/>
        <v>24.943440681157313</v>
      </c>
      <c r="J353" s="678">
        <f t="shared" si="167"/>
        <v>1.5306948795209816</v>
      </c>
      <c r="K353" s="678">
        <f t="shared" si="168"/>
        <v>1.0007244505819899</v>
      </c>
      <c r="L353" s="679">
        <f t="shared" si="169"/>
        <v>3.8052949819637839E-2</v>
      </c>
      <c r="M353" s="678">
        <f t="shared" si="170"/>
        <v>1.0595169523160437</v>
      </c>
      <c r="N353" s="679">
        <f t="shared" si="171"/>
        <v>-0.336771743120306</v>
      </c>
      <c r="O353" s="677">
        <f t="shared" si="172"/>
        <v>1142139.8309155977</v>
      </c>
      <c r="P353" s="680">
        <f t="shared" si="173"/>
        <v>1.5707954512453597</v>
      </c>
      <c r="Q353" s="689">
        <f t="shared" si="195"/>
        <v>46.077159155083869</v>
      </c>
      <c r="R353" s="690">
        <f t="shared" si="196"/>
        <v>1.5490918958713327</v>
      </c>
      <c r="S353" s="677">
        <f t="shared" si="174"/>
        <v>1.004831025896181</v>
      </c>
      <c r="T353" s="680">
        <f t="shared" si="175"/>
        <v>9.8098488562701522E-2</v>
      </c>
      <c r="U353" s="681">
        <f t="shared" si="187"/>
        <v>0.34433117316914452</v>
      </c>
      <c r="V353" s="682">
        <f t="shared" si="188"/>
        <v>-1.871577672656713</v>
      </c>
      <c r="W353" s="683">
        <f t="shared" si="176"/>
        <v>-14.646646385556961</v>
      </c>
      <c r="X353" s="684">
        <f t="shared" si="177"/>
        <v>-218.91533585511678</v>
      </c>
      <c r="Y353" s="687">
        <f t="shared" si="178"/>
        <v>-38.91533585511678</v>
      </c>
      <c r="AA353" s="170">
        <f t="shared" si="179"/>
        <v>27542</v>
      </c>
      <c r="AB353" s="170">
        <f t="shared" si="180"/>
        <v>758561764</v>
      </c>
      <c r="AD353" s="686">
        <f t="shared" si="181"/>
        <v>17.178917735305927</v>
      </c>
      <c r="AE353" s="687">
        <f t="shared" si="182"/>
        <v>-6.8641515024588298</v>
      </c>
      <c r="AG353" s="686">
        <f t="shared" si="183"/>
        <v>44.425196692233719</v>
      </c>
      <c r="AH353" s="687">
        <f t="shared" si="184"/>
        <v>2.4158192406999022</v>
      </c>
      <c r="AJ353" s="170">
        <f t="shared" si="185"/>
        <v>0</v>
      </c>
      <c r="AK353" s="170">
        <f t="shared" si="197"/>
        <v>0</v>
      </c>
      <c r="AM353" s="170" t="str">
        <f t="shared" si="189"/>
        <v>1.68266589961996-0.730730640863017i</v>
      </c>
      <c r="AN353" s="170" t="str">
        <f t="shared" si="190"/>
        <v>3.96098426795999i</v>
      </c>
      <c r="AO353" s="170" t="str">
        <f t="shared" si="191"/>
        <v>-0.184482086125367-0.424810043612361i</v>
      </c>
      <c r="AP353" s="170" t="str">
        <f t="shared" si="192"/>
        <v>-0.11377764993666+0.121788440143836i</v>
      </c>
      <c r="AQ353" s="170" t="str">
        <f t="shared" si="193"/>
        <v>1.11377764993666-0.121788440143836i</v>
      </c>
      <c r="AR353" s="170" t="str">
        <f t="shared" si="194"/>
        <v>0.739068219355166+0.0808150222804946i</v>
      </c>
    </row>
    <row r="354" spans="7:44">
      <c r="G354" s="688">
        <v>27702.5</v>
      </c>
      <c r="H354" s="676">
        <f t="shared" si="186"/>
        <v>27.702500000000001</v>
      </c>
      <c r="I354" s="677">
        <f t="shared" si="166"/>
        <v>25.088564720156754</v>
      </c>
      <c r="J354" s="678">
        <f t="shared" si="167"/>
        <v>1.5309269684669768</v>
      </c>
      <c r="K354" s="678">
        <f t="shared" si="168"/>
        <v>1.0007329155015978</v>
      </c>
      <c r="L354" s="679">
        <f t="shared" si="169"/>
        <v>3.8274486117281965E-2</v>
      </c>
      <c r="M354" s="678">
        <f t="shared" si="170"/>
        <v>1.0601928839564307</v>
      </c>
      <c r="N354" s="679">
        <f t="shared" si="171"/>
        <v>-0.33858805337309417</v>
      </c>
      <c r="O354" s="677">
        <f t="shared" si="172"/>
        <v>1148795.6091038852</v>
      </c>
      <c r="P354" s="680">
        <f t="shared" si="173"/>
        <v>1.570795456318032</v>
      </c>
      <c r="Q354" s="689">
        <f t="shared" si="195"/>
        <v>46.345546013066837</v>
      </c>
      <c r="R354" s="690">
        <f t="shared" si="196"/>
        <v>1.5492176057069733</v>
      </c>
      <c r="S354" s="677">
        <f t="shared" si="174"/>
        <v>1.0048873578832638</v>
      </c>
      <c r="T354" s="680">
        <f t="shared" si="175"/>
        <v>9.8666461623527615E-2</v>
      </c>
      <c r="U354" s="681">
        <f t="shared" si="187"/>
        <v>0.3413711806532384</v>
      </c>
      <c r="V354" s="682">
        <f t="shared" si="188"/>
        <v>-1.8805362822136604</v>
      </c>
      <c r="W354" s="683">
        <f t="shared" si="176"/>
        <v>-14.766922877801766</v>
      </c>
      <c r="X354" s="684">
        <f t="shared" si="177"/>
        <v>-219.55863801463451</v>
      </c>
      <c r="Y354" s="687">
        <f t="shared" si="178"/>
        <v>-39.558638014634511</v>
      </c>
      <c r="AA354" s="170">
        <f t="shared" si="179"/>
        <v>27702.5</v>
      </c>
      <c r="AB354" s="170">
        <f t="shared" si="180"/>
        <v>767428506.25</v>
      </c>
      <c r="AD354" s="686">
        <f t="shared" si="181"/>
        <v>17.17840717379157</v>
      </c>
      <c r="AE354" s="687">
        <f t="shared" si="182"/>
        <v>-6.8894916093674698</v>
      </c>
      <c r="AG354" s="686">
        <f t="shared" si="183"/>
        <v>44.455410284699994</v>
      </c>
      <c r="AH354" s="687">
        <f t="shared" si="184"/>
        <v>2.8244382251011588</v>
      </c>
      <c r="AJ354" s="170">
        <f t="shared" si="185"/>
        <v>0</v>
      </c>
      <c r="AK354" s="170">
        <f t="shared" si="197"/>
        <v>0</v>
      </c>
      <c r="AM354" s="170" t="str">
        <f t="shared" si="189"/>
        <v>1.66561845913037-0.746292212785927i</v>
      </c>
      <c r="AN354" s="170" t="str">
        <f t="shared" si="190"/>
        <v>3.9840667592463i</v>
      </c>
      <c r="AO354" s="170" t="str">
        <f t="shared" si="191"/>
        <v>-0.187319203689024-0.418069916942222i</v>
      </c>
      <c r="AP354" s="170" t="str">
        <f t="shared" si="192"/>
        <v>-0.110936409855061+0.124382035464321i</v>
      </c>
      <c r="AQ354" s="170" t="str">
        <f t="shared" si="193"/>
        <v>1.11093640985506-0.124382035464321i</v>
      </c>
      <c r="AR354" s="170" t="str">
        <f t="shared" si="194"/>
        <v>0.740535019364264+0.0829113639845099i</v>
      </c>
    </row>
    <row r="355" spans="7:44">
      <c r="G355" s="688">
        <v>27863</v>
      </c>
      <c r="H355" s="676">
        <f t="shared" si="186"/>
        <v>27.863</v>
      </c>
      <c r="I355" s="677">
        <f t="shared" si="166"/>
        <v>25.233690095014314</v>
      </c>
      <c r="J355" s="678">
        <f t="shared" si="167"/>
        <v>1.5311563878200005</v>
      </c>
      <c r="K355" s="678">
        <f t="shared" si="168"/>
        <v>1.000741429534675</v>
      </c>
      <c r="L355" s="679">
        <f t="shared" si="169"/>
        <v>3.8496018656258506E-2</v>
      </c>
      <c r="M355" s="678">
        <f t="shared" si="170"/>
        <v>1.0608723086914056</v>
      </c>
      <c r="N355" s="679">
        <f t="shared" si="171"/>
        <v>-0.34040204312947342</v>
      </c>
      <c r="O355" s="677">
        <f t="shared" si="172"/>
        <v>1155451.387292173</v>
      </c>
      <c r="P355" s="680">
        <f t="shared" si="173"/>
        <v>1.5707954613322637</v>
      </c>
      <c r="Q355" s="689">
        <f t="shared" si="195"/>
        <v>46.613933595012952</v>
      </c>
      <c r="R355" s="690">
        <f t="shared" si="196"/>
        <v>1.5493418679534114</v>
      </c>
      <c r="S355" s="677">
        <f t="shared" si="174"/>
        <v>1.0049440140039703</v>
      </c>
      <c r="T355" s="680">
        <f t="shared" si="175"/>
        <v>9.9234370825862658E-2</v>
      </c>
      <c r="U355" s="681">
        <f t="shared" si="187"/>
        <v>0.33841344263474021</v>
      </c>
      <c r="V355" s="682">
        <f t="shared" si="188"/>
        <v>-1.8895361506287391</v>
      </c>
      <c r="W355" s="683">
        <f t="shared" si="176"/>
        <v>-14.887481269070307</v>
      </c>
      <c r="X355" s="684">
        <f t="shared" si="177"/>
        <v>-220.20409771546937</v>
      </c>
      <c r="Y355" s="687">
        <f t="shared" si="178"/>
        <v>-40.204097715469373</v>
      </c>
      <c r="AA355" s="170">
        <f t="shared" si="179"/>
        <v>27863</v>
      </c>
      <c r="AB355" s="170">
        <f t="shared" si="180"/>
        <v>776346769</v>
      </c>
      <c r="AD355" s="686">
        <f t="shared" si="181"/>
        <v>17.177894245152938</v>
      </c>
      <c r="AE355" s="687">
        <f t="shared" si="182"/>
        <v>-6.9149109948575571</v>
      </c>
      <c r="AG355" s="686">
        <f t="shared" si="183"/>
        <v>44.486534749991748</v>
      </c>
      <c r="AH355" s="687">
        <f t="shared" si="184"/>
        <v>3.2357068636490056</v>
      </c>
      <c r="AJ355" s="170">
        <f t="shared" si="185"/>
        <v>0</v>
      </c>
      <c r="AK355" s="170">
        <f t="shared" si="197"/>
        <v>0</v>
      </c>
      <c r="AM355" s="170" t="str">
        <f t="shared" si="189"/>
        <v>1.64821639193712-0.761456176824391i</v>
      </c>
      <c r="AN355" s="170" t="str">
        <f t="shared" si="190"/>
        <v>4.00714925053261i</v>
      </c>
      <c r="AO355" s="170" t="str">
        <f t="shared" si="191"/>
        <v>-0.190024411175397-0.411318942442198i</v>
      </c>
      <c r="AP355" s="170" t="str">
        <f t="shared" si="192"/>
        <v>-0.108036065322854+0.126909362804065i</v>
      </c>
      <c r="AQ355" s="170" t="str">
        <f t="shared" si="193"/>
        <v>1.10803606532285-0.126909362804065i</v>
      </c>
      <c r="AR355" s="170" t="str">
        <f t="shared" si="194"/>
        <v>0.742046155378816+0.0849905591501596i</v>
      </c>
    </row>
    <row r="356" spans="7:44">
      <c r="G356" s="688">
        <v>28023.5</v>
      </c>
      <c r="H356" s="676">
        <f t="shared" si="186"/>
        <v>28.023499999999999</v>
      </c>
      <c r="I356" s="677">
        <f t="shared" si="166"/>
        <v>25.378816782813214</v>
      </c>
      <c r="J356" s="678">
        <f t="shared" si="167"/>
        <v>1.5313831833532399</v>
      </c>
      <c r="K356" s="678">
        <f t="shared" si="168"/>
        <v>1.0007499926799679</v>
      </c>
      <c r="L356" s="679">
        <f t="shared" si="169"/>
        <v>3.8717547414919506E-2</v>
      </c>
      <c r="M356" s="678">
        <f t="shared" si="170"/>
        <v>1.0615552198139369</v>
      </c>
      <c r="N356" s="679">
        <f t="shared" si="171"/>
        <v>-0.34221370491840497</v>
      </c>
      <c r="O356" s="677">
        <f t="shared" si="172"/>
        <v>1162107.1654804603</v>
      </c>
      <c r="P356" s="680">
        <f t="shared" si="173"/>
        <v>1.5707954662890589</v>
      </c>
      <c r="Q356" s="689">
        <f t="shared" si="195"/>
        <v>46.882321888488804</v>
      </c>
      <c r="R356" s="690">
        <f t="shared" si="196"/>
        <v>1.5494647074679162</v>
      </c>
      <c r="S356" s="677">
        <f t="shared" si="174"/>
        <v>1.0050009942034819</v>
      </c>
      <c r="T356" s="680">
        <f t="shared" si="175"/>
        <v>9.9802215814212572E-2</v>
      </c>
      <c r="U356" s="681">
        <f t="shared" si="187"/>
        <v>0.33545748432625994</v>
      </c>
      <c r="V356" s="682">
        <f t="shared" si="188"/>
        <v>-1.8985785097787364</v>
      </c>
      <c r="W356" s="683">
        <f t="shared" si="176"/>
        <v>-15.008347228459684</v>
      </c>
      <c r="X356" s="684">
        <f t="shared" si="177"/>
        <v>-220.8517862902267</v>
      </c>
      <c r="Y356" s="687">
        <f t="shared" si="178"/>
        <v>-40.851786290226698</v>
      </c>
      <c r="AA356" s="170">
        <f t="shared" si="179"/>
        <v>28023.5</v>
      </c>
      <c r="AB356" s="170">
        <f t="shared" si="180"/>
        <v>785316552.25</v>
      </c>
      <c r="AD356" s="686">
        <f t="shared" si="181"/>
        <v>17.177378941038043</v>
      </c>
      <c r="AE356" s="687">
        <f t="shared" si="182"/>
        <v>-6.9404082144016845</v>
      </c>
      <c r="AG356" s="686">
        <f t="shared" si="183"/>
        <v>44.518588902786192</v>
      </c>
      <c r="AH356" s="687">
        <f t="shared" si="184"/>
        <v>3.6496935418925167</v>
      </c>
      <c r="AJ356" s="170">
        <f t="shared" si="185"/>
        <v>0</v>
      </c>
      <c r="AK356" s="170">
        <f t="shared" si="197"/>
        <v>0</v>
      </c>
      <c r="AM356" s="170" t="str">
        <f t="shared" si="189"/>
        <v>1.63046896947439-0.776214453955798i</v>
      </c>
      <c r="AN356" s="170" t="str">
        <f t="shared" si="190"/>
        <v>4.03023174181892i</v>
      </c>
      <c r="AO356" s="170" t="str">
        <f t="shared" si="191"/>
        <v>-0.192597970459505-0.404559606971516i</v>
      </c>
      <c r="AP356" s="170" t="str">
        <f t="shared" si="192"/>
        <v>-0.105078161579065+0.1293690756593i</v>
      </c>
      <c r="AQ356" s="170" t="str">
        <f t="shared" si="193"/>
        <v>1.10507816157907-0.1293690756593i</v>
      </c>
      <c r="AR356" s="170" t="str">
        <f t="shared" si="194"/>
        <v>0.743601866932508+0.0870518389813508i</v>
      </c>
    </row>
    <row r="357" spans="7:44">
      <c r="G357" s="688">
        <v>28184</v>
      </c>
      <c r="H357" s="676">
        <f t="shared" si="186"/>
        <v>28.184000000000001</v>
      </c>
      <c r="I357" s="677">
        <f t="shared" si="166"/>
        <v>25.523944761157672</v>
      </c>
      <c r="J357" s="678">
        <f t="shared" si="167"/>
        <v>1.5316073997999191</v>
      </c>
      <c r="K357" s="678">
        <f t="shared" si="168"/>
        <v>1.0007586049362156</v>
      </c>
      <c r="L357" s="679">
        <f t="shared" si="169"/>
        <v>3.8939072371619254E-2</v>
      </c>
      <c r="M357" s="678">
        <f t="shared" si="170"/>
        <v>1.0622416105998678</v>
      </c>
      <c r="N357" s="679">
        <f t="shared" si="171"/>
        <v>-0.34402303134913825</v>
      </c>
      <c r="O357" s="677">
        <f t="shared" si="172"/>
        <v>1168762.943668748</v>
      </c>
      <c r="P357" s="680">
        <f t="shared" si="173"/>
        <v>1.570795471189399</v>
      </c>
      <c r="Q357" s="689">
        <f t="shared" si="195"/>
        <v>47.150710881344004</v>
      </c>
      <c r="R357" s="690">
        <f t="shared" si="196"/>
        <v>1.5495861485419662</v>
      </c>
      <c r="S357" s="677">
        <f t="shared" si="174"/>
        <v>1.0050582984266796</v>
      </c>
      <c r="T357" s="680">
        <f t="shared" si="175"/>
        <v>0.10036999623332928</v>
      </c>
      <c r="U357" s="681">
        <f t="shared" si="187"/>
        <v>0.33250282880941001</v>
      </c>
      <c r="V357" s="682">
        <f t="shared" si="188"/>
        <v>-1.9076645981494527</v>
      </c>
      <c r="W357" s="683">
        <f t="shared" si="176"/>
        <v>-15.129547112832736</v>
      </c>
      <c r="X357" s="684">
        <f t="shared" si="177"/>
        <v>-221.50177542762506</v>
      </c>
      <c r="Y357" s="687">
        <f t="shared" si="178"/>
        <v>-41.501775427625063</v>
      </c>
      <c r="AA357" s="170">
        <f t="shared" si="179"/>
        <v>28184</v>
      </c>
      <c r="AB357" s="170">
        <f t="shared" si="180"/>
        <v>794337856</v>
      </c>
      <c r="AD357" s="686">
        <f t="shared" si="181"/>
        <v>17.176861253363793</v>
      </c>
      <c r="AE357" s="687">
        <f t="shared" si="182"/>
        <v>-6.9659818559026672</v>
      </c>
      <c r="AG357" s="686">
        <f t="shared" si="183"/>
        <v>44.551592358474196</v>
      </c>
      <c r="AH357" s="687">
        <f t="shared" si="184"/>
        <v>4.0664670790347746</v>
      </c>
      <c r="AJ357" s="170">
        <f t="shared" si="185"/>
        <v>0</v>
      </c>
      <c r="AK357" s="170">
        <f t="shared" si="197"/>
        <v>0</v>
      </c>
      <c r="AM357" s="170" t="str">
        <f t="shared" si="189"/>
        <v>1.61238564717395-0.790559181298494i</v>
      </c>
      <c r="AN357" s="170" t="str">
        <f t="shared" si="190"/>
        <v>4.05331423310523i</v>
      </c>
      <c r="AO357" s="170" t="str">
        <f t="shared" si="191"/>
        <v>-0.195040190775648-0.397794386135887i</v>
      </c>
      <c r="AP357" s="170" t="str">
        <f t="shared" si="192"/>
        <v>-0.102064274528991+0.131759863549749i</v>
      </c>
      <c r="AQ357" s="170" t="str">
        <f t="shared" si="193"/>
        <v>1.10206427452899-0.131759863549749i</v>
      </c>
      <c r="AR357" s="170" t="str">
        <f t="shared" si="194"/>
        <v>0.745202391354422+0.0890944091657174i</v>
      </c>
    </row>
    <row r="358" spans="7:44">
      <c r="G358" s="688">
        <v>28348</v>
      </c>
      <c r="H358" s="676">
        <f t="shared" si="186"/>
        <v>28.347999999999999</v>
      </c>
      <c r="I358" s="677">
        <f t="shared" si="166"/>
        <v>25.672238834370898</v>
      </c>
      <c r="J358" s="678">
        <f t="shared" si="167"/>
        <v>1.5318338871252652</v>
      </c>
      <c r="K358" s="678">
        <f t="shared" si="168"/>
        <v>1.0007674557264201</v>
      </c>
      <c r="L358" s="679">
        <f t="shared" si="169"/>
        <v>3.9165424140867072E-2</v>
      </c>
      <c r="M358" s="678">
        <f t="shared" si="170"/>
        <v>1.0629465567068739</v>
      </c>
      <c r="N358" s="679">
        <f t="shared" si="171"/>
        <v>-0.34586939358688085</v>
      </c>
      <c r="O358" s="677">
        <f t="shared" si="172"/>
        <v>1175563.8634374654</v>
      </c>
      <c r="P358" s="680">
        <f t="shared" si="173"/>
        <v>1.5707954761392826</v>
      </c>
      <c r="Q358" s="689">
        <f t="shared" si="195"/>
        <v>47.424953303737873</v>
      </c>
      <c r="R358" s="690">
        <f t="shared" si="196"/>
        <v>1.5497088180465455</v>
      </c>
      <c r="S358" s="677">
        <f t="shared" si="174"/>
        <v>1.0051171869166524</v>
      </c>
      <c r="T358" s="680">
        <f t="shared" si="175"/>
        <v>0.10095009109088773</v>
      </c>
      <c r="U358" s="681">
        <f t="shared" si="187"/>
        <v>0.32948458886037252</v>
      </c>
      <c r="V358" s="682">
        <f t="shared" si="188"/>
        <v>-1.9169952909591153</v>
      </c>
      <c r="W358" s="683">
        <f t="shared" si="176"/>
        <v>-15.253763087198159</v>
      </c>
      <c r="X358" s="684">
        <f t="shared" si="177"/>
        <v>-222.1683901025562</v>
      </c>
      <c r="Y358" s="687">
        <f t="shared" si="178"/>
        <v>-42.168390102556202</v>
      </c>
      <c r="AA358" s="170">
        <f t="shared" si="179"/>
        <v>28348</v>
      </c>
      <c r="AB358" s="170">
        <f t="shared" si="180"/>
        <v>803609104</v>
      </c>
      <c r="AD358" s="686">
        <f t="shared" si="181"/>
        <v>17.176329806319124</v>
      </c>
      <c r="AE358" s="687">
        <f t="shared" si="182"/>
        <v>-6.9921906817080464</v>
      </c>
      <c r="AG358" s="686">
        <f t="shared" si="183"/>
        <v>44.586317372236444</v>
      </c>
      <c r="AH358" s="687">
        <f t="shared" si="184"/>
        <v>4.4952798669841947</v>
      </c>
      <c r="AJ358" s="170">
        <f t="shared" si="185"/>
        <v>0</v>
      </c>
      <c r="AK358" s="170">
        <f t="shared" si="197"/>
        <v>0</v>
      </c>
      <c r="AM358" s="170" t="str">
        <f t="shared" si="189"/>
        <v>1.59357104258676-0.80478159608832i</v>
      </c>
      <c r="AN358" s="170" t="str">
        <f t="shared" si="190"/>
        <v>4.07690008089934i</v>
      </c>
      <c r="AO358" s="170" t="str">
        <f t="shared" si="191"/>
        <v>-0.197400372861429-0.390878120867566i</v>
      </c>
      <c r="AP358" s="170" t="str">
        <f t="shared" si="192"/>
        <v>-0.0989285070977938+0.13413026601472i</v>
      </c>
      <c r="AQ358" s="170" t="str">
        <f t="shared" si="193"/>
        <v>1.09892850709779-0.13413026601472i</v>
      </c>
      <c r="AR358" s="170" t="str">
        <f t="shared" si="194"/>
        <v>0.746884351201054+0.0911613413081787i</v>
      </c>
    </row>
    <row r="359" spans="7:44">
      <c r="G359" s="688">
        <v>28512</v>
      </c>
      <c r="H359" s="676">
        <f t="shared" si="186"/>
        <v>28.512</v>
      </c>
      <c r="I359" s="677">
        <f t="shared" si="166"/>
        <v>25.820534209353742</v>
      </c>
      <c r="J359" s="678">
        <f t="shared" si="167"/>
        <v>1.532057772887397</v>
      </c>
      <c r="K359" s="678">
        <f t="shared" si="168"/>
        <v>1.0007763577901603</v>
      </c>
      <c r="L359" s="679">
        <f t="shared" si="169"/>
        <v>3.9391771894842206E-2</v>
      </c>
      <c r="M359" s="678">
        <f t="shared" si="170"/>
        <v>1.0636551216451764</v>
      </c>
      <c r="N359" s="679">
        <f t="shared" si="171"/>
        <v>-0.34771330215677254</v>
      </c>
      <c r="O359" s="677">
        <f t="shared" si="172"/>
        <v>1182364.783206183</v>
      </c>
      <c r="P359" s="680">
        <f t="shared" si="173"/>
        <v>1.5707954810322231</v>
      </c>
      <c r="Q359" s="689">
        <f t="shared" si="195"/>
        <v>47.699196431567252</v>
      </c>
      <c r="R359" s="690">
        <f t="shared" si="196"/>
        <v>1.5498300769937972</v>
      </c>
      <c r="S359" s="677">
        <f t="shared" si="174"/>
        <v>1.0051764135989567</v>
      </c>
      <c r="T359" s="680">
        <f t="shared" si="175"/>
        <v>0.10153011778328555</v>
      </c>
      <c r="U359" s="681">
        <f t="shared" si="187"/>
        <v>0.32646669573691067</v>
      </c>
      <c r="V359" s="682">
        <f t="shared" si="188"/>
        <v>-1.9263742761149323</v>
      </c>
      <c r="W359" s="683">
        <f t="shared" si="176"/>
        <v>-15.378385675422434</v>
      </c>
      <c r="X359" s="684">
        <f t="shared" si="177"/>
        <v>-222.83755922190443</v>
      </c>
      <c r="Y359" s="687">
        <f t="shared" si="178"/>
        <v>-42.837559221904428</v>
      </c>
      <c r="AA359" s="170">
        <f t="shared" si="179"/>
        <v>28512</v>
      </c>
      <c r="AB359" s="170">
        <f t="shared" si="180"/>
        <v>812934144</v>
      </c>
      <c r="AD359" s="686">
        <f t="shared" si="181"/>
        <v>17.175795854383662</v>
      </c>
      <c r="AE359" s="687">
        <f t="shared" si="182"/>
        <v>-7.0184764176565198</v>
      </c>
      <c r="AG359" s="686">
        <f t="shared" si="183"/>
        <v>44.622077628271001</v>
      </c>
      <c r="AH359" s="687">
        <f t="shared" si="184"/>
        <v>4.9271490159008664</v>
      </c>
      <c r="AJ359" s="170">
        <f t="shared" si="185"/>
        <v>0</v>
      </c>
      <c r="AK359" s="170">
        <f t="shared" si="197"/>
        <v>0</v>
      </c>
      <c r="AM359" s="170" t="str">
        <f t="shared" si="189"/>
        <v>1.57442625435582-0.818556337894188i</v>
      </c>
      <c r="AN359" s="170" t="str">
        <f t="shared" si="190"/>
        <v>4.10048592869345i</v>
      </c>
      <c r="AO359" s="170" t="str">
        <f t="shared" si="191"/>
        <v>-0.199624227988756-0.38396089676559i</v>
      </c>
      <c r="AP359" s="170" t="str">
        <f t="shared" si="192"/>
        <v>-0.0957377090593033+0.136426056315698i</v>
      </c>
      <c r="AQ359" s="170" t="str">
        <f t="shared" si="193"/>
        <v>1.0957377090593-0.136426056315698i</v>
      </c>
      <c r="AR359" s="170" t="str">
        <f t="shared" si="194"/>
        <v>0.748613589628819+0.0932069772656432i</v>
      </c>
    </row>
    <row r="360" spans="7:44">
      <c r="G360" s="688">
        <v>28676</v>
      </c>
      <c r="H360" s="676">
        <f t="shared" si="186"/>
        <v>28.675999999999998</v>
      </c>
      <c r="I360" s="677">
        <f t="shared" si="166"/>
        <v>25.968830863804886</v>
      </c>
      <c r="J360" s="678">
        <f t="shared" si="167"/>
        <v>1.5322791016328501</v>
      </c>
      <c r="K360" s="678">
        <f t="shared" si="168"/>
        <v>1.0007853111260681</v>
      </c>
      <c r="L360" s="679">
        <f t="shared" si="169"/>
        <v>3.9618115610459033E-2</v>
      </c>
      <c r="M360" s="678">
        <f t="shared" si="170"/>
        <v>1.0643672981874481</v>
      </c>
      <c r="N360" s="679">
        <f t="shared" si="171"/>
        <v>-0.3495547494331247</v>
      </c>
      <c r="O360" s="677">
        <f t="shared" si="172"/>
        <v>1189165.7029749006</v>
      </c>
      <c r="P360" s="680">
        <f t="shared" si="173"/>
        <v>1.5707954858691977</v>
      </c>
      <c r="Q360" s="689">
        <f t="shared" si="195"/>
        <v>47.97344025273415</v>
      </c>
      <c r="R360" s="690">
        <f t="shared" si="196"/>
        <v>1.5499499495707993</v>
      </c>
      <c r="S360" s="677">
        <f t="shared" si="174"/>
        <v>1.0052359784138154</v>
      </c>
      <c r="T360" s="680">
        <f t="shared" si="175"/>
        <v>0.10211007593232797</v>
      </c>
      <c r="U360" s="681">
        <f t="shared" si="187"/>
        <v>0.32344863399306456</v>
      </c>
      <c r="V360" s="682">
        <f t="shared" si="188"/>
        <v>-1.9358028956886371</v>
      </c>
      <c r="W360" s="683">
        <f t="shared" si="176"/>
        <v>-15.503445426982626</v>
      </c>
      <c r="X360" s="684">
        <f t="shared" si="177"/>
        <v>-223.50936039001687</v>
      </c>
      <c r="Y360" s="687">
        <f t="shared" si="178"/>
        <v>-43.509360390016866</v>
      </c>
      <c r="AA360" s="170">
        <f t="shared" si="179"/>
        <v>28676</v>
      </c>
      <c r="AB360" s="170">
        <f t="shared" si="180"/>
        <v>822312976</v>
      </c>
      <c r="AD360" s="686">
        <f t="shared" si="181"/>
        <v>17.1752593897472</v>
      </c>
      <c r="AE360" s="687">
        <f t="shared" si="182"/>
        <v>-7.0448376563176405</v>
      </c>
      <c r="AG360" s="686">
        <f t="shared" si="183"/>
        <v>44.658896833005272</v>
      </c>
      <c r="AH360" s="687">
        <f t="shared" si="184"/>
        <v>5.3621493040995727</v>
      </c>
      <c r="AJ360" s="170">
        <f t="shared" si="185"/>
        <v>0</v>
      </c>
      <c r="AK360" s="170">
        <f t="shared" si="197"/>
        <v>0</v>
      </c>
      <c r="AM360" s="170" t="str">
        <f t="shared" si="189"/>
        <v>1.55496193208408-0.831875744289679i</v>
      </c>
      <c r="AN360" s="170" t="str">
        <f t="shared" si="190"/>
        <v>4.12407177648757i</v>
      </c>
      <c r="AO360" s="170" t="str">
        <f t="shared" si="191"/>
        <v>-0.201712237171143-0.377045312583872i</v>
      </c>
      <c r="AP360" s="170" t="str">
        <f t="shared" si="192"/>
        <v>-0.0924936553473465+0.138645957381613i</v>
      </c>
      <c r="AQ360" s="170" t="str">
        <f t="shared" si="193"/>
        <v>1.09249365534735-0.138645957381613i</v>
      </c>
      <c r="AR360" s="170" t="str">
        <f t="shared" si="194"/>
        <v>0.750390346452486+0.09523038187416i</v>
      </c>
    </row>
    <row r="361" spans="7:44">
      <c r="G361" s="688">
        <v>28840</v>
      </c>
      <c r="H361" s="676">
        <f t="shared" si="186"/>
        <v>28.84</v>
      </c>
      <c r="I361" s="677">
        <f t="shared" si="166"/>
        <v>26.117128775929341</v>
      </c>
      <c r="J361" s="678">
        <f t="shared" si="167"/>
        <v>1.5324979168974018</v>
      </c>
      <c r="K361" s="678">
        <f t="shared" si="168"/>
        <v>1.0007943157327672</v>
      </c>
      <c r="L361" s="679">
        <f t="shared" si="169"/>
        <v>3.9844455264634406E-2</v>
      </c>
      <c r="M361" s="678">
        <f t="shared" si="170"/>
        <v>1.0650830790889032</v>
      </c>
      <c r="N361" s="679">
        <f t="shared" si="171"/>
        <v>-0.35139372787736106</v>
      </c>
      <c r="O361" s="677">
        <f t="shared" si="172"/>
        <v>1195966.6227436182</v>
      </c>
      <c r="P361" s="680">
        <f t="shared" si="173"/>
        <v>1.5707954906511608</v>
      </c>
      <c r="Q361" s="689">
        <f t="shared" si="195"/>
        <v>48.247684755415598</v>
      </c>
      <c r="R361" s="690">
        <f t="shared" si="196"/>
        <v>1.5500684594148646</v>
      </c>
      <c r="S361" s="677">
        <f t="shared" si="174"/>
        <v>1.0052958813011241</v>
      </c>
      <c r="T361" s="680">
        <f t="shared" si="175"/>
        <v>0.10268996516009413</v>
      </c>
      <c r="U361" s="681">
        <f t="shared" si="187"/>
        <v>0.32042988606712658</v>
      </c>
      <c r="V361" s="682">
        <f t="shared" si="188"/>
        <v>-1.9452824984483406</v>
      </c>
      <c r="W361" s="683">
        <f t="shared" si="176"/>
        <v>-15.62897378500991</v>
      </c>
      <c r="X361" s="684">
        <f t="shared" si="177"/>
        <v>-224.18387157350736</v>
      </c>
      <c r="Y361" s="687">
        <f t="shared" si="178"/>
        <v>-44.183871573507361</v>
      </c>
      <c r="AA361" s="170">
        <f t="shared" si="179"/>
        <v>28840</v>
      </c>
      <c r="AB361" s="170">
        <f t="shared" si="180"/>
        <v>831745600</v>
      </c>
      <c r="AD361" s="686">
        <f t="shared" si="181"/>
        <v>17.174720404855581</v>
      </c>
      <c r="AE361" s="687">
        <f t="shared" si="182"/>
        <v>-7.0712730217745587</v>
      </c>
      <c r="AG361" s="686">
        <f t="shared" si="183"/>
        <v>44.696799698901813</v>
      </c>
      <c r="AH361" s="687">
        <f t="shared" si="184"/>
        <v>5.8003559464904475</v>
      </c>
      <c r="AJ361" s="170">
        <f t="shared" si="185"/>
        <v>0</v>
      </c>
      <c r="AK361" s="170">
        <f t="shared" si="197"/>
        <v>0</v>
      </c>
      <c r="AM361" s="170" t="str">
        <f t="shared" si="189"/>
        <v>1.53518890312058-0.84473240613616i</v>
      </c>
      <c r="AN361" s="170" t="str">
        <f t="shared" si="190"/>
        <v>4.14765762428168i</v>
      </c>
      <c r="AO361" s="170" t="str">
        <f t="shared" si="191"/>
        <v>-0.203664931548552-0.370133950819158i</v>
      </c>
      <c r="AP361" s="170" t="str">
        <f t="shared" si="192"/>
        <v>-0.0891981505200973+0.140788734356027i</v>
      </c>
      <c r="AQ361" s="170" t="str">
        <f t="shared" si="193"/>
        <v>1.0891981505201-0.140788734356027i</v>
      </c>
      <c r="AR361" s="170" t="str">
        <f t="shared" si="194"/>
        <v>0.752214854652139+0.0972305886671841i</v>
      </c>
    </row>
    <row r="362" spans="7:44">
      <c r="G362" s="688">
        <v>29008</v>
      </c>
      <c r="H362" s="676">
        <f t="shared" si="186"/>
        <v>29.007999999999999</v>
      </c>
      <c r="I362" s="677">
        <f t="shared" si="166"/>
        <v>26.269044992095385</v>
      </c>
      <c r="J362" s="678">
        <f t="shared" si="167"/>
        <v>1.5327195074100985</v>
      </c>
      <c r="K362" s="678">
        <f t="shared" si="168"/>
        <v>1.0008035931243751</v>
      </c>
      <c r="L362" s="679">
        <f t="shared" si="169"/>
        <v>4.0076311162814605E-2</v>
      </c>
      <c r="M362" s="678">
        <f t="shared" si="170"/>
        <v>1.0658200477680888</v>
      </c>
      <c r="N362" s="679">
        <f t="shared" si="171"/>
        <v>-0.35327499177612642</v>
      </c>
      <c r="O362" s="677">
        <f t="shared" si="172"/>
        <v>1202933.4186042557</v>
      </c>
      <c r="P362" s="680">
        <f t="shared" si="173"/>
        <v>1.570795495493692</v>
      </c>
      <c r="Q362" s="689">
        <f t="shared" si="195"/>
        <v>48.528618842979419</v>
      </c>
      <c r="R362" s="690">
        <f t="shared" si="196"/>
        <v>1.5501884708951905</v>
      </c>
      <c r="S362" s="677">
        <f t="shared" si="174"/>
        <v>1.0053575957128049</v>
      </c>
      <c r="T362" s="680">
        <f t="shared" si="175"/>
        <v>0.10328392616951933</v>
      </c>
      <c r="U362" s="681">
        <f t="shared" si="187"/>
        <v>0.31733625550093453</v>
      </c>
      <c r="V362" s="682">
        <f t="shared" si="188"/>
        <v>-1.9550475913237459</v>
      </c>
      <c r="W362" s="683">
        <f t="shared" si="176"/>
        <v>-15.758083551040293</v>
      </c>
      <c r="X362" s="684">
        <f t="shared" si="177"/>
        <v>-224.87772608607671</v>
      </c>
      <c r="Y362" s="687">
        <f t="shared" si="178"/>
        <v>-44.877726086076706</v>
      </c>
      <c r="AA362" s="170">
        <f t="shared" si="179"/>
        <v>29008</v>
      </c>
      <c r="AB362" s="170">
        <f t="shared" si="180"/>
        <v>841464064</v>
      </c>
      <c r="AD362" s="686">
        <f t="shared" si="181"/>
        <v>17.174165653145604</v>
      </c>
      <c r="AE362" s="687">
        <f t="shared" si="182"/>
        <v>-7.0984286069817939</v>
      </c>
      <c r="AG362" s="686">
        <f t="shared" si="183"/>
        <v>44.736777585181187</v>
      </c>
      <c r="AH362" s="687">
        <f t="shared" si="184"/>
        <v>6.2526542370349656</v>
      </c>
      <c r="AJ362" s="170">
        <f t="shared" si="185"/>
        <v>0</v>
      </c>
      <c r="AK362" s="170">
        <f t="shared" si="197"/>
        <v>0</v>
      </c>
      <c r="AM362" s="170" t="str">
        <f t="shared" si="189"/>
        <v>1.51462501103025-0.857415359100892i</v>
      </c>
      <c r="AN362" s="170" t="str">
        <f t="shared" si="190"/>
        <v>4.17181873665613i</v>
      </c>
      <c r="AO362" s="170" t="str">
        <f t="shared" si="191"/>
        <v>-0.205525554494283-0.363061078786055i</v>
      </c>
      <c r="AP362" s="170" t="str">
        <f t="shared" si="192"/>
        <v>-0.0857708351717088+0.142902559850149i</v>
      </c>
      <c r="AQ362" s="170" t="str">
        <f t="shared" si="193"/>
        <v>1.08577083517171-0.142902559850149i</v>
      </c>
      <c r="AR362" s="170" t="str">
        <f t="shared" si="194"/>
        <v>0.754133610619674+0.099254483483657i</v>
      </c>
    </row>
    <row r="363" spans="7:44">
      <c r="G363" s="688">
        <v>29176</v>
      </c>
      <c r="H363" s="676">
        <f t="shared" si="186"/>
        <v>29.175999999999998</v>
      </c>
      <c r="I363" s="677">
        <f t="shared" si="166"/>
        <v>26.420962483300272</v>
      </c>
      <c r="J363" s="678">
        <f t="shared" si="167"/>
        <v>1.5329385496935961</v>
      </c>
      <c r="K363" s="678">
        <f t="shared" si="168"/>
        <v>1.0008129243153405</v>
      </c>
      <c r="L363" s="679">
        <f t="shared" si="169"/>
        <v>4.0308162749989614E-2</v>
      </c>
      <c r="M363" s="678">
        <f t="shared" si="170"/>
        <v>1.0665607833277575</v>
      </c>
      <c r="N363" s="679">
        <f t="shared" si="171"/>
        <v>-0.35515364920843084</v>
      </c>
      <c r="O363" s="677">
        <f t="shared" si="172"/>
        <v>1209900.2144648933</v>
      </c>
      <c r="P363" s="680">
        <f t="shared" si="173"/>
        <v>1.5707955002804552</v>
      </c>
      <c r="Q363" s="689">
        <f t="shared" si="195"/>
        <v>48.809553621443193</v>
      </c>
      <c r="R363" s="690">
        <f t="shared" si="196"/>
        <v>1.5503071008690352</v>
      </c>
      <c r="S363" s="677">
        <f t="shared" si="174"/>
        <v>1.0054196647606564</v>
      </c>
      <c r="T363" s="680">
        <f t="shared" si="175"/>
        <v>0.10387781405270698</v>
      </c>
      <c r="U363" s="681">
        <f t="shared" si="187"/>
        <v>0.31424079895930196</v>
      </c>
      <c r="V363" s="682">
        <f t="shared" si="188"/>
        <v>-1.9648690705321754</v>
      </c>
      <c r="W363" s="683">
        <f t="shared" si="176"/>
        <v>-15.887754909871141</v>
      </c>
      <c r="X363" s="684">
        <f t="shared" si="177"/>
        <v>-225.57459116372104</v>
      </c>
      <c r="Y363" s="687">
        <f t="shared" si="178"/>
        <v>-45.574591163721038</v>
      </c>
      <c r="AA363" s="170">
        <f t="shared" si="179"/>
        <v>29176</v>
      </c>
      <c r="AB363" s="170">
        <f t="shared" si="180"/>
        <v>851238976</v>
      </c>
      <c r="AD363" s="686">
        <f t="shared" si="181"/>
        <v>17.173608241481624</v>
      </c>
      <c r="AE363" s="687">
        <f t="shared" si="182"/>
        <v>-7.1256591536598037</v>
      </c>
      <c r="AG363" s="686">
        <f t="shared" si="183"/>
        <v>44.777948539903221</v>
      </c>
      <c r="AH363" s="687">
        <f t="shared" si="184"/>
        <v>6.7084783217916071</v>
      </c>
      <c r="AJ363" s="170">
        <f t="shared" si="185"/>
        <v>0</v>
      </c>
      <c r="AK363" s="170">
        <f t="shared" si="197"/>
        <v>0</v>
      </c>
      <c r="AM363" s="170" t="str">
        <f t="shared" si="189"/>
        <v>1.49376071639137-0.869597812180251i</v>
      </c>
      <c r="AN363" s="170" t="str">
        <f t="shared" si="190"/>
        <v>4.19597984903059i</v>
      </c>
      <c r="AO363" s="170" t="str">
        <f t="shared" si="191"/>
        <v>-0.207245469108046-0.355998067230108i</v>
      </c>
      <c r="AP363" s="170" t="str">
        <f t="shared" si="192"/>
        <v>-0.0822934527318952+0.144932968696708i</v>
      </c>
      <c r="AQ363" s="170" t="str">
        <f t="shared" si="193"/>
        <v>1.0822934527319-0.144932968696708i</v>
      </c>
      <c r="AR363" s="170" t="str">
        <f t="shared" si="194"/>
        <v>0.756102942997864+0.101251877568314i</v>
      </c>
    </row>
    <row r="364" spans="7:44">
      <c r="G364" s="688">
        <v>29344</v>
      </c>
      <c r="H364" s="676">
        <f t="shared" si="186"/>
        <v>29.344000000000001</v>
      </c>
      <c r="I364" s="677">
        <f t="shared" si="166"/>
        <v>26.572881227675754</v>
      </c>
      <c r="J364" s="678">
        <f t="shared" si="167"/>
        <v>1.5331550874318269</v>
      </c>
      <c r="K364" s="678">
        <f t="shared" si="168"/>
        <v>1.0008223093041584</v>
      </c>
      <c r="L364" s="679">
        <f t="shared" si="169"/>
        <v>4.0540010001353932E-2</v>
      </c>
      <c r="M364" s="678">
        <f t="shared" si="170"/>
        <v>1.0673052779249923</v>
      </c>
      <c r="N364" s="679">
        <f t="shared" si="171"/>
        <v>-0.35702969235407667</v>
      </c>
      <c r="O364" s="677">
        <f t="shared" si="172"/>
        <v>1216867.010325531</v>
      </c>
      <c r="P364" s="680">
        <f t="shared" si="173"/>
        <v>1.5707955050124081</v>
      </c>
      <c r="Q364" s="689">
        <f t="shared" si="195"/>
        <v>49.090489078945282</v>
      </c>
      <c r="R364" s="690">
        <f t="shared" si="196"/>
        <v>1.5504243730513207</v>
      </c>
      <c r="S364" s="677">
        <f t="shared" si="174"/>
        <v>1.0054820883790025</v>
      </c>
      <c r="T364" s="680">
        <f t="shared" si="175"/>
        <v>0.10447162840430663</v>
      </c>
      <c r="U364" s="681">
        <f t="shared" si="187"/>
        <v>0.31114295378230028</v>
      </c>
      <c r="V364" s="682">
        <f t="shared" si="188"/>
        <v>-1.9747484062508631</v>
      </c>
      <c r="W364" s="683">
        <f t="shared" si="176"/>
        <v>-16.018024856164455</v>
      </c>
      <c r="X364" s="684">
        <f t="shared" si="177"/>
        <v>-226.27455171571819</v>
      </c>
      <c r="Y364" s="687">
        <f t="shared" si="178"/>
        <v>-46.274551715718189</v>
      </c>
      <c r="AA364" s="170">
        <f t="shared" si="179"/>
        <v>29344</v>
      </c>
      <c r="AB364" s="170">
        <f t="shared" si="180"/>
        <v>861070336</v>
      </c>
      <c r="AD364" s="686">
        <f t="shared" si="181"/>
        <v>17.173048162524502</v>
      </c>
      <c r="AE364" s="687">
        <f t="shared" si="182"/>
        <v>-7.1529632798736325</v>
      </c>
      <c r="AG364" s="686">
        <f t="shared" si="183"/>
        <v>44.820342672952229</v>
      </c>
      <c r="AH364" s="687">
        <f t="shared" si="184"/>
        <v>7.167910379449232</v>
      </c>
      <c r="AJ364" s="170">
        <f t="shared" si="185"/>
        <v>0</v>
      </c>
      <c r="AK364" s="170">
        <f t="shared" si="197"/>
        <v>0</v>
      </c>
      <c r="AM364" s="170" t="str">
        <f t="shared" si="189"/>
        <v>1.47260819833856-0.881272654099276i</v>
      </c>
      <c r="AN364" s="170" t="str">
        <f t="shared" si="190"/>
        <v>4.22014096140505i</v>
      </c>
      <c r="AO364" s="170" t="str">
        <f t="shared" si="191"/>
        <v>-0.20882540705604-0.348947632746436i</v>
      </c>
      <c r="AP364" s="170" t="str">
        <f t="shared" si="192"/>
        <v>-0.0787680330564263+0.146878775683213i</v>
      </c>
      <c r="AQ364" s="170" t="str">
        <f t="shared" si="193"/>
        <v>1.07876803305643-0.146878775683213i</v>
      </c>
      <c r="AR364" s="170" t="str">
        <f t="shared" si="194"/>
        <v>0.75812307109012+0.10322162419239i</v>
      </c>
    </row>
    <row r="365" spans="7:44">
      <c r="G365" s="688">
        <v>29512</v>
      </c>
      <c r="H365" s="676">
        <f t="shared" si="186"/>
        <v>29.512</v>
      </c>
      <c r="I365" s="677">
        <f t="shared" si="166"/>
        <v>26.724801203850674</v>
      </c>
      <c r="J365" s="678">
        <f t="shared" si="167"/>
        <v>1.5333691633163722</v>
      </c>
      <c r="K365" s="678">
        <f t="shared" si="168"/>
        <v>1.0008317480893152</v>
      </c>
      <c r="L365" s="679">
        <f t="shared" si="169"/>
        <v>4.0771852892104846E-2</v>
      </c>
      <c r="M365" s="678">
        <f t="shared" si="170"/>
        <v>1.0680535236989983</v>
      </c>
      <c r="N365" s="679">
        <f t="shared" si="171"/>
        <v>-0.3589031134882239</v>
      </c>
      <c r="O365" s="677">
        <f t="shared" si="172"/>
        <v>1223833.8061861687</v>
      </c>
      <c r="P365" s="680">
        <f t="shared" si="173"/>
        <v>1.5707955096904866</v>
      </c>
      <c r="Q365" s="689">
        <f t="shared" si="195"/>
        <v>49.371425203893999</v>
      </c>
      <c r="R365" s="690">
        <f t="shared" si="196"/>
        <v>1.5505403106173448</v>
      </c>
      <c r="S365" s="677">
        <f t="shared" si="174"/>
        <v>1.005544866501809</v>
      </c>
      <c r="T365" s="680">
        <f t="shared" si="175"/>
        <v>0.10506536881927553</v>
      </c>
      <c r="U365" s="681">
        <f t="shared" si="187"/>
        <v>0.30804215545018959</v>
      </c>
      <c r="V365" s="682">
        <f t="shared" si="188"/>
        <v>-1.9846870748222409</v>
      </c>
      <c r="W365" s="683">
        <f t="shared" si="176"/>
        <v>-16.148931563842389</v>
      </c>
      <c r="X365" s="684">
        <f t="shared" si="177"/>
        <v>-226.97769298412601</v>
      </c>
      <c r="Y365" s="687">
        <f t="shared" si="178"/>
        <v>-46.977692984126008</v>
      </c>
      <c r="AA365" s="170">
        <f t="shared" si="179"/>
        <v>29512</v>
      </c>
      <c r="AB365" s="170">
        <f t="shared" si="180"/>
        <v>870958144</v>
      </c>
      <c r="AD365" s="686">
        <f t="shared" si="181"/>
        <v>17.172485409181441</v>
      </c>
      <c r="AE365" s="687">
        <f t="shared" si="182"/>
        <v>-7.1803396346229453</v>
      </c>
      <c r="AG365" s="686">
        <f t="shared" si="183"/>
        <v>44.863991386430222</v>
      </c>
      <c r="AH365" s="687">
        <f t="shared" si="184"/>
        <v>7.6310329933306091</v>
      </c>
      <c r="AJ365" s="170">
        <f t="shared" si="185"/>
        <v>0</v>
      </c>
      <c r="AK365" s="170">
        <f t="shared" si="197"/>
        <v>0</v>
      </c>
      <c r="AM365" s="170" t="str">
        <f t="shared" si="189"/>
        <v>1.45117980425136-0.892433069891354i</v>
      </c>
      <c r="AN365" s="170" t="str">
        <f t="shared" si="190"/>
        <v>4.2443020737795i</v>
      </c>
      <c r="AO365" s="170" t="str">
        <f t="shared" si="191"/>
        <v>-0.210266153157344-0.341912469712388i</v>
      </c>
      <c r="AP365" s="170" t="str">
        <f t="shared" si="192"/>
        <v>-0.075196634041893+0.148738844981892i</v>
      </c>
      <c r="AQ365" s="170" t="str">
        <f t="shared" si="193"/>
        <v>1.07519663404189-0.148738844981892i</v>
      </c>
      <c r="AR365" s="170" t="str">
        <f t="shared" si="194"/>
        <v>0.760194200411659+0.10516253841505i</v>
      </c>
    </row>
    <row r="366" spans="7:44">
      <c r="G366" s="688">
        <v>29684</v>
      </c>
      <c r="H366" s="676">
        <f t="shared" si="186"/>
        <v>29.684000000000001</v>
      </c>
      <c r="I366" s="677">
        <f t="shared" si="166"/>
        <v>26.880339576647998</v>
      </c>
      <c r="J366" s="678">
        <f t="shared" si="167"/>
        <v>1.5335858293375044</v>
      </c>
      <c r="K366" s="678">
        <f t="shared" si="168"/>
        <v>1.000841467338748</v>
      </c>
      <c r="L366" s="679">
        <f t="shared" si="169"/>
        <v>4.1009211308201038E-2</v>
      </c>
      <c r="M366" s="678">
        <f t="shared" si="170"/>
        <v>1.0688234628323845</v>
      </c>
      <c r="N366" s="679">
        <f t="shared" si="171"/>
        <v>-0.36081841552306859</v>
      </c>
      <c r="O366" s="677">
        <f t="shared" si="172"/>
        <v>1230966.4781387264</v>
      </c>
      <c r="P366" s="680">
        <f t="shared" si="173"/>
        <v>1.5707955144250898</v>
      </c>
      <c r="Q366" s="689">
        <f t="shared" si="195"/>
        <v>49.659050963843086</v>
      </c>
      <c r="R366" s="690">
        <f t="shared" si="196"/>
        <v>1.5506576495915572</v>
      </c>
      <c r="S366" s="677">
        <f t="shared" si="174"/>
        <v>1.0056095065383106</v>
      </c>
      <c r="T366" s="680">
        <f t="shared" si="175"/>
        <v>0.10567316888998086</v>
      </c>
      <c r="U366" s="681">
        <f t="shared" si="187"/>
        <v>0.30486387786348956</v>
      </c>
      <c r="V366" s="682">
        <f t="shared" si="188"/>
        <v>-1.994925394712955</v>
      </c>
      <c r="W366" s="683">
        <f t="shared" si="176"/>
        <v>-16.283655940738498</v>
      </c>
      <c r="X366" s="684">
        <f t="shared" si="177"/>
        <v>-227.7009602623024</v>
      </c>
      <c r="Y366" s="687">
        <f t="shared" si="178"/>
        <v>-47.700960262302402</v>
      </c>
      <c r="AA366" s="170">
        <f t="shared" si="179"/>
        <v>29684</v>
      </c>
      <c r="AB366" s="170">
        <f t="shared" si="180"/>
        <v>881139856</v>
      </c>
      <c r="AD366" s="686">
        <f t="shared" si="181"/>
        <v>17.171906479135242</v>
      </c>
      <c r="AE366" s="687">
        <f t="shared" si="182"/>
        <v>-7.2084412567722342</v>
      </c>
      <c r="AG366" s="686">
        <f t="shared" si="183"/>
        <v>44.910013301667576</v>
      </c>
      <c r="AH366" s="687">
        <f t="shared" si="184"/>
        <v>8.1090923767296648</v>
      </c>
      <c r="AJ366" s="170">
        <f t="shared" si="185"/>
        <v>0</v>
      </c>
      <c r="AK366" s="170">
        <f t="shared" si="197"/>
        <v>0</v>
      </c>
      <c r="AM366" s="170" t="str">
        <f t="shared" si="189"/>
        <v>1.42896846586169-0.903319464694672i</v>
      </c>
      <c r="AN366" s="170" t="str">
        <f t="shared" si="190"/>
        <v>4.2690384507343i</v>
      </c>
      <c r="AO366" s="170" t="str">
        <f t="shared" si="191"/>
        <v>-0.21159787505294-0.334728413049524i</v>
      </c>
      <c r="AP366" s="170" t="str">
        <f t="shared" si="192"/>
        <v>-0.0714947443102815+0.150553244115779i</v>
      </c>
      <c r="AQ366" s="170" t="str">
        <f t="shared" si="193"/>
        <v>1.07149474431028-0.150553244115779i</v>
      </c>
      <c r="AR366" s="170" t="str">
        <f t="shared" si="194"/>
        <v>0.762367677699304+0.107118516162694i</v>
      </c>
    </row>
    <row r="367" spans="7:44">
      <c r="G367" s="688">
        <v>29856</v>
      </c>
      <c r="H367" s="676">
        <f t="shared" si="186"/>
        <v>29.856000000000002</v>
      </c>
      <c r="I367" s="677">
        <f t="shared" si="166"/>
        <v>27.035879196801151</v>
      </c>
      <c r="J367" s="678">
        <f t="shared" si="167"/>
        <v>1.5338000023739797</v>
      </c>
      <c r="K367" s="678">
        <f t="shared" si="168"/>
        <v>1.0008512429735088</v>
      </c>
      <c r="L367" s="679">
        <f t="shared" si="169"/>
        <v>4.1246565100957887E-2</v>
      </c>
      <c r="M367" s="678">
        <f t="shared" si="170"/>
        <v>1.0695973171652418</v>
      </c>
      <c r="N367" s="679">
        <f t="shared" si="171"/>
        <v>-0.36273095312093534</v>
      </c>
      <c r="O367" s="677">
        <f t="shared" si="172"/>
        <v>1238099.1500912837</v>
      </c>
      <c r="P367" s="680">
        <f t="shared" si="173"/>
        <v>1.570795519105141</v>
      </c>
      <c r="Q367" s="689">
        <f t="shared" si="195"/>
        <v>49.946677399644877</v>
      </c>
      <c r="R367" s="690">
        <f t="shared" si="196"/>
        <v>1.5507736371344756</v>
      </c>
      <c r="S367" s="677">
        <f t="shared" si="174"/>
        <v>1.0056745180201716</v>
      </c>
      <c r="T367" s="680">
        <f t="shared" si="175"/>
        <v>0.10628089060311591</v>
      </c>
      <c r="U367" s="681">
        <f t="shared" si="187"/>
        <v>0.30168130205800703</v>
      </c>
      <c r="V367" s="682">
        <f t="shared" si="188"/>
        <v>-2.0052290561743709</v>
      </c>
      <c r="W367" s="683">
        <f t="shared" si="176"/>
        <v>-16.419132772015988</v>
      </c>
      <c r="X367" s="684">
        <f t="shared" si="177"/>
        <v>-228.42774331216356</v>
      </c>
      <c r="Y367" s="687">
        <f t="shared" si="178"/>
        <v>-48.427743312163557</v>
      </c>
      <c r="AA367" s="170">
        <f t="shared" si="179"/>
        <v>29856</v>
      </c>
      <c r="AB367" s="170">
        <f t="shared" si="180"/>
        <v>891380736</v>
      </c>
      <c r="AD367" s="686">
        <f t="shared" si="181"/>
        <v>17.171324731545525</v>
      </c>
      <c r="AE367" s="687">
        <f t="shared" si="182"/>
        <v>-7.2366158175473938</v>
      </c>
      <c r="AG367" s="686">
        <f t="shared" si="183"/>
        <v>44.957421247137617</v>
      </c>
      <c r="AH367" s="687">
        <f t="shared" si="184"/>
        <v>8.5911965195342734</v>
      </c>
      <c r="AJ367" s="170">
        <f t="shared" si="185"/>
        <v>0</v>
      </c>
      <c r="AK367" s="170">
        <f t="shared" si="197"/>
        <v>0</v>
      </c>
      <c r="AM367" s="170" t="str">
        <f t="shared" si="189"/>
        <v>1.40649466005126-0.913653157029413i</v>
      </c>
      <c r="AN367" s="170" t="str">
        <f t="shared" si="190"/>
        <v>4.2937748276891i</v>
      </c>
      <c r="AO367" s="170" t="str">
        <f t="shared" si="191"/>
        <v>-0.212785531075727-0.327566003457203i</v>
      </c>
      <c r="AP367" s="170" t="str">
        <f t="shared" si="192"/>
        <v>-0.0677491100085427+0.152275526171569i</v>
      </c>
      <c r="AQ367" s="170" t="str">
        <f t="shared" si="193"/>
        <v>1.06774911000854-0.152275526171569i</v>
      </c>
      <c r="AR367" s="170" t="str">
        <f t="shared" si="194"/>
        <v>0.764594997509752+0.109041632030034i</v>
      </c>
    </row>
    <row r="368" spans="7:44">
      <c r="G368" s="688">
        <v>30028</v>
      </c>
      <c r="H368" s="676">
        <f t="shared" si="186"/>
        <v>30.027999999999999</v>
      </c>
      <c r="I368" s="677">
        <f t="shared" si="166"/>
        <v>27.191420042904863</v>
      </c>
      <c r="J368" s="678">
        <f t="shared" si="167"/>
        <v>1.5340117251872247</v>
      </c>
      <c r="K368" s="678">
        <f t="shared" si="168"/>
        <v>1.0008610749919455</v>
      </c>
      <c r="L368" s="679">
        <f t="shared" si="169"/>
        <v>4.1483914243767746E-2</v>
      </c>
      <c r="M368" s="678">
        <f t="shared" si="170"/>
        <v>1.0703750782057972</v>
      </c>
      <c r="N368" s="679">
        <f t="shared" si="171"/>
        <v>-0.36464071830153466</v>
      </c>
      <c r="O368" s="677">
        <f t="shared" si="172"/>
        <v>1245231.8220438415</v>
      </c>
      <c r="P368" s="680">
        <f t="shared" si="173"/>
        <v>1.5707955237315776</v>
      </c>
      <c r="Q368" s="689">
        <f t="shared" si="195"/>
        <v>50.234304499690182</v>
      </c>
      <c r="R368" s="690">
        <f t="shared" si="196"/>
        <v>1.5508882964566664</v>
      </c>
      <c r="S368" s="677">
        <f t="shared" si="174"/>
        <v>1.0057399008753609</v>
      </c>
      <c r="T368" s="680">
        <f t="shared" si="175"/>
        <v>0.10688853352502513</v>
      </c>
      <c r="U368" s="681">
        <f t="shared" si="187"/>
        <v>0.2984938173583303</v>
      </c>
      <c r="V368" s="682">
        <f t="shared" si="188"/>
        <v>-2.0155996605687765</v>
      </c>
      <c r="W368" s="683">
        <f t="shared" si="176"/>
        <v>-16.555407245034065</v>
      </c>
      <c r="X368" s="684">
        <f t="shared" si="177"/>
        <v>-229.1581345246866</v>
      </c>
      <c r="Y368" s="687">
        <f t="shared" si="178"/>
        <v>-49.158134524686602</v>
      </c>
      <c r="AA368" s="170">
        <f t="shared" si="179"/>
        <v>30028</v>
      </c>
      <c r="AB368" s="170">
        <f t="shared" si="180"/>
        <v>901680784</v>
      </c>
      <c r="AD368" s="686">
        <f t="shared" si="181"/>
        <v>17.170740159551091</v>
      </c>
      <c r="AE368" s="687">
        <f t="shared" si="182"/>
        <v>-7.2648619622879957</v>
      </c>
      <c r="AG368" s="686">
        <f t="shared" si="183"/>
        <v>45.006253494650096</v>
      </c>
      <c r="AH368" s="687">
        <f t="shared" si="184"/>
        <v>9.0774351787082477</v>
      </c>
      <c r="AJ368" s="170">
        <f t="shared" si="185"/>
        <v>0</v>
      </c>
      <c r="AK368" s="170">
        <f t="shared" si="197"/>
        <v>0</v>
      </c>
      <c r="AM368" s="170" t="str">
        <f t="shared" si="189"/>
        <v>1.38377213757871-0.923427824152093i</v>
      </c>
      <c r="AN368" s="170" t="str">
        <f t="shared" si="190"/>
        <v>4.31851120464391i</v>
      </c>
      <c r="AO368" s="170" t="str">
        <f t="shared" si="191"/>
        <v>-0.213830132745536-0.320428053096324i</v>
      </c>
      <c r="AP368" s="170" t="str">
        <f t="shared" si="192"/>
        <v>-0.0639620229297848+0.153904637358682i</v>
      </c>
      <c r="AQ368" s="170" t="str">
        <f t="shared" si="193"/>
        <v>1.06396202292978-0.153904637358682i</v>
      </c>
      <c r="AR368" s="170" t="str">
        <f t="shared" si="194"/>
        <v>0.76687632309095+0.110930484228441i</v>
      </c>
    </row>
    <row r="369" spans="7:44">
      <c r="G369" s="688">
        <v>30200</v>
      </c>
      <c r="H369" s="676">
        <f t="shared" si="186"/>
        <v>30.2</v>
      </c>
      <c r="I369" s="677">
        <f t="shared" si="166"/>
        <v>27.346962094040681</v>
      </c>
      <c r="J369" s="678">
        <f t="shared" si="167"/>
        <v>1.5342210395666958</v>
      </c>
      <c r="K369" s="678">
        <f t="shared" si="168"/>
        <v>1.0008709633923967</v>
      </c>
      <c r="L369" s="679">
        <f t="shared" si="169"/>
        <v>4.1721258710026105E-2</v>
      </c>
      <c r="M369" s="678">
        <f t="shared" si="170"/>
        <v>1.0711567374441338</v>
      </c>
      <c r="N369" s="679">
        <f t="shared" si="171"/>
        <v>-0.36654770318858854</v>
      </c>
      <c r="O369" s="677">
        <f t="shared" si="172"/>
        <v>1252364.4939963995</v>
      </c>
      <c r="P369" s="680">
        <f t="shared" si="173"/>
        <v>1.5707955283053157</v>
      </c>
      <c r="Q369" s="689">
        <f t="shared" si="195"/>
        <v>50.521932252634159</v>
      </c>
      <c r="R369" s="690">
        <f t="shared" si="196"/>
        <v>1.5510016502402746</v>
      </c>
      <c r="S369" s="677">
        <f t="shared" si="174"/>
        <v>1.0058056550314542</v>
      </c>
      <c r="T369" s="680">
        <f t="shared" si="175"/>
        <v>0.10749609722239817</v>
      </c>
      <c r="U369" s="681">
        <f t="shared" si="187"/>
        <v>0.29530081194073771</v>
      </c>
      <c r="V369" s="682">
        <f t="shared" si="188"/>
        <v>-2.026038813757348</v>
      </c>
      <c r="W369" s="683">
        <f t="shared" si="176"/>
        <v>-16.692526110875498</v>
      </c>
      <c r="X369" s="684">
        <f t="shared" si="177"/>
        <v>-229.89222652918042</v>
      </c>
      <c r="Y369" s="687">
        <f t="shared" si="178"/>
        <v>-49.892226529180419</v>
      </c>
      <c r="AA369" s="170">
        <f t="shared" si="179"/>
        <v>30200</v>
      </c>
      <c r="AB369" s="170">
        <f t="shared" si="180"/>
        <v>912040000</v>
      </c>
      <c r="AD369" s="686">
        <f t="shared" si="181"/>
        <v>17.170152756527308</v>
      </c>
      <c r="AE369" s="687">
        <f t="shared" si="182"/>
        <v>-7.2931783666284868</v>
      </c>
      <c r="AG369" s="686">
        <f t="shared" si="183"/>
        <v>45.056549993014684</v>
      </c>
      <c r="AH369" s="687">
        <f t="shared" si="184"/>
        <v>9.5678984187132432</v>
      </c>
      <c r="AJ369" s="170">
        <f t="shared" si="185"/>
        <v>0</v>
      </c>
      <c r="AK369" s="170">
        <f t="shared" si="197"/>
        <v>0</v>
      </c>
      <c r="AM369" s="170" t="str">
        <f t="shared" si="189"/>
        <v>1.36081480138179-0.932637485362786i</v>
      </c>
      <c r="AN369" s="170" t="str">
        <f t="shared" si="190"/>
        <v>4.34324758159871i</v>
      </c>
      <c r="AO369" s="170" t="str">
        <f t="shared" si="191"/>
        <v>-0.214732747291254-0.313317345100757i</v>
      </c>
      <c r="AP369" s="170" t="str">
        <f t="shared" si="192"/>
        <v>-0.0601358002302982+0.155439580893798i</v>
      </c>
      <c r="AQ369" s="170" t="str">
        <f t="shared" si="193"/>
        <v>1.0601358002303-0.155439580893798i</v>
      </c>
      <c r="AR369" s="170" t="str">
        <f t="shared" si="194"/>
        <v>0.769211793787912+0.112783625285539i</v>
      </c>
    </row>
    <row r="370" spans="7:44">
      <c r="G370" s="688">
        <v>30375.75</v>
      </c>
      <c r="H370" s="676">
        <f t="shared" si="186"/>
        <v>30.37575</v>
      </c>
      <c r="I370" s="677">
        <f t="shared" si="166"/>
        <v>27.505896547074471</v>
      </c>
      <c r="J370" s="678">
        <f t="shared" si="167"/>
        <v>1.5344324722078371</v>
      </c>
      <c r="K370" s="678">
        <f t="shared" si="168"/>
        <v>1.0008811256205383</v>
      </c>
      <c r="L370" s="679">
        <f t="shared" si="169"/>
        <v>4.1963772979332931E-2</v>
      </c>
      <c r="M370" s="678">
        <f t="shared" si="170"/>
        <v>1.0719594564078998</v>
      </c>
      <c r="N370" s="679">
        <f t="shared" si="171"/>
        <v>-0.36849338481512184</v>
      </c>
      <c r="O370" s="677">
        <f t="shared" si="172"/>
        <v>1259652.6747851321</v>
      </c>
      <c r="P370" s="680">
        <f t="shared" si="173"/>
        <v>1.570795532925269</v>
      </c>
      <c r="Q370" s="689">
        <f t="shared" si="195"/>
        <v>50.815831622364939</v>
      </c>
      <c r="R370" s="690">
        <f t="shared" si="196"/>
        <v>1.5511161499179502</v>
      </c>
      <c r="S370" s="677">
        <f t="shared" si="174"/>
        <v>1.0058732262372898</v>
      </c>
      <c r="T370" s="680">
        <f t="shared" si="175"/>
        <v>0.10811682493655458</v>
      </c>
      <c r="U370" s="681">
        <f t="shared" si="187"/>
        <v>0.29203185154386763</v>
      </c>
      <c r="V370" s="682">
        <f t="shared" si="188"/>
        <v>-2.0367780463698715</v>
      </c>
      <c r="W370" s="683">
        <f t="shared" si="176"/>
        <v>-16.833557054000295</v>
      </c>
      <c r="X370" s="684">
        <f t="shared" si="177"/>
        <v>-230.64624272797639</v>
      </c>
      <c r="Y370" s="687">
        <f t="shared" si="178"/>
        <v>-50.646242727976386</v>
      </c>
      <c r="AA370" s="170">
        <f t="shared" si="179"/>
        <v>30375.75</v>
      </c>
      <c r="AB370" s="170">
        <f t="shared" si="180"/>
        <v>922686188.0625</v>
      </c>
      <c r="AD370" s="686">
        <f t="shared" si="181"/>
        <v>17.169549615811505</v>
      </c>
      <c r="AE370" s="687">
        <f t="shared" si="182"/>
        <v>-7.3221833613269949</v>
      </c>
      <c r="AG370" s="686">
        <f t="shared" si="183"/>
        <v>45.109498954421213</v>
      </c>
      <c r="AH370" s="687">
        <f t="shared" si="184"/>
        <v>10.073512623835617</v>
      </c>
      <c r="AJ370" s="170">
        <f t="shared" si="185"/>
        <v>0</v>
      </c>
      <c r="AK370" s="170">
        <f t="shared" si="197"/>
        <v>0</v>
      </c>
      <c r="AM370" s="170" t="str">
        <f t="shared" si="189"/>
        <v>1.33712900864908-0.941458459799097i</v>
      </c>
      <c r="AN370" s="170" t="str">
        <f t="shared" si="190"/>
        <v>4.36852326909758i</v>
      </c>
      <c r="AO370" s="170" t="str">
        <f t="shared" si="191"/>
        <v>-0.215509544485859-0.30608261105252i</v>
      </c>
      <c r="AP370" s="170" t="str">
        <f t="shared" si="192"/>
        <v>-0.0561881681081802+0.156909743299849i</v>
      </c>
      <c r="AQ370" s="170" t="str">
        <f t="shared" si="193"/>
        <v>1.05618816810818-0.156909743299849i</v>
      </c>
      <c r="AR370" s="170" t="str">
        <f t="shared" si="194"/>
        <v>0.771654229226978+0.114638726961999i</v>
      </c>
    </row>
    <row r="371" spans="7:44">
      <c r="G371" s="688">
        <v>30551.5</v>
      </c>
      <c r="H371" s="676">
        <f t="shared" si="186"/>
        <v>30.551500000000001</v>
      </c>
      <c r="I371" s="677">
        <f t="shared" si="166"/>
        <v>27.664832215596977</v>
      </c>
      <c r="J371" s="678">
        <f t="shared" si="167"/>
        <v>1.5346414754787294</v>
      </c>
      <c r="K371" s="678">
        <f t="shared" si="168"/>
        <v>1.0008913467124754</v>
      </c>
      <c r="L371" s="679">
        <f t="shared" si="169"/>
        <v>4.2206282309795909E-2</v>
      </c>
      <c r="M371" s="678">
        <f t="shared" si="170"/>
        <v>1.0727662273818637</v>
      </c>
      <c r="N371" s="679">
        <f t="shared" si="171"/>
        <v>-0.37043614729779817</v>
      </c>
      <c r="O371" s="677">
        <f t="shared" si="172"/>
        <v>1266940.8555738647</v>
      </c>
      <c r="P371" s="680">
        <f t="shared" si="173"/>
        <v>1.5707955374920688</v>
      </c>
      <c r="Q371" s="689">
        <f t="shared" si="195"/>
        <v>51.109731650638395</v>
      </c>
      <c r="R371" s="690">
        <f t="shared" si="196"/>
        <v>1.5512293327653524</v>
      </c>
      <c r="S371" s="677">
        <f t="shared" si="174"/>
        <v>1.0059411849568374</v>
      </c>
      <c r="T371" s="680">
        <f t="shared" si="175"/>
        <v>0.10873746902038266</v>
      </c>
      <c r="U371" s="681">
        <f t="shared" si="187"/>
        <v>0.28875583320983017</v>
      </c>
      <c r="V371" s="682">
        <f t="shared" si="188"/>
        <v>-2.0475922503361539</v>
      </c>
      <c r="W371" s="683">
        <f t="shared" si="176"/>
        <v>-16.975573627753558</v>
      </c>
      <c r="X371" s="684">
        <f t="shared" si="177"/>
        <v>-231.40431895872851</v>
      </c>
      <c r="Y371" s="687">
        <f t="shared" si="178"/>
        <v>-51.40431895872851</v>
      </c>
      <c r="AA371" s="170">
        <f t="shared" si="179"/>
        <v>30551.5</v>
      </c>
      <c r="AB371" s="170">
        <f t="shared" si="180"/>
        <v>933394152.25</v>
      </c>
      <c r="AD371" s="686">
        <f t="shared" si="181"/>
        <v>17.168943506012788</v>
      </c>
      <c r="AE371" s="687">
        <f t="shared" si="182"/>
        <v>-7.3512590101322743</v>
      </c>
      <c r="AG371" s="686">
        <f t="shared" si="183"/>
        <v>45.164066719614283</v>
      </c>
      <c r="AH371" s="687">
        <f t="shared" si="184"/>
        <v>10.583728535428039</v>
      </c>
      <c r="AJ371" s="170">
        <f t="shared" si="185"/>
        <v>0</v>
      </c>
      <c r="AK371" s="170">
        <f t="shared" si="197"/>
        <v>0</v>
      </c>
      <c r="AM371" s="170" t="str">
        <f t="shared" si="189"/>
        <v>1.31322784901644-0.949678005747493i</v>
      </c>
      <c r="AN371" s="170" t="str">
        <f t="shared" si="190"/>
        <v>4.39379895659645i</v>
      </c>
      <c r="AO371" s="170" t="str">
        <f t="shared" si="191"/>
        <v>-0.216140523298576-0.298882097699277i</v>
      </c>
      <c r="AP371" s="170" t="str">
        <f t="shared" si="192"/>
        <v>-0.0522046415027397+0.158279667624582i</v>
      </c>
      <c r="AQ371" s="170" t="str">
        <f t="shared" si="193"/>
        <v>1.05220464150274-0.158279667624582i</v>
      </c>
      <c r="AR371" s="170" t="str">
        <f t="shared" si="194"/>
        <v>0.774153403383201+0.11645333858529i</v>
      </c>
    </row>
    <row r="372" spans="7:44">
      <c r="G372" s="688">
        <v>30727.25</v>
      </c>
      <c r="H372" s="676">
        <f t="shared" si="186"/>
        <v>30.727250000000002</v>
      </c>
      <c r="I372" s="677">
        <f t="shared" si="166"/>
        <v>27.823769078778756</v>
      </c>
      <c r="J372" s="678">
        <f t="shared" si="167"/>
        <v>1.5348480909926066</v>
      </c>
      <c r="K372" s="678">
        <f t="shared" si="168"/>
        <v>1.0009016266664041</v>
      </c>
      <c r="L372" s="679">
        <f t="shared" si="169"/>
        <v>4.2448786673042464E-2</v>
      </c>
      <c r="M372" s="678">
        <f t="shared" si="170"/>
        <v>1.0735770412310193</v>
      </c>
      <c r="N372" s="679">
        <f t="shared" si="171"/>
        <v>-0.3723759825689833</v>
      </c>
      <c r="O372" s="677">
        <f t="shared" si="172"/>
        <v>1274229.0363625975</v>
      </c>
      <c r="P372" s="680">
        <f t="shared" si="173"/>
        <v>1.5707955420066275</v>
      </c>
      <c r="Q372" s="689">
        <f t="shared" si="195"/>
        <v>51.403632326158863</v>
      </c>
      <c r="R372" s="690">
        <f t="shared" si="196"/>
        <v>1.551341221366519</v>
      </c>
      <c r="S372" s="677">
        <f t="shared" si="174"/>
        <v>1.0060095311115638</v>
      </c>
      <c r="T372" s="680">
        <f t="shared" si="175"/>
        <v>0.10935802901273639</v>
      </c>
      <c r="U372" s="681">
        <f t="shared" si="187"/>
        <v>0.28547210259685518</v>
      </c>
      <c r="V372" s="682">
        <f t="shared" si="188"/>
        <v>-2.0584831481929031</v>
      </c>
      <c r="W372" s="683">
        <f t="shared" si="176"/>
        <v>-17.118631291061416</v>
      </c>
      <c r="X372" s="684">
        <f t="shared" si="177"/>
        <v>-232.16655451882764</v>
      </c>
      <c r="Y372" s="687">
        <f t="shared" si="178"/>
        <v>-52.166554518827638</v>
      </c>
      <c r="AA372" s="170">
        <f t="shared" si="179"/>
        <v>30727.25</v>
      </c>
      <c r="AB372" s="170">
        <f t="shared" si="180"/>
        <v>944163892.5625</v>
      </c>
      <c r="AD372" s="686">
        <f t="shared" si="181"/>
        <v>17.168334420779509</v>
      </c>
      <c r="AE372" s="687">
        <f t="shared" si="182"/>
        <v>-7.3804039927048164</v>
      </c>
      <c r="AG372" s="686">
        <f t="shared" si="183"/>
        <v>45.220301840729306</v>
      </c>
      <c r="AH372" s="687">
        <f t="shared" si="184"/>
        <v>11.098642923927146</v>
      </c>
      <c r="AJ372" s="170">
        <f t="shared" si="185"/>
        <v>0</v>
      </c>
      <c r="AK372" s="170">
        <f t="shared" si="197"/>
        <v>0</v>
      </c>
      <c r="AM372" s="170" t="str">
        <f t="shared" si="189"/>
        <v>1.28912659117484-0.957290872345297i</v>
      </c>
      <c r="AN372" s="170" t="str">
        <f t="shared" si="190"/>
        <v>4.41907464409533i</v>
      </c>
      <c r="AO372" s="170" t="str">
        <f t="shared" si="191"/>
        <v>-0.216626997605575-0.29171867302521i</v>
      </c>
      <c r="AP372" s="170" t="str">
        <f t="shared" si="192"/>
        <v>-0.0481877651958058+0.159548478724216i</v>
      </c>
      <c r="AQ372" s="170" t="str">
        <f t="shared" si="193"/>
        <v>1.04818776519581-0.159548478724216i</v>
      </c>
      <c r="AR372" s="170" t="str">
        <f t="shared" si="194"/>
        <v>0.776709370566151+0.11822576316899i</v>
      </c>
    </row>
    <row r="373" spans="7:44">
      <c r="G373" s="688">
        <v>30903</v>
      </c>
      <c r="H373" s="676">
        <f t="shared" si="186"/>
        <v>30.902999999999999</v>
      </c>
      <c r="I373" s="677">
        <f t="shared" si="166"/>
        <v>27.982707116263445</v>
      </c>
      <c r="J373" s="678">
        <f t="shared" si="167"/>
        <v>1.5350523594180983</v>
      </c>
      <c r="K373" s="678">
        <f t="shared" si="168"/>
        <v>1.0009119654805112</v>
      </c>
      <c r="L373" s="679">
        <f t="shared" si="169"/>
        <v>4.2691286040703491E-2</v>
      </c>
      <c r="M373" s="678">
        <f t="shared" si="170"/>
        <v>1.0743918888022284</v>
      </c>
      <c r="N373" s="679">
        <f t="shared" si="171"/>
        <v>-0.37431288267345542</v>
      </c>
      <c r="O373" s="677">
        <f t="shared" si="172"/>
        <v>1281517.2171513303</v>
      </c>
      <c r="P373" s="680">
        <f t="shared" si="173"/>
        <v>1.5707955464698362</v>
      </c>
      <c r="Q373" s="689">
        <f t="shared" si="195"/>
        <v>51.697533637887567</v>
      </c>
      <c r="R373" s="690">
        <f t="shared" si="196"/>
        <v>1.5514518377920561</v>
      </c>
      <c r="S373" s="677">
        <f t="shared" si="174"/>
        <v>1.0060782646225102</v>
      </c>
      <c r="T373" s="680">
        <f t="shared" si="175"/>
        <v>0.1099785044528538</v>
      </c>
      <c r="U373" s="681">
        <f t="shared" si="187"/>
        <v>0.28218000565447843</v>
      </c>
      <c r="V373" s="682">
        <f t="shared" si="188"/>
        <v>-2.0694524635560798</v>
      </c>
      <c r="W373" s="683">
        <f t="shared" si="176"/>
        <v>-17.262787578199678</v>
      </c>
      <c r="X373" s="684">
        <f t="shared" si="177"/>
        <v>-232.93304874925823</v>
      </c>
      <c r="Y373" s="687">
        <f t="shared" si="178"/>
        <v>-52.933048749258234</v>
      </c>
      <c r="AA373" s="170">
        <f t="shared" si="179"/>
        <v>30903</v>
      </c>
      <c r="AB373" s="170">
        <f t="shared" si="180"/>
        <v>954995409</v>
      </c>
      <c r="AD373" s="686">
        <f t="shared" si="181"/>
        <v>17.167722353985521</v>
      </c>
      <c r="AE373" s="687">
        <f t="shared" si="182"/>
        <v>-7.4096170181433649</v>
      </c>
      <c r="AG373" s="686">
        <f t="shared" si="183"/>
        <v>45.27825505797022</v>
      </c>
      <c r="AH373" s="687">
        <f t="shared" si="184"/>
        <v>11.618352669287448</v>
      </c>
      <c r="AJ373" s="170">
        <f t="shared" si="185"/>
        <v>0</v>
      </c>
      <c r="AK373" s="170">
        <f t="shared" si="197"/>
        <v>0</v>
      </c>
      <c r="AM373" s="170" t="str">
        <f t="shared" si="189"/>
        <v>1.26484063164329-0.964292196292589i</v>
      </c>
      <c r="AN373" s="170" t="str">
        <f t="shared" si="190"/>
        <v>4.4443503315942i</v>
      </c>
      <c r="AO373" s="170" t="str">
        <f t="shared" si="191"/>
        <v>-0.216970338597654-0.284595168533797i</v>
      </c>
      <c r="AP373" s="170" t="str">
        <f t="shared" si="192"/>
        <v>-0.0441401052738813+0.160715366048765i</v>
      </c>
      <c r="AQ373" s="170" t="str">
        <f t="shared" si="193"/>
        <v>1.04414010527388-0.160715366048765i</v>
      </c>
      <c r="AR373" s="170" t="str">
        <f t="shared" si="194"/>
        <v>0.779322147049086+0.119954250871391i</v>
      </c>
    </row>
    <row r="374" spans="7:44">
      <c r="G374" s="688">
        <v>31083</v>
      </c>
      <c r="H374" s="676">
        <f t="shared" si="186"/>
        <v>31.082999999999998</v>
      </c>
      <c r="I374" s="677">
        <f t="shared" si="166"/>
        <v>28.145489802033509</v>
      </c>
      <c r="J374" s="678">
        <f t="shared" si="167"/>
        <v>1.5352591760981316</v>
      </c>
      <c r="K374" s="678">
        <f t="shared" si="168"/>
        <v>1.0009226153191397</v>
      </c>
      <c r="L374" s="679">
        <f t="shared" si="169"/>
        <v>4.2939644338809237E-2</v>
      </c>
      <c r="M374" s="678">
        <f t="shared" si="170"/>
        <v>1.075230612714188</v>
      </c>
      <c r="N374" s="679">
        <f t="shared" si="171"/>
        <v>-0.37629357035779193</v>
      </c>
      <c r="O374" s="677">
        <f t="shared" si="172"/>
        <v>1288981.641287728</v>
      </c>
      <c r="P374" s="680">
        <f t="shared" si="173"/>
        <v>1.5707955509886571</v>
      </c>
      <c r="Q374" s="689">
        <f t="shared" si="195"/>
        <v>51.998542741911258</v>
      </c>
      <c r="R374" s="690">
        <f t="shared" si="196"/>
        <v>1.5515638329967449</v>
      </c>
      <c r="S374" s="677">
        <f t="shared" si="174"/>
        <v>1.0061490616896382</v>
      </c>
      <c r="T374" s="680">
        <f t="shared" si="175"/>
        <v>0.11061389615273973</v>
      </c>
      <c r="U374" s="681">
        <f t="shared" si="187"/>
        <v>0.27879894412006562</v>
      </c>
      <c r="V374" s="682">
        <f t="shared" si="188"/>
        <v>-2.0807701255310231</v>
      </c>
      <c r="W374" s="683">
        <f t="shared" si="176"/>
        <v>-17.411631073651343</v>
      </c>
      <c r="X374" s="684">
        <f t="shared" si="177"/>
        <v>-233.7225965698328</v>
      </c>
      <c r="Y374" s="687">
        <f t="shared" si="178"/>
        <v>-53.722596569832803</v>
      </c>
      <c r="AA374" s="170">
        <f t="shared" si="179"/>
        <v>31083</v>
      </c>
      <c r="AB374" s="170">
        <f t="shared" si="180"/>
        <v>966152889</v>
      </c>
      <c r="AD374" s="686">
        <f t="shared" si="181"/>
        <v>17.167092389390234</v>
      </c>
      <c r="AE374" s="687">
        <f t="shared" si="182"/>
        <v>-7.4396056872737208</v>
      </c>
      <c r="AG374" s="686">
        <f t="shared" si="183"/>
        <v>45.33944605443051</v>
      </c>
      <c r="AH374" s="687">
        <f t="shared" si="184"/>
        <v>12.155702049565082</v>
      </c>
      <c r="AJ374" s="170">
        <f t="shared" si="185"/>
        <v>0</v>
      </c>
      <c r="AK374" s="170">
        <f t="shared" si="197"/>
        <v>0</v>
      </c>
      <c r="AM374" s="170" t="str">
        <f t="shared" si="189"/>
        <v>1.23979214390568-0.970824251716611i</v>
      </c>
      <c r="AN374" s="170" t="str">
        <f t="shared" si="190"/>
        <v>4.47023723770969i</v>
      </c>
      <c r="AO374" s="170" t="str">
        <f t="shared" si="191"/>
        <v>-0.217175107291176-0.277343701906274i</v>
      </c>
      <c r="AP374" s="170" t="str">
        <f t="shared" si="192"/>
        <v>-0.0399653573176133+0.161804041952769i</v>
      </c>
      <c r="AQ374" s="170" t="str">
        <f t="shared" si="193"/>
        <v>1.03996535731761-0.161804041952769i</v>
      </c>
      <c r="AR374" s="170" t="str">
        <f t="shared" si="194"/>
        <v>0.782056965870567+0.121677108977516i</v>
      </c>
    </row>
    <row r="375" spans="7:44">
      <c r="G375" s="688">
        <v>31263</v>
      </c>
      <c r="H375" s="676">
        <f t="shared" si="186"/>
        <v>31.263000000000002</v>
      </c>
      <c r="I375" s="677">
        <f t="shared" si="166"/>
        <v>28.308273677829117</v>
      </c>
      <c r="J375" s="678">
        <f t="shared" si="167"/>
        <v>1.535463614229861</v>
      </c>
      <c r="K375" s="678">
        <f t="shared" si="168"/>
        <v>1.0009333268952048</v>
      </c>
      <c r="L375" s="679">
        <f t="shared" si="169"/>
        <v>4.3187997336577209E-2</v>
      </c>
      <c r="M375" s="678">
        <f t="shared" si="170"/>
        <v>1.0760735483035251</v>
      </c>
      <c r="N375" s="679">
        <f t="shared" si="171"/>
        <v>-0.37827116267135735</v>
      </c>
      <c r="O375" s="677">
        <f t="shared" si="172"/>
        <v>1296446.0654241256</v>
      </c>
      <c r="P375" s="680">
        <f t="shared" si="173"/>
        <v>1.5707955554554429</v>
      </c>
      <c r="Q375" s="689">
        <f t="shared" si="195"/>
        <v>52.299552490641219</v>
      </c>
      <c r="R375" s="690">
        <f t="shared" si="196"/>
        <v>1.5516745390274025</v>
      </c>
      <c r="S375" s="677">
        <f t="shared" si="174"/>
        <v>1.0062202649046377</v>
      </c>
      <c r="T375" s="680">
        <f t="shared" si="175"/>
        <v>0.11124919818457193</v>
      </c>
      <c r="U375" s="681">
        <f t="shared" si="187"/>
        <v>0.27540772113608625</v>
      </c>
      <c r="V375" s="682">
        <f t="shared" si="188"/>
        <v>-2.0921737013006556</v>
      </c>
      <c r="W375" s="683">
        <f t="shared" si="176"/>
        <v>-17.561756274695703</v>
      </c>
      <c r="X375" s="684">
        <f t="shared" si="177"/>
        <v>-234.51682228312552</v>
      </c>
      <c r="Y375" s="687">
        <f t="shared" si="178"/>
        <v>-54.516822283125521</v>
      </c>
      <c r="AA375" s="170">
        <f t="shared" si="179"/>
        <v>31263</v>
      </c>
      <c r="AB375" s="170">
        <f t="shared" si="180"/>
        <v>977375169</v>
      </c>
      <c r="AD375" s="686">
        <f t="shared" si="181"/>
        <v>17.166459284975932</v>
      </c>
      <c r="AE375" s="687">
        <f t="shared" si="182"/>
        <v>-7.4696630800527997</v>
      </c>
      <c r="AG375" s="686">
        <f t="shared" si="183"/>
        <v>45.402554477197256</v>
      </c>
      <c r="AH375" s="687">
        <f t="shared" si="184"/>
        <v>12.698287256459743</v>
      </c>
      <c r="AJ375" s="170">
        <f t="shared" si="185"/>
        <v>0</v>
      </c>
      <c r="AK375" s="170">
        <f t="shared" si="197"/>
        <v>0</v>
      </c>
      <c r="AM375" s="170" t="str">
        <f t="shared" si="189"/>
        <v>1.21458297277465-0.97670576316268i</v>
      </c>
      <c r="AN375" s="170" t="str">
        <f t="shared" si="190"/>
        <v>4.49612414382518i</v>
      </c>
      <c r="AO375" s="170" t="str">
        <f t="shared" si="191"/>
        <v>-0.217232828080171-0.270139999235278i</v>
      </c>
      <c r="AP375" s="170" t="str">
        <f t="shared" si="192"/>
        <v>-0.0357638287957755+0.162784293860447i</v>
      </c>
      <c r="AQ375" s="170" t="str">
        <f t="shared" si="193"/>
        <v>1.03576382879578-0.162784293860447i</v>
      </c>
      <c r="AR375" s="170" t="str">
        <f t="shared" si="194"/>
        <v>0.784851272109838+0.12334999211588i</v>
      </c>
    </row>
    <row r="376" spans="7:44">
      <c r="G376" s="688">
        <v>31443</v>
      </c>
      <c r="H376" s="676">
        <f t="shared" si="186"/>
        <v>31.443000000000001</v>
      </c>
      <c r="I376" s="677">
        <f t="shared" si="166"/>
        <v>28.471058723238279</v>
      </c>
      <c r="J376" s="678">
        <f t="shared" si="167"/>
        <v>1.5356657145945423</v>
      </c>
      <c r="K376" s="678">
        <f t="shared" si="168"/>
        <v>1.0009441002067248</v>
      </c>
      <c r="L376" s="679">
        <f t="shared" si="169"/>
        <v>4.343634500354164E-2</v>
      </c>
      <c r="M376" s="678">
        <f t="shared" si="170"/>
        <v>1.0769206856804514</v>
      </c>
      <c r="N376" s="679">
        <f t="shared" si="171"/>
        <v>-0.38024565143263828</v>
      </c>
      <c r="O376" s="677">
        <f t="shared" si="172"/>
        <v>1303910.4895605235</v>
      </c>
      <c r="P376" s="680">
        <f t="shared" si="173"/>
        <v>1.570795559871087</v>
      </c>
      <c r="Q376" s="689">
        <f t="shared" si="195"/>
        <v>52.600562873009309</v>
      </c>
      <c r="R376" s="690">
        <f t="shared" si="196"/>
        <v>1.5517839780134561</v>
      </c>
      <c r="S376" s="677">
        <f t="shared" si="174"/>
        <v>1.0062918741812934</v>
      </c>
      <c r="T376" s="680">
        <f t="shared" si="175"/>
        <v>0.11188441005461247</v>
      </c>
      <c r="U376" s="681">
        <f t="shared" si="187"/>
        <v>0.27200563846854214</v>
      </c>
      <c r="V376" s="682">
        <f t="shared" si="188"/>
        <v>-2.1036650376668931</v>
      </c>
      <c r="W376" s="683">
        <f t="shared" si="176"/>
        <v>-17.713232501268877</v>
      </c>
      <c r="X376" s="684">
        <f t="shared" si="177"/>
        <v>-235.31583227650455</v>
      </c>
      <c r="Y376" s="687">
        <f t="shared" si="178"/>
        <v>-55.315832276504551</v>
      </c>
      <c r="AA376" s="170">
        <f t="shared" si="179"/>
        <v>31443</v>
      </c>
      <c r="AB376" s="170">
        <f t="shared" si="180"/>
        <v>988662249</v>
      </c>
      <c r="AD376" s="686">
        <f t="shared" si="181"/>
        <v>17.165823034849325</v>
      </c>
      <c r="AE376" s="687">
        <f t="shared" si="182"/>
        <v>-7.4997879003198635</v>
      </c>
      <c r="AG376" s="686">
        <f t="shared" si="183"/>
        <v>45.467642698552659</v>
      </c>
      <c r="AH376" s="687">
        <f t="shared" si="184"/>
        <v>13.246212234353727</v>
      </c>
      <c r="AJ376" s="170">
        <f t="shared" si="185"/>
        <v>0</v>
      </c>
      <c r="AK376" s="170">
        <f t="shared" si="197"/>
        <v>0</v>
      </c>
      <c r="AM376" s="170" t="str">
        <f t="shared" si="189"/>
        <v>1.18923001077678-0.981932789462405i</v>
      </c>
      <c r="AN376" s="170" t="str">
        <f t="shared" si="190"/>
        <v>4.52201104994067i</v>
      </c>
      <c r="AO376" s="170" t="str">
        <f t="shared" si="191"/>
        <v>-0.217145154803478-0.262986975848364i</v>
      </c>
      <c r="AP376" s="170" t="str">
        <f t="shared" si="192"/>
        <v>-0.0315383351294635+0.163655464910401i</v>
      </c>
      <c r="AQ376" s="170" t="str">
        <f t="shared" si="193"/>
        <v>1.03153833512946-0.163655464910401i</v>
      </c>
      <c r="AR376" s="170" t="str">
        <f t="shared" si="194"/>
        <v>0.787704935987879+0.124970845116614i</v>
      </c>
    </row>
    <row r="377" spans="7:44">
      <c r="G377" s="688">
        <v>31623</v>
      </c>
      <c r="H377" s="676">
        <f t="shared" si="186"/>
        <v>31.623000000000001</v>
      </c>
      <c r="I377" s="677">
        <f t="shared" si="166"/>
        <v>28.633844918313045</v>
      </c>
      <c r="J377" s="678">
        <f t="shared" si="167"/>
        <v>1.5358655170468229</v>
      </c>
      <c r="K377" s="678">
        <f t="shared" si="168"/>
        <v>1.0009549352517062</v>
      </c>
      <c r="L377" s="679">
        <f t="shared" si="169"/>
        <v>4.3684687309240709E-2</v>
      </c>
      <c r="M377" s="678">
        <f t="shared" si="170"/>
        <v>1.0777720149370511</v>
      </c>
      <c r="N377" s="679">
        <f t="shared" si="171"/>
        <v>-0.38221702858257589</v>
      </c>
      <c r="O377" s="677">
        <f t="shared" si="172"/>
        <v>1311374.9136969214</v>
      </c>
      <c r="P377" s="680">
        <f t="shared" si="173"/>
        <v>1.570795564236463</v>
      </c>
      <c r="Q377" s="689">
        <f t="shared" si="195"/>
        <v>52.901573878199336</v>
      </c>
      <c r="R377" s="690">
        <f t="shared" si="196"/>
        <v>1.5518921715807883</v>
      </c>
      <c r="S377" s="677">
        <f t="shared" si="174"/>
        <v>1.0063638894329241</v>
      </c>
      <c r="T377" s="680">
        <f t="shared" si="175"/>
        <v>0.11251953126955455</v>
      </c>
      <c r="U377" s="681">
        <f t="shared" si="187"/>
        <v>0.26859200073833489</v>
      </c>
      <c r="V377" s="682">
        <f t="shared" si="188"/>
        <v>-2.1152459765068574</v>
      </c>
      <c r="W377" s="683">
        <f t="shared" si="176"/>
        <v>-17.866131884138529</v>
      </c>
      <c r="X377" s="684">
        <f t="shared" si="177"/>
        <v>-236.1197326379675</v>
      </c>
      <c r="Y377" s="687">
        <f t="shared" si="178"/>
        <v>-56.119732637967502</v>
      </c>
      <c r="AA377" s="170">
        <f t="shared" si="179"/>
        <v>31623</v>
      </c>
      <c r="AB377" s="170">
        <f t="shared" si="180"/>
        <v>1000014129</v>
      </c>
      <c r="AD377" s="686">
        <f t="shared" si="181"/>
        <v>17.165183633334212</v>
      </c>
      <c r="AE377" s="687">
        <f t="shared" si="182"/>
        <v>-7.5299788807887875</v>
      </c>
      <c r="AG377" s="686">
        <f t="shared" si="183"/>
        <v>45.53477601483317</v>
      </c>
      <c r="AH377" s="687">
        <f t="shared" si="184"/>
        <v>13.799580691534233</v>
      </c>
      <c r="AJ377" s="170">
        <f t="shared" si="185"/>
        <v>0</v>
      </c>
      <c r="AK377" s="170">
        <f t="shared" si="197"/>
        <v>0</v>
      </c>
      <c r="AM377" s="170" t="str">
        <f t="shared" si="189"/>
        <v>1.16375024679211-0.986501828014283i</v>
      </c>
      <c r="AN377" s="170" t="str">
        <f t="shared" si="190"/>
        <v>4.54789795605615i</v>
      </c>
      <c r="AO377" s="170" t="str">
        <f t="shared" si="191"/>
        <v>-0.216913800077818-0.255887501882582i</v>
      </c>
      <c r="AP377" s="170" t="str">
        <f t="shared" si="192"/>
        <v>-0.0272917077986852+0.164416971335714i</v>
      </c>
      <c r="AQ377" s="170" t="str">
        <f t="shared" si="193"/>
        <v>1.02729170779869-0.164416971335714i</v>
      </c>
      <c r="AR377" s="170" t="str">
        <f t="shared" si="194"/>
        <v>0.790617769589326+0.126537553231713i</v>
      </c>
    </row>
    <row r="378" spans="7:44">
      <c r="G378" s="688">
        <v>31807</v>
      </c>
      <c r="H378" s="676">
        <f t="shared" si="186"/>
        <v>31.806999999999999</v>
      </c>
      <c r="I378" s="677">
        <f t="shared" si="166"/>
        <v>28.800249752362646</v>
      </c>
      <c r="J378" s="678">
        <f t="shared" si="167"/>
        <v>1.5360674250321709</v>
      </c>
      <c r="K378" s="678">
        <f t="shared" si="168"/>
        <v>1.0009660748798637</v>
      </c>
      <c r="L378" s="679">
        <f t="shared" si="169"/>
        <v>4.3938542759832382E-2</v>
      </c>
      <c r="M378" s="678">
        <f t="shared" si="170"/>
        <v>1.0786465849306226</v>
      </c>
      <c r="N378" s="679">
        <f t="shared" si="171"/>
        <v>-0.38422898975007974</v>
      </c>
      <c r="O378" s="677">
        <f t="shared" si="172"/>
        <v>1319005.2139252392</v>
      </c>
      <c r="P378" s="680">
        <f t="shared" si="173"/>
        <v>1.5707955686477799</v>
      </c>
      <c r="Q378" s="689">
        <f t="shared" si="195"/>
        <v>53.209274649568471</v>
      </c>
      <c r="R378" s="690">
        <f t="shared" si="196"/>
        <v>1.5520015042148356</v>
      </c>
      <c r="S378" s="677">
        <f t="shared" si="174"/>
        <v>1.00643792454045</v>
      </c>
      <c r="T378" s="680">
        <f t="shared" si="175"/>
        <v>0.11316867207675887</v>
      </c>
      <c r="U378" s="681">
        <f t="shared" si="187"/>
        <v>0.26508984107477157</v>
      </c>
      <c r="V378" s="682">
        <f t="shared" si="188"/>
        <v>-2.1271787915882747</v>
      </c>
      <c r="W378" s="683">
        <f t="shared" si="176"/>
        <v>-18.0239781890374</v>
      </c>
      <c r="X378" s="684">
        <f t="shared" si="177"/>
        <v>-236.94666207653347</v>
      </c>
      <c r="Y378" s="687">
        <f t="shared" si="178"/>
        <v>-56.946662076533471</v>
      </c>
      <c r="AA378" s="170">
        <f t="shared" si="179"/>
        <v>31807</v>
      </c>
      <c r="AB378" s="170">
        <f t="shared" si="180"/>
        <v>1011685249</v>
      </c>
      <c r="AD378" s="686">
        <f t="shared" si="181"/>
        <v>17.164526759993208</v>
      </c>
      <c r="AE378" s="687">
        <f t="shared" si="182"/>
        <v>-7.5609078636425258</v>
      </c>
      <c r="AG378" s="686">
        <f t="shared" si="183"/>
        <v>45.605586163647786</v>
      </c>
      <c r="AH378" s="687">
        <f t="shared" si="184"/>
        <v>14.370980121135108</v>
      </c>
      <c r="AJ378" s="170">
        <f t="shared" si="185"/>
        <v>0</v>
      </c>
      <c r="AK378" s="170">
        <f t="shared" si="197"/>
        <v>0</v>
      </c>
      <c r="AM378" s="170" t="str">
        <f t="shared" si="189"/>
        <v>1.13759098415285-0.990489132237124i</v>
      </c>
      <c r="AN378" s="170" t="str">
        <f t="shared" si="190"/>
        <v>4.57436012675199i</v>
      </c>
      <c r="AO378" s="170" t="str">
        <f t="shared" si="191"/>
        <v>-0.216530641399329-0.248688549355775i</v>
      </c>
      <c r="AP378" s="170" t="str">
        <f t="shared" si="192"/>
        <v>-0.0229318306921413+0.165081522039521i</v>
      </c>
      <c r="AQ378" s="170" t="str">
        <f t="shared" si="193"/>
        <v>1.02293183069214-0.165081522039521i</v>
      </c>
      <c r="AR378" s="170" t="str">
        <f t="shared" si="194"/>
        <v>0.793656228127326+0.128080849753941i</v>
      </c>
    </row>
    <row r="379" spans="7:44">
      <c r="G379" s="688">
        <v>31991</v>
      </c>
      <c r="H379" s="676">
        <f t="shared" si="186"/>
        <v>31.991</v>
      </c>
      <c r="I379" s="677">
        <f t="shared" si="166"/>
        <v>28.966655747017583</v>
      </c>
      <c r="J379" s="678">
        <f t="shared" si="167"/>
        <v>1.5362670132065812</v>
      </c>
      <c r="K379" s="678">
        <f t="shared" si="168"/>
        <v>1.0009772790114293</v>
      </c>
      <c r="L379" s="679">
        <f t="shared" si="169"/>
        <v>4.4192392543876538E-2</v>
      </c>
      <c r="M379" s="678">
        <f t="shared" si="170"/>
        <v>1.0795255141873121</v>
      </c>
      <c r="N379" s="679">
        <f t="shared" si="171"/>
        <v>-0.38623768283628201</v>
      </c>
      <c r="O379" s="677">
        <f t="shared" si="172"/>
        <v>1326635.5141535571</v>
      </c>
      <c r="P379" s="680">
        <f t="shared" si="173"/>
        <v>1.570795573008352</v>
      </c>
      <c r="Q379" s="689">
        <f t="shared" si="195"/>
        <v>53.516976049667328</v>
      </c>
      <c r="R379" s="690">
        <f t="shared" si="196"/>
        <v>1.5521095796115416</v>
      </c>
      <c r="S379" s="677">
        <f t="shared" si="174"/>
        <v>1.0065123836821064</v>
      </c>
      <c r="T379" s="680">
        <f t="shared" si="175"/>
        <v>0.11381771711396385</v>
      </c>
      <c r="U379" s="681">
        <f t="shared" si="187"/>
        <v>0.26157415027765191</v>
      </c>
      <c r="V379" s="682">
        <f t="shared" si="188"/>
        <v>-2.1392091038240153</v>
      </c>
      <c r="W379" s="683">
        <f t="shared" si="176"/>
        <v>-18.183473689101454</v>
      </c>
      <c r="X379" s="684">
        <f t="shared" si="177"/>
        <v>-237.77892439685954</v>
      </c>
      <c r="Y379" s="687">
        <f t="shared" si="178"/>
        <v>-57.778924396859537</v>
      </c>
      <c r="AA379" s="170">
        <f t="shared" si="179"/>
        <v>31991</v>
      </c>
      <c r="AB379" s="170">
        <f t="shared" si="180"/>
        <v>1023424081</v>
      </c>
      <c r="AD379" s="686">
        <f t="shared" si="181"/>
        <v>17.163866582315283</v>
      </c>
      <c r="AE379" s="687">
        <f t="shared" si="182"/>
        <v>-7.5919033907656237</v>
      </c>
      <c r="AG379" s="686">
        <f t="shared" si="183"/>
        <v>45.678681304425822</v>
      </c>
      <c r="AH379" s="687">
        <f t="shared" si="184"/>
        <v>14.948285564172409</v>
      </c>
      <c r="AJ379" s="170">
        <f t="shared" si="185"/>
        <v>0</v>
      </c>
      <c r="AK379" s="170">
        <f t="shared" si="197"/>
        <v>0</v>
      </c>
      <c r="AM379" s="170" t="str">
        <f t="shared" si="189"/>
        <v>1.11133537953367-0.993782890406196i</v>
      </c>
      <c r="AN379" s="170" t="str">
        <f t="shared" si="190"/>
        <v>4.60082229744782i</v>
      </c>
      <c r="AO379" s="170" t="str">
        <f t="shared" si="191"/>
        <v>-0.216001146351049-0.241551467908281i</v>
      </c>
      <c r="AP379" s="170" t="str">
        <f t="shared" si="192"/>
        <v>-0.0185558965889452+0.165630481734366i</v>
      </c>
      <c r="AQ379" s="170" t="str">
        <f t="shared" si="193"/>
        <v>1.01855589658895-0.165630481734366i</v>
      </c>
      <c r="AR379" s="170" t="str">
        <f t="shared" si="194"/>
        <v>0.796755912537629+0.129562909664808i</v>
      </c>
    </row>
    <row r="380" spans="7:44">
      <c r="G380" s="688">
        <v>32175</v>
      </c>
      <c r="H380" s="676">
        <f t="shared" si="186"/>
        <v>32.174999999999997</v>
      </c>
      <c r="I380" s="677">
        <f t="shared" si="166"/>
        <v>29.133062882389964</v>
      </c>
      <c r="J380" s="678">
        <f t="shared" si="167"/>
        <v>1.5364643213060756</v>
      </c>
      <c r="K380" s="678">
        <f t="shared" si="168"/>
        <v>1.0009885476442371</v>
      </c>
      <c r="L380" s="679">
        <f t="shared" si="169"/>
        <v>4.4446236628847995E-2</v>
      </c>
      <c r="M380" s="678">
        <f t="shared" si="170"/>
        <v>1.0804087920681356</v>
      </c>
      <c r="N380" s="679">
        <f t="shared" si="171"/>
        <v>-0.3882430996273738</v>
      </c>
      <c r="O380" s="677">
        <f t="shared" si="172"/>
        <v>1334265.8143818749</v>
      </c>
      <c r="P380" s="680">
        <f t="shared" si="173"/>
        <v>1.5707955773190507</v>
      </c>
      <c r="Q380" s="689">
        <f t="shared" si="195"/>
        <v>53.824678067713066</v>
      </c>
      <c r="R380" s="690">
        <f t="shared" si="196"/>
        <v>1.5522164193302801</v>
      </c>
      <c r="S380" s="677">
        <f t="shared" si="174"/>
        <v>1.0065872667637936</v>
      </c>
      <c r="T380" s="680">
        <f t="shared" si="175"/>
        <v>0.11446666585565059</v>
      </c>
      <c r="U380" s="681">
        <f t="shared" si="187"/>
        <v>0.25804420029644232</v>
      </c>
      <c r="V380" s="682">
        <f t="shared" si="188"/>
        <v>-2.1513388517430609</v>
      </c>
      <c r="W380" s="683">
        <f t="shared" si="176"/>
        <v>-18.344705603167093</v>
      </c>
      <c r="X380" s="684">
        <f t="shared" si="177"/>
        <v>-238.6166312111072</v>
      </c>
      <c r="Y380" s="687">
        <f t="shared" si="178"/>
        <v>-58.616631211107205</v>
      </c>
      <c r="AA380" s="170">
        <f t="shared" si="179"/>
        <v>32175</v>
      </c>
      <c r="AB380" s="170">
        <f t="shared" si="180"/>
        <v>1035230625</v>
      </c>
      <c r="AD380" s="686">
        <f t="shared" si="181"/>
        <v>17.163203094895568</v>
      </c>
      <c r="AE380" s="687">
        <f t="shared" si="182"/>
        <v>-7.622964196836854</v>
      </c>
      <c r="AG380" s="686">
        <f t="shared" si="183"/>
        <v>45.754141706281601</v>
      </c>
      <c r="AH380" s="687">
        <f t="shared" si="184"/>
        <v>15.531606282222082</v>
      </c>
      <c r="AJ380" s="170">
        <f t="shared" si="185"/>
        <v>0</v>
      </c>
      <c r="AK380" s="170">
        <f t="shared" si="197"/>
        <v>0</v>
      </c>
      <c r="AM380" s="170" t="str">
        <f t="shared" si="189"/>
        <v>1.0850018172564-0.996380796213531i</v>
      </c>
      <c r="AN380" s="170" t="str">
        <f t="shared" si="190"/>
        <v>4.62728446814365i</v>
      </c>
      <c r="AO380" s="170" t="str">
        <f t="shared" si="191"/>
        <v>-0.215327327090667-0.234479169094974i</v>
      </c>
      <c r="AP380" s="170" t="str">
        <f t="shared" si="192"/>
        <v>-0.0141669695427329+0.166063466035588i</v>
      </c>
      <c r="AQ380" s="170" t="str">
        <f t="shared" si="193"/>
        <v>1.01416696954273-0.166063466035588i</v>
      </c>
      <c r="AR380" s="170" t="str">
        <f t="shared" si="194"/>
        <v>0.799916402914496+0.130981282565922i</v>
      </c>
    </row>
    <row r="381" spans="7:44">
      <c r="G381" s="688">
        <v>32359</v>
      </c>
      <c r="H381" s="676">
        <f t="shared" si="186"/>
        <v>32.359000000000002</v>
      </c>
      <c r="I381" s="677">
        <f t="shared" si="166"/>
        <v>29.29947113904359</v>
      </c>
      <c r="J381" s="678">
        <f t="shared" si="167"/>
        <v>1.5366593881646613</v>
      </c>
      <c r="K381" s="678">
        <f t="shared" si="168"/>
        <v>1.0009998807761085</v>
      </c>
      <c r="L381" s="679">
        <f t="shared" si="169"/>
        <v>4.470007498222596E-2</v>
      </c>
      <c r="M381" s="678">
        <f t="shared" si="170"/>
        <v>1.0812964079163201</v>
      </c>
      <c r="N381" s="679">
        <f t="shared" si="171"/>
        <v>-0.39024523204172801</v>
      </c>
      <c r="O381" s="677">
        <f t="shared" si="172"/>
        <v>1341896.1146101926</v>
      </c>
      <c r="P381" s="680">
        <f t="shared" si="173"/>
        <v>1.5707955815807262</v>
      </c>
      <c r="Q381" s="689">
        <f t="shared" si="195"/>
        <v>54.132380693167981</v>
      </c>
      <c r="R381" s="690">
        <f t="shared" si="196"/>
        <v>1.5523220444403421</v>
      </c>
      <c r="S381" s="677">
        <f t="shared" si="174"/>
        <v>1.0066625736909043</v>
      </c>
      <c r="T381" s="680">
        <f t="shared" si="175"/>
        <v>0.1151155177767805</v>
      </c>
      <c r="U381" s="681">
        <f t="shared" si="187"/>
        <v>0.25449927015574142</v>
      </c>
      <c r="V381" s="682">
        <f t="shared" si="188"/>
        <v>-2.1635699592008835</v>
      </c>
      <c r="W381" s="683">
        <f t="shared" si="176"/>
        <v>-18.507764980496365</v>
      </c>
      <c r="X381" s="684">
        <f t="shared" si="177"/>
        <v>-239.45989327470514</v>
      </c>
      <c r="Y381" s="687">
        <f t="shared" si="178"/>
        <v>-59.459893274705138</v>
      </c>
      <c r="AA381" s="170">
        <f t="shared" si="179"/>
        <v>32359</v>
      </c>
      <c r="AB381" s="170">
        <f t="shared" si="180"/>
        <v>1047104881</v>
      </c>
      <c r="AD381" s="686">
        <f t="shared" si="181"/>
        <v>17.162536292536728</v>
      </c>
      <c r="AE381" s="687">
        <f t="shared" si="182"/>
        <v>-7.6540890446409771</v>
      </c>
      <c r="AG381" s="686">
        <f t="shared" si="183"/>
        <v>45.832051581625464</v>
      </c>
      <c r="AH381" s="687">
        <f t="shared" si="184"/>
        <v>16.121050740238271</v>
      </c>
      <c r="AJ381" s="170">
        <f t="shared" si="185"/>
        <v>0</v>
      </c>
      <c r="AK381" s="170">
        <f t="shared" si="197"/>
        <v>0</v>
      </c>
      <c r="AM381" s="170" t="str">
        <f t="shared" si="189"/>
        <v>1.05860873622923-0.998281030590891i</v>
      </c>
      <c r="AN381" s="170" t="str">
        <f t="shared" si="190"/>
        <v>4.65374663883949i</v>
      </c>
      <c r="AO381" s="170" t="str">
        <f t="shared" si="191"/>
        <v>-0.214511254708063-0.227474509977453i</v>
      </c>
      <c r="AP381" s="170" t="str">
        <f t="shared" si="192"/>
        <v>-0.0097681227048721+0.166380171765148i</v>
      </c>
      <c r="AQ381" s="170" t="str">
        <f t="shared" si="193"/>
        <v>1.00976812270487-0.166380171765148i</v>
      </c>
      <c r="AR381" s="170" t="str">
        <f t="shared" si="194"/>
        <v>0.803137194375707+0.132333454925537i</v>
      </c>
    </row>
    <row r="382" spans="7:44">
      <c r="G382" s="688">
        <v>32547.5</v>
      </c>
      <c r="H382" s="676">
        <f t="shared" si="186"/>
        <v>32.547499999999999</v>
      </c>
      <c r="I382" s="677">
        <f t="shared" si="166"/>
        <v>29.469950305736443</v>
      </c>
      <c r="J382" s="678">
        <f t="shared" si="167"/>
        <v>1.5368569412261528</v>
      </c>
      <c r="K382" s="678">
        <f t="shared" si="168"/>
        <v>1.0010115579591623</v>
      </c>
      <c r="L382" s="679">
        <f t="shared" si="169"/>
        <v>4.4960115361247908E-2</v>
      </c>
      <c r="M382" s="678">
        <f t="shared" si="170"/>
        <v>1.0822102190036853</v>
      </c>
      <c r="N382" s="679">
        <f t="shared" si="171"/>
        <v>-0.39229291549515066</v>
      </c>
      <c r="O382" s="677">
        <f t="shared" si="172"/>
        <v>1349713.0254419206</v>
      </c>
      <c r="P382" s="680">
        <f t="shared" si="173"/>
        <v>1.5707955858966605</v>
      </c>
      <c r="Q382" s="689">
        <f t="shared" si="195"/>
        <v>54.44760927367907</v>
      </c>
      <c r="R382" s="690">
        <f t="shared" si="196"/>
        <v>1.5524290147694078</v>
      </c>
      <c r="S382" s="677">
        <f t="shared" si="174"/>
        <v>1.0067401617849314</v>
      </c>
      <c r="T382" s="680">
        <f t="shared" si="175"/>
        <v>0.11578013740928468</v>
      </c>
      <c r="U382" s="681">
        <f t="shared" si="187"/>
        <v>0.25085136415408016</v>
      </c>
      <c r="V382" s="682">
        <f t="shared" si="188"/>
        <v>-2.1762072980914593</v>
      </c>
      <c r="W382" s="683">
        <f t="shared" si="176"/>
        <v>-18.676806728936107</v>
      </c>
      <c r="X382" s="684">
        <f t="shared" si="177"/>
        <v>-240.32965401731803</v>
      </c>
      <c r="Y382" s="687">
        <f t="shared" si="178"/>
        <v>-60.329654017318035</v>
      </c>
      <c r="AA382" s="170">
        <f t="shared" si="179"/>
        <v>32547.5</v>
      </c>
      <c r="AB382" s="170">
        <f t="shared" si="180"/>
        <v>1059339756.25</v>
      </c>
      <c r="AD382" s="686">
        <f t="shared" si="181"/>
        <v>17.161849739750842</v>
      </c>
      <c r="AE382" s="687">
        <f t="shared" si="182"/>
        <v>-7.6860402434977413</v>
      </c>
      <c r="AG382" s="686">
        <f t="shared" si="183"/>
        <v>45.914499350532211</v>
      </c>
      <c r="AH382" s="687">
        <f t="shared" si="184"/>
        <v>16.731373563549898</v>
      </c>
      <c r="AJ382" s="170">
        <f t="shared" si="185"/>
        <v>0</v>
      </c>
      <c r="AK382" s="170">
        <f t="shared" si="197"/>
        <v>0</v>
      </c>
      <c r="AM382" s="170" t="str">
        <f t="shared" si="189"/>
        <v>1.03152777275539-0.999502876206509i</v>
      </c>
      <c r="AN382" s="170" t="str">
        <f t="shared" si="190"/>
        <v>4.68085598218821i</v>
      </c>
      <c r="AO382" s="170" t="str">
        <f t="shared" si="191"/>
        <v>-0.213529935552356-0.220371610808066i</v>
      </c>
      <c r="AP382" s="170" t="str">
        <f t="shared" si="192"/>
        <v>-0.00525462879256518+0.166583812701085i</v>
      </c>
      <c r="AQ382" s="170" t="str">
        <f t="shared" si="193"/>
        <v>1.00525462879257-0.166583812701085i</v>
      </c>
      <c r="AR382" s="170" t="str">
        <f t="shared" si="194"/>
        <v>0.806498662955488+0.133647354973955i</v>
      </c>
    </row>
    <row r="383" spans="7:44">
      <c r="G383" s="688">
        <v>32736</v>
      </c>
      <c r="H383" s="676">
        <f t="shared" si="186"/>
        <v>32.735999999999997</v>
      </c>
      <c r="I383" s="677">
        <f t="shared" si="166"/>
        <v>29.640430609329158</v>
      </c>
      <c r="J383" s="678">
        <f t="shared" si="167"/>
        <v>1.5370522217974454</v>
      </c>
      <c r="K383" s="678">
        <f t="shared" si="168"/>
        <v>1.0010233028300357</v>
      </c>
      <c r="L383" s="679">
        <f t="shared" si="169"/>
        <v>4.5220149655816173E-2</v>
      </c>
      <c r="M383" s="678">
        <f t="shared" si="170"/>
        <v>1.0831285601388185</v>
      </c>
      <c r="N383" s="679">
        <f t="shared" si="171"/>
        <v>-0.39433713521106456</v>
      </c>
      <c r="O383" s="677">
        <f t="shared" si="172"/>
        <v>1357529.9362736484</v>
      </c>
      <c r="P383" s="680">
        <f t="shared" si="173"/>
        <v>1.5707955901628907</v>
      </c>
      <c r="Q383" s="689">
        <f t="shared" si="195"/>
        <v>54.762838470042574</v>
      </c>
      <c r="R383" s="690">
        <f t="shared" si="196"/>
        <v>1.5525347536013854</v>
      </c>
      <c r="S383" s="677">
        <f t="shared" si="174"/>
        <v>1.00681819450682</v>
      </c>
      <c r="T383" s="680">
        <f t="shared" si="175"/>
        <v>0.1164446543135453</v>
      </c>
      <c r="U383" s="681">
        <f t="shared" si="187"/>
        <v>0.24718623254198588</v>
      </c>
      <c r="V383" s="682">
        <f t="shared" si="188"/>
        <v>-2.1889550430446358</v>
      </c>
      <c r="W383" s="683">
        <f t="shared" si="176"/>
        <v>-18.847973199161469</v>
      </c>
      <c r="X383" s="684">
        <f t="shared" si="177"/>
        <v>-241.20547691917608</v>
      </c>
      <c r="Y383" s="687">
        <f t="shared" si="178"/>
        <v>-61.205476919176078</v>
      </c>
      <c r="AA383" s="170">
        <f t="shared" si="179"/>
        <v>32736</v>
      </c>
      <c r="AB383" s="170">
        <f t="shared" si="180"/>
        <v>1071645696</v>
      </c>
      <c r="AD383" s="686">
        <f t="shared" si="181"/>
        <v>17.161159697495428</v>
      </c>
      <c r="AE383" s="687">
        <f t="shared" si="182"/>
        <v>-7.7180561131975907</v>
      </c>
      <c r="AG383" s="686">
        <f t="shared" si="183"/>
        <v>45.999710473997212</v>
      </c>
      <c r="AH383" s="687">
        <f t="shared" si="184"/>
        <v>17.348350501313263</v>
      </c>
      <c r="AJ383" s="170">
        <f t="shared" si="185"/>
        <v>0</v>
      </c>
      <c r="AK383" s="170">
        <f t="shared" si="197"/>
        <v>0</v>
      </c>
      <c r="AM383" s="170" t="str">
        <f t="shared" si="189"/>
        <v>1.00442364042023-0.99999021565485i</v>
      </c>
      <c r="AN383" s="170" t="str">
        <f t="shared" si="190"/>
        <v>4.70796532553693i</v>
      </c>
      <c r="AO383" s="170" t="str">
        <f t="shared" si="191"/>
        <v>-0.212403904130455-0.21334559007307i</v>
      </c>
      <c r="AP383" s="170" t="str">
        <f t="shared" si="192"/>
        <v>-0.000737273403371483+0.166665035942475i</v>
      </c>
      <c r="AQ383" s="170" t="str">
        <f t="shared" si="193"/>
        <v>1.00073727340337-0.166665035942475i</v>
      </c>
      <c r="AR383" s="170" t="str">
        <f t="shared" si="194"/>
        <v>0.809922046162505+0.134886238897857i</v>
      </c>
    </row>
    <row r="384" spans="7:44">
      <c r="G384" s="688">
        <v>32924.5</v>
      </c>
      <c r="H384" s="676">
        <f t="shared" si="186"/>
        <v>32.924500000000002</v>
      </c>
      <c r="I384" s="677">
        <f t="shared" si="166"/>
        <v>29.810912030316885</v>
      </c>
      <c r="J384" s="678">
        <f t="shared" si="167"/>
        <v>1.5372452688509866</v>
      </c>
      <c r="K384" s="678">
        <f t="shared" si="168"/>
        <v>1.0010351153863459</v>
      </c>
      <c r="L384" s="679">
        <f t="shared" si="169"/>
        <v>4.5480177830979629E-2</v>
      </c>
      <c r="M384" s="678">
        <f t="shared" si="170"/>
        <v>1.0840514198089932</v>
      </c>
      <c r="N384" s="679">
        <f t="shared" si="171"/>
        <v>-0.39637788292911214</v>
      </c>
      <c r="O384" s="677">
        <f t="shared" si="172"/>
        <v>1365346.8471053764</v>
      </c>
      <c r="P384" s="680">
        <f t="shared" si="173"/>
        <v>1.5707955943802709</v>
      </c>
      <c r="Q384" s="689">
        <f t="shared" si="195"/>
        <v>55.078068271684359</v>
      </c>
      <c r="R384" s="690">
        <f t="shared" si="196"/>
        <v>1.5526392820786719</v>
      </c>
      <c r="S384" s="677">
        <f t="shared" si="174"/>
        <v>1.0068966717531966</v>
      </c>
      <c r="T384" s="680">
        <f t="shared" si="175"/>
        <v>0.11710906792663631</v>
      </c>
      <c r="U384" s="681">
        <f t="shared" si="187"/>
        <v>0.24350313161599527</v>
      </c>
      <c r="V384" s="682">
        <f t="shared" si="188"/>
        <v>-2.2018151953436038</v>
      </c>
      <c r="W384" s="683">
        <f t="shared" si="176"/>
        <v>-19.021376372052419</v>
      </c>
      <c r="X384" s="684">
        <f t="shared" si="177"/>
        <v>-242.08747716346116</v>
      </c>
      <c r="Y384" s="687">
        <f t="shared" si="178"/>
        <v>-62.087477163461159</v>
      </c>
      <c r="AA384" s="170">
        <f t="shared" si="179"/>
        <v>32924.5</v>
      </c>
      <c r="AB384" s="170">
        <f t="shared" si="180"/>
        <v>1084022700.25</v>
      </c>
      <c r="AD384" s="686">
        <f t="shared" si="181"/>
        <v>17.160466160816682</v>
      </c>
      <c r="AE384" s="687">
        <f t="shared" si="182"/>
        <v>-7.7501354101660356</v>
      </c>
      <c r="AG384" s="686">
        <f t="shared" si="183"/>
        <v>46.087789934213454</v>
      </c>
      <c r="AH384" s="687">
        <f t="shared" si="184"/>
        <v>17.972094456933252</v>
      </c>
      <c r="AJ384" s="170">
        <f t="shared" si="185"/>
        <v>0</v>
      </c>
      <c r="AK384" s="170">
        <f t="shared" si="197"/>
        <v>0</v>
      </c>
      <c r="AM384" s="170" t="str">
        <f t="shared" si="189"/>
        <v>0.977316257277842-0.999742690804046i</v>
      </c>
      <c r="AN384" s="170" t="str">
        <f t="shared" si="190"/>
        <v>4.73507466888565i</v>
      </c>
      <c r="AO384" s="170" t="str">
        <f t="shared" si="191"/>
        <v>-0.211135570337125-0.206399333826734i</v>
      </c>
      <c r="AP384" s="170" t="str">
        <f t="shared" si="192"/>
        <v>0.00378062378702638+0.166623781800674i</v>
      </c>
      <c r="AQ384" s="170" t="str">
        <f t="shared" si="193"/>
        <v>0.996219376212974-0.166623781800674i</v>
      </c>
      <c r="AR384" s="170" t="str">
        <f t="shared" si="194"/>
        <v>0.813406483640973+0.136047207755245i</v>
      </c>
    </row>
    <row r="385" spans="7:44">
      <c r="G385" s="688">
        <v>33113</v>
      </c>
      <c r="H385" s="676">
        <f t="shared" si="186"/>
        <v>33.113</v>
      </c>
      <c r="I385" s="677">
        <f t="shared" si="166"/>
        <v>29.981394549638299</v>
      </c>
      <c r="J385" s="678">
        <f t="shared" si="167"/>
        <v>1.537436120473467</v>
      </c>
      <c r="K385" s="678">
        <f t="shared" si="168"/>
        <v>1.0010469956256971</v>
      </c>
      <c r="L385" s="679">
        <f t="shared" si="169"/>
        <v>4.5740199851792104E-2</v>
      </c>
      <c r="M385" s="678">
        <f t="shared" si="170"/>
        <v>1.0849787864841027</v>
      </c>
      <c r="N385" s="679">
        <f t="shared" si="171"/>
        <v>-0.39841515053264748</v>
      </c>
      <c r="O385" s="677">
        <f t="shared" si="172"/>
        <v>1373163.7579371042</v>
      </c>
      <c r="P385" s="680">
        <f t="shared" si="173"/>
        <v>1.5707955985496351</v>
      </c>
      <c r="Q385" s="689">
        <f t="shared" si="195"/>
        <v>55.393298668270937</v>
      </c>
      <c r="R385" s="690">
        <f t="shared" si="196"/>
        <v>1.5527426208625059</v>
      </c>
      <c r="S385" s="677">
        <f t="shared" si="174"/>
        <v>1.0069755934201308</v>
      </c>
      <c r="T385" s="680">
        <f t="shared" si="175"/>
        <v>0.11777337768617142</v>
      </c>
      <c r="U385" s="681">
        <f t="shared" si="187"/>
        <v>0.23980133148074892</v>
      </c>
      <c r="V385" s="682">
        <f t="shared" si="188"/>
        <v>-2.2147897263170426</v>
      </c>
      <c r="W385" s="683">
        <f t="shared" si="176"/>
        <v>-19.197133586835953</v>
      </c>
      <c r="X385" s="684">
        <f t="shared" si="177"/>
        <v>-242.97576820216958</v>
      </c>
      <c r="Y385" s="687">
        <f t="shared" si="178"/>
        <v>-62.975768202169576</v>
      </c>
      <c r="AA385" s="170">
        <f t="shared" si="179"/>
        <v>33113</v>
      </c>
      <c r="AB385" s="170">
        <f t="shared" si="180"/>
        <v>1096470769</v>
      </c>
      <c r="AD385" s="686">
        <f t="shared" si="181"/>
        <v>17.159769124961059</v>
      </c>
      <c r="AE385" s="687">
        <f t="shared" si="182"/>
        <v>-7.7822769184267413</v>
      </c>
      <c r="AG385" s="686">
        <f t="shared" si="183"/>
        <v>46.178848185236738</v>
      </c>
      <c r="AH385" s="687">
        <f t="shared" si="184"/>
        <v>18.602716660064008</v>
      </c>
      <c r="AJ385" s="170">
        <f t="shared" si="185"/>
        <v>0</v>
      </c>
      <c r="AK385" s="170">
        <f t="shared" si="197"/>
        <v>0</v>
      </c>
      <c r="AM385" s="170" t="str">
        <f t="shared" si="189"/>
        <v>0.950225543771253-0.998760483553055i</v>
      </c>
      <c r="AN385" s="170" t="str">
        <f t="shared" si="190"/>
        <v>4.76218401223437i</v>
      </c>
      <c r="AO385" s="170" t="str">
        <f t="shared" si="191"/>
        <v>-0.209727402592418-0.19953566290804i</v>
      </c>
      <c r="AP385" s="170" t="str">
        <f t="shared" si="192"/>
        <v>0.00829574270479108+0.166460080592176i</v>
      </c>
      <c r="AQ385" s="170" t="str">
        <f t="shared" si="193"/>
        <v>0.991704257295209-0.166460080592176i</v>
      </c>
      <c r="AR385" s="170" t="str">
        <f t="shared" si="194"/>
        <v>0.816950993661325+0.137127301052053i</v>
      </c>
    </row>
    <row r="386" spans="7:44">
      <c r="G386" s="688">
        <v>33305.75</v>
      </c>
      <c r="H386" s="676">
        <f t="shared" si="186"/>
        <v>33.305750000000003</v>
      </c>
      <c r="I386" s="677">
        <f t="shared" si="166"/>
        <v>30.155721955639855</v>
      </c>
      <c r="J386" s="678">
        <f t="shared" si="167"/>
        <v>1.5376290436576134</v>
      </c>
      <c r="K386" s="678">
        <f t="shared" si="168"/>
        <v>1.001059213708652</v>
      </c>
      <c r="L386" s="679">
        <f t="shared" si="169"/>
        <v>4.6006078037604176E-2</v>
      </c>
      <c r="M386" s="678">
        <f t="shared" si="170"/>
        <v>1.0859317105024271</v>
      </c>
      <c r="N386" s="679">
        <f t="shared" si="171"/>
        <v>-0.40049474422390424</v>
      </c>
      <c r="O386" s="677">
        <f t="shared" si="172"/>
        <v>1381156.9121164971</v>
      </c>
      <c r="P386" s="680">
        <f t="shared" si="173"/>
        <v>1.5707956027642009</v>
      </c>
      <c r="Q386" s="689">
        <f t="shared" si="195"/>
        <v>55.715636986187384</v>
      </c>
      <c r="R386" s="690">
        <f t="shared" si="196"/>
        <v>1.5528470803710581</v>
      </c>
      <c r="S386" s="677">
        <f t="shared" si="174"/>
        <v>1.0070567539428368</v>
      </c>
      <c r="T386" s="680">
        <f t="shared" si="175"/>
        <v>0.11845255727436371</v>
      </c>
      <c r="U386" s="681">
        <f t="shared" si="187"/>
        <v>0.23599598856878032</v>
      </c>
      <c r="V386" s="682">
        <f t="shared" si="188"/>
        <v>-2.2281770806434338</v>
      </c>
      <c r="W386" s="683">
        <f t="shared" si="176"/>
        <v>-19.37941597974379</v>
      </c>
      <c r="X386" s="684">
        <f t="shared" si="177"/>
        <v>-243.89070830932633</v>
      </c>
      <c r="Y386" s="687">
        <f t="shared" si="178"/>
        <v>-63.890708309326328</v>
      </c>
      <c r="AA386" s="170">
        <f t="shared" si="179"/>
        <v>33305.75</v>
      </c>
      <c r="AB386" s="170">
        <f t="shared" si="180"/>
        <v>1109272983.0625</v>
      </c>
      <c r="AD386" s="686">
        <f t="shared" si="181"/>
        <v>17.159052750286314</v>
      </c>
      <c r="AE386" s="687">
        <f t="shared" si="182"/>
        <v>-7.8152061949060085</v>
      </c>
      <c r="AG386" s="686">
        <f t="shared" si="183"/>
        <v>46.275160935505014</v>
      </c>
      <c r="AH386" s="687">
        <f t="shared" si="184"/>
        <v>19.254783634636286</v>
      </c>
      <c r="AJ386" s="170">
        <f t="shared" si="185"/>
        <v>0</v>
      </c>
      <c r="AK386" s="170">
        <f t="shared" si="197"/>
        <v>0</v>
      </c>
      <c r="AM386" s="170" t="str">
        <f t="shared" si="189"/>
        <v>0.92256201043517-0.996997170393255i</v>
      </c>
      <c r="AN386" s="170" t="str">
        <f t="shared" si="190"/>
        <v>4.78990457419971i</v>
      </c>
      <c r="AO386" s="170" t="str">
        <f t="shared" si="191"/>
        <v>-0.20814551833944-0.192605509388318i</v>
      </c>
      <c r="AP386" s="170" t="str">
        <f t="shared" si="192"/>
        <v>0.0129063315941383+0.166166195065543i</v>
      </c>
      <c r="AQ386" s="170" t="str">
        <f t="shared" si="193"/>
        <v>0.987093668405862-0.166166195065543i</v>
      </c>
      <c r="AR386" s="170" t="str">
        <f t="shared" si="194"/>
        <v>0.8206363812566+0.138144969793989i</v>
      </c>
    </row>
    <row r="387" spans="7:44">
      <c r="G387" s="688">
        <v>33498.5</v>
      </c>
      <c r="H387" s="676">
        <f t="shared" si="186"/>
        <v>33.4985</v>
      </c>
      <c r="I387" s="677">
        <f t="shared" si="166"/>
        <v>30.330050471115786</v>
      </c>
      <c r="J387" s="678">
        <f t="shared" si="167"/>
        <v>1.5378197491134566</v>
      </c>
      <c r="K387" s="678">
        <f t="shared" si="168"/>
        <v>1.0010715025559633</v>
      </c>
      <c r="L387" s="679">
        <f t="shared" si="169"/>
        <v>4.6271949714532225E-2</v>
      </c>
      <c r="M387" s="678">
        <f t="shared" si="170"/>
        <v>1.0868893226135792</v>
      </c>
      <c r="N387" s="679">
        <f t="shared" si="171"/>
        <v>-0.40257068239613841</v>
      </c>
      <c r="O387" s="677">
        <f t="shared" si="172"/>
        <v>1389150.0662958901</v>
      </c>
      <c r="P387" s="680">
        <f t="shared" si="173"/>
        <v>1.5707956069302655</v>
      </c>
      <c r="Q387" s="689">
        <f t="shared" si="195"/>
        <v>56.037975905066986</v>
      </c>
      <c r="R387" s="690">
        <f t="shared" si="196"/>
        <v>1.5529503381469196</v>
      </c>
      <c r="S387" s="677">
        <f t="shared" si="174"/>
        <v>1.0071383789306347</v>
      </c>
      <c r="T387" s="680">
        <f t="shared" si="175"/>
        <v>0.11913162708557273</v>
      </c>
      <c r="U387" s="681">
        <f t="shared" si="187"/>
        <v>0.23216960222440619</v>
      </c>
      <c r="V387" s="682">
        <f t="shared" si="188"/>
        <v>-2.2416880847424832</v>
      </c>
      <c r="W387" s="683">
        <f t="shared" si="176"/>
        <v>-19.564426580365538</v>
      </c>
      <c r="X387" s="684">
        <f t="shared" si="177"/>
        <v>-244.81245944892422</v>
      </c>
      <c r="Y387" s="687">
        <f t="shared" si="178"/>
        <v>-64.812459448924216</v>
      </c>
      <c r="AA387" s="170">
        <f t="shared" si="179"/>
        <v>33498.5</v>
      </c>
      <c r="AB387" s="170">
        <f t="shared" si="180"/>
        <v>1122149502.25</v>
      </c>
      <c r="AD387" s="686">
        <f t="shared" si="181"/>
        <v>17.15833270742867</v>
      </c>
      <c r="AE387" s="687">
        <f t="shared" si="182"/>
        <v>-7.8481980330598695</v>
      </c>
      <c r="AG387" s="686">
        <f t="shared" si="183"/>
        <v>46.374840923481095</v>
      </c>
      <c r="AH387" s="687">
        <f t="shared" si="184"/>
        <v>19.914271358680335</v>
      </c>
      <c r="AJ387" s="170">
        <f t="shared" si="185"/>
        <v>0</v>
      </c>
      <c r="AK387" s="170">
        <f t="shared" si="197"/>
        <v>0</v>
      </c>
      <c r="AM387" s="170" t="str">
        <f t="shared" si="189"/>
        <v>0.894957978928617-0.994467784198784i</v>
      </c>
      <c r="AN387" s="170" t="str">
        <f t="shared" si="190"/>
        <v>4.81762513616504i</v>
      </c>
      <c r="AO387" s="170" t="str">
        <f t="shared" si="191"/>
        <v>-0.206422823713181-0.185767458785934i</v>
      </c>
      <c r="AP387" s="170" t="str">
        <f t="shared" si="192"/>
        <v>0.0175070035118972+0.165744630699797i</v>
      </c>
      <c r="AQ387" s="170" t="str">
        <f t="shared" si="193"/>
        <v>0.982492996488103-0.165744630699797i</v>
      </c>
      <c r="AR387" s="170" t="str">
        <f t="shared" si="194"/>
        <v>0.824382083819416+0.139071631580666i</v>
      </c>
    </row>
    <row r="388" spans="7:44">
      <c r="G388" s="688">
        <v>33691.25</v>
      </c>
      <c r="H388" s="676">
        <f t="shared" si="186"/>
        <v>33.691249999999997</v>
      </c>
      <c r="I388" s="677">
        <f t="shared" si="166"/>
        <v>30.504380077044591</v>
      </c>
      <c r="J388" s="678">
        <f t="shared" si="167"/>
        <v>1.5380082748493189</v>
      </c>
      <c r="K388" s="678">
        <f t="shared" si="168"/>
        <v>1.0010838621650253</v>
      </c>
      <c r="L388" s="679">
        <f t="shared" si="169"/>
        <v>4.6537814845228898E-2</v>
      </c>
      <c r="M388" s="678">
        <f t="shared" si="170"/>
        <v>1.0878516104370808</v>
      </c>
      <c r="N388" s="679">
        <f t="shared" si="171"/>
        <v>-0.40464295683406071</v>
      </c>
      <c r="O388" s="677">
        <f t="shared" si="172"/>
        <v>1397143.220475283</v>
      </c>
      <c r="P388" s="680">
        <f t="shared" si="173"/>
        <v>1.5707956110486614</v>
      </c>
      <c r="Q388" s="689">
        <f t="shared" si="195"/>
        <v>56.360315414598567</v>
      </c>
      <c r="R388" s="690">
        <f t="shared" si="196"/>
        <v>1.553052414806948</v>
      </c>
      <c r="S388" s="677">
        <f t="shared" si="174"/>
        <v>1.0072204682706041</v>
      </c>
      <c r="T388" s="680">
        <f t="shared" si="175"/>
        <v>0.11981058652027705</v>
      </c>
      <c r="U388" s="681">
        <f t="shared" si="187"/>
        <v>0.22832144916309838</v>
      </c>
      <c r="V388" s="682">
        <f t="shared" si="188"/>
        <v>-2.2553247213808612</v>
      </c>
      <c r="W388" s="683">
        <f t="shared" si="176"/>
        <v>-19.752310635143484</v>
      </c>
      <c r="X388" s="684">
        <f t="shared" si="177"/>
        <v>-245.74113571871911</v>
      </c>
      <c r="Y388" s="687">
        <f t="shared" si="178"/>
        <v>-65.741135718719107</v>
      </c>
      <c r="AA388" s="170">
        <f t="shared" si="179"/>
        <v>33691.25</v>
      </c>
      <c r="AB388" s="170">
        <f t="shared" si="180"/>
        <v>1135100326.5625</v>
      </c>
      <c r="AD388" s="686">
        <f t="shared" si="181"/>
        <v>17.157608991914017</v>
      </c>
      <c r="AE388" s="687">
        <f t="shared" si="182"/>
        <v>-7.8812512173270663</v>
      </c>
      <c r="AG388" s="686">
        <f t="shared" si="183"/>
        <v>46.478026386014307</v>
      </c>
      <c r="AH388" s="687">
        <f t="shared" si="184"/>
        <v>20.581291727203357</v>
      </c>
      <c r="AJ388" s="170">
        <f t="shared" si="185"/>
        <v>0</v>
      </c>
      <c r="AK388" s="170">
        <f t="shared" si="197"/>
        <v>0</v>
      </c>
      <c r="AM388" s="170" t="str">
        <f t="shared" si="189"/>
        <v>0.867434659646962-0.991174268500289i</v>
      </c>
      <c r="AN388" s="170" t="str">
        <f t="shared" si="190"/>
        <v>4.84534569813038i</v>
      </c>
      <c r="AO388" s="170" t="str">
        <f t="shared" si="191"/>
        <v>-0.204562136584546-0.179024307797413i</v>
      </c>
      <c r="AP388" s="170" t="str">
        <f t="shared" si="192"/>
        <v>0.022094223392173+0.165195711416715i</v>
      </c>
      <c r="AQ388" s="170" t="str">
        <f t="shared" si="193"/>
        <v>0.977905776607827-0.165195711416715i</v>
      </c>
      <c r="AR388" s="170" t="str">
        <f t="shared" si="194"/>
        <v>0.828186608217449+0.139903944943301i</v>
      </c>
    </row>
    <row r="389" spans="7:44">
      <c r="G389" s="688">
        <v>33884</v>
      </c>
      <c r="H389" s="676">
        <f t="shared" si="186"/>
        <v>33.884</v>
      </c>
      <c r="I389" s="677">
        <f t="shared" si="166"/>
        <v>30.678710754837009</v>
      </c>
      <c r="J389" s="678">
        <f t="shared" si="167"/>
        <v>1.5381946580102257</v>
      </c>
      <c r="K389" s="678">
        <f t="shared" si="168"/>
        <v>1.0010962925332167</v>
      </c>
      <c r="L389" s="679">
        <f t="shared" si="169"/>
        <v>4.6803673392352398E-2</v>
      </c>
      <c r="M389" s="678">
        <f t="shared" si="170"/>
        <v>1.0888185615758774</v>
      </c>
      <c r="N389" s="679">
        <f t="shared" si="171"/>
        <v>-0.40671155947721854</v>
      </c>
      <c r="O389" s="677">
        <f t="shared" si="172"/>
        <v>1405136.3746546758</v>
      </c>
      <c r="P389" s="680">
        <f t="shared" si="173"/>
        <v>1.5707956151202023</v>
      </c>
      <c r="Q389" s="689">
        <f t="shared" si="195"/>
        <v>56.682655504705451</v>
      </c>
      <c r="R389" s="690">
        <f t="shared" si="196"/>
        <v>1.553153330499129</v>
      </c>
      <c r="S389" s="677">
        <f t="shared" si="174"/>
        <v>1.0073030218492187</v>
      </c>
      <c r="T389" s="680">
        <f t="shared" si="175"/>
        <v>0.12048943497955722</v>
      </c>
      <c r="U389" s="681">
        <f t="shared" si="187"/>
        <v>0.22445082996394974</v>
      </c>
      <c r="V389" s="682">
        <f t="shared" si="188"/>
        <v>-2.2690889208862264</v>
      </c>
      <c r="W389" s="683">
        <f t="shared" si="176"/>
        <v>-19.943220997519187</v>
      </c>
      <c r="X389" s="684">
        <f t="shared" si="177"/>
        <v>-246.67684819823816</v>
      </c>
      <c r="Y389" s="687">
        <f t="shared" si="178"/>
        <v>-66.676848198238162</v>
      </c>
      <c r="AA389" s="170">
        <f t="shared" si="179"/>
        <v>33884</v>
      </c>
      <c r="AB389" s="170">
        <f t="shared" si="180"/>
        <v>1148125456</v>
      </c>
      <c r="AD389" s="686">
        <f t="shared" si="181"/>
        <v>17.156881599460181</v>
      </c>
      <c r="AE389" s="687">
        <f t="shared" si="182"/>
        <v>-7.9143645590441247</v>
      </c>
      <c r="AG389" s="686">
        <f t="shared" si="183"/>
        <v>46.58486328027869</v>
      </c>
      <c r="AH389" s="687">
        <f t="shared" si="184"/>
        <v>21.255953671270593</v>
      </c>
      <c r="AJ389" s="170">
        <f t="shared" si="185"/>
        <v>0</v>
      </c>
      <c r="AK389" s="170">
        <f t="shared" si="197"/>
        <v>0</v>
      </c>
      <c r="AM389" s="170" t="str">
        <f t="shared" si="189"/>
        <v>0.840013200967927-0.987119153970518i</v>
      </c>
      <c r="AN389" s="170" t="str">
        <f t="shared" si="190"/>
        <v>4.87306626009571i</v>
      </c>
      <c r="AO389" s="170" t="str">
        <f t="shared" si="191"/>
        <v>-0.202566331193521-0.172378776756347i</v>
      </c>
      <c r="AP389" s="170" t="str">
        <f t="shared" si="192"/>
        <v>0.0266644665053455+0.164519858995086i</v>
      </c>
      <c r="AQ389" s="170" t="str">
        <f t="shared" si="193"/>
        <v>0.973335533494655-0.164519858995086i</v>
      </c>
      <c r="AR389" s="170" t="str">
        <f t="shared" si="194"/>
        <v>0.832048294536017+0.140638519178155i</v>
      </c>
    </row>
    <row r="390" spans="7:44">
      <c r="G390" s="688">
        <v>34081.5</v>
      </c>
      <c r="H390" s="676">
        <f t="shared" si="186"/>
        <v>34.081499999999998</v>
      </c>
      <c r="I390" s="677">
        <f t="shared" si="166"/>
        <v>30.857338612183348</v>
      </c>
      <c r="J390" s="678">
        <f t="shared" si="167"/>
        <v>1.5383834498085334</v>
      </c>
      <c r="K390" s="678">
        <f t="shared" si="168"/>
        <v>1.0011091026204224</v>
      </c>
      <c r="L390" s="679">
        <f t="shared" si="169"/>
        <v>4.7076076708844242E-2</v>
      </c>
      <c r="M390" s="678">
        <f t="shared" si="170"/>
        <v>1.089814165730508</v>
      </c>
      <c r="N390" s="679">
        <f t="shared" si="171"/>
        <v>-0.40882732245325371</v>
      </c>
      <c r="O390" s="677">
        <f t="shared" si="172"/>
        <v>1413326.5066932237</v>
      </c>
      <c r="P390" s="680">
        <f t="shared" si="173"/>
        <v>1.5707956192443093</v>
      </c>
      <c r="Q390" s="689">
        <f t="shared" si="195"/>
        <v>57.012939716833039</v>
      </c>
      <c r="R390" s="690">
        <f t="shared" si="196"/>
        <v>1.553255549444712</v>
      </c>
      <c r="S390" s="677">
        <f t="shared" si="174"/>
        <v>1.0073880912429405</v>
      </c>
      <c r="T390" s="680">
        <f t="shared" si="175"/>
        <v>0.12118489678186462</v>
      </c>
      <c r="U390" s="681">
        <f t="shared" si="187"/>
        <v>0.22046081881142307</v>
      </c>
      <c r="V390" s="682">
        <f t="shared" si="188"/>
        <v>-2.2833265904412245</v>
      </c>
      <c r="W390" s="683">
        <f t="shared" si="176"/>
        <v>-20.142143552534062</v>
      </c>
      <c r="X390" s="684">
        <f t="shared" si="177"/>
        <v>-247.64303082502218</v>
      </c>
      <c r="Y390" s="687">
        <f t="shared" si="178"/>
        <v>-67.64303082502218</v>
      </c>
      <c r="AA390" s="170">
        <f t="shared" si="179"/>
        <v>34081.5</v>
      </c>
      <c r="AB390" s="170">
        <f t="shared" si="180"/>
        <v>1161548642.25</v>
      </c>
      <c r="AD390" s="686">
        <f t="shared" si="181"/>
        <v>17.156132463384623</v>
      </c>
      <c r="AE390" s="687">
        <f t="shared" si="182"/>
        <v>-7.9483551072934695</v>
      </c>
      <c r="AG390" s="686">
        <f t="shared" si="183"/>
        <v>46.698281843947257</v>
      </c>
      <c r="AH390" s="687">
        <f t="shared" si="184"/>
        <v>21.955278345806768</v>
      </c>
      <c r="AJ390" s="170">
        <f t="shared" si="185"/>
        <v>0</v>
      </c>
      <c r="AK390" s="170">
        <f t="shared" si="197"/>
        <v>0</v>
      </c>
      <c r="AM390" s="170" t="str">
        <f t="shared" si="189"/>
        <v>0.812043677610636-0.982177387682014i</v>
      </c>
      <c r="AN390" s="170" t="str">
        <f t="shared" si="190"/>
        <v>4.90146994875021i</v>
      </c>
      <c r="AO390" s="170" t="str">
        <f t="shared" si="191"/>
        <v>-0.200384251653415-0.165673499195419i</v>
      </c>
      <c r="AP390" s="170" t="str">
        <f t="shared" si="192"/>
        <v>0.0313260537315607+0.163696231280336i</v>
      </c>
      <c r="AQ390" s="170" t="str">
        <f t="shared" si="193"/>
        <v>0.968673946268439-0.163696231280336i</v>
      </c>
      <c r="AR390" s="170" t="str">
        <f t="shared" si="194"/>
        <v>0.836062517100532+0.141286222976603i</v>
      </c>
    </row>
    <row r="391" spans="7:44">
      <c r="G391" s="688">
        <v>34279</v>
      </c>
      <c r="H391" s="676">
        <f t="shared" si="186"/>
        <v>34.279000000000003</v>
      </c>
      <c r="I391" s="677">
        <f t="shared" si="166"/>
        <v>31.035967556697369</v>
      </c>
      <c r="J391" s="678">
        <f t="shared" si="167"/>
        <v>1.5385700684136019</v>
      </c>
      <c r="K391" s="678">
        <f t="shared" si="168"/>
        <v>1.0011219869915899</v>
      </c>
      <c r="L391" s="679">
        <f t="shared" si="169"/>
        <v>4.7348473033924511E-2</v>
      </c>
      <c r="M391" s="678">
        <f t="shared" si="170"/>
        <v>1.0908146394688978</v>
      </c>
      <c r="N391" s="679">
        <f t="shared" si="171"/>
        <v>-0.41093921379625892</v>
      </c>
      <c r="O391" s="677">
        <f t="shared" si="172"/>
        <v>1421516.6387317718</v>
      </c>
      <c r="P391" s="680">
        <f t="shared" si="173"/>
        <v>1.5707956233208937</v>
      </c>
      <c r="Q391" s="689">
        <f t="shared" si="195"/>
        <v>57.3432245178101</v>
      </c>
      <c r="R391" s="690">
        <f t="shared" si="196"/>
        <v>1.5533565908724836</v>
      </c>
      <c r="S391" s="677">
        <f t="shared" si="174"/>
        <v>1.0074736477947364</v>
      </c>
      <c r="T391" s="680">
        <f t="shared" si="175"/>
        <v>0.12188024080059823</v>
      </c>
      <c r="U391" s="681">
        <f t="shared" si="187"/>
        <v>0.21644582193720668</v>
      </c>
      <c r="V391" s="682">
        <f t="shared" si="188"/>
        <v>-2.2977020969170141</v>
      </c>
      <c r="W391" s="683">
        <f t="shared" si="176"/>
        <v>-20.344595227569432</v>
      </c>
      <c r="X391" s="684">
        <f t="shared" si="177"/>
        <v>-248.61682569875904</v>
      </c>
      <c r="Y391" s="687">
        <f t="shared" si="178"/>
        <v>-68.616825698759044</v>
      </c>
      <c r="AA391" s="170">
        <f t="shared" si="179"/>
        <v>34279</v>
      </c>
      <c r="AB391" s="170">
        <f t="shared" si="180"/>
        <v>1175049841</v>
      </c>
      <c r="AD391" s="686">
        <f t="shared" si="181"/>
        <v>17.155379458401953</v>
      </c>
      <c r="AE391" s="687">
        <f t="shared" si="182"/>
        <v>-7.9824063711192883</v>
      </c>
      <c r="AG391" s="686">
        <f t="shared" si="183"/>
        <v>46.81587153645998</v>
      </c>
      <c r="AH391" s="687">
        <f t="shared" si="184"/>
        <v>22.662846436629522</v>
      </c>
      <c r="AJ391" s="170">
        <f t="shared" si="185"/>
        <v>0</v>
      </c>
      <c r="AK391" s="170">
        <f t="shared" si="197"/>
        <v>0</v>
      </c>
      <c r="AM391" s="170" t="str">
        <f t="shared" si="189"/>
        <v>0.784225781492643-0.976443283876508i</v>
      </c>
      <c r="AN391" s="170" t="str">
        <f t="shared" si="190"/>
        <v>4.9298736374047i</v>
      </c>
      <c r="AO391" s="170" t="str">
        <f t="shared" si="191"/>
        <v>-0.198066594743501-0.159076243971538i</v>
      </c>
      <c r="AP391" s="170" t="str">
        <f t="shared" si="192"/>
        <v>0.0359623697512262+0.162740547312751i</v>
      </c>
      <c r="AQ391" s="170" t="str">
        <f t="shared" si="193"/>
        <v>0.964037630248774-0.162740547312751i</v>
      </c>
      <c r="AR391" s="170" t="str">
        <f t="shared" si="194"/>
        <v>0.840132649937677+0.141823973438555i</v>
      </c>
    </row>
    <row r="392" spans="7:44">
      <c r="G392" s="688">
        <v>34476.5</v>
      </c>
      <c r="H392" s="676">
        <f t="shared" si="186"/>
        <v>34.476500000000001</v>
      </c>
      <c r="I392" s="677">
        <f t="shared" si="166"/>
        <v>31.214597569714766</v>
      </c>
      <c r="J392" s="678">
        <f t="shared" si="167"/>
        <v>1.5387545511215499</v>
      </c>
      <c r="K392" s="678">
        <f t="shared" si="168"/>
        <v>1.0011349456438514</v>
      </c>
      <c r="L392" s="679">
        <f t="shared" si="169"/>
        <v>4.7620862327440443E-2</v>
      </c>
      <c r="M392" s="678">
        <f t="shared" si="170"/>
        <v>1.0918199694045247</v>
      </c>
      <c r="N392" s="679">
        <f t="shared" si="171"/>
        <v>-0.41304722533690291</v>
      </c>
      <c r="O392" s="677">
        <f t="shared" si="172"/>
        <v>1429706.7707703197</v>
      </c>
      <c r="P392" s="680">
        <f t="shared" si="173"/>
        <v>1.5707956273507726</v>
      </c>
      <c r="Q392" s="689">
        <f t="shared" si="195"/>
        <v>57.673509897519992</v>
      </c>
      <c r="R392" s="690">
        <f t="shared" si="196"/>
        <v>1.5534564750106339</v>
      </c>
      <c r="S392" s="677">
        <f t="shared" si="174"/>
        <v>1.0075596913805058</v>
      </c>
      <c r="T392" s="680">
        <f t="shared" si="175"/>
        <v>0.12257546639344648</v>
      </c>
      <c r="U392" s="681">
        <f t="shared" si="187"/>
        <v>0.21240518246470025</v>
      </c>
      <c r="V392" s="682">
        <f t="shared" si="188"/>
        <v>-2.3122173066340372</v>
      </c>
      <c r="W392" s="683">
        <f t="shared" si="176"/>
        <v>-20.5507691489446</v>
      </c>
      <c r="X392" s="684">
        <f t="shared" si="177"/>
        <v>-249.59834022713105</v>
      </c>
      <c r="Y392" s="687">
        <f t="shared" si="178"/>
        <v>-69.598340227131047</v>
      </c>
      <c r="AA392" s="170">
        <f t="shared" si="179"/>
        <v>34476.5</v>
      </c>
      <c r="AB392" s="170">
        <f t="shared" si="180"/>
        <v>1188629052.25</v>
      </c>
      <c r="AD392" s="686">
        <f t="shared" si="181"/>
        <v>17.154622580493005</v>
      </c>
      <c r="AE392" s="687">
        <f t="shared" si="182"/>
        <v>-8.0165171547766771</v>
      </c>
      <c r="AG392" s="686">
        <f t="shared" si="183"/>
        <v>46.937818419185781</v>
      </c>
      <c r="AH392" s="687">
        <f t="shared" si="184"/>
        <v>23.378763204880961</v>
      </c>
      <c r="AJ392" s="170">
        <f t="shared" si="185"/>
        <v>0</v>
      </c>
      <c r="AK392" s="170">
        <f t="shared" si="197"/>
        <v>0</v>
      </c>
      <c r="AM392" s="170" t="str">
        <f t="shared" si="189"/>
        <v>0.75658195373609-0.969921468343216i</v>
      </c>
      <c r="AN392" s="170" t="str">
        <f t="shared" si="190"/>
        <v>4.9582773260592i</v>
      </c>
      <c r="AO392" s="170" t="str">
        <f t="shared" si="191"/>
        <v>-0.195616623387644-0.15258968064568i</v>
      </c>
      <c r="AP392" s="170" t="str">
        <f t="shared" si="192"/>
        <v>0.0405696743773183+0.161653578057203i</v>
      </c>
      <c r="AQ392" s="170" t="str">
        <f t="shared" si="193"/>
        <v>0.959430325622682-0.161653578057203i</v>
      </c>
      <c r="AR392" s="170" t="str">
        <f t="shared" si="194"/>
        <v>0.844256303928431+0.142248007679771i</v>
      </c>
    </row>
    <row r="393" spans="7:44">
      <c r="G393" s="688">
        <v>34674</v>
      </c>
      <c r="H393" s="676">
        <f t="shared" si="186"/>
        <v>34.673999999999999</v>
      </c>
      <c r="I393" s="677">
        <f t="shared" si="166"/>
        <v>31.393228632995932</v>
      </c>
      <c r="J393" s="678">
        <f t="shared" si="167"/>
        <v>1.5389369343802088</v>
      </c>
      <c r="K393" s="678">
        <f t="shared" si="168"/>
        <v>1.0011479785743223</v>
      </c>
      <c r="L393" s="679">
        <f t="shared" si="169"/>
        <v>4.7893244549245512E-2</v>
      </c>
      <c r="M393" s="678">
        <f t="shared" si="170"/>
        <v>1.0928301421352684</v>
      </c>
      <c r="N393" s="679">
        <f t="shared" si="171"/>
        <v>-0.41515134907376749</v>
      </c>
      <c r="O393" s="677">
        <f t="shared" si="172"/>
        <v>1437896.9028088679</v>
      </c>
      <c r="P393" s="680">
        <f t="shared" si="173"/>
        <v>1.5707956313347435</v>
      </c>
      <c r="Q393" s="689">
        <f t="shared" si="195"/>
        <v>58.003795846076443</v>
      </c>
      <c r="R393" s="690">
        <f t="shared" si="196"/>
        <v>1.5535552216267126</v>
      </c>
      <c r="S393" s="677">
        <f t="shared" si="174"/>
        <v>1.0076462218754847</v>
      </c>
      <c r="T393" s="680">
        <f t="shared" si="175"/>
        <v>0.1232705729187745</v>
      </c>
      <c r="U393" s="681">
        <f t="shared" si="187"/>
        <v>0.2083382822429303</v>
      </c>
      <c r="V393" s="682">
        <f t="shared" si="188"/>
        <v>-2.326874000669843</v>
      </c>
      <c r="W393" s="683">
        <f t="shared" si="176"/>
        <v>-20.760869645202913</v>
      </c>
      <c r="X393" s="684">
        <f t="shared" si="177"/>
        <v>-250.58767692121006</v>
      </c>
      <c r="Y393" s="687">
        <f t="shared" si="178"/>
        <v>-70.587676921210061</v>
      </c>
      <c r="AA393" s="170">
        <f t="shared" si="179"/>
        <v>34674</v>
      </c>
      <c r="AB393" s="170">
        <f t="shared" si="180"/>
        <v>1202286276</v>
      </c>
      <c r="AD393" s="686">
        <f t="shared" si="181"/>
        <v>17.153861825824247</v>
      </c>
      <c r="AE393" s="687">
        <f t="shared" si="182"/>
        <v>-8.0506862889512316</v>
      </c>
      <c r="AG393" s="686">
        <f t="shared" si="183"/>
        <v>47.064319869794396</v>
      </c>
      <c r="AH393" s="687">
        <f t="shared" si="184"/>
        <v>24.103129066628089</v>
      </c>
      <c r="AJ393" s="170">
        <f t="shared" si="185"/>
        <v>0</v>
      </c>
      <c r="AK393" s="170">
        <f t="shared" si="197"/>
        <v>0</v>
      </c>
      <c r="AM393" s="170" t="str">
        <f t="shared" si="189"/>
        <v>0.729134495039544-0.962617202330458i</v>
      </c>
      <c r="AN393" s="170" t="str">
        <f t="shared" si="190"/>
        <v>4.98668101471369i</v>
      </c>
      <c r="AO393" s="170" t="str">
        <f t="shared" si="191"/>
        <v>-0.193037653599691-0.146216389796773i</v>
      </c>
      <c r="AP393" s="170" t="str">
        <f t="shared" si="192"/>
        <v>0.0451442508267427+0.16043620038841i</v>
      </c>
      <c r="AQ393" s="170" t="str">
        <f t="shared" si="193"/>
        <v>0.954855749173257-0.16043620038841i</v>
      </c>
      <c r="AR393" s="170" t="str">
        <f t="shared" si="194"/>
        <v>0.84843086669705+0.142554542571458i</v>
      </c>
    </row>
    <row r="394" spans="7:44">
      <c r="G394" s="688">
        <v>34875.75</v>
      </c>
      <c r="H394" s="676">
        <f t="shared" si="186"/>
        <v>34.875749999999996</v>
      </c>
      <c r="I394" s="677">
        <f t="shared" si="166"/>
        <v>31.575704721738294</v>
      </c>
      <c r="J394" s="678">
        <f t="shared" si="167"/>
        <v>1.5391211116804522</v>
      </c>
      <c r="K394" s="678">
        <f t="shared" si="168"/>
        <v>1.0011613686502372</v>
      </c>
      <c r="L394" s="679">
        <f t="shared" si="169"/>
        <v>4.817148081727899E-2</v>
      </c>
      <c r="M394" s="678">
        <f t="shared" si="170"/>
        <v>1.093867039041982</v>
      </c>
      <c r="N394" s="679">
        <f t="shared" si="171"/>
        <v>-0.41729672908034215</v>
      </c>
      <c r="O394" s="677">
        <f t="shared" si="172"/>
        <v>1446263.2781950808</v>
      </c>
      <c r="P394" s="680">
        <f t="shared" si="173"/>
        <v>1.5707956353578567</v>
      </c>
      <c r="Q394" s="689">
        <f t="shared" si="195"/>
        <v>58.341189791071969</v>
      </c>
      <c r="R394" s="690">
        <f t="shared" si="196"/>
        <v>1.5536549387557186</v>
      </c>
      <c r="S394" s="677">
        <f t="shared" si="174"/>
        <v>1.0077351170272866</v>
      </c>
      <c r="T394" s="680">
        <f t="shared" si="175"/>
        <v>0.12398051382767962</v>
      </c>
      <c r="U394" s="681">
        <f t="shared" si="187"/>
        <v>0.20415615334865683</v>
      </c>
      <c r="V394" s="682">
        <f t="shared" si="188"/>
        <v>-2.3419939307760069</v>
      </c>
      <c r="W394" s="683">
        <f t="shared" si="176"/>
        <v>-20.979770664711104</v>
      </c>
      <c r="X394" s="684">
        <f t="shared" si="177"/>
        <v>-251.60648061959307</v>
      </c>
      <c r="Y394" s="687">
        <f t="shared" si="178"/>
        <v>-71.606480619593071</v>
      </c>
      <c r="AA394" s="170">
        <f t="shared" si="179"/>
        <v>34875.75</v>
      </c>
      <c r="AB394" s="170">
        <f t="shared" si="180"/>
        <v>1216317938.0625</v>
      </c>
      <c r="AD394" s="686">
        <f t="shared" si="181"/>
        <v>17.153080693893397</v>
      </c>
      <c r="AE394" s="687">
        <f t="shared" si="182"/>
        <v>-8.0856497666453375</v>
      </c>
      <c r="AG394" s="686">
        <f t="shared" si="183"/>
        <v>47.198464174172294</v>
      </c>
      <c r="AH394" s="687">
        <f t="shared" si="184"/>
        <v>24.851905211150935</v>
      </c>
      <c r="AJ394" s="170">
        <f t="shared" si="185"/>
        <v>0</v>
      </c>
      <c r="AK394" s="170">
        <f t="shared" si="197"/>
        <v>0</v>
      </c>
      <c r="AM394" s="170" t="str">
        <f t="shared" si="189"/>
        <v>0.701322173001575-0.954353999132135i</v>
      </c>
      <c r="AN394" s="170" t="str">
        <f t="shared" si="190"/>
        <v>5.0156959219848i</v>
      </c>
      <c r="AO394" s="170" t="str">
        <f t="shared" si="191"/>
        <v>-0.190273496235888-0.139825496583144i</v>
      </c>
      <c r="AP394" s="170" t="str">
        <f t="shared" si="192"/>
        <v>0.0497796378330708+0.159058999855356i</v>
      </c>
      <c r="AQ394" s="170" t="str">
        <f t="shared" si="193"/>
        <v>0.950220362166929-0.159058999855356i</v>
      </c>
      <c r="AR394" s="170" t="str">
        <f t="shared" si="194"/>
        <v>0.852744865443175+0.142742410949676i</v>
      </c>
    </row>
    <row r="395" spans="7:44">
      <c r="G395" s="688">
        <v>35077.5</v>
      </c>
      <c r="H395" s="676">
        <f t="shared" si="186"/>
        <v>35.077500000000001</v>
      </c>
      <c r="I395" s="677">
        <f t="shared" si="166"/>
        <v>31.75818186926038</v>
      </c>
      <c r="J395" s="678">
        <f t="shared" si="167"/>
        <v>1.5393031724835109</v>
      </c>
      <c r="K395" s="678">
        <f t="shared" si="168"/>
        <v>1.0011748362294044</v>
      </c>
      <c r="L395" s="679">
        <f t="shared" si="169"/>
        <v>4.8449709621307555E-2</v>
      </c>
      <c r="M395" s="678">
        <f t="shared" si="170"/>
        <v>1.0949089610923217</v>
      </c>
      <c r="N395" s="679">
        <f t="shared" si="171"/>
        <v>-0.4194380358136045</v>
      </c>
      <c r="O395" s="677">
        <f t="shared" si="172"/>
        <v>1454629.6535812938</v>
      </c>
      <c r="P395" s="680">
        <f t="shared" si="173"/>
        <v>1.5707956393346916</v>
      </c>
      <c r="Q395" s="689">
        <f t="shared" si="195"/>
        <v>58.678584309512267</v>
      </c>
      <c r="R395" s="690">
        <f t="shared" si="196"/>
        <v>1.5537535091636634</v>
      </c>
      <c r="S395" s="677">
        <f t="shared" si="174"/>
        <v>1.0078245200040554</v>
      </c>
      <c r="T395" s="680">
        <f t="shared" si="175"/>
        <v>0.12469032913817532</v>
      </c>
      <c r="U395" s="681">
        <f t="shared" si="187"/>
        <v>0.19994545630135574</v>
      </c>
      <c r="V395" s="682">
        <f t="shared" si="188"/>
        <v>-2.3572649513672235</v>
      </c>
      <c r="W395" s="683">
        <f t="shared" si="176"/>
        <v>-21.203239811606331</v>
      </c>
      <c r="X395" s="684">
        <f t="shared" si="177"/>
        <v>-252.63364544840087</v>
      </c>
      <c r="Y395" s="687">
        <f t="shared" si="178"/>
        <v>-72.63364544840087</v>
      </c>
      <c r="AA395" s="170">
        <f t="shared" si="179"/>
        <v>35077.5</v>
      </c>
      <c r="AB395" s="170">
        <f t="shared" si="180"/>
        <v>1230431006.25</v>
      </c>
      <c r="AD395" s="686">
        <f t="shared" si="181"/>
        <v>17.152295509040144</v>
      </c>
      <c r="AE395" s="687">
        <f t="shared" si="182"/>
        <v>-8.1206717477062575</v>
      </c>
      <c r="AG395" s="686">
        <f t="shared" si="183"/>
        <v>47.337817607846461</v>
      </c>
      <c r="AH395" s="687">
        <f t="shared" si="184"/>
        <v>25.60969242287182</v>
      </c>
      <c r="AJ395" s="170">
        <f t="shared" si="185"/>
        <v>0</v>
      </c>
      <c r="AK395" s="170">
        <f t="shared" si="197"/>
        <v>0</v>
      </c>
      <c r="AM395" s="170" t="str">
        <f t="shared" si="189"/>
        <v>0.673761279685996-0.945287415217129i</v>
      </c>
      <c r="AN395" s="170" t="str">
        <f t="shared" si="190"/>
        <v>5.04471082925591i</v>
      </c>
      <c r="AO395" s="170" t="str">
        <f t="shared" si="191"/>
        <v>-0.187381883166643-0.133557958521356i</v>
      </c>
      <c r="AP395" s="170" t="str">
        <f t="shared" si="192"/>
        <v>0.054373120052334+0.157547902536188i</v>
      </c>
      <c r="AQ395" s="170" t="str">
        <f t="shared" si="193"/>
        <v>0.945626879947666-0.157547902536188i</v>
      </c>
      <c r="AR395" s="170" t="str">
        <f t="shared" si="194"/>
        <v>0.857105723477996+0.142799672734761i</v>
      </c>
    </row>
    <row r="396" spans="7:44">
      <c r="G396" s="688">
        <v>35279.25</v>
      </c>
      <c r="H396" s="676">
        <f t="shared" si="186"/>
        <v>35.279249999999998</v>
      </c>
      <c r="I396" s="677">
        <f t="shared" si="166"/>
        <v>31.940660057415741</v>
      </c>
      <c r="J396" s="678">
        <f t="shared" si="167"/>
        <v>1.5394831530520943</v>
      </c>
      <c r="K396" s="678">
        <f t="shared" si="168"/>
        <v>1.0011883813086957</v>
      </c>
      <c r="L396" s="679">
        <f t="shared" si="169"/>
        <v>4.872793091855717E-2</v>
      </c>
      <c r="M396" s="678">
        <f t="shared" si="170"/>
        <v>1.0959558939541196</v>
      </c>
      <c r="N396" s="679">
        <f t="shared" si="171"/>
        <v>-0.42157526128234729</v>
      </c>
      <c r="O396" s="677">
        <f t="shared" si="172"/>
        <v>1462996.028967507</v>
      </c>
      <c r="P396" s="680">
        <f t="shared" si="173"/>
        <v>1.5707956432660419</v>
      </c>
      <c r="Q396" s="689">
        <f t="shared" si="195"/>
        <v>59.01597939156219</v>
      </c>
      <c r="R396" s="690">
        <f t="shared" si="196"/>
        <v>1.55385095251607</v>
      </c>
      <c r="S396" s="677">
        <f t="shared" si="174"/>
        <v>1.0079144306706578</v>
      </c>
      <c r="T396" s="680">
        <f t="shared" si="175"/>
        <v>0.1254000181685157</v>
      </c>
      <c r="U396" s="681">
        <f t="shared" si="187"/>
        <v>0.19570568117682408</v>
      </c>
      <c r="V396" s="682">
        <f t="shared" si="188"/>
        <v>-2.3726886333087962</v>
      </c>
      <c r="W396" s="683">
        <f t="shared" si="176"/>
        <v>-21.431537442718298</v>
      </c>
      <c r="X396" s="684">
        <f t="shared" si="177"/>
        <v>-253.66926186810696</v>
      </c>
      <c r="Y396" s="687">
        <f t="shared" si="178"/>
        <v>-73.669261868106958</v>
      </c>
      <c r="AA396" s="170">
        <f t="shared" si="179"/>
        <v>35279.25</v>
      </c>
      <c r="AB396" s="170">
        <f t="shared" si="180"/>
        <v>1244625480.5625</v>
      </c>
      <c r="AD396" s="686">
        <f t="shared" si="181"/>
        <v>17.151506267740476</v>
      </c>
      <c r="AE396" s="687">
        <f t="shared" si="182"/>
        <v>-8.1557510663668591</v>
      </c>
      <c r="AG396" s="686">
        <f t="shared" si="183"/>
        <v>47.482633470721268</v>
      </c>
      <c r="AH396" s="687">
        <f t="shared" si="184"/>
        <v>26.376579083454409</v>
      </c>
      <c r="AJ396" s="170">
        <f t="shared" si="185"/>
        <v>0</v>
      </c>
      <c r="AK396" s="170">
        <f t="shared" si="197"/>
        <v>0</v>
      </c>
      <c r="AM396" s="170" t="str">
        <f t="shared" si="189"/>
        <v>0.646475016012221-0.935425082888224i</v>
      </c>
      <c r="AN396" s="170" t="str">
        <f t="shared" si="190"/>
        <v>5.07372573652702i</v>
      </c>
      <c r="AO396" s="170" t="str">
        <f t="shared" si="191"/>
        <v>-0.184366505298831-0.12741623209116i</v>
      </c>
      <c r="AP396" s="170" t="str">
        <f t="shared" si="192"/>
        <v>0.0589208306646298+0.155904180481371i</v>
      </c>
      <c r="AQ396" s="170" t="str">
        <f t="shared" si="193"/>
        <v>0.94107916933537-0.155904180481371i</v>
      </c>
      <c r="AR396" s="170" t="str">
        <f t="shared" si="194"/>
        <v>0.861509872930421+0.14272230763612i</v>
      </c>
    </row>
    <row r="397" spans="7:44">
      <c r="G397" s="688">
        <v>35481</v>
      </c>
      <c r="H397" s="676">
        <f t="shared" si="186"/>
        <v>35.481000000000002</v>
      </c>
      <c r="I397" s="677">
        <f t="shared" ref="I397:I460" si="198">SQRT(1+(G397/pole1)^2)</f>
        <v>32.123139268470169</v>
      </c>
      <c r="J397" s="678">
        <f t="shared" ref="J397:J460" si="199">ATAN(G397/pole1)</f>
        <v>1.5396610888254798</v>
      </c>
      <c r="K397" s="678">
        <f t="shared" ref="K397:K460" si="200">SQRT(1+(G397/Zero1)^2)</f>
        <v>1.0012020038849661</v>
      </c>
      <c r="L397" s="679">
        <f t="shared" ref="L397:L460" si="201">ATAN(G397/Zero1)</f>
        <v>4.9006144666260812E-2</v>
      </c>
      <c r="M397" s="678">
        <f t="shared" ref="M397:M460" si="202">SQRT(1+(G397/z_RHP)^2)</f>
        <v>1.0970078232811251</v>
      </c>
      <c r="N397" s="679">
        <f t="shared" ref="N397:N460" si="203">-ATAN(G397/z_RHP)</f>
        <v>-0.42370839767493179</v>
      </c>
      <c r="O397" s="677">
        <f t="shared" ref="O397:O460" si="204">SQRT(1+(G397/Pole2)^2)</f>
        <v>1471362.4043537199</v>
      </c>
      <c r="P397" s="680">
        <f t="shared" ref="P397:P460" si="205">ATAN(G397/Pole2)</f>
        <v>1.570795647152684</v>
      </c>
      <c r="Q397" s="689">
        <f t="shared" si="195"/>
        <v>59.353375027610205</v>
      </c>
      <c r="R397" s="690">
        <f t="shared" si="196"/>
        <v>1.5539472880313923</v>
      </c>
      <c r="S397" s="677">
        <f t="shared" ref="S397:S460" si="206">SQRT(1+(G397/pole4)^2)</f>
        <v>1.0080048488912408</v>
      </c>
      <c r="T397" s="680">
        <f t="shared" ref="T397:T460" si="207">ATAN(G397/pole4)</f>
        <v>0.12610958023770635</v>
      </c>
      <c r="U397" s="681">
        <f t="shared" si="187"/>
        <v>0.19143637685438272</v>
      </c>
      <c r="V397" s="682">
        <f t="shared" si="188"/>
        <v>-2.3882664182852453</v>
      </c>
      <c r="W397" s="683">
        <f t="shared" ref="W397:W460" si="208">20*LOG10(((K397*Q397*M397*U397)/(I397*O397*S397))*Adc)</f>
        <v>-21.664940814185908</v>
      </c>
      <c r="X397" s="684">
        <f t="shared" ref="X397:X460" si="209">((L397+R397+N397+V397)-(J397+P397+T397))*radconv</f>
        <v>-254.71341292643743</v>
      </c>
      <c r="Y397" s="687">
        <f t="shared" ref="Y397:Y460" si="210">IF(X397&gt;0,X397,X397+180)</f>
        <v>-74.713412926437428</v>
      </c>
      <c r="AA397" s="170">
        <f t="shared" ref="AA397:AA460" si="211">IF(W397&lt;0,G397,1000000000)</f>
        <v>35481</v>
      </c>
      <c r="AB397" s="170">
        <f t="shared" ref="AB397:AB460" si="212">G397^2</f>
        <v>1258901361</v>
      </c>
      <c r="AD397" s="686">
        <f t="shared" ref="AD397:AD460" si="213">20*LOG10((Q397/(O397*S397))*Aea)</f>
        <v>17.150712966647909</v>
      </c>
      <c r="AE397" s="687">
        <f t="shared" ref="AE397:AE460" si="214">(R397-(P397+T397))*radconv</f>
        <v>-8.1908865825172033</v>
      </c>
      <c r="AG397" s="686">
        <f t="shared" ref="AG397:AG460" si="215">20*LOG10((K397*M397/(I397*U397))*Acs*Am)</f>
        <v>47.633182075466792</v>
      </c>
      <c r="AH397" s="687">
        <f t="shared" ref="AH397:AH460" si="216">(L397+N397-(J397+V397))*radconv</f>
        <v>27.152646209939729</v>
      </c>
      <c r="AJ397" s="170">
        <f t="shared" ref="AJ397:AJ460" si="217">SUM((W398&lt;0)*(W397&gt;0))*G397</f>
        <v>0</v>
      </c>
      <c r="AK397" s="170">
        <f t="shared" si="197"/>
        <v>0</v>
      </c>
      <c r="AM397" s="170" t="str">
        <f t="shared" si="189"/>
        <v>0.619486351714841-0.92477530431382i</v>
      </c>
      <c r="AN397" s="170" t="str">
        <f t="shared" si="190"/>
        <v>5.10274064379813i</v>
      </c>
      <c r="AO397" s="170" t="str">
        <f t="shared" si="191"/>
        <v>-0.181231100866902-0.121402672594729i</v>
      </c>
      <c r="AP397" s="170" t="str">
        <f t="shared" si="192"/>
        <v>0.0634189413808598+0.154129217385637i</v>
      </c>
      <c r="AQ397" s="170" t="str">
        <f t="shared" si="193"/>
        <v>0.93658105861914-0.154129217385637i</v>
      </c>
      <c r="AR397" s="170" t="str">
        <f t="shared" si="194"/>
        <v>0.865953462762173+0.142506330103128i</v>
      </c>
    </row>
    <row r="398" spans="7:44">
      <c r="G398" s="688">
        <v>35687.75</v>
      </c>
      <c r="H398" s="676">
        <f t="shared" ref="H398:H461" si="218">G398/1000</f>
        <v>35.687750000000001</v>
      </c>
      <c r="I398" s="677">
        <f t="shared" si="198"/>
        <v>32.310141931830337</v>
      </c>
      <c r="J398" s="678">
        <f t="shared" si="199"/>
        <v>1.5398413491987519</v>
      </c>
      <c r="K398" s="678">
        <f t="shared" si="200"/>
        <v>1.0012160444699509</v>
      </c>
      <c r="L398" s="679">
        <f t="shared" si="201"/>
        <v>4.9291245549053161E-2</v>
      </c>
      <c r="M398" s="678">
        <f t="shared" si="202"/>
        <v>1.098090991448601</v>
      </c>
      <c r="N398" s="679">
        <f t="shared" si="203"/>
        <v>-0.42589014957580906</v>
      </c>
      <c r="O398" s="677">
        <f t="shared" si="204"/>
        <v>1479936.1248548329</v>
      </c>
      <c r="P398" s="680">
        <f t="shared" si="205"/>
        <v>1.5707956510900583</v>
      </c>
      <c r="Q398" s="689">
        <f t="shared" si="195"/>
        <v>59.699132954396099</v>
      </c>
      <c r="R398" s="690">
        <f t="shared" si="196"/>
        <v>1.5540448813294723</v>
      </c>
      <c r="S398" s="677">
        <f t="shared" si="206"/>
        <v>1.0080980343950818</v>
      </c>
      <c r="T398" s="680">
        <f t="shared" si="207"/>
        <v>0.12683659505684314</v>
      </c>
      <c r="U398" s="681">
        <f t="shared" ref="U398:U461" si="219">IMABS(IMPRODUCT(AO398, AR398))</f>
        <v>0.18703022458669824</v>
      </c>
      <c r="V398" s="682">
        <f t="shared" ref="V398:V461" si="220">IMARGUMENT(IMPRODUCT(AO398, AR398))</f>
        <v>-2.4043915104157652</v>
      </c>
      <c r="W398" s="683">
        <f t="shared" si="208"/>
        <v>-21.9097352251583</v>
      </c>
      <c r="X398" s="684">
        <f t="shared" si="209"/>
        <v>-255.79237433044236</v>
      </c>
      <c r="Y398" s="687">
        <f t="shared" si="210"/>
        <v>-75.792374330442357</v>
      </c>
      <c r="AA398" s="170">
        <f t="shared" si="211"/>
        <v>35687.75</v>
      </c>
      <c r="AB398" s="170">
        <f t="shared" si="212"/>
        <v>1273615500.0625</v>
      </c>
      <c r="AD398" s="686">
        <f t="shared" si="213"/>
        <v>17.149895789776359</v>
      </c>
      <c r="AE398" s="687">
        <f t="shared" si="214"/>
        <v>-8.2269500048445892</v>
      </c>
      <c r="AG398" s="686">
        <f t="shared" si="215"/>
        <v>47.79371167399934</v>
      </c>
      <c r="AH398" s="687">
        <f t="shared" si="216"/>
        <v>27.957547677050464</v>
      </c>
      <c r="AJ398" s="170">
        <f t="shared" si="217"/>
        <v>0</v>
      </c>
      <c r="AK398" s="170">
        <f t="shared" si="197"/>
        <v>0</v>
      </c>
      <c r="AM398" s="170" t="str">
        <f t="shared" ref="AM398:AM461" si="221">IMSUB(1,IMEXP(COMPLEX(0,-2*Pi*G398*Tsw)))</f>
        <v>0.59216134108104-0.913054011705323i</v>
      </c>
      <c r="AN398" s="170" t="str">
        <f t="shared" ref="AN398:AN461" si="222">COMPLEX(0, 2*Pi*G398*Tsw)</f>
        <v>5.13247463179468i</v>
      </c>
      <c r="AO398" s="170" t="str">
        <f t="shared" ref="AO398:AO461" si="223">IMDIV(AM398, AN398)</f>
        <v>-0.177897423213576-0.115375405347883i</v>
      </c>
      <c r="AP398" s="170" t="str">
        <f t="shared" ref="AP398:AP461" si="224">IMDIV(IMEXP(COMPLEX(0,-2*Pi*G398*Tsw)),6)</f>
        <v>0.0679731098198267+0.152175668617554i</v>
      </c>
      <c r="AQ398" s="170" t="str">
        <f t="shared" ref="AQ398:AQ461" si="225">IMSUB(1, AP398)</f>
        <v>0.932026890180173-0.152175668617554i</v>
      </c>
      <c r="AR398" s="170" t="str">
        <f t="shared" ref="AR398:AR461" si="226">IMDIV(0.833, AQ398)</f>
        <v>0.870543761807363+0.142137078242739i</v>
      </c>
    </row>
    <row r="399" spans="7:44">
      <c r="G399" s="688">
        <v>35894.5</v>
      </c>
      <c r="H399" s="676">
        <f t="shared" si="218"/>
        <v>35.894500000000001</v>
      </c>
      <c r="I399" s="677">
        <f t="shared" si="198"/>
        <v>32.497145632986928</v>
      </c>
      <c r="J399" s="678">
        <f t="shared" si="199"/>
        <v>1.5400195349735857</v>
      </c>
      <c r="K399" s="678">
        <f t="shared" si="200"/>
        <v>1.001230166434006</v>
      </c>
      <c r="L399" s="679">
        <f t="shared" si="201"/>
        <v>4.9576338412542782E-2</v>
      </c>
      <c r="M399" s="678">
        <f t="shared" si="202"/>
        <v>1.0991793762584725</v>
      </c>
      <c r="N399" s="679">
        <f t="shared" si="203"/>
        <v>-0.42806759117262344</v>
      </c>
      <c r="O399" s="677">
        <f t="shared" si="204"/>
        <v>1488509.8453559461</v>
      </c>
      <c r="P399" s="680">
        <f t="shared" si="205"/>
        <v>1.5707956549820745</v>
      </c>
      <c r="Q399" s="689">
        <f t="shared" si="195"/>
        <v>60.044891443235137</v>
      </c>
      <c r="R399" s="690">
        <f t="shared" si="196"/>
        <v>1.5541413506790156</v>
      </c>
      <c r="S399" s="677">
        <f t="shared" si="206"/>
        <v>1.0081917526310293</v>
      </c>
      <c r="T399" s="680">
        <f t="shared" si="207"/>
        <v>0.1275634750982334</v>
      </c>
      <c r="U399" s="681">
        <f t="shared" si="219"/>
        <v>0.18259231148049412</v>
      </c>
      <c r="V399" s="682">
        <f t="shared" si="220"/>
        <v>-2.4206810444541071</v>
      </c>
      <c r="W399" s="683">
        <f t="shared" si="208"/>
        <v>-22.160542504821844</v>
      </c>
      <c r="X399" s="684">
        <f t="shared" si="209"/>
        <v>-256.88044886596987</v>
      </c>
      <c r="Y399" s="687">
        <f t="shared" si="210"/>
        <v>-76.880448865969868</v>
      </c>
      <c r="AA399" s="170">
        <f t="shared" si="211"/>
        <v>35894.5</v>
      </c>
      <c r="AB399" s="170">
        <f t="shared" si="212"/>
        <v>1288415130.25</v>
      </c>
      <c r="AD399" s="686">
        <f t="shared" si="213"/>
        <v>17.14907434282118</v>
      </c>
      <c r="AE399" s="687">
        <f t="shared" si="214"/>
        <v>-8.2630700998847182</v>
      </c>
      <c r="AG399" s="686">
        <f t="shared" si="215"/>
        <v>47.960898195979411</v>
      </c>
      <c r="AH399" s="687">
        <f t="shared" si="216"/>
        <v>28.772236339959395</v>
      </c>
      <c r="AJ399" s="170">
        <f t="shared" si="217"/>
        <v>0</v>
      </c>
      <c r="AK399" s="170">
        <f t="shared" si="197"/>
        <v>0</v>
      </c>
      <c r="AM399" s="170" t="str">
        <f t="shared" si="221"/>
        <v>0.56519687813636-0.900525538348376i</v>
      </c>
      <c r="AN399" s="170" t="str">
        <f t="shared" si="222"/>
        <v>5.16220861979122i</v>
      </c>
      <c r="AO399" s="170" t="str">
        <f t="shared" si="223"/>
        <v>-0.174445785646067-0.109487415128763i</v>
      </c>
      <c r="AP399" s="170" t="str">
        <f t="shared" si="224"/>
        <v>0.0724671869772733+0.150087589724729i</v>
      </c>
      <c r="AQ399" s="170" t="str">
        <f t="shared" si="225"/>
        <v>0.927532813022727-0.150087589724729i</v>
      </c>
      <c r="AR399" s="170" t="str">
        <f t="shared" si="226"/>
        <v>0.875166343093201+0.141613973326726i</v>
      </c>
    </row>
    <row r="400" spans="7:44">
      <c r="G400" s="688">
        <v>36101.25</v>
      </c>
      <c r="H400" s="676">
        <f t="shared" si="218"/>
        <v>36.10125</v>
      </c>
      <c r="I400" s="677">
        <f t="shared" si="198"/>
        <v>32.684150354126558</v>
      </c>
      <c r="J400" s="678">
        <f t="shared" si="199"/>
        <v>1.5401956817484608</v>
      </c>
      <c r="K400" s="678">
        <f t="shared" si="200"/>
        <v>1.0012443697736877</v>
      </c>
      <c r="L400" s="679">
        <f t="shared" si="201"/>
        <v>4.9861423210726452E-2</v>
      </c>
      <c r="M400" s="678">
        <f t="shared" si="202"/>
        <v>1.1002729622299061</v>
      </c>
      <c r="N400" s="679">
        <f t="shared" si="203"/>
        <v>-0.43024071463967201</v>
      </c>
      <c r="O400" s="677">
        <f t="shared" si="204"/>
        <v>1497083.5658570591</v>
      </c>
      <c r="P400" s="680">
        <f t="shared" si="205"/>
        <v>1.570795658829512</v>
      </c>
      <c r="Q400" s="689">
        <f t="shared" si="195"/>
        <v>60.390650484473426</v>
      </c>
      <c r="R400" s="690">
        <f t="shared" si="196"/>
        <v>1.5542367153832868</v>
      </c>
      <c r="S400" s="677">
        <f t="shared" si="206"/>
        <v>1.0082860034505337</v>
      </c>
      <c r="T400" s="680">
        <f t="shared" si="207"/>
        <v>0.12829021963146586</v>
      </c>
      <c r="U400" s="681">
        <f t="shared" si="219"/>
        <v>0.17812237517481436</v>
      </c>
      <c r="V400" s="682">
        <f t="shared" si="220"/>
        <v>-2.4371360822940988</v>
      </c>
      <c r="W400" s="683">
        <f t="shared" si="208"/>
        <v>-22.417727453274313</v>
      </c>
      <c r="X400" s="684">
        <f t="shared" si="209"/>
        <v>-257.97769782115301</v>
      </c>
      <c r="Y400" s="687">
        <f t="shared" si="210"/>
        <v>-77.977697821153015</v>
      </c>
      <c r="AA400" s="170">
        <f t="shared" si="211"/>
        <v>36101.25</v>
      </c>
      <c r="AB400" s="170">
        <f t="shared" si="212"/>
        <v>1303300251.5625</v>
      </c>
      <c r="AD400" s="686">
        <f t="shared" si="213"/>
        <v>17.148248622725003</v>
      </c>
      <c r="AE400" s="687">
        <f t="shared" si="214"/>
        <v>-8.2992457198371667</v>
      </c>
      <c r="AG400" s="686">
        <f t="shared" si="215"/>
        <v>48.135099323352399</v>
      </c>
      <c r="AH400" s="687">
        <f t="shared" si="216"/>
        <v>29.596771446802514</v>
      </c>
      <c r="AJ400" s="170">
        <f t="shared" si="217"/>
        <v>0</v>
      </c>
      <c r="AK400" s="170">
        <f t="shared" si="197"/>
        <v>0</v>
      </c>
      <c r="AM400" s="170" t="str">
        <f t="shared" si="221"/>
        <v>0.538616800676916-0.887200959976033i</v>
      </c>
      <c r="AN400" s="170" t="str">
        <f t="shared" si="222"/>
        <v>5.19194260778776i</v>
      </c>
      <c r="AO400" s="170" t="str">
        <f t="shared" si="223"/>
        <v>-0.170880348069576-0.103740900346049i</v>
      </c>
      <c r="AP400" s="170" t="str">
        <f t="shared" si="224"/>
        <v>0.0768971998871807+0.147866826662672i</v>
      </c>
      <c r="AQ400" s="170" t="str">
        <f t="shared" si="225"/>
        <v>0.923102800112819-0.147866826662672i</v>
      </c>
      <c r="AR400" s="170" t="str">
        <f t="shared" si="226"/>
        <v>0.879816083288226+0.140932962468223i</v>
      </c>
    </row>
    <row r="401" spans="7:44">
      <c r="G401" s="688">
        <v>36308</v>
      </c>
      <c r="H401" s="676">
        <f t="shared" si="218"/>
        <v>36.308</v>
      </c>
      <c r="I401" s="677">
        <f t="shared" si="198"/>
        <v>32.8711560778411</v>
      </c>
      <c r="J401" s="678">
        <f t="shared" si="199"/>
        <v>1.5403698243122839</v>
      </c>
      <c r="K401" s="678">
        <f t="shared" si="200"/>
        <v>1.0012586544855333</v>
      </c>
      <c r="L401" s="679">
        <f t="shared" si="201"/>
        <v>5.0146499897608804E-2</v>
      </c>
      <c r="M401" s="678">
        <f t="shared" si="202"/>
        <v>1.1013717338697206</v>
      </c>
      <c r="N401" s="679">
        <f t="shared" si="203"/>
        <v>-0.43240951234539593</v>
      </c>
      <c r="O401" s="677">
        <f t="shared" si="204"/>
        <v>1505657.2863581721</v>
      </c>
      <c r="P401" s="680">
        <f t="shared" si="205"/>
        <v>1.5707956626331321</v>
      </c>
      <c r="Q401" s="689">
        <f t="shared" si="195"/>
        <v>60.736410068676896</v>
      </c>
      <c r="R401" s="690">
        <f t="shared" si="196"/>
        <v>1.5543309943060748</v>
      </c>
      <c r="S401" s="677">
        <f t="shared" si="206"/>
        <v>1.0083807867042569</v>
      </c>
      <c r="T401" s="680">
        <f t="shared" si="207"/>
        <v>0.12901682792697414</v>
      </c>
      <c r="U401" s="681">
        <f t="shared" si="219"/>
        <v>0.17362023949967226</v>
      </c>
      <c r="V401" s="682">
        <f t="shared" si="220"/>
        <v>-2.4537574968210429</v>
      </c>
      <c r="W401" s="683">
        <f t="shared" si="208"/>
        <v>-22.681681928123453</v>
      </c>
      <c r="X401" s="684">
        <f t="shared" si="209"/>
        <v>-259.08417164469944</v>
      </c>
      <c r="Y401" s="687">
        <f t="shared" si="210"/>
        <v>-79.084171644699438</v>
      </c>
      <c r="AA401" s="170">
        <f t="shared" si="211"/>
        <v>36308</v>
      </c>
      <c r="AB401" s="170">
        <f t="shared" si="212"/>
        <v>1318270864</v>
      </c>
      <c r="AD401" s="686">
        <f t="shared" si="213"/>
        <v>17.147418626602601</v>
      </c>
      <c r="AE401" s="687">
        <f t="shared" si="214"/>
        <v>-8.3354757421289634</v>
      </c>
      <c r="AG401" s="686">
        <f t="shared" si="215"/>
        <v>48.316699909881187</v>
      </c>
      <c r="AH401" s="687">
        <f t="shared" si="216"/>
        <v>30.431201451586961</v>
      </c>
      <c r="AJ401" s="170">
        <f t="shared" si="217"/>
        <v>0</v>
      </c>
      <c r="AK401" s="170">
        <f t="shared" si="197"/>
        <v>0</v>
      </c>
      <c r="AM401" s="170" t="str">
        <f t="shared" si="221"/>
        <v>0.512444606684802-0.873092056113937i</v>
      </c>
      <c r="AN401" s="170" t="str">
        <f t="shared" si="222"/>
        <v>5.2216765957843i</v>
      </c>
      <c r="AO401" s="170" t="str">
        <f t="shared" si="223"/>
        <v>-0.16720531042057-0.0981379442569312i</v>
      </c>
      <c r="AP401" s="170" t="str">
        <f t="shared" si="224"/>
        <v>0.0812592322191997+0.145515342685656i</v>
      </c>
      <c r="AQ401" s="170" t="str">
        <f t="shared" si="225"/>
        <v>0.9187407677808-0.145515342685656i</v>
      </c>
      <c r="AR401" s="170" t="str">
        <f t="shared" si="226"/>
        <v>0.884487514624683+0.140090119330051i</v>
      </c>
    </row>
    <row r="402" spans="7:44">
      <c r="G402" s="688">
        <v>36519.5</v>
      </c>
      <c r="H402" s="676">
        <f t="shared" si="218"/>
        <v>36.519500000000001</v>
      </c>
      <c r="I402" s="677">
        <f t="shared" si="198"/>
        <v>33.062459204219721</v>
      </c>
      <c r="J402" s="678">
        <f t="shared" si="199"/>
        <v>1.5405459293719361</v>
      </c>
      <c r="K402" s="678">
        <f t="shared" si="200"/>
        <v>1.0012733515772676</v>
      </c>
      <c r="L402" s="679">
        <f t="shared" si="201"/>
        <v>5.0438117668419179E-2</v>
      </c>
      <c r="M402" s="678">
        <f t="shared" si="202"/>
        <v>1.1025010989350805</v>
      </c>
      <c r="N402" s="679">
        <f t="shared" si="203"/>
        <v>-0.43462365359460736</v>
      </c>
      <c r="O402" s="677">
        <f t="shared" si="204"/>
        <v>1514427.9847184403</v>
      </c>
      <c r="P402" s="680">
        <f t="shared" si="205"/>
        <v>1.5707956664795761</v>
      </c>
      <c r="Q402" s="689">
        <f t="shared" si="195"/>
        <v>61.09011389565616</v>
      </c>
      <c r="R402" s="690">
        <f t="shared" si="196"/>
        <v>1.5544263349844956</v>
      </c>
      <c r="S402" s="677">
        <f t="shared" si="206"/>
        <v>1.008478298332891</v>
      </c>
      <c r="T402" s="680">
        <f t="shared" si="207"/>
        <v>0.12975998803404037</v>
      </c>
      <c r="U402" s="681">
        <f t="shared" si="219"/>
        <v>0.16898126416277076</v>
      </c>
      <c r="V402" s="682">
        <f t="shared" si="220"/>
        <v>-2.4709336349356184</v>
      </c>
      <c r="W402" s="683">
        <f t="shared" si="208"/>
        <v>-22.959145255196113</v>
      </c>
      <c r="X402" s="684">
        <f t="shared" si="209"/>
        <v>-260.22565196583184</v>
      </c>
      <c r="Y402" s="687">
        <f t="shared" si="210"/>
        <v>-80.225651965831844</v>
      </c>
      <c r="AA402" s="170">
        <f t="shared" si="211"/>
        <v>36519.5</v>
      </c>
      <c r="AB402" s="170">
        <f t="shared" si="212"/>
        <v>1333673880.25</v>
      </c>
      <c r="AD402" s="686">
        <f t="shared" si="213"/>
        <v>17.146565134297216</v>
      </c>
      <c r="AE402" s="687">
        <f t="shared" si="214"/>
        <v>-8.3725932817043471</v>
      </c>
      <c r="AG402" s="686">
        <f t="shared" si="215"/>
        <v>48.51056192273353</v>
      </c>
      <c r="AH402" s="687">
        <f t="shared" si="216"/>
        <v>31.295079116876884</v>
      </c>
      <c r="AJ402" s="170">
        <f t="shared" si="217"/>
        <v>0</v>
      </c>
      <c r="AK402" s="170">
        <f t="shared" si="197"/>
        <v>0</v>
      </c>
      <c r="AM402" s="170" t="str">
        <f t="shared" si="221"/>
        <v>0.486117286324681-0.857860452862638i</v>
      </c>
      <c r="AN402" s="170" t="str">
        <f t="shared" si="222"/>
        <v>5.25209371047i</v>
      </c>
      <c r="AO402" s="170" t="str">
        <f t="shared" si="223"/>
        <v>-0.163336851959153-0.0925568569646065i</v>
      </c>
      <c r="AP402" s="170" t="str">
        <f t="shared" si="224"/>
        <v>0.0856471189458865+0.142976742143773i</v>
      </c>
      <c r="AQ402" s="170" t="str">
        <f t="shared" si="225"/>
        <v>0.914352881054113-0.142976742143773i</v>
      </c>
      <c r="AR402" s="170" t="str">
        <f t="shared" si="226"/>
        <v>0.889282647532784+0.139056526669053i</v>
      </c>
    </row>
    <row r="403" spans="7:44">
      <c r="G403" s="688">
        <v>36731</v>
      </c>
      <c r="H403" s="676">
        <f t="shared" si="218"/>
        <v>36.731000000000002</v>
      </c>
      <c r="I403" s="677">
        <f t="shared" si="198"/>
        <v>33.253763344166607</v>
      </c>
      <c r="J403" s="678">
        <f t="shared" si="199"/>
        <v>1.540720008222541</v>
      </c>
      <c r="K403" s="678">
        <f t="shared" si="200"/>
        <v>1.0012881338157096</v>
      </c>
      <c r="L403" s="679">
        <f t="shared" si="201"/>
        <v>5.0729726853592214E-2</v>
      </c>
      <c r="M403" s="678">
        <f t="shared" si="202"/>
        <v>1.1036358578482002</v>
      </c>
      <c r="N403" s="679">
        <f t="shared" si="203"/>
        <v>-0.43683325249552035</v>
      </c>
      <c r="O403" s="677">
        <f t="shared" si="204"/>
        <v>1523198.6830787084</v>
      </c>
      <c r="P403" s="680">
        <f t="shared" si="205"/>
        <v>1.5707956702817241</v>
      </c>
      <c r="Q403" s="689">
        <f t="shared" si="195"/>
        <v>61.443818271541879</v>
      </c>
      <c r="R403" s="690">
        <f t="shared" si="196"/>
        <v>1.5545205779971125</v>
      </c>
      <c r="S403" s="677">
        <f t="shared" si="206"/>
        <v>1.0085763668230456</v>
      </c>
      <c r="T403" s="680">
        <f t="shared" si="207"/>
        <v>0.13050300402969023</v>
      </c>
      <c r="U403" s="681">
        <f t="shared" si="219"/>
        <v>0.16430852048941968</v>
      </c>
      <c r="V403" s="682">
        <f t="shared" si="220"/>
        <v>-2.4882850713307434</v>
      </c>
      <c r="W403" s="683">
        <f t="shared" si="208"/>
        <v>-23.244621923522782</v>
      </c>
      <c r="X403" s="684">
        <f t="shared" si="209"/>
        <v>-261.37685491201813</v>
      </c>
      <c r="Y403" s="687">
        <f t="shared" si="210"/>
        <v>-81.376854912018132</v>
      </c>
      <c r="AA403" s="170">
        <f t="shared" si="211"/>
        <v>36731</v>
      </c>
      <c r="AB403" s="170">
        <f t="shared" si="212"/>
        <v>1349166361</v>
      </c>
      <c r="AD403" s="686">
        <f t="shared" si="213"/>
        <v>17.145707161648986</v>
      </c>
      <c r="AE403" s="687">
        <f t="shared" si="214"/>
        <v>-8.4097654533837503</v>
      </c>
      <c r="AG403" s="686">
        <f t="shared" si="215"/>
        <v>48.713082015241511</v>
      </c>
      <c r="AH403" s="687">
        <f t="shared" si="216"/>
        <v>32.169376492502735</v>
      </c>
      <c r="AJ403" s="170">
        <f t="shared" si="217"/>
        <v>0</v>
      </c>
      <c r="AK403" s="170">
        <f t="shared" si="197"/>
        <v>0</v>
      </c>
      <c r="AM403" s="170" t="str">
        <f t="shared" si="221"/>
        <v>0.460265374040482-0.841835217569531i</v>
      </c>
      <c r="AN403" s="170" t="str">
        <f t="shared" si="222"/>
        <v>5.2825108251557i</v>
      </c>
      <c r="AO403" s="170" t="str">
        <f t="shared" si="223"/>
        <v>-0.159362705621094-0.0871300389672019i</v>
      </c>
      <c r="AP403" s="170" t="str">
        <f t="shared" si="224"/>
        <v>0.089955770993253+0.140305869594922i</v>
      </c>
      <c r="AQ403" s="170" t="str">
        <f t="shared" si="225"/>
        <v>0.910044229006747-0.140305869594922i</v>
      </c>
      <c r="AR403" s="170" t="str">
        <f t="shared" si="226"/>
        <v>0.894087782673824+0.137845787977978i</v>
      </c>
    </row>
    <row r="404" spans="7:44">
      <c r="G404" s="688">
        <v>36942.5</v>
      </c>
      <c r="H404" s="676">
        <f t="shared" si="218"/>
        <v>36.942500000000003</v>
      </c>
      <c r="I404" s="677">
        <f t="shared" si="198"/>
        <v>33.445068480289073</v>
      </c>
      <c r="J404" s="678">
        <f t="shared" si="199"/>
        <v>1.5408920956230847</v>
      </c>
      <c r="K404" s="678">
        <f t="shared" si="200"/>
        <v>1.0013030011970876</v>
      </c>
      <c r="L404" s="679">
        <f t="shared" si="201"/>
        <v>5.1021327403914747E-2</v>
      </c>
      <c r="M404" s="678">
        <f t="shared" si="202"/>
        <v>1.1047759939883797</v>
      </c>
      <c r="N404" s="679">
        <f t="shared" si="203"/>
        <v>-0.43903830150234435</v>
      </c>
      <c r="O404" s="677">
        <f t="shared" si="204"/>
        <v>1531969.3814389766</v>
      </c>
      <c r="P404" s="680">
        <f t="shared" si="205"/>
        <v>1.5707956740403364</v>
      </c>
      <c r="Q404" s="689">
        <f t="shared" si="195"/>
        <v>61.797523186908883</v>
      </c>
      <c r="R404" s="690">
        <f t="shared" si="196"/>
        <v>1.5546137421900692</v>
      </c>
      <c r="S404" s="677">
        <f t="shared" si="206"/>
        <v>1.0086749920122982</v>
      </c>
      <c r="T404" s="680">
        <f t="shared" si="207"/>
        <v>0.13124587513567978</v>
      </c>
      <c r="U404" s="681">
        <f t="shared" si="219"/>
        <v>0.15960213708728199</v>
      </c>
      <c r="V404" s="682">
        <f t="shared" si="220"/>
        <v>-2.5058120447053351</v>
      </c>
      <c r="W404" s="683">
        <f t="shared" si="208"/>
        <v>-23.538640297004186</v>
      </c>
      <c r="X404" s="684">
        <f t="shared" si="209"/>
        <v>-262.5377945973687</v>
      </c>
      <c r="Y404" s="687">
        <f t="shared" si="210"/>
        <v>-82.537794597368702</v>
      </c>
      <c r="AA404" s="170">
        <f t="shared" si="211"/>
        <v>36942.5</v>
      </c>
      <c r="AB404" s="170">
        <f t="shared" si="212"/>
        <v>1364748306.25</v>
      </c>
      <c r="AD404" s="686">
        <f t="shared" si="213"/>
        <v>17.144844706093835</v>
      </c>
      <c r="AE404" s="687">
        <f t="shared" si="214"/>
        <v>-8.4469911328161675</v>
      </c>
      <c r="AG404" s="686">
        <f t="shared" si="215"/>
        <v>48.924781408484975</v>
      </c>
      <c r="AH404" s="687">
        <f t="shared" si="216"/>
        <v>33.054105692884065</v>
      </c>
      <c r="AJ404" s="170">
        <f t="shared" si="217"/>
        <v>0</v>
      </c>
      <c r="AK404" s="170">
        <f t="shared" si="197"/>
        <v>0</v>
      </c>
      <c r="AM404" s="170" t="str">
        <f t="shared" si="221"/>
        <v>0.434912786199792-0.825031175653089i</v>
      </c>
      <c r="AN404" s="170" t="str">
        <f t="shared" si="222"/>
        <v>5.3129279398414i</v>
      </c>
      <c r="AO404" s="170" t="str">
        <f t="shared" si="223"/>
        <v>-0.155287477073841-0.0818593421789897i</v>
      </c>
      <c r="AP404" s="170" t="str">
        <f t="shared" si="224"/>
        <v>0.0941812023000347+0.137505195942181i</v>
      </c>
      <c r="AQ404" s="170" t="str">
        <f t="shared" si="225"/>
        <v>0.905818797699965-0.137505195942181i</v>
      </c>
      <c r="AR404" s="170" t="str">
        <f t="shared" si="226"/>
        <v>0.898895925181406+0.13645428935406i</v>
      </c>
    </row>
    <row r="405" spans="7:44">
      <c r="G405" s="688">
        <v>37154</v>
      </c>
      <c r="H405" s="676">
        <f t="shared" si="218"/>
        <v>37.154000000000003</v>
      </c>
      <c r="I405" s="677">
        <f t="shared" si="198"/>
        <v>33.636374595590027</v>
      </c>
      <c r="J405" s="678">
        <f t="shared" si="199"/>
        <v>1.5410622255422677</v>
      </c>
      <c r="K405" s="678">
        <f t="shared" si="200"/>
        <v>1.0013179537176096</v>
      </c>
      <c r="L405" s="679">
        <f t="shared" si="201"/>
        <v>5.131291927018241E-2</v>
      </c>
      <c r="M405" s="678">
        <f t="shared" si="202"/>
        <v>1.1059214907248609</v>
      </c>
      <c r="N405" s="679">
        <f t="shared" si="203"/>
        <v>-0.44123879327731225</v>
      </c>
      <c r="O405" s="677">
        <f t="shared" si="204"/>
        <v>1540740.0797992446</v>
      </c>
      <c r="P405" s="680">
        <f t="shared" si="205"/>
        <v>1.5707956777561567</v>
      </c>
      <c r="Q405" s="689">
        <f t="shared" si="195"/>
        <v>62.151228632546548</v>
      </c>
      <c r="R405" s="690">
        <f t="shared" si="196"/>
        <v>1.5547058459805689</v>
      </c>
      <c r="S405" s="677">
        <f t="shared" si="206"/>
        <v>1.0087741737373674</v>
      </c>
      <c r="T405" s="680">
        <f t="shared" si="207"/>
        <v>0.13198860057470835</v>
      </c>
      <c r="U405" s="681">
        <f t="shared" si="219"/>
        <v>0.15486236208574217</v>
      </c>
      <c r="V405" s="682">
        <f t="shared" si="220"/>
        <v>-2.5235145313029341</v>
      </c>
      <c r="W405" s="683">
        <f t="shared" si="208"/>
        <v>-23.841774436162648</v>
      </c>
      <c r="X405" s="684">
        <f t="shared" si="209"/>
        <v>-263.70847008967661</v>
      </c>
      <c r="Y405" s="687">
        <f t="shared" si="210"/>
        <v>-83.708470089676609</v>
      </c>
      <c r="AA405" s="170">
        <f t="shared" si="211"/>
        <v>37154</v>
      </c>
      <c r="AB405" s="170">
        <f t="shared" si="212"/>
        <v>1380419716</v>
      </c>
      <c r="AD405" s="686">
        <f t="shared" si="213"/>
        <v>17.143977765233643</v>
      </c>
      <c r="AE405" s="687">
        <f t="shared" si="214"/>
        <v>-8.4842692202801366</v>
      </c>
      <c r="AG405" s="686">
        <f t="shared" si="215"/>
        <v>49.146227134533092</v>
      </c>
      <c r="AH405" s="687">
        <f t="shared" si="216"/>
        <v>33.949263828216736</v>
      </c>
      <c r="AJ405" s="170">
        <f t="shared" si="217"/>
        <v>0</v>
      </c>
      <c r="AK405" s="170">
        <f t="shared" si="197"/>
        <v>0</v>
      </c>
      <c r="AM405" s="170" t="str">
        <f t="shared" si="221"/>
        <v>0.410082977230411-0.807463873028796i</v>
      </c>
      <c r="AN405" s="170" t="str">
        <f t="shared" si="222"/>
        <v>5.3433450545271i</v>
      </c>
      <c r="AO405" s="170" t="str">
        <f t="shared" si="223"/>
        <v>-0.151115801953437-0.0767464898945599i</v>
      </c>
      <c r="AP405" s="170" t="str">
        <f t="shared" si="224"/>
        <v>0.0983195037949315+0.134577312171466i</v>
      </c>
      <c r="AQ405" s="170" t="str">
        <f t="shared" si="225"/>
        <v>0.901680496205069-0.134577312171466i</v>
      </c>
      <c r="AR405" s="170" t="str">
        <f t="shared" si="226"/>
        <v>0.903699695261482+0.134878680985469i</v>
      </c>
    </row>
    <row r="406" spans="7:44">
      <c r="G406" s="688">
        <v>37370.25</v>
      </c>
      <c r="H406" s="676">
        <f t="shared" si="218"/>
        <v>37.370249999999999</v>
      </c>
      <c r="I406" s="677">
        <f t="shared" si="198"/>
        <v>33.831978179038693</v>
      </c>
      <c r="J406" s="678">
        <f t="shared" si="199"/>
        <v>1.5412341870077846</v>
      </c>
      <c r="K406" s="678">
        <f t="shared" si="200"/>
        <v>1.001333330076045</v>
      </c>
      <c r="L406" s="679">
        <f t="shared" si="201"/>
        <v>5.1611050859908948E-2</v>
      </c>
      <c r="M406" s="678">
        <f t="shared" si="202"/>
        <v>1.1070982389494994</v>
      </c>
      <c r="N406" s="679">
        <f t="shared" si="203"/>
        <v>-0.44348398574843662</v>
      </c>
      <c r="O406" s="677">
        <f t="shared" si="204"/>
        <v>1549707.7560186677</v>
      </c>
      <c r="P406" s="680">
        <f t="shared" si="205"/>
        <v>1.5707956815119417</v>
      </c>
      <c r="Q406" s="689">
        <f t="shared" si="195"/>
        <v>62.512878356398993</v>
      </c>
      <c r="R406" s="690">
        <f t="shared" si="196"/>
        <v>1.5547989406515279</v>
      </c>
      <c r="S406" s="677">
        <f t="shared" si="206"/>
        <v>1.0088761582017227</v>
      </c>
      <c r="T406" s="680">
        <f t="shared" si="207"/>
        <v>0.13274785518907922</v>
      </c>
      <c r="U406" s="681">
        <f t="shared" si="219"/>
        <v>0.14998200354128774</v>
      </c>
      <c r="V406" s="682">
        <f t="shared" si="220"/>
        <v>-2.5417957472525639</v>
      </c>
      <c r="W406" s="683">
        <f t="shared" si="208"/>
        <v>-24.161793657773995</v>
      </c>
      <c r="X406" s="684">
        <f t="shared" si="209"/>
        <v>-264.91548601493776</v>
      </c>
      <c r="Y406" s="687">
        <f t="shared" si="210"/>
        <v>-84.915486014937755</v>
      </c>
      <c r="AA406" s="170">
        <f t="shared" si="211"/>
        <v>37370.25</v>
      </c>
      <c r="AB406" s="170">
        <f t="shared" si="212"/>
        <v>1396535585.0625</v>
      </c>
      <c r="AD406" s="686">
        <f t="shared" si="213"/>
        <v>17.1430867142038</v>
      </c>
      <c r="AE406" s="687">
        <f t="shared" si="214"/>
        <v>-8.5224375887525561</v>
      </c>
      <c r="AG406" s="686">
        <f t="shared" si="215"/>
        <v>49.383368097672211</v>
      </c>
      <c r="AH406" s="687">
        <f t="shared" si="216"/>
        <v>34.875289310383785</v>
      </c>
      <c r="AJ406" s="170">
        <f t="shared" si="217"/>
        <v>0</v>
      </c>
      <c r="AK406" s="170">
        <f t="shared" si="197"/>
        <v>0</v>
      </c>
      <c r="AM406" s="170" t="str">
        <f t="shared" si="221"/>
        <v>0.385259972148716-0.788729800475044i</v>
      </c>
      <c r="AN406" s="170" t="str">
        <f t="shared" si="222"/>
        <v>5.37444529590195i</v>
      </c>
      <c r="AO406" s="170" t="str">
        <f t="shared" si="223"/>
        <v>-0.14675557328241-0.0716836716977061i</v>
      </c>
      <c r="AP406" s="170" t="str">
        <f t="shared" si="224"/>
        <v>0.102456671308547+0.131454966745841i</v>
      </c>
      <c r="AQ406" s="170" t="str">
        <f t="shared" si="225"/>
        <v>0.897543328691453-0.131454966745841i</v>
      </c>
      <c r="AR406" s="170" t="str">
        <f t="shared" si="226"/>
        <v>0.908598744644959+0.133074152460973i</v>
      </c>
    </row>
    <row r="407" spans="7:44">
      <c r="G407" s="688">
        <v>37586.5</v>
      </c>
      <c r="H407" s="676">
        <f t="shared" si="218"/>
        <v>37.586500000000001</v>
      </c>
      <c r="I407" s="677">
        <f t="shared" si="198"/>
        <v>34.027582751422372</v>
      </c>
      <c r="J407" s="678">
        <f t="shared" si="199"/>
        <v>1.5414041714675017</v>
      </c>
      <c r="K407" s="678">
        <f t="shared" si="200"/>
        <v>1.0013487954326967</v>
      </c>
      <c r="L407" s="679">
        <f t="shared" si="201"/>
        <v>5.1909173267130987E-2</v>
      </c>
      <c r="M407" s="678">
        <f t="shared" si="202"/>
        <v>1.108280556066281</v>
      </c>
      <c r="N407" s="679">
        <f t="shared" si="203"/>
        <v>-0.44572439913669626</v>
      </c>
      <c r="O407" s="677">
        <f t="shared" si="204"/>
        <v>1558675.432238091</v>
      </c>
      <c r="P407" s="680">
        <f t="shared" si="205"/>
        <v>1.5707956852245097</v>
      </c>
      <c r="Q407" s="689">
        <f t="shared" ref="Q407:Q470" si="227">SQRT(1+(G407/Zero2)^2)</f>
        <v>62.874528615794148</v>
      </c>
      <c r="R407" s="690">
        <f t="shared" ref="R407:R470" si="228">ATAN(G407/Zero2)</f>
        <v>1.5548909643741138</v>
      </c>
      <c r="S407" s="677">
        <f t="shared" si="206"/>
        <v>1.0089787241327</v>
      </c>
      <c r="T407" s="680">
        <f t="shared" si="207"/>
        <v>0.13350695587962824</v>
      </c>
      <c r="U407" s="681">
        <f t="shared" si="219"/>
        <v>0.1450676702328865</v>
      </c>
      <c r="V407" s="682">
        <f t="shared" si="220"/>
        <v>-2.5602594988156566</v>
      </c>
      <c r="W407" s="683">
        <f t="shared" si="208"/>
        <v>-24.492728596760752</v>
      </c>
      <c r="X407" s="684">
        <f t="shared" si="209"/>
        <v>-266.13262643038541</v>
      </c>
      <c r="Y407" s="687">
        <f t="shared" si="210"/>
        <v>-86.132626430385415</v>
      </c>
      <c r="AA407" s="170">
        <f t="shared" si="211"/>
        <v>37586.5</v>
      </c>
      <c r="AB407" s="170">
        <f t="shared" si="212"/>
        <v>1412744982.25</v>
      </c>
      <c r="AD407" s="686">
        <f t="shared" si="213"/>
        <v>17.142190969577374</v>
      </c>
      <c r="AE407" s="687">
        <f t="shared" si="214"/>
        <v>-8.5606584963853773</v>
      </c>
      <c r="AG407" s="686">
        <f t="shared" si="215"/>
        <v>49.632069481336103</v>
      </c>
      <c r="AH407" s="687">
        <f t="shared" si="216"/>
        <v>35.812159882073225</v>
      </c>
      <c r="AJ407" s="170">
        <f t="shared" si="217"/>
        <v>0</v>
      </c>
      <c r="AK407" s="170">
        <f t="shared" ref="AK407:AK470" si="229">IF(AJ407&gt;0,Y407,0)</f>
        <v>0</v>
      </c>
      <c r="AM407" s="170" t="str">
        <f t="shared" si="221"/>
        <v>0.361031511074992-0.769232910216985i</v>
      </c>
      <c r="AN407" s="170" t="str">
        <f t="shared" si="222"/>
        <v>5.40554553727681i</v>
      </c>
      <c r="AO407" s="170" t="str">
        <f t="shared" si="223"/>
        <v>-0.142304399234514-0.0667890980818324i</v>
      </c>
      <c r="AP407" s="170" t="str">
        <f t="shared" si="224"/>
        <v>0.106494748154168+0.128205485036164i</v>
      </c>
      <c r="AQ407" s="170" t="str">
        <f t="shared" si="225"/>
        <v>0.893505251845832-0.128205485036164i</v>
      </c>
      <c r="AR407" s="170" t="str">
        <f t="shared" si="226"/>
        <v>0.913476410639188+0.131071066513774i</v>
      </c>
    </row>
    <row r="408" spans="7:44">
      <c r="G408" s="688">
        <v>37802.75</v>
      </c>
      <c r="H408" s="676">
        <f t="shared" si="218"/>
        <v>37.802750000000003</v>
      </c>
      <c r="I408" s="677">
        <f t="shared" si="198"/>
        <v>34.223188295784126</v>
      </c>
      <c r="J408" s="678">
        <f t="shared" si="199"/>
        <v>1.5415722128107452</v>
      </c>
      <c r="K408" s="678">
        <f t="shared" si="200"/>
        <v>1.0013643497834417</v>
      </c>
      <c r="L408" s="679">
        <f t="shared" si="201"/>
        <v>5.2207286439282775E-2</v>
      </c>
      <c r="M408" s="678">
        <f t="shared" si="202"/>
        <v>1.1094684242715538</v>
      </c>
      <c r="N408" s="679">
        <f t="shared" si="203"/>
        <v>-0.44796002626545678</v>
      </c>
      <c r="O408" s="677">
        <f t="shared" si="204"/>
        <v>1567643.1084575141</v>
      </c>
      <c r="P408" s="680">
        <f t="shared" si="205"/>
        <v>1.5707956888946024</v>
      </c>
      <c r="Q408" s="689">
        <f t="shared" si="227"/>
        <v>63.236179401543659</v>
      </c>
      <c r="R408" s="690">
        <f t="shared" si="228"/>
        <v>1.554981935521172</v>
      </c>
      <c r="S408" s="677">
        <f t="shared" si="206"/>
        <v>1.009081871352993</v>
      </c>
      <c r="T408" s="680">
        <f t="shared" si="207"/>
        <v>0.13426590181858614</v>
      </c>
      <c r="U408" s="681">
        <f t="shared" si="219"/>
        <v>0.14012005485409834</v>
      </c>
      <c r="V408" s="682">
        <f t="shared" si="220"/>
        <v>-2.5789048190903165</v>
      </c>
      <c r="W408" s="683">
        <f t="shared" si="208"/>
        <v>-24.835383576708633</v>
      </c>
      <c r="X408" s="684">
        <f t="shared" si="209"/>
        <v>-267.3598363700861</v>
      </c>
      <c r="Y408" s="687">
        <f t="shared" si="210"/>
        <v>-87.3598363700861</v>
      </c>
      <c r="AA408" s="170">
        <f t="shared" si="211"/>
        <v>37802.75</v>
      </c>
      <c r="AB408" s="170">
        <f t="shared" si="212"/>
        <v>1429047907.5625</v>
      </c>
      <c r="AD408" s="686">
        <f t="shared" si="213"/>
        <v>17.141290529296118</v>
      </c>
      <c r="AE408" s="687">
        <f t="shared" si="214"/>
        <v>-8.598930843106908</v>
      </c>
      <c r="AG408" s="686">
        <f t="shared" si="215"/>
        <v>49.893128450925701</v>
      </c>
      <c r="AH408" s="687">
        <f t="shared" si="216"/>
        <v>36.75981861035087</v>
      </c>
      <c r="AJ408" s="170">
        <f t="shared" si="217"/>
        <v>0</v>
      </c>
      <c r="AK408" s="170">
        <f t="shared" si="229"/>
        <v>0</v>
      </c>
      <c r="AM408" s="170" t="str">
        <f t="shared" si="221"/>
        <v>0.337421026494039-0.748992058614634i</v>
      </c>
      <c r="AN408" s="170" t="str">
        <f t="shared" si="222"/>
        <v>5.43664577865167i</v>
      </c>
      <c r="AO408" s="170" t="str">
        <f t="shared" si="223"/>
        <v>-0.137767308945478-0.0620641918255932i</v>
      </c>
      <c r="AP408" s="170" t="str">
        <f t="shared" si="224"/>
        <v>0.11042982891766+0.124832009769106i</v>
      </c>
      <c r="AQ408" s="170" t="str">
        <f t="shared" si="225"/>
        <v>0.88957017108234-0.124832009769106i</v>
      </c>
      <c r="AR408" s="170" t="str">
        <f t="shared" si="226"/>
        <v>0.918323599629206+0.128866934039207i</v>
      </c>
    </row>
    <row r="409" spans="7:44">
      <c r="G409" s="688">
        <v>38019</v>
      </c>
      <c r="H409" s="676">
        <f t="shared" si="218"/>
        <v>38.018999999999998</v>
      </c>
      <c r="I409" s="677">
        <f t="shared" si="198"/>
        <v>34.418794795552401</v>
      </c>
      <c r="J409" s="678">
        <f t="shared" si="199"/>
        <v>1.5417383441568959</v>
      </c>
      <c r="K409" s="678">
        <f t="shared" si="200"/>
        <v>1.0013799931241325</v>
      </c>
      <c r="L409" s="679">
        <f t="shared" si="201"/>
        <v>5.2505390323808396E-2</v>
      </c>
      <c r="M409" s="678">
        <f t="shared" si="202"/>
        <v>1.1106618257544201</v>
      </c>
      <c r="N409" s="679">
        <f t="shared" si="203"/>
        <v>-0.45019086018008775</v>
      </c>
      <c r="O409" s="677">
        <f t="shared" si="204"/>
        <v>1576610.7846769372</v>
      </c>
      <c r="P409" s="680">
        <f t="shared" si="205"/>
        <v>1.5707956925229445</v>
      </c>
      <c r="Q409" s="689">
        <f t="shared" si="227"/>
        <v>63.597830704668127</v>
      </c>
      <c r="R409" s="690">
        <f t="shared" si="228"/>
        <v>1.555071872047707</v>
      </c>
      <c r="S409" s="677">
        <f t="shared" si="206"/>
        <v>1.0091855996843642</v>
      </c>
      <c r="T409" s="680">
        <f t="shared" si="207"/>
        <v>0.13502469217923418</v>
      </c>
      <c r="U409" s="681">
        <f t="shared" si="219"/>
        <v>0.13514000677169383</v>
      </c>
      <c r="V409" s="682">
        <f t="shared" si="220"/>
        <v>-2.5977303945241528</v>
      </c>
      <c r="W409" s="683">
        <f t="shared" si="208"/>
        <v>-25.190646146544481</v>
      </c>
      <c r="X409" s="684">
        <f t="shared" si="209"/>
        <v>-268.59704099910084</v>
      </c>
      <c r="Y409" s="687">
        <f t="shared" si="210"/>
        <v>-88.597040999100841</v>
      </c>
      <c r="AA409" s="170">
        <f t="shared" si="211"/>
        <v>38019</v>
      </c>
      <c r="AB409" s="170">
        <f t="shared" si="212"/>
        <v>1445444361</v>
      </c>
      <c r="AD409" s="686">
        <f t="shared" si="213"/>
        <v>17.140385391461592</v>
      </c>
      <c r="AE409" s="687">
        <f t="shared" si="214"/>
        <v>-8.637253552845209</v>
      </c>
      <c r="AG409" s="686">
        <f t="shared" si="215"/>
        <v>50.167425511407529</v>
      </c>
      <c r="AH409" s="687">
        <f t="shared" si="216"/>
        <v>37.71818873206746</v>
      </c>
      <c r="AJ409" s="170">
        <f t="shared" si="217"/>
        <v>0</v>
      </c>
      <c r="AK409" s="170">
        <f t="shared" si="229"/>
        <v>0</v>
      </c>
      <c r="AM409" s="170" t="str">
        <f t="shared" si="221"/>
        <v>0.314451353216506-0.728026821548025i</v>
      </c>
      <c r="AN409" s="170" t="str">
        <f t="shared" si="222"/>
        <v>5.46774602002653i</v>
      </c>
      <c r="AO409" s="170" t="str">
        <f t="shared" si="223"/>
        <v>-0.133149348722765-0.0575102340278381i</v>
      </c>
      <c r="AP409" s="170" t="str">
        <f t="shared" si="224"/>
        <v>0.114258107797249+0.121337803591338i</v>
      </c>
      <c r="AQ409" s="170" t="str">
        <f t="shared" si="225"/>
        <v>0.885741892202751-0.121337803591338i</v>
      </c>
      <c r="AR409" s="170" t="str">
        <f t="shared" si="226"/>
        <v>0.923130838657421+0.126459716285477i</v>
      </c>
    </row>
    <row r="410" spans="7:44">
      <c r="G410" s="688">
        <v>38240.5</v>
      </c>
      <c r="H410" s="676">
        <f t="shared" si="218"/>
        <v>38.240499999999997</v>
      </c>
      <c r="I410" s="677">
        <f t="shared" si="198"/>
        <v>34.619151097193864</v>
      </c>
      <c r="J410" s="678">
        <f t="shared" si="199"/>
        <v>1.5419065624613175</v>
      </c>
      <c r="K410" s="678">
        <f t="shared" si="200"/>
        <v>1.0013961084978351</v>
      </c>
      <c r="L410" s="679">
        <f t="shared" si="201"/>
        <v>5.2810721728968051E-2</v>
      </c>
      <c r="M410" s="678">
        <f t="shared" si="202"/>
        <v>1.1118899177783286</v>
      </c>
      <c r="N410" s="679">
        <f t="shared" si="203"/>
        <v>-0.45247087685479348</v>
      </c>
      <c r="O410" s="677">
        <f t="shared" si="204"/>
        <v>1585796.1732670052</v>
      </c>
      <c r="P410" s="680">
        <f t="shared" si="205"/>
        <v>1.5707956961968306</v>
      </c>
      <c r="Q410" s="689">
        <f t="shared" si="227"/>
        <v>63.968262508823067</v>
      </c>
      <c r="R410" s="690">
        <f t="shared" si="228"/>
        <v>1.5551629377399343</v>
      </c>
      <c r="S410" s="677">
        <f t="shared" si="206"/>
        <v>1.0092924485327268</v>
      </c>
      <c r="T410" s="680">
        <f t="shared" si="207"/>
        <v>0.13580174188734612</v>
      </c>
      <c r="U410" s="681">
        <f t="shared" si="219"/>
        <v>0.13000649087532679</v>
      </c>
      <c r="V410" s="682">
        <f t="shared" si="220"/>
        <v>-2.6171981276863825</v>
      </c>
      <c r="W410" s="683">
        <f t="shared" si="208"/>
        <v>-25.568632516966314</v>
      </c>
      <c r="X410" s="684">
        <f t="shared" si="209"/>
        <v>-269.87454347755687</v>
      </c>
      <c r="Y410" s="687">
        <f t="shared" si="210"/>
        <v>-89.87454347755687</v>
      </c>
      <c r="AA410" s="170">
        <f t="shared" si="211"/>
        <v>38240.5</v>
      </c>
      <c r="AB410" s="170">
        <f t="shared" si="212"/>
        <v>1462335840.25</v>
      </c>
      <c r="AD410" s="686">
        <f t="shared" si="213"/>
        <v>17.139453407356726</v>
      </c>
      <c r="AE410" s="687">
        <f t="shared" si="214"/>
        <v>-8.6765577523119095</v>
      </c>
      <c r="AG410" s="686">
        <f t="shared" si="215"/>
        <v>50.46312713886401</v>
      </c>
      <c r="AH410" s="687">
        <f t="shared" si="216"/>
        <v>38.7108283493925</v>
      </c>
      <c r="AJ410" s="170">
        <f t="shared" si="217"/>
        <v>0</v>
      </c>
      <c r="AK410" s="170">
        <f t="shared" si="229"/>
        <v>0</v>
      </c>
      <c r="AM410" s="170" t="str">
        <f t="shared" si="221"/>
        <v>0.291611583662943-0.705822818842998i</v>
      </c>
      <c r="AN410" s="170" t="str">
        <f t="shared" si="222"/>
        <v>5.49960129616309i</v>
      </c>
      <c r="AO410" s="170" t="str">
        <f t="shared" si="223"/>
        <v>-0.128340725233196-0.0530241317432214i</v>
      </c>
      <c r="AP410" s="170" t="str">
        <f t="shared" si="224"/>
        <v>0.118064736056176+0.117637136473833i</v>
      </c>
      <c r="AQ410" s="170" t="str">
        <f t="shared" si="225"/>
        <v>0.881935263943824-0.117637136473833i</v>
      </c>
      <c r="AR410" s="170" t="str">
        <f t="shared" si="226"/>
        <v>0.92800309128141+0.123781904137766i</v>
      </c>
    </row>
    <row r="411" spans="7:44">
      <c r="G411" s="688">
        <v>38462</v>
      </c>
      <c r="H411" s="676">
        <f t="shared" si="218"/>
        <v>38.462000000000003</v>
      </c>
      <c r="I411" s="677">
        <f t="shared" si="198"/>
        <v>34.819508367193329</v>
      </c>
      <c r="J411" s="678">
        <f t="shared" si="199"/>
        <v>1.5420728448579284</v>
      </c>
      <c r="K411" s="678">
        <f t="shared" si="200"/>
        <v>1.0014123172259506</v>
      </c>
      <c r="L411" s="679">
        <f t="shared" si="201"/>
        <v>5.3116043278483252E-2</v>
      </c>
      <c r="M411" s="678">
        <f t="shared" si="202"/>
        <v>1.113123777163564</v>
      </c>
      <c r="N411" s="679">
        <f t="shared" si="203"/>
        <v>-0.4547458506941246</v>
      </c>
      <c r="O411" s="677">
        <f t="shared" si="204"/>
        <v>1594981.5618570738</v>
      </c>
      <c r="P411" s="680">
        <f t="shared" si="205"/>
        <v>1.5707956998284012</v>
      </c>
      <c r="Q411" s="689">
        <f t="shared" si="227"/>
        <v>64.338694837355675</v>
      </c>
      <c r="R411" s="690">
        <f t="shared" si="228"/>
        <v>1.5552529548049638</v>
      </c>
      <c r="S411" s="677">
        <f t="shared" si="206"/>
        <v>1.0093999066689439</v>
      </c>
      <c r="T411" s="680">
        <f t="shared" si="207"/>
        <v>0.13657862661900799</v>
      </c>
      <c r="U411" s="681">
        <f t="shared" si="219"/>
        <v>0.12484128007887992</v>
      </c>
      <c r="V411" s="682">
        <f t="shared" si="220"/>
        <v>-2.6368510114707413</v>
      </c>
      <c r="W411" s="683">
        <f t="shared" si="208"/>
        <v>-25.962056362548633</v>
      </c>
      <c r="X411" s="684">
        <f t="shared" si="209"/>
        <v>-271.16230564443674</v>
      </c>
      <c r="Y411" s="687">
        <f t="shared" si="210"/>
        <v>-91.162305644436742</v>
      </c>
      <c r="AA411" s="170">
        <f t="shared" si="211"/>
        <v>38462</v>
      </c>
      <c r="AB411" s="170">
        <f t="shared" si="212"/>
        <v>1479325444</v>
      </c>
      <c r="AD411" s="686">
        <f t="shared" si="213"/>
        <v>17.138516491301669</v>
      </c>
      <c r="AE411" s="687">
        <f t="shared" si="214"/>
        <v>-8.7159125788125884</v>
      </c>
      <c r="AG411" s="686">
        <f t="shared" si="215"/>
        <v>50.774913124797436</v>
      </c>
      <c r="AH411" s="687">
        <f t="shared" si="216"/>
        <v>39.71447560379633</v>
      </c>
      <c r="AJ411" s="170">
        <f t="shared" si="217"/>
        <v>0</v>
      </c>
      <c r="AK411" s="170">
        <f t="shared" si="229"/>
        <v>0</v>
      </c>
      <c r="AM411" s="170" t="str">
        <f t="shared" si="221"/>
        <v>0.26949059657392-0.682902636915449i</v>
      </c>
      <c r="AN411" s="170" t="str">
        <f t="shared" si="222"/>
        <v>5.53145657229965i</v>
      </c>
      <c r="AO411" s="170" t="str">
        <f t="shared" si="223"/>
        <v>-0.123458012910248-0.048719644283835i</v>
      </c>
      <c r="AP411" s="170" t="str">
        <f t="shared" si="224"/>
        <v>0.12175156723768+0.113817106152575i</v>
      </c>
      <c r="AQ411" s="170" t="str">
        <f t="shared" si="225"/>
        <v>0.87824843276232-0.113817106152575i</v>
      </c>
      <c r="AR411" s="170" t="str">
        <f t="shared" si="226"/>
        <v>0.932812186060838+0.120888326856866i</v>
      </c>
    </row>
    <row r="412" spans="7:44">
      <c r="G412" s="688">
        <v>38683.5</v>
      </c>
      <c r="H412" s="676">
        <f t="shared" si="218"/>
        <v>38.683500000000002</v>
      </c>
      <c r="I412" s="677">
        <f t="shared" si="198"/>
        <v>35.019866588930142</v>
      </c>
      <c r="J412" s="678">
        <f t="shared" si="199"/>
        <v>1.5422372245650258</v>
      </c>
      <c r="K412" s="678">
        <f t="shared" si="200"/>
        <v>1.0014286193039454</v>
      </c>
      <c r="L412" s="679">
        <f t="shared" si="201"/>
        <v>5.3421354915909061E-2</v>
      </c>
      <c r="M412" s="678">
        <f t="shared" si="202"/>
        <v>1.1143633847526966</v>
      </c>
      <c r="N412" s="679">
        <f t="shared" si="203"/>
        <v>-0.4570157749397491</v>
      </c>
      <c r="O412" s="677">
        <f t="shared" si="204"/>
        <v>1604166.9504471419</v>
      </c>
      <c r="P412" s="680">
        <f t="shared" si="205"/>
        <v>1.5707957034183835</v>
      </c>
      <c r="Q412" s="689">
        <f t="shared" si="227"/>
        <v>64.709127681260455</v>
      </c>
      <c r="R412" s="690">
        <f t="shared" si="228"/>
        <v>1.5553419412501881</v>
      </c>
      <c r="S412" s="677">
        <f t="shared" si="206"/>
        <v>1.0095079738984467</v>
      </c>
      <c r="T412" s="680">
        <f t="shared" si="207"/>
        <v>0.13735534548927605</v>
      </c>
      <c r="U412" s="681">
        <f t="shared" si="219"/>
        <v>0.11964583338216894</v>
      </c>
      <c r="V412" s="682">
        <f t="shared" si="220"/>
        <v>-2.6566864162838355</v>
      </c>
      <c r="W412" s="683">
        <f t="shared" si="208"/>
        <v>-26.372239062839874</v>
      </c>
      <c r="X412" s="684">
        <f t="shared" si="209"/>
        <v>-272.46017727200592</v>
      </c>
      <c r="Y412" s="687">
        <f t="shared" si="210"/>
        <v>-92.460177272005922</v>
      </c>
      <c r="AA412" s="170">
        <f t="shared" si="211"/>
        <v>38683.5</v>
      </c>
      <c r="AB412" s="170">
        <f t="shared" si="212"/>
        <v>1496413172.25</v>
      </c>
      <c r="AD412" s="686">
        <f t="shared" si="213"/>
        <v>17.137574641746266</v>
      </c>
      <c r="AE412" s="687">
        <f t="shared" si="214"/>
        <v>-8.755316949937745</v>
      </c>
      <c r="AG412" s="686">
        <f t="shared" si="215"/>
        <v>51.104097635549728</v>
      </c>
      <c r="AH412" s="687">
        <f t="shared" si="216"/>
        <v>40.728978311397093</v>
      </c>
      <c r="AJ412" s="170">
        <f t="shared" si="217"/>
        <v>0</v>
      </c>
      <c r="AK412" s="170">
        <f t="shared" si="229"/>
        <v>0</v>
      </c>
      <c r="AM412" s="170" t="str">
        <f t="shared" si="221"/>
        <v>0.248110837513554-0.659289532250764i</v>
      </c>
      <c r="AN412" s="170" t="str">
        <f t="shared" si="222"/>
        <v>5.56331184843621i</v>
      </c>
      <c r="AO412" s="170" t="str">
        <f t="shared" si="223"/>
        <v>-0.118506664773085-0.0445976864631983i</v>
      </c>
      <c r="AP412" s="170" t="str">
        <f t="shared" si="224"/>
        <v>0.125314860414408+0.109881588708461i</v>
      </c>
      <c r="AQ412" s="170" t="str">
        <f t="shared" si="225"/>
        <v>0.874685139585592-0.109881588708461i</v>
      </c>
      <c r="AR412" s="170" t="str">
        <f t="shared" si="226"/>
        <v>0.937546860935726+0.117778539849273i</v>
      </c>
    </row>
    <row r="413" spans="7:44">
      <c r="G413" s="688">
        <v>38905</v>
      </c>
      <c r="H413" s="676">
        <f t="shared" si="218"/>
        <v>38.905000000000001</v>
      </c>
      <c r="I413" s="677">
        <f t="shared" si="198"/>
        <v>35.220225746161809</v>
      </c>
      <c r="J413" s="678">
        <f t="shared" si="199"/>
        <v>1.5423997340454403</v>
      </c>
      <c r="K413" s="678">
        <f t="shared" si="200"/>
        <v>1.0014450147272611</v>
      </c>
      <c r="L413" s="679">
        <f t="shared" si="201"/>
        <v>5.3726656584811558E-2</v>
      </c>
      <c r="M413" s="678">
        <f t="shared" si="202"/>
        <v>1.1156087213843922</v>
      </c>
      <c r="N413" s="679">
        <f t="shared" si="203"/>
        <v>-0.45928064307144822</v>
      </c>
      <c r="O413" s="677">
        <f t="shared" si="204"/>
        <v>1613352.33903721</v>
      </c>
      <c r="P413" s="680">
        <f t="shared" si="205"/>
        <v>1.5707957069674876</v>
      </c>
      <c r="Q413" s="689">
        <f t="shared" si="227"/>
        <v>65.079561031736901</v>
      </c>
      <c r="R413" s="690">
        <f t="shared" si="228"/>
        <v>1.5554299146730723</v>
      </c>
      <c r="S413" s="677">
        <f t="shared" si="206"/>
        <v>1.0096166500256469</v>
      </c>
      <c r="T413" s="680">
        <f t="shared" si="207"/>
        <v>0.13813189761438494</v>
      </c>
      <c r="U413" s="681">
        <f t="shared" si="219"/>
        <v>0.1144218035247202</v>
      </c>
      <c r="V413" s="682">
        <f t="shared" si="220"/>
        <v>-2.67670127608132</v>
      </c>
      <c r="W413" s="683">
        <f t="shared" si="208"/>
        <v>-26.800671068289709</v>
      </c>
      <c r="X413" s="684">
        <f t="shared" si="209"/>
        <v>-273.76798311964325</v>
      </c>
      <c r="Y413" s="687">
        <f t="shared" si="210"/>
        <v>-93.767983119643247</v>
      </c>
      <c r="AA413" s="170">
        <f t="shared" si="211"/>
        <v>38905</v>
      </c>
      <c r="AB413" s="170">
        <f t="shared" si="212"/>
        <v>1513599025</v>
      </c>
      <c r="AD413" s="686">
        <f t="shared" si="213"/>
        <v>17.136627857295604</v>
      </c>
      <c r="AE413" s="687">
        <f t="shared" si="214"/>
        <v>-8.7947698068315923</v>
      </c>
      <c r="AG413" s="686">
        <f t="shared" si="215"/>
        <v>51.452164023282442</v>
      </c>
      <c r="AH413" s="687">
        <f t="shared" si="216"/>
        <v>41.754159311158226</v>
      </c>
      <c r="AJ413" s="170">
        <f t="shared" si="217"/>
        <v>0</v>
      </c>
      <c r="AK413" s="170">
        <f t="shared" si="229"/>
        <v>0</v>
      </c>
      <c r="AM413" s="170" t="str">
        <f t="shared" si="221"/>
        <v>0.227493999942034-0.635007464424192i</v>
      </c>
      <c r="AN413" s="170" t="str">
        <f t="shared" si="222"/>
        <v>5.59516712457277i</v>
      </c>
      <c r="AO413" s="170" t="str">
        <f t="shared" si="223"/>
        <v>-0.11349213531717-0.0406590178411167i</v>
      </c>
      <c r="AP413" s="170" t="str">
        <f t="shared" si="224"/>
        <v>0.128751000009661+0.105834577404032i</v>
      </c>
      <c r="AQ413" s="170" t="str">
        <f t="shared" si="225"/>
        <v>0.871248999990339-0.105834577404032i</v>
      </c>
      <c r="AR413" s="170" t="str">
        <f t="shared" si="226"/>
        <v>0.942195558977494+0.114452778502408i</v>
      </c>
    </row>
    <row r="414" spans="7:44">
      <c r="G414" s="688">
        <v>39131.5</v>
      </c>
      <c r="H414" s="676">
        <f t="shared" si="218"/>
        <v>39.131500000000003</v>
      </c>
      <c r="I414" s="677">
        <f t="shared" si="198"/>
        <v>35.42510863433742</v>
      </c>
      <c r="J414" s="678">
        <f t="shared" si="199"/>
        <v>1.5425640109360823</v>
      </c>
      <c r="K414" s="678">
        <f t="shared" si="200"/>
        <v>1.0014618767754289</v>
      </c>
      <c r="L414" s="679">
        <f t="shared" si="201"/>
        <v>5.403883957185799E-2</v>
      </c>
      <c r="M414" s="678">
        <f t="shared" si="202"/>
        <v>1.1168880739731599</v>
      </c>
      <c r="N414" s="679">
        <f t="shared" si="203"/>
        <v>-0.4615914017466502</v>
      </c>
      <c r="O414" s="677">
        <f t="shared" si="204"/>
        <v>1622745.0727421781</v>
      </c>
      <c r="P414" s="680">
        <f t="shared" si="205"/>
        <v>1.5707957105551578</v>
      </c>
      <c r="Q414" s="689">
        <f t="shared" si="227"/>
        <v>65.458356823753448</v>
      </c>
      <c r="R414" s="690">
        <f t="shared" si="228"/>
        <v>1.5555188442880079</v>
      </c>
      <c r="S414" s="677">
        <f t="shared" si="206"/>
        <v>1.009728408803849</v>
      </c>
      <c r="T414" s="680">
        <f t="shared" si="207"/>
        <v>0.13892580577964517</v>
      </c>
      <c r="U414" s="681">
        <f t="shared" si="219"/>
        <v>0.10905221990166616</v>
      </c>
      <c r="V414" s="682">
        <f t="shared" si="220"/>
        <v>-2.6973498528587778</v>
      </c>
      <c r="W414" s="683">
        <f t="shared" si="208"/>
        <v>-27.259409696337951</v>
      </c>
      <c r="X414" s="684">
        <f t="shared" si="209"/>
        <v>-275.11537424909636</v>
      </c>
      <c r="Y414" s="687">
        <f t="shared" si="210"/>
        <v>-95.115374249096362</v>
      </c>
      <c r="AA414" s="170">
        <f t="shared" si="211"/>
        <v>39131.5</v>
      </c>
      <c r="AB414" s="170">
        <f t="shared" si="212"/>
        <v>1531274292.25</v>
      </c>
      <c r="AD414" s="686">
        <f t="shared" si="213"/>
        <v>17.135654596191475</v>
      </c>
      <c r="AE414" s="687">
        <f t="shared" si="214"/>
        <v>-8.8351623080169563</v>
      </c>
      <c r="AG414" s="686">
        <f t="shared" si="215"/>
        <v>51.829369785269101</v>
      </c>
      <c r="AH414" s="687">
        <f t="shared" si="216"/>
        <v>42.813313290194571</v>
      </c>
      <c r="AJ414" s="170">
        <f t="shared" si="217"/>
        <v>0</v>
      </c>
      <c r="AK414" s="170">
        <f t="shared" si="229"/>
        <v>0</v>
      </c>
      <c r="AM414" s="170" t="str">
        <f t="shared" si="221"/>
        <v>0.207222510552155-0.609511158408746i</v>
      </c>
      <c r="AN414" s="170" t="str">
        <f t="shared" si="222"/>
        <v>5.62774148143476i</v>
      </c>
      <c r="AO414" s="170" t="str">
        <f t="shared" si="223"/>
        <v>-0.108304754299651-0.0368216115178277i</v>
      </c>
      <c r="AP414" s="170" t="str">
        <f t="shared" si="224"/>
        <v>0.132129581574641+0.101585193068124i</v>
      </c>
      <c r="AQ414" s="170" t="str">
        <f t="shared" si="225"/>
        <v>0.867870418425359-0.101585193068124i</v>
      </c>
      <c r="AR414" s="170" t="str">
        <f t="shared" si="226"/>
        <v>0.946847980779201+0.110829604156961i</v>
      </c>
    </row>
    <row r="415" spans="7:44">
      <c r="G415" s="688">
        <v>39358</v>
      </c>
      <c r="H415" s="676">
        <f t="shared" si="218"/>
        <v>39.357999999999997</v>
      </c>
      <c r="I415" s="677">
        <f t="shared" si="198"/>
        <v>35.629992467532055</v>
      </c>
      <c r="J415" s="678">
        <f t="shared" si="199"/>
        <v>1.5427263985419166</v>
      </c>
      <c r="K415" s="678">
        <f t="shared" si="200"/>
        <v>1.0014788364209939</v>
      </c>
      <c r="L415" s="679">
        <f t="shared" si="201"/>
        <v>5.4351012015938019E-2</v>
      </c>
      <c r="M415" s="678">
        <f t="shared" si="202"/>
        <v>1.11817337663848</v>
      </c>
      <c r="N415" s="679">
        <f t="shared" si="203"/>
        <v>-0.46389686042990741</v>
      </c>
      <c r="O415" s="677">
        <f t="shared" si="204"/>
        <v>1632137.8064471462</v>
      </c>
      <c r="P415" s="680">
        <f t="shared" si="205"/>
        <v>1.5707957141015345</v>
      </c>
      <c r="Q415" s="689">
        <f t="shared" si="227"/>
        <v>65.837153127488932</v>
      </c>
      <c r="R415" s="690">
        <f t="shared" si="228"/>
        <v>1.5556067505844928</v>
      </c>
      <c r="S415" s="677">
        <f t="shared" si="206"/>
        <v>1.009840803862847</v>
      </c>
      <c r="T415" s="680">
        <f t="shared" si="207"/>
        <v>0.13971953772148649</v>
      </c>
      <c r="U415" s="681">
        <f t="shared" si="219"/>
        <v>0.10365687644367569</v>
      </c>
      <c r="V415" s="682">
        <f t="shared" si="220"/>
        <v>-2.7181781538387479</v>
      </c>
      <c r="W415" s="683">
        <f t="shared" si="208"/>
        <v>-27.741069798656575</v>
      </c>
      <c r="X415" s="684">
        <f t="shared" si="209"/>
        <v>-276.47270003829721</v>
      </c>
      <c r="Y415" s="687">
        <f t="shared" si="210"/>
        <v>-96.472700038297205</v>
      </c>
      <c r="AA415" s="170">
        <f t="shared" si="211"/>
        <v>39358</v>
      </c>
      <c r="AB415" s="170">
        <f t="shared" si="212"/>
        <v>1549052164</v>
      </c>
      <c r="AD415" s="686">
        <f t="shared" si="213"/>
        <v>17.134676172409776</v>
      </c>
      <c r="AE415" s="687">
        <f t="shared" si="214"/>
        <v>-8.8756033418066114</v>
      </c>
      <c r="AG415" s="686">
        <f t="shared" si="215"/>
        <v>52.230143818850593</v>
      </c>
      <c r="AH415" s="687">
        <f t="shared" si="216"/>
        <v>43.883176018671655</v>
      </c>
      <c r="AJ415" s="170">
        <f t="shared" si="217"/>
        <v>0</v>
      </c>
      <c r="AK415" s="170">
        <f t="shared" si="229"/>
        <v>0</v>
      </c>
      <c r="AM415" s="170" t="str">
        <f t="shared" si="221"/>
        <v>0.18779215403741-0.583368164161201i</v>
      </c>
      <c r="AN415" s="170" t="str">
        <f t="shared" si="222"/>
        <v>5.66031583829675i</v>
      </c>
      <c r="AO415" s="170" t="str">
        <f t="shared" si="223"/>
        <v>-0.103062829147135-0.0331769744661313i</v>
      </c>
      <c r="AP415" s="170" t="str">
        <f t="shared" si="224"/>
        <v>0.135367974327098+0.0972280273602002i</v>
      </c>
      <c r="AQ415" s="170" t="str">
        <f t="shared" si="225"/>
        <v>0.864632025672902-0.0972280273602002i</v>
      </c>
      <c r="AR415" s="170" t="str">
        <f t="shared" si="226"/>
        <v>0.951385312776361+0.106983450154675i</v>
      </c>
    </row>
    <row r="416" spans="7:44">
      <c r="G416" s="688">
        <v>39584.5</v>
      </c>
      <c r="H416" s="676">
        <f t="shared" si="218"/>
        <v>39.584499999999998</v>
      </c>
      <c r="I416" s="677">
        <f t="shared" si="198"/>
        <v>35.834877229536431</v>
      </c>
      <c r="J416" s="678">
        <f t="shared" si="199"/>
        <v>1.5428869292600804</v>
      </c>
      <c r="K416" s="678">
        <f t="shared" si="200"/>
        <v>1.0014958936589977</v>
      </c>
      <c r="L416" s="679">
        <f t="shared" si="201"/>
        <v>5.4663173856745399E-2</v>
      </c>
      <c r="M416" s="678">
        <f t="shared" si="202"/>
        <v>1.1194646088857814</v>
      </c>
      <c r="N416" s="679">
        <f t="shared" si="203"/>
        <v>-0.46619701291122861</v>
      </c>
      <c r="O416" s="677">
        <f t="shared" si="204"/>
        <v>1641530.5401521146</v>
      </c>
      <c r="P416" s="680">
        <f t="shared" si="205"/>
        <v>1.5707957176073271</v>
      </c>
      <c r="Q416" s="689">
        <f t="shared" si="227"/>
        <v>66.215949934161316</v>
      </c>
      <c r="R416" s="690">
        <f t="shared" si="228"/>
        <v>1.5556936511232287</v>
      </c>
      <c r="S416" s="677">
        <f t="shared" si="206"/>
        <v>1.0099538349902113</v>
      </c>
      <c r="T416" s="680">
        <f t="shared" si="207"/>
        <v>0.14051309249879215</v>
      </c>
      <c r="U416" s="681">
        <f t="shared" si="219"/>
        <v>9.8238185401868294E-2</v>
      </c>
      <c r="V416" s="682">
        <f t="shared" si="220"/>
        <v>-2.7391814247296535</v>
      </c>
      <c r="W416" s="683">
        <f t="shared" si="208"/>
        <v>-28.248040564835435</v>
      </c>
      <c r="X416" s="684">
        <f t="shared" si="209"/>
        <v>-277.83968853023617</v>
      </c>
      <c r="Y416" s="687">
        <f t="shared" si="210"/>
        <v>-97.839688530236174</v>
      </c>
      <c r="AA416" s="170">
        <f t="shared" si="211"/>
        <v>39584.5</v>
      </c>
      <c r="AB416" s="170">
        <f t="shared" si="212"/>
        <v>1566932640.25</v>
      </c>
      <c r="AD416" s="686">
        <f t="shared" si="213"/>
        <v>17.133692584932511</v>
      </c>
      <c r="AE416" s="687">
        <f t="shared" si="214"/>
        <v>-8.9160918481650633</v>
      </c>
      <c r="AG416" s="686">
        <f t="shared" si="215"/>
        <v>52.656868080150531</v>
      </c>
      <c r="AH416" s="687">
        <f t="shared" si="216"/>
        <v>44.963473591879001</v>
      </c>
      <c r="AJ416" s="170">
        <f t="shared" si="217"/>
        <v>0</v>
      </c>
      <c r="AK416" s="170">
        <f t="shared" si="229"/>
        <v>0</v>
      </c>
      <c r="AM416" s="170" t="str">
        <f t="shared" si="221"/>
        <v>0.169223545907016-0.556606219265189i</v>
      </c>
      <c r="AN416" s="170" t="str">
        <f t="shared" si="222"/>
        <v>5.69289019515874i</v>
      </c>
      <c r="AO416" s="170" t="str">
        <f t="shared" si="223"/>
        <v>-0.0977721684740256-0.029725418918307i</v>
      </c>
      <c r="AP416" s="170" t="str">
        <f t="shared" si="224"/>
        <v>0.138462742348831+0.0927677032108648i</v>
      </c>
      <c r="AQ416" s="170" t="str">
        <f t="shared" si="225"/>
        <v>0.861537257651169-0.0927677032108648i</v>
      </c>
      <c r="AR416" s="170" t="str">
        <f t="shared" si="226"/>
        <v>0.95579455804745+0.102917041722885i</v>
      </c>
    </row>
    <row r="417" spans="7:44">
      <c r="G417" s="688">
        <v>39811</v>
      </c>
      <c r="H417" s="676">
        <f t="shared" si="218"/>
        <v>39.811</v>
      </c>
      <c r="I417" s="677">
        <f t="shared" si="198"/>
        <v>36.0397629045098</v>
      </c>
      <c r="J417" s="678">
        <f t="shared" si="199"/>
        <v>1.5430456347513899</v>
      </c>
      <c r="K417" s="678">
        <f t="shared" si="200"/>
        <v>1.0015130484844541</v>
      </c>
      <c r="L417" s="679">
        <f t="shared" si="201"/>
        <v>5.4975325033986208E-2</v>
      </c>
      <c r="M417" s="678">
        <f t="shared" si="202"/>
        <v>1.1207617502206075</v>
      </c>
      <c r="N417" s="679">
        <f t="shared" si="203"/>
        <v>-0.46849185323376169</v>
      </c>
      <c r="O417" s="677">
        <f t="shared" si="204"/>
        <v>1650923.2738570829</v>
      </c>
      <c r="P417" s="680">
        <f t="shared" si="205"/>
        <v>1.5707957210732282</v>
      </c>
      <c r="Q417" s="689">
        <f t="shared" si="227"/>
        <v>66.594747235188379</v>
      </c>
      <c r="R417" s="690">
        <f t="shared" si="228"/>
        <v>1.5557795630654312</v>
      </c>
      <c r="S417" s="677">
        <f t="shared" si="206"/>
        <v>1.010067501972405</v>
      </c>
      <c r="T417" s="680">
        <f t="shared" si="207"/>
        <v>0.14130646917175801</v>
      </c>
      <c r="U417" s="681">
        <f t="shared" si="219"/>
        <v>9.2798777583166875E-2</v>
      </c>
      <c r="V417" s="682">
        <f t="shared" si="220"/>
        <v>-2.760354401043049</v>
      </c>
      <c r="W417" s="683">
        <f t="shared" si="208"/>
        <v>-28.783103499512407</v>
      </c>
      <c r="X417" s="684">
        <f t="shared" si="209"/>
        <v>-279.21603853105472</v>
      </c>
      <c r="Y417" s="687">
        <f t="shared" si="210"/>
        <v>-99.216038531054721</v>
      </c>
      <c r="AA417" s="170">
        <f t="shared" si="211"/>
        <v>39811</v>
      </c>
      <c r="AB417" s="170">
        <f t="shared" si="212"/>
        <v>1584915721</v>
      </c>
      <c r="AD417" s="686">
        <f t="shared" si="213"/>
        <v>17.132703832891757</v>
      </c>
      <c r="AE417" s="687">
        <f t="shared" si="214"/>
        <v>-8.9566267900199925</v>
      </c>
      <c r="AG417" s="686">
        <f t="shared" si="215"/>
        <v>53.112316955214197</v>
      </c>
      <c r="AH417" s="687">
        <f t="shared" si="216"/>
        <v>46.053902900663786</v>
      </c>
      <c r="AJ417" s="170">
        <f t="shared" si="217"/>
        <v>0</v>
      </c>
      <c r="AK417" s="170">
        <f t="shared" si="229"/>
        <v>0</v>
      </c>
      <c r="AM417" s="170" t="str">
        <f t="shared" si="221"/>
        <v>0.151536387359546-0.529253718007828i</v>
      </c>
      <c r="AN417" s="170" t="str">
        <f t="shared" si="222"/>
        <v>5.72546455202073i</v>
      </c>
      <c r="AO417" s="170" t="str">
        <f t="shared" si="223"/>
        <v>-0.0924385634037389-0.0264670903090411i</v>
      </c>
      <c r="AP417" s="170" t="str">
        <f t="shared" si="224"/>
        <v>0.141410602106742+0.0882089530013047i</v>
      </c>
      <c r="AQ417" s="170" t="str">
        <f t="shared" si="225"/>
        <v>0.858589397893258-0.0882089530013047i</v>
      </c>
      <c r="AR417" s="170" t="str">
        <f t="shared" si="226"/>
        <v>0.96006263160165+0.098634014998386i</v>
      </c>
    </row>
    <row r="418" spans="7:44">
      <c r="G418" s="688">
        <v>40042.75</v>
      </c>
      <c r="H418" s="676">
        <f t="shared" si="218"/>
        <v>40.042749999999998</v>
      </c>
      <c r="I418" s="677">
        <f t="shared" si="198"/>
        <v>36.249398514004213</v>
      </c>
      <c r="J418" s="678">
        <f t="shared" si="199"/>
        <v>1.5432061619425226</v>
      </c>
      <c r="K418" s="678">
        <f t="shared" si="200"/>
        <v>1.0015307019396928</v>
      </c>
      <c r="L418" s="679">
        <f t="shared" si="201"/>
        <v>5.5294700403354942E-2</v>
      </c>
      <c r="M418" s="678">
        <f t="shared" si="202"/>
        <v>1.1220950524934459</v>
      </c>
      <c r="N418" s="679">
        <f t="shared" si="203"/>
        <v>-0.47083438098976049</v>
      </c>
      <c r="O418" s="677">
        <f t="shared" si="204"/>
        <v>1660533.7199326961</v>
      </c>
      <c r="P418" s="680">
        <f t="shared" si="205"/>
        <v>1.5707957245788813</v>
      </c>
      <c r="Q418" s="689">
        <f t="shared" si="227"/>
        <v>66.982325109034122</v>
      </c>
      <c r="R418" s="690">
        <f t="shared" si="228"/>
        <v>1.5558664606027481</v>
      </c>
      <c r="S418" s="677">
        <f t="shared" si="206"/>
        <v>1.0101844615290374</v>
      </c>
      <c r="T418" s="680">
        <f t="shared" si="207"/>
        <v>0.14211805004683895</v>
      </c>
      <c r="U418" s="681">
        <f t="shared" si="219"/>
        <v>8.7214819358361992E-2</v>
      </c>
      <c r="V418" s="682">
        <f t="shared" si="220"/>
        <v>-2.7821877646836901</v>
      </c>
      <c r="W418" s="683">
        <f t="shared" si="208"/>
        <v>-29.363057464281738</v>
      </c>
      <c r="X418" s="684">
        <f t="shared" si="209"/>
        <v>-280.63363524306891</v>
      </c>
      <c r="Y418" s="687">
        <f t="shared" si="210"/>
        <v>-100.63363524306891</v>
      </c>
      <c r="AA418" s="170">
        <f t="shared" si="211"/>
        <v>40042.75</v>
      </c>
      <c r="AB418" s="170">
        <f t="shared" si="212"/>
        <v>1603421827.5625</v>
      </c>
      <c r="AD418" s="686">
        <f t="shared" si="213"/>
        <v>17.131686816491253</v>
      </c>
      <c r="AE418" s="687">
        <f t="shared" si="214"/>
        <v>-8.9981482876638879</v>
      </c>
      <c r="AG418" s="686">
        <f t="shared" si="215"/>
        <v>53.611458798429865</v>
      </c>
      <c r="AH418" s="687">
        <f t="shared" si="216"/>
        <v>47.179746867518659</v>
      </c>
      <c r="AJ418" s="170">
        <f t="shared" si="217"/>
        <v>0</v>
      </c>
      <c r="AK418" s="170">
        <f t="shared" si="229"/>
        <v>0</v>
      </c>
      <c r="AM418" s="170" t="str">
        <f t="shared" si="221"/>
        <v>0.13437116215918-0.500686244167293i</v>
      </c>
      <c r="AN418" s="170" t="str">
        <f t="shared" si="222"/>
        <v>5.75879394364442i</v>
      </c>
      <c r="AO418" s="170" t="str">
        <f t="shared" si="223"/>
        <v>-0.0869428996882004-0.0233332123833804i</v>
      </c>
      <c r="AP418" s="170" t="str">
        <f t="shared" si="224"/>
        <v>0.14427147297347+0.0834477073612155i</v>
      </c>
      <c r="AQ418" s="170" t="str">
        <f t="shared" si="225"/>
        <v>0.85572852702653-0.0834477073612155i</v>
      </c>
      <c r="AR418" s="170" t="str">
        <f t="shared" si="226"/>
        <v>0.964269853529058+0.0940322847879538i</v>
      </c>
    </row>
    <row r="419" spans="7:44">
      <c r="G419" s="688">
        <v>40274.5</v>
      </c>
      <c r="H419" s="676">
        <f t="shared" si="218"/>
        <v>40.274500000000003</v>
      </c>
      <c r="I419" s="677">
        <f t="shared" si="198"/>
        <v>36.459035046866539</v>
      </c>
      <c r="J419" s="678">
        <f t="shared" si="199"/>
        <v>1.5433648431007085</v>
      </c>
      <c r="K419" s="678">
        <f t="shared" si="200"/>
        <v>1.0015484575480835</v>
      </c>
      <c r="L419" s="679">
        <f t="shared" si="201"/>
        <v>5.5614064481424613E-2</v>
      </c>
      <c r="M419" s="678">
        <f t="shared" si="202"/>
        <v>1.1234344975563342</v>
      </c>
      <c r="N419" s="679">
        <f t="shared" si="203"/>
        <v>-0.47317133566050701</v>
      </c>
      <c r="O419" s="677">
        <f t="shared" si="204"/>
        <v>1670144.1660083095</v>
      </c>
      <c r="P419" s="680">
        <f t="shared" si="205"/>
        <v>1.5707957280441898</v>
      </c>
      <c r="Q419" s="689">
        <f t="shared" si="227"/>
        <v>67.369903482855904</v>
      </c>
      <c r="R419" s="690">
        <f t="shared" si="228"/>
        <v>1.5559523582993995</v>
      </c>
      <c r="S419" s="677">
        <f t="shared" si="206"/>
        <v>1.0103020863030081</v>
      </c>
      <c r="T419" s="680">
        <f t="shared" si="207"/>
        <v>0.14292944247907621</v>
      </c>
      <c r="U419" s="681">
        <f t="shared" si="219"/>
        <v>8.1615435259457358E-2</v>
      </c>
      <c r="V419" s="682">
        <f t="shared" si="220"/>
        <v>-2.8041860006754007</v>
      </c>
      <c r="W419" s="683">
        <f t="shared" si="208"/>
        <v>-29.980010736005802</v>
      </c>
      <c r="X419" s="684">
        <f t="shared" si="209"/>
        <v>-282.06030049511043</v>
      </c>
      <c r="Y419" s="687">
        <f t="shared" si="210"/>
        <v>-102.06030049511043</v>
      </c>
      <c r="AA419" s="170">
        <f t="shared" si="211"/>
        <v>40274.5</v>
      </c>
      <c r="AB419" s="170">
        <f t="shared" si="212"/>
        <v>1622035350.25</v>
      </c>
      <c r="AD419" s="686">
        <f t="shared" si="213"/>
        <v>17.130664391959225</v>
      </c>
      <c r="AE419" s="687">
        <f t="shared" si="214"/>
        <v>-9.0397162726669702</v>
      </c>
      <c r="AG419" s="686">
        <f t="shared" si="215"/>
        <v>54.148247332151257</v>
      </c>
      <c r="AH419" s="687">
        <f t="shared" si="216"/>
        <v>48.315461761476222</v>
      </c>
      <c r="AJ419" s="170">
        <f t="shared" si="217"/>
        <v>0</v>
      </c>
      <c r="AK419" s="170">
        <f t="shared" si="229"/>
        <v>0</v>
      </c>
      <c r="AM419" s="170" t="str">
        <f t="shared" si="221"/>
        <v>0.118167430310531-0.471562635325221i</v>
      </c>
      <c r="AN419" s="170" t="str">
        <f t="shared" si="222"/>
        <v>5.79212333526811i</v>
      </c>
      <c r="AO419" s="170" t="str">
        <f t="shared" si="223"/>
        <v>-0.081414467204779-0.0204014009147582i</v>
      </c>
      <c r="AP419" s="170" t="str">
        <f t="shared" si="224"/>
        <v>0.146972094948245+0.0785937725542035i</v>
      </c>
      <c r="AQ419" s="170" t="str">
        <f t="shared" si="225"/>
        <v>0.853027905051755-0.0785937725542035i</v>
      </c>
      <c r="AR419" s="170" t="str">
        <f t="shared" si="226"/>
        <v>0.968301610395981+0.0892145216828674i</v>
      </c>
    </row>
    <row r="420" spans="7:44">
      <c r="G420" s="688">
        <v>40506.25</v>
      </c>
      <c r="H420" s="676">
        <f t="shared" si="218"/>
        <v>40.506250000000001</v>
      </c>
      <c r="I420" s="677">
        <f t="shared" si="198"/>
        <v>36.668672487259961</v>
      </c>
      <c r="J420" s="678">
        <f t="shared" si="199"/>
        <v>1.543521709879597</v>
      </c>
      <c r="K420" s="678">
        <f t="shared" si="200"/>
        <v>1.0015663153041929</v>
      </c>
      <c r="L420" s="679">
        <f t="shared" si="201"/>
        <v>5.5933417203651414E-2</v>
      </c>
      <c r="M420" s="678">
        <f t="shared" si="202"/>
        <v>1.1247800634638363</v>
      </c>
      <c r="N420" s="679">
        <f t="shared" si="203"/>
        <v>-0.47550271167591096</v>
      </c>
      <c r="O420" s="677">
        <f t="shared" si="204"/>
        <v>1679754.6120839226</v>
      </c>
      <c r="P420" s="680">
        <f t="shared" si="205"/>
        <v>1.5707957314698457</v>
      </c>
      <c r="Q420" s="689">
        <f t="shared" si="227"/>
        <v>67.757482348074063</v>
      </c>
      <c r="R420" s="690">
        <f t="shared" si="228"/>
        <v>1.5560372733116414</v>
      </c>
      <c r="S420" s="677">
        <f t="shared" si="206"/>
        <v>1.0104203760620001</v>
      </c>
      <c r="T420" s="680">
        <f t="shared" si="207"/>
        <v>0.14374064546609522</v>
      </c>
      <c r="U420" s="681">
        <f t="shared" si="219"/>
        <v>7.6004133078886413E-2</v>
      </c>
      <c r="V420" s="682">
        <f t="shared" si="220"/>
        <v>-2.8263418117468126</v>
      </c>
      <c r="W420" s="683">
        <f t="shared" si="208"/>
        <v>-30.638988791311125</v>
      </c>
      <c r="X420" s="684">
        <f t="shared" si="209"/>
        <v>-283.4956166421303</v>
      </c>
      <c r="Y420" s="687">
        <f t="shared" si="210"/>
        <v>-103.4956166421303</v>
      </c>
      <c r="AA420" s="170">
        <f t="shared" si="211"/>
        <v>40506.25</v>
      </c>
      <c r="AB420" s="170">
        <f t="shared" si="212"/>
        <v>1640756289.0625</v>
      </c>
      <c r="AD420" s="686">
        <f t="shared" si="213"/>
        <v>17.129636558824991</v>
      </c>
      <c r="AE420" s="687">
        <f t="shared" si="214"/>
        <v>-9.0813297046559853</v>
      </c>
      <c r="AG420" s="686">
        <f t="shared" si="215"/>
        <v>54.727700764951486</v>
      </c>
      <c r="AH420" s="687">
        <f t="shared" si="216"/>
        <v>49.460627981508701</v>
      </c>
      <c r="AJ420" s="170">
        <f t="shared" si="217"/>
        <v>0</v>
      </c>
      <c r="AK420" s="170">
        <f t="shared" si="229"/>
        <v>0</v>
      </c>
      <c r="AM420" s="170" t="str">
        <f t="shared" si="221"/>
        <v>0.102943190036118-0.441915240399587i</v>
      </c>
      <c r="AN420" s="170" t="str">
        <f t="shared" si="222"/>
        <v>5.82545272689181i</v>
      </c>
      <c r="AO420" s="170" t="str">
        <f t="shared" si="223"/>
        <v>-0.0758593814279173-0.0176712772143709i</v>
      </c>
      <c r="AP420" s="170" t="str">
        <f t="shared" si="224"/>
        <v>0.149509468327314+0.0736525400665978i</v>
      </c>
      <c r="AQ420" s="170" t="str">
        <f t="shared" si="225"/>
        <v>0.850490531672686-0.0736525400665978i</v>
      </c>
      <c r="AR420" s="170" t="str">
        <f t="shared" si="226"/>
        <v>0.972144107084154+0.0841877482829855i</v>
      </c>
    </row>
    <row r="421" spans="7:44">
      <c r="G421" s="688">
        <v>40738</v>
      </c>
      <c r="H421" s="676">
        <f t="shared" si="218"/>
        <v>40.738</v>
      </c>
      <c r="I421" s="677">
        <f t="shared" si="198"/>
        <v>36.8783108197077</v>
      </c>
      <c r="J421" s="678">
        <f t="shared" si="199"/>
        <v>1.5436767932134465</v>
      </c>
      <c r="K421" s="678">
        <f t="shared" si="200"/>
        <v>1.0015842752025577</v>
      </c>
      <c r="L421" s="679">
        <f t="shared" si="201"/>
        <v>5.6252758505505374E-2</v>
      </c>
      <c r="M421" s="678">
        <f t="shared" si="202"/>
        <v>1.126131728275358</v>
      </c>
      <c r="N421" s="679">
        <f t="shared" si="203"/>
        <v>-0.47782850373501523</v>
      </c>
      <c r="O421" s="677">
        <f t="shared" si="204"/>
        <v>1689365.058159536</v>
      </c>
      <c r="P421" s="680">
        <f t="shared" si="205"/>
        <v>1.570795734856526</v>
      </c>
      <c r="Q421" s="689">
        <f t="shared" si="227"/>
        <v>68.145061696304012</v>
      </c>
      <c r="R421" s="690">
        <f t="shared" si="228"/>
        <v>1.5561212224054777</v>
      </c>
      <c r="S421" s="677">
        <f t="shared" si="206"/>
        <v>1.0105393305724915</v>
      </c>
      <c r="T421" s="680">
        <f t="shared" si="207"/>
        <v>0.14455165800698666</v>
      </c>
      <c r="U421" s="681">
        <f t="shared" si="219"/>
        <v>7.0384639495171694E-2</v>
      </c>
      <c r="V421" s="682">
        <f t="shared" si="220"/>
        <v>-2.8486473535902435</v>
      </c>
      <c r="W421" s="683">
        <f t="shared" si="208"/>
        <v>-31.346137625905509</v>
      </c>
      <c r="X421" s="684">
        <f t="shared" si="209"/>
        <v>-284.9391346928515</v>
      </c>
      <c r="Y421" s="687">
        <f t="shared" si="210"/>
        <v>-104.9391346928515</v>
      </c>
      <c r="AA421" s="170">
        <f t="shared" si="211"/>
        <v>40738</v>
      </c>
      <c r="AB421" s="170">
        <f t="shared" si="212"/>
        <v>1659584644</v>
      </c>
      <c r="AD421" s="686">
        <f t="shared" si="213"/>
        <v>17.128603316763481</v>
      </c>
      <c r="AE421" s="687">
        <f t="shared" si="214"/>
        <v>-9.1229875657005746</v>
      </c>
      <c r="AG421" s="686">
        <f t="shared" si="215"/>
        <v>55.355957939618612</v>
      </c>
      <c r="AH421" s="687">
        <f t="shared" si="216"/>
        <v>50.614794609514902</v>
      </c>
      <c r="AJ421" s="170">
        <f t="shared" si="217"/>
        <v>0</v>
      </c>
      <c r="AK421" s="170">
        <f t="shared" si="229"/>
        <v>0</v>
      </c>
      <c r="AM421" s="170" t="str">
        <f t="shared" si="221"/>
        <v>0.088715351592598-0.411776990101435i</v>
      </c>
      <c r="AN421" s="170" t="str">
        <f t="shared" si="222"/>
        <v>5.8587821185155i</v>
      </c>
      <c r="AO421" s="170" t="str">
        <f t="shared" si="223"/>
        <v>-0.0702837179761467-0.0151422855122451i</v>
      </c>
      <c r="AP421" s="170" t="str">
        <f t="shared" si="224"/>
        <v>0.151880774734567+0.0686294983502392i</v>
      </c>
      <c r="AQ421" s="170" t="str">
        <f t="shared" si="225"/>
        <v>0.848119225265433-0.0686294983502392i</v>
      </c>
      <c r="AR421" s="170" t="str">
        <f t="shared" si="226"/>
        <v>0.975783811222718+0.0789600700792285i</v>
      </c>
    </row>
    <row r="422" spans="7:44">
      <c r="G422" s="688">
        <v>40975.25</v>
      </c>
      <c r="H422" s="676">
        <f t="shared" si="218"/>
        <v>40.975250000000003</v>
      </c>
      <c r="I422" s="677">
        <f t="shared" si="198"/>
        <v>37.092925295931202</v>
      </c>
      <c r="J422" s="678">
        <f t="shared" si="199"/>
        <v>1.5438337411858643</v>
      </c>
      <c r="K422" s="678">
        <f t="shared" si="200"/>
        <v>1.0016027671350924</v>
      </c>
      <c r="L422" s="679">
        <f t="shared" si="201"/>
        <v>5.6579666667833178E-2</v>
      </c>
      <c r="M422" s="678">
        <f t="shared" si="202"/>
        <v>1.1275217662652561</v>
      </c>
      <c r="N422" s="679">
        <f t="shared" si="203"/>
        <v>-0.48020370302054244</v>
      </c>
      <c r="O422" s="677">
        <f t="shared" si="204"/>
        <v>1699203.5838615394</v>
      </c>
      <c r="P422" s="680">
        <f t="shared" si="205"/>
        <v>1.5707957382838968</v>
      </c>
      <c r="Q422" s="689">
        <f t="shared" si="227"/>
        <v>68.541839751705595</v>
      </c>
      <c r="R422" s="690">
        <f t="shared" si="228"/>
        <v>1.5562061803495624</v>
      </c>
      <c r="S422" s="677">
        <f t="shared" si="206"/>
        <v>1.010661796525294</v>
      </c>
      <c r="T422" s="680">
        <f t="shared" si="207"/>
        <v>0.14538171955607165</v>
      </c>
      <c r="U422" s="681">
        <f t="shared" si="219"/>
        <v>6.4627405923806405E-2</v>
      </c>
      <c r="V422" s="682">
        <f t="shared" si="220"/>
        <v>-2.8716286128584869</v>
      </c>
      <c r="W422" s="683">
        <f t="shared" si="208"/>
        <v>-32.127950452025182</v>
      </c>
      <c r="X422" s="684">
        <f t="shared" si="209"/>
        <v>-286.42490623975198</v>
      </c>
      <c r="Y422" s="687">
        <f t="shared" si="210"/>
        <v>-106.42490623975198</v>
      </c>
      <c r="AA422" s="170">
        <f t="shared" si="211"/>
        <v>40975.25</v>
      </c>
      <c r="AB422" s="170">
        <f t="shared" si="212"/>
        <v>1678971112.5625</v>
      </c>
      <c r="AD422" s="686">
        <f t="shared" si="213"/>
        <v>17.127539950123111</v>
      </c>
      <c r="AE422" s="687">
        <f t="shared" si="214"/>
        <v>-9.1656790539897308</v>
      </c>
      <c r="AG422" s="686">
        <f t="shared" si="215"/>
        <v>56.057655135374688</v>
      </c>
      <c r="AH422" s="687">
        <f t="shared" si="216"/>
        <v>51.805172881845259</v>
      </c>
      <c r="AJ422" s="170">
        <f t="shared" si="217"/>
        <v>0</v>
      </c>
      <c r="AK422" s="170">
        <f t="shared" si="229"/>
        <v>0</v>
      </c>
      <c r="AM422" s="170" t="str">
        <f t="shared" si="221"/>
        <v>0.075198497546071-0.380449971821467i</v>
      </c>
      <c r="AN422" s="170" t="str">
        <f t="shared" si="222"/>
        <v>5.89290249893716i</v>
      </c>
      <c r="AO422" s="170" t="str">
        <f t="shared" si="223"/>
        <v>-0.0645607104292129-0.0127608589416902i</v>
      </c>
      <c r="AP422" s="170" t="str">
        <f t="shared" si="224"/>
        <v>0.154133583742322+0.0634083286369112i</v>
      </c>
      <c r="AQ422" s="170" t="str">
        <f t="shared" si="225"/>
        <v>0.845866416257678-0.0634083286369112i</v>
      </c>
      <c r="AR422" s="170" t="str">
        <f t="shared" si="226"/>
        <v>0.979286079541737+0.073409810778229i</v>
      </c>
    </row>
    <row r="423" spans="7:44">
      <c r="G423" s="688">
        <v>41212.5</v>
      </c>
      <c r="H423" s="676">
        <f t="shared" si="218"/>
        <v>41.212499999999999</v>
      </c>
      <c r="I423" s="677">
        <f t="shared" si="198"/>
        <v>37.3075406753401</v>
      </c>
      <c r="J423" s="678">
        <f t="shared" si="199"/>
        <v>1.5439888834440785</v>
      </c>
      <c r="K423" s="678">
        <f t="shared" si="200"/>
        <v>1.0016213661039011</v>
      </c>
      <c r="L423" s="679">
        <f t="shared" si="201"/>
        <v>5.6906562724469915E-2</v>
      </c>
      <c r="M423" s="678">
        <f t="shared" si="202"/>
        <v>1.1289181495644791</v>
      </c>
      <c r="N423" s="679">
        <f t="shared" si="203"/>
        <v>-0.48257303977453236</v>
      </c>
      <c r="O423" s="677">
        <f t="shared" si="204"/>
        <v>1709042.1095635428</v>
      </c>
      <c r="P423" s="680">
        <f t="shared" si="205"/>
        <v>1.5707957416718066</v>
      </c>
      <c r="Q423" s="689">
        <f t="shared" si="227"/>
        <v>68.938618296137236</v>
      </c>
      <c r="R423" s="690">
        <f t="shared" si="228"/>
        <v>1.5562901603376178</v>
      </c>
      <c r="S423" s="677">
        <f t="shared" si="206"/>
        <v>1.010784958657255</v>
      </c>
      <c r="T423" s="680">
        <f t="shared" si="207"/>
        <v>0.14621157939412646</v>
      </c>
      <c r="U423" s="681">
        <f t="shared" si="219"/>
        <v>5.8870146858216114E-2</v>
      </c>
      <c r="V423" s="682">
        <f t="shared" si="220"/>
        <v>-2.8947484591607786</v>
      </c>
      <c r="W423" s="683">
        <f t="shared" si="208"/>
        <v>-32.978650608463106</v>
      </c>
      <c r="X423" s="684">
        <f t="shared" si="209"/>
        <v>-287.91822404759642</v>
      </c>
      <c r="Y423" s="687">
        <f t="shared" si="210"/>
        <v>-107.91822404759642</v>
      </c>
      <c r="AA423" s="170">
        <f t="shared" si="211"/>
        <v>41212.5</v>
      </c>
      <c r="AB423" s="170">
        <f t="shared" si="212"/>
        <v>1698470156.25</v>
      </c>
      <c r="AD423" s="686">
        <f t="shared" si="213"/>
        <v>17.126470914534352</v>
      </c>
      <c r="AE423" s="687">
        <f t="shared" si="214"/>
        <v>-9.2084150155803162</v>
      </c>
      <c r="AG423" s="686">
        <f t="shared" si="215"/>
        <v>56.828888212050131</v>
      </c>
      <c r="AH423" s="687">
        <f t="shared" si="216"/>
        <v>53.003930270843597</v>
      </c>
      <c r="AJ423" s="170">
        <f t="shared" si="217"/>
        <v>0</v>
      </c>
      <c r="AK423" s="170">
        <f t="shared" si="229"/>
        <v>0</v>
      </c>
      <c r="AM423" s="170" t="str">
        <f t="shared" si="221"/>
        <v>0.062758193292351-0.348680076516255i</v>
      </c>
      <c r="AN423" s="170" t="str">
        <f t="shared" si="222"/>
        <v>5.92702287935883i</v>
      </c>
      <c r="AO423" s="170" t="str">
        <f t="shared" si="223"/>
        <v>-0.0588288730469646-0.0105884850741693i</v>
      </c>
      <c r="AP423" s="170" t="str">
        <f t="shared" si="224"/>
        <v>0.156206967784608+0.0581133460860425i</v>
      </c>
      <c r="AQ423" s="170" t="str">
        <f t="shared" si="225"/>
        <v>0.843793032215392-0.0581133460860425i</v>
      </c>
      <c r="AR423" s="170" t="str">
        <f t="shared" si="226"/>
        <v>0.982548396163556+0.0676696450581299i</v>
      </c>
    </row>
    <row r="424" spans="7:44">
      <c r="G424" s="688">
        <v>41449.75</v>
      </c>
      <c r="H424" s="676">
        <f t="shared" si="218"/>
        <v>41.449750000000002</v>
      </c>
      <c r="I424" s="677">
        <f t="shared" si="198"/>
        <v>37.52215694243656</v>
      </c>
      <c r="J424" s="678">
        <f t="shared" si="199"/>
        <v>1.5441422509651004</v>
      </c>
      <c r="K424" s="678">
        <f t="shared" si="200"/>
        <v>1.0016400721030205</v>
      </c>
      <c r="L424" s="679">
        <f t="shared" si="201"/>
        <v>5.7233446606226979E-2</v>
      </c>
      <c r="M424" s="678">
        <f t="shared" si="202"/>
        <v>1.1303208546562962</v>
      </c>
      <c r="N424" s="679">
        <f t="shared" si="203"/>
        <v>-0.48493650917206382</v>
      </c>
      <c r="O424" s="677">
        <f t="shared" si="204"/>
        <v>1718880.6352655462</v>
      </c>
      <c r="P424" s="680">
        <f t="shared" si="205"/>
        <v>1.5707957450209331</v>
      </c>
      <c r="Q424" s="689">
        <f t="shared" si="227"/>
        <v>69.335397321203359</v>
      </c>
      <c r="R424" s="690">
        <f t="shared" si="228"/>
        <v>1.5563731791578148</v>
      </c>
      <c r="S424" s="677">
        <f t="shared" si="206"/>
        <v>1.0109088167139213</v>
      </c>
      <c r="T424" s="680">
        <f t="shared" si="207"/>
        <v>0.1470412364520913</v>
      </c>
      <c r="U424" s="681">
        <f t="shared" si="219"/>
        <v>5.311749508404854E-2</v>
      </c>
      <c r="V424" s="682">
        <f t="shared" si="220"/>
        <v>-2.9179967954662329</v>
      </c>
      <c r="W424" s="683">
        <f t="shared" si="208"/>
        <v>-33.911751539841646</v>
      </c>
      <c r="X424" s="684">
        <f t="shared" si="209"/>
        <v>-289.41851007839233</v>
      </c>
      <c r="Y424" s="687">
        <f t="shared" si="210"/>
        <v>-109.41851007839233</v>
      </c>
      <c r="AA424" s="170">
        <f t="shared" si="211"/>
        <v>41449.75</v>
      </c>
      <c r="AB424" s="170">
        <f t="shared" si="212"/>
        <v>1718081775.0625</v>
      </c>
      <c r="AD424" s="686">
        <f t="shared" si="213"/>
        <v>17.12539621009515</v>
      </c>
      <c r="AE424" s="687">
        <f t="shared" si="214"/>
        <v>-9.2511944273671851</v>
      </c>
      <c r="AG424" s="686">
        <f t="shared" si="215"/>
        <v>57.683163298531468</v>
      </c>
      <c r="AH424" s="687">
        <f t="shared" si="216"/>
        <v>54.210486756885302</v>
      </c>
      <c r="AJ424" s="170">
        <f t="shared" si="217"/>
        <v>0</v>
      </c>
      <c r="AK424" s="170">
        <f t="shared" si="229"/>
        <v>0</v>
      </c>
      <c r="AM424" s="170" t="str">
        <f t="shared" si="221"/>
        <v>0.051408920433098-0.316504287121201i</v>
      </c>
      <c r="AN424" s="170" t="str">
        <f t="shared" si="222"/>
        <v>5.96114325978049i</v>
      </c>
      <c r="AO424" s="170" t="str">
        <f t="shared" si="223"/>
        <v>-0.0530945614504248-0.00862400351623005i</v>
      </c>
      <c r="AP424" s="170" t="str">
        <f t="shared" si="224"/>
        <v>0.15809851326115+0.0527507145202002i</v>
      </c>
      <c r="AQ424" s="170" t="str">
        <f t="shared" si="225"/>
        <v>0.84190148673885-0.0527507145202002i</v>
      </c>
      <c r="AR424" s="170" t="str">
        <f t="shared" si="226"/>
        <v>0.985557770100043+0.0617517338935867i</v>
      </c>
    </row>
    <row r="425" spans="7:44">
      <c r="G425" s="688">
        <v>41687</v>
      </c>
      <c r="H425" s="676">
        <f t="shared" si="218"/>
        <v>41.686999999999998</v>
      </c>
      <c r="I425" s="677">
        <f t="shared" si="198"/>
        <v>37.736774082075229</v>
      </c>
      <c r="J425" s="678">
        <f t="shared" si="199"/>
        <v>1.5442938740215879</v>
      </c>
      <c r="K425" s="678">
        <f t="shared" si="200"/>
        <v>1.001658885126455</v>
      </c>
      <c r="L425" s="679">
        <f t="shared" si="201"/>
        <v>5.756031824393136E-2</v>
      </c>
      <c r="M425" s="678">
        <f t="shared" si="202"/>
        <v>1.1317298580343627</v>
      </c>
      <c r="N425" s="679">
        <f t="shared" si="203"/>
        <v>-0.48729410667428047</v>
      </c>
      <c r="O425" s="677">
        <f t="shared" si="204"/>
        <v>1728719.1609675493</v>
      </c>
      <c r="P425" s="680">
        <f t="shared" si="205"/>
        <v>1.5707957483319384</v>
      </c>
      <c r="Q425" s="689">
        <f t="shared" si="227"/>
        <v>69.732176818699514</v>
      </c>
      <c r="R425" s="690">
        <f t="shared" si="228"/>
        <v>1.5564552532162754</v>
      </c>
      <c r="S425" s="677">
        <f t="shared" si="206"/>
        <v>1.0110333704395276</v>
      </c>
      <c r="T425" s="680">
        <f t="shared" si="207"/>
        <v>0.14787068966254555</v>
      </c>
      <c r="U425" s="681">
        <f t="shared" si="219"/>
        <v>4.7374262703115393E-2</v>
      </c>
      <c r="V425" s="682">
        <f t="shared" si="220"/>
        <v>-2.9413630074881683</v>
      </c>
      <c r="W425" s="683">
        <f t="shared" si="208"/>
        <v>-34.945290078890217</v>
      </c>
      <c r="X425" s="684">
        <f t="shared" si="209"/>
        <v>-290.92515665558881</v>
      </c>
      <c r="Y425" s="687">
        <f t="shared" si="210"/>
        <v>-110.92515665558881</v>
      </c>
      <c r="AA425" s="170">
        <f t="shared" si="211"/>
        <v>41687</v>
      </c>
      <c r="AB425" s="170">
        <f t="shared" si="212"/>
        <v>1737805969</v>
      </c>
      <c r="AD425" s="686">
        <f t="shared" si="213"/>
        <v>17.124315837045373</v>
      </c>
      <c r="AE425" s="687">
        <f t="shared" si="214"/>
        <v>-9.294016288228045</v>
      </c>
      <c r="AG425" s="686">
        <f t="shared" si="215"/>
        <v>58.638510027485431</v>
      </c>
      <c r="AH425" s="687">
        <f t="shared" si="216"/>
        <v>55.424232707738732</v>
      </c>
      <c r="AJ425" s="170">
        <f t="shared" si="217"/>
        <v>0</v>
      </c>
      <c r="AK425" s="170">
        <f t="shared" si="229"/>
        <v>0</v>
      </c>
      <c r="AM425" s="170" t="str">
        <f t="shared" si="221"/>
        <v>0.041163890514042-0.283960059067875i</v>
      </c>
      <c r="AN425" s="170" t="str">
        <f t="shared" si="222"/>
        <v>5.99526364020216i</v>
      </c>
      <c r="AO425" s="170" t="str">
        <f t="shared" si="223"/>
        <v>-0.0473640653871728-0.00686606844743427i</v>
      </c>
      <c r="AP425" s="170" t="str">
        <f t="shared" si="224"/>
        <v>0.15980601824766+0.0473266765113125i</v>
      </c>
      <c r="AQ425" s="170" t="str">
        <f t="shared" si="225"/>
        <v>0.84019398175234-0.0473266765113125i</v>
      </c>
      <c r="AR425" s="170" t="str">
        <f t="shared" si="226"/>
        <v>0.988301955319448+0.0556693429740469i</v>
      </c>
    </row>
    <row r="426" spans="7:44">
      <c r="G426" s="688">
        <v>41929.75</v>
      </c>
      <c r="H426" s="676">
        <f t="shared" si="218"/>
        <v>41.929749999999999</v>
      </c>
      <c r="I426" s="677">
        <f t="shared" si="198"/>
        <v>37.95636742769959</v>
      </c>
      <c r="J426" s="678">
        <f t="shared" si="199"/>
        <v>1.5444472373121447</v>
      </c>
      <c r="K426" s="678">
        <f t="shared" si="200"/>
        <v>1.0016782450473762</v>
      </c>
      <c r="L426" s="679">
        <f t="shared" si="201"/>
        <v>5.7894754771827976E-2</v>
      </c>
      <c r="M426" s="678">
        <f t="shared" si="202"/>
        <v>1.1331780198333479</v>
      </c>
      <c r="N426" s="679">
        <f t="shared" si="203"/>
        <v>-0.48970027660650628</v>
      </c>
      <c r="O426" s="677">
        <f t="shared" si="204"/>
        <v>1738785.7662959427</v>
      </c>
      <c r="P426" s="680">
        <f t="shared" si="205"/>
        <v>1.5707957516809181</v>
      </c>
      <c r="Q426" s="689">
        <f t="shared" si="227"/>
        <v>70.138155057033714</v>
      </c>
      <c r="R426" s="690">
        <f t="shared" si="228"/>
        <v>1.5565382687945579</v>
      </c>
      <c r="S426" s="677">
        <f t="shared" si="206"/>
        <v>1.0111615313851428</v>
      </c>
      <c r="T426" s="680">
        <f t="shared" si="207"/>
        <v>0.14871915940139832</v>
      </c>
      <c r="U426" s="681">
        <f t="shared" si="219"/>
        <v>4.1512823251199864E-2</v>
      </c>
      <c r="V426" s="682">
        <f t="shared" si="220"/>
        <v>-2.9653813291691535</v>
      </c>
      <c r="W426" s="683">
        <f t="shared" si="208"/>
        <v>-36.132727401323955</v>
      </c>
      <c r="X426" s="684">
        <f t="shared" si="209"/>
        <v>-292.47265125498438</v>
      </c>
      <c r="Y426" s="687">
        <f t="shared" si="210"/>
        <v>-112.47265125498438</v>
      </c>
      <c r="AA426" s="170">
        <f t="shared" si="211"/>
        <v>41929.75</v>
      </c>
      <c r="AB426" s="170">
        <f t="shared" si="212"/>
        <v>1758103935.0625</v>
      </c>
      <c r="AD426" s="686">
        <f t="shared" si="213"/>
        <v>17.123204551610268</v>
      </c>
      <c r="AE426" s="687">
        <f t="shared" si="214"/>
        <v>-9.3378737729719781</v>
      </c>
      <c r="AG426" s="686">
        <f t="shared" si="215"/>
        <v>59.746591735516851</v>
      </c>
      <c r="AH426" s="687">
        <f t="shared" si="216"/>
        <v>56.672892522848073</v>
      </c>
      <c r="AJ426" s="170">
        <f t="shared" si="217"/>
        <v>0</v>
      </c>
      <c r="AK426" s="170">
        <f t="shared" si="229"/>
        <v>0</v>
      </c>
      <c r="AM426" s="170" t="str">
        <f t="shared" si="221"/>
        <v>0.031836726835178-0.250319548766726i</v>
      </c>
      <c r="AN426" s="170" t="str">
        <f t="shared" si="222"/>
        <v>6.0301750094218i</v>
      </c>
      <c r="AO426" s="170" t="str">
        <f t="shared" si="223"/>
        <v>-0.0415111581961744-0.00527956929698308i</v>
      </c>
      <c r="AP426" s="170" t="str">
        <f t="shared" si="224"/>
        <v>0.16136054552747+0.0417199247944543i</v>
      </c>
      <c r="AQ426" s="170" t="str">
        <f t="shared" si="225"/>
        <v>0.83863945447253-0.0417199247944543i</v>
      </c>
      <c r="AR426" s="170" t="str">
        <f t="shared" si="226"/>
        <v>0.990823402899285+0.0492906428776867i</v>
      </c>
    </row>
    <row r="427" spans="7:44">
      <c r="G427" s="688">
        <v>42172.5</v>
      </c>
      <c r="H427" s="676">
        <f t="shared" si="218"/>
        <v>42.172499999999999</v>
      </c>
      <c r="I427" s="677">
        <f t="shared" si="198"/>
        <v>38.175961655798659</v>
      </c>
      <c r="J427" s="678">
        <f t="shared" si="199"/>
        <v>1.5445988362659546</v>
      </c>
      <c r="K427" s="678">
        <f t="shared" si="200"/>
        <v>1.0016977169994588</v>
      </c>
      <c r="L427" s="679">
        <f t="shared" si="201"/>
        <v>5.8229178334937876E-2</v>
      </c>
      <c r="M427" s="678">
        <f t="shared" si="202"/>
        <v>1.1346327255713602</v>
      </c>
      <c r="N427" s="679">
        <f t="shared" si="203"/>
        <v>-0.4921002905326029</v>
      </c>
      <c r="O427" s="677">
        <f t="shared" si="204"/>
        <v>1748852.3716243361</v>
      </c>
      <c r="P427" s="680">
        <f t="shared" si="205"/>
        <v>1.5707957549913434</v>
      </c>
      <c r="Q427" s="689">
        <f t="shared" si="227"/>
        <v>70.544133773167573</v>
      </c>
      <c r="R427" s="690">
        <f t="shared" si="228"/>
        <v>1.5566203288706226</v>
      </c>
      <c r="S427" s="677">
        <f t="shared" si="206"/>
        <v>1.0112904200820436</v>
      </c>
      <c r="T427" s="680">
        <f t="shared" si="207"/>
        <v>0.14956741347629238</v>
      </c>
      <c r="U427" s="681">
        <f t="shared" si="219"/>
        <v>3.5671917709075698E-2</v>
      </c>
      <c r="V427" s="682">
        <f t="shared" si="220"/>
        <v>-2.9894990615736821</v>
      </c>
      <c r="W427" s="683">
        <f t="shared" si="208"/>
        <v>-37.489755634972461</v>
      </c>
      <c r="X427" s="684">
        <f t="shared" si="209"/>
        <v>-294.02543099729257</v>
      </c>
      <c r="Y427" s="687">
        <f t="shared" si="210"/>
        <v>-114.02543099729257</v>
      </c>
      <c r="AA427" s="170">
        <f t="shared" si="211"/>
        <v>42172.5</v>
      </c>
      <c r="AB427" s="170">
        <f t="shared" si="212"/>
        <v>1778519756.25</v>
      </c>
      <c r="AD427" s="686">
        <f t="shared" si="213"/>
        <v>17.122087332640628</v>
      </c>
      <c r="AE427" s="687">
        <f t="shared" si="214"/>
        <v>-9.3817736451167058</v>
      </c>
      <c r="AG427" s="686">
        <f t="shared" si="215"/>
        <v>61.02491323678268</v>
      </c>
      <c r="AH427" s="687">
        <f t="shared" si="216"/>
        <v>57.927701212253346</v>
      </c>
      <c r="AJ427" s="170">
        <f t="shared" si="217"/>
        <v>0</v>
      </c>
      <c r="AK427" s="170">
        <f t="shared" si="229"/>
        <v>0</v>
      </c>
      <c r="AM427" s="170" t="str">
        <f t="shared" si="221"/>
        <v>0.023689444292355-0.21637397905901i</v>
      </c>
      <c r="AN427" s="170" t="str">
        <f t="shared" si="222"/>
        <v>6.06508637864144i</v>
      </c>
      <c r="AO427" s="170" t="str">
        <f t="shared" si="223"/>
        <v>-0.0356753334661455-0.00390587088351763i</v>
      </c>
      <c r="AP427" s="170" t="str">
        <f t="shared" si="224"/>
        <v>0.162718425951274+0.0360623298431683i</v>
      </c>
      <c r="AQ427" s="170" t="str">
        <f t="shared" si="225"/>
        <v>0.837281574048726-0.0360623298431683i</v>
      </c>
      <c r="AR427" s="170" t="str">
        <f t="shared" si="226"/>
        <v>0.993044154893077+0.0427711381362614i</v>
      </c>
    </row>
    <row r="428" spans="7:44">
      <c r="G428" s="688">
        <v>42415.25</v>
      </c>
      <c r="H428" s="676">
        <f t="shared" si="218"/>
        <v>42.41525</v>
      </c>
      <c r="I428" s="677">
        <f t="shared" si="198"/>
        <v>38.395556751231126</v>
      </c>
      <c r="J428" s="678">
        <f t="shared" si="199"/>
        <v>1.5447487011482179</v>
      </c>
      <c r="K428" s="678">
        <f t="shared" si="200"/>
        <v>1.0017173009761695</v>
      </c>
      <c r="L428" s="679">
        <f t="shared" si="201"/>
        <v>5.8563588859216011E-2</v>
      </c>
      <c r="M428" s="678">
        <f t="shared" si="202"/>
        <v>1.1360939501109393</v>
      </c>
      <c r="N428" s="679">
        <f t="shared" si="203"/>
        <v>-0.49449414450453533</v>
      </c>
      <c r="O428" s="677">
        <f t="shared" si="204"/>
        <v>1758918.9769527293</v>
      </c>
      <c r="P428" s="680">
        <f t="shared" si="205"/>
        <v>1.5707957582638767</v>
      </c>
      <c r="Q428" s="689">
        <f t="shared" si="227"/>
        <v>70.950112958899169</v>
      </c>
      <c r="R428" s="690">
        <f t="shared" si="228"/>
        <v>1.5567014498456127</v>
      </c>
      <c r="S428" s="677">
        <f t="shared" si="206"/>
        <v>1.0114200362520107</v>
      </c>
      <c r="T428" s="680">
        <f t="shared" si="207"/>
        <v>0.15041545074921359</v>
      </c>
      <c r="U428" s="681">
        <f t="shared" si="219"/>
        <v>2.9857133780050286E-2</v>
      </c>
      <c r="V428" s="682">
        <f t="shared" si="220"/>
        <v>-3.0137033890572424</v>
      </c>
      <c r="W428" s="683">
        <f t="shared" si="208"/>
        <v>-39.07491668072295</v>
      </c>
      <c r="X428" s="684">
        <f t="shared" si="209"/>
        <v>-295.58276210739359</v>
      </c>
      <c r="Y428" s="687">
        <f t="shared" si="210"/>
        <v>-115.58276210739359</v>
      </c>
      <c r="AA428" s="170">
        <f t="shared" si="211"/>
        <v>42415.25</v>
      </c>
      <c r="AB428" s="170">
        <f t="shared" si="212"/>
        <v>1799053432.5625</v>
      </c>
      <c r="AD428" s="686">
        <f t="shared" si="213"/>
        <v>17.120964180828224</v>
      </c>
      <c r="AE428" s="687">
        <f t="shared" si="214"/>
        <v>-9.425714899780516</v>
      </c>
      <c r="AG428" s="686">
        <f t="shared" si="215"/>
        <v>62.532009079351496</v>
      </c>
      <c r="AH428" s="687">
        <f t="shared" si="216"/>
        <v>59.187922981506503</v>
      </c>
      <c r="AJ428" s="170">
        <f t="shared" si="217"/>
        <v>0</v>
      </c>
      <c r="AK428" s="170">
        <f t="shared" si="229"/>
        <v>0</v>
      </c>
      <c r="AM428" s="170" t="str">
        <f t="shared" si="221"/>
        <v>0.0167319718151751-0.182164718728753i</v>
      </c>
      <c r="AN428" s="170" t="str">
        <f t="shared" si="222"/>
        <v>6.09999774786108i</v>
      </c>
      <c r="AO428" s="170" t="str">
        <f t="shared" si="223"/>
        <v>-0.0298630796695995-0.00274294721191365i</v>
      </c>
      <c r="AP428" s="170" t="str">
        <f t="shared" si="224"/>
        <v>0.163878004697471+0.0303607864547922i</v>
      </c>
      <c r="AQ428" s="170" t="str">
        <f t="shared" si="225"/>
        <v>0.836121995302529-0.0303607864547922i</v>
      </c>
      <c r="AR428" s="170" t="str">
        <f t="shared" si="226"/>
        <v>0.994954233631921+0.0361282123772624i</v>
      </c>
    </row>
    <row r="429" spans="7:44">
      <c r="G429" s="688">
        <v>42658</v>
      </c>
      <c r="H429" s="676">
        <f t="shared" si="218"/>
        <v>42.658000000000001</v>
      </c>
      <c r="I429" s="677">
        <f t="shared" si="198"/>
        <v>38.615152699200046</v>
      </c>
      <c r="J429" s="678">
        <f t="shared" si="199"/>
        <v>1.5448968615360046</v>
      </c>
      <c r="K429" s="678">
        <f t="shared" si="200"/>
        <v>1.001736996970938</v>
      </c>
      <c r="L429" s="679">
        <f t="shared" si="201"/>
        <v>5.8897986270634799E-2</v>
      </c>
      <c r="M429" s="678">
        <f t="shared" si="202"/>
        <v>1.1375616683314267</v>
      </c>
      <c r="N429" s="679">
        <f t="shared" si="203"/>
        <v>-0.49688183487690529</v>
      </c>
      <c r="O429" s="677">
        <f t="shared" si="204"/>
        <v>1768985.5822811227</v>
      </c>
      <c r="P429" s="680">
        <f t="shared" si="205"/>
        <v>1.5707957614991643</v>
      </c>
      <c r="Q429" s="689">
        <f t="shared" si="227"/>
        <v>71.356092606213181</v>
      </c>
      <c r="R429" s="690">
        <f t="shared" si="228"/>
        <v>1.5567816477474643</v>
      </c>
      <c r="S429" s="677">
        <f t="shared" si="206"/>
        <v>1.0115503796153975</v>
      </c>
      <c r="T429" s="680">
        <f t="shared" si="207"/>
        <v>0.15126327008397666</v>
      </c>
      <c r="U429" s="681">
        <f t="shared" si="219"/>
        <v>2.4074147271070729E-2</v>
      </c>
      <c r="V429" s="682">
        <f t="shared" si="220"/>
        <v>-3.0379811042325304</v>
      </c>
      <c r="W429" s="683">
        <f t="shared" si="208"/>
        <v>-40.984140700306888</v>
      </c>
      <c r="X429" s="684">
        <f t="shared" si="209"/>
        <v>-297.14388836435774</v>
      </c>
      <c r="Y429" s="687">
        <f t="shared" si="210"/>
        <v>-117.14388836435774</v>
      </c>
      <c r="AA429" s="170">
        <f t="shared" si="211"/>
        <v>42658</v>
      </c>
      <c r="AB429" s="170">
        <f t="shared" si="212"/>
        <v>1819704964</v>
      </c>
      <c r="AD429" s="686">
        <f t="shared" si="213"/>
        <v>17.119835097003065</v>
      </c>
      <c r="AE429" s="687">
        <f t="shared" si="214"/>
        <v>-9.4696965535687134</v>
      </c>
      <c r="AG429" s="686">
        <f t="shared" si="215"/>
        <v>64.363802188133135</v>
      </c>
      <c r="AH429" s="687">
        <f t="shared" si="216"/>
        <v>60.452799613038934</v>
      </c>
      <c r="AJ429" s="170">
        <f t="shared" si="217"/>
        <v>0</v>
      </c>
      <c r="AK429" s="170">
        <f t="shared" si="229"/>
        <v>0</v>
      </c>
      <c r="AM429" s="170" t="str">
        <f t="shared" si="221"/>
        <v>0.01097278833561-0.147733457914457i</v>
      </c>
      <c r="AN429" s="170" t="str">
        <f t="shared" si="222"/>
        <v>6.13490911708071i</v>
      </c>
      <c r="AO429" s="170" t="str">
        <f t="shared" si="223"/>
        <v>-0.0240807899669027-0.00178858205169817i</v>
      </c>
      <c r="AP429" s="170" t="str">
        <f t="shared" si="224"/>
        <v>0.164837868610732+0.0246222429857428i</v>
      </c>
      <c r="AQ429" s="170" t="str">
        <f t="shared" si="225"/>
        <v>0.835162131389268-0.0246222429857428i</v>
      </c>
      <c r="AR429" s="170" t="str">
        <f t="shared" si="226"/>
        <v>0.996544939036231+0.0293801295735781i</v>
      </c>
    </row>
    <row r="430" spans="7:44">
      <c r="G430" s="688">
        <v>42906.5</v>
      </c>
      <c r="H430" s="676">
        <f t="shared" si="218"/>
        <v>42.906500000000001</v>
      </c>
      <c r="I430" s="677">
        <f t="shared" si="198"/>
        <v>38.839951066944693</v>
      </c>
      <c r="J430" s="678">
        <f t="shared" si="199"/>
        <v>1.5450467960291632</v>
      </c>
      <c r="K430" s="678">
        <f t="shared" si="200"/>
        <v>1.0017572755258013</v>
      </c>
      <c r="L430" s="679">
        <f t="shared" si="201"/>
        <v>5.92402908673118E-2</v>
      </c>
      <c r="M430" s="678">
        <f t="shared" si="202"/>
        <v>1.1390708522959305</v>
      </c>
      <c r="N430" s="679">
        <f t="shared" si="203"/>
        <v>-0.49931969446720487</v>
      </c>
      <c r="O430" s="677">
        <f t="shared" si="204"/>
        <v>1779290.6344916511</v>
      </c>
      <c r="P430" s="680">
        <f t="shared" si="205"/>
        <v>1.570795764773167</v>
      </c>
      <c r="Q430" s="689">
        <f t="shared" si="227"/>
        <v>71.77168913117373</v>
      </c>
      <c r="R430" s="690">
        <f t="shared" si="228"/>
        <v>1.5568628055136235</v>
      </c>
      <c r="S430" s="677">
        <f t="shared" si="206"/>
        <v>1.0116845633531344</v>
      </c>
      <c r="T430" s="680">
        <f t="shared" si="207"/>
        <v>0.15213094472113142</v>
      </c>
      <c r="U430" s="681">
        <f t="shared" si="219"/>
        <v>1.8193099802415191E-2</v>
      </c>
      <c r="V430" s="682">
        <f t="shared" si="220"/>
        <v>-3.0628957583450509</v>
      </c>
      <c r="W430" s="683">
        <f t="shared" si="208"/>
        <v>-43.45691362617714</v>
      </c>
      <c r="X430" s="684">
        <f t="shared" si="209"/>
        <v>-298.74511425020705</v>
      </c>
      <c r="Y430" s="687">
        <f t="shared" si="210"/>
        <v>-118.74511425020705</v>
      </c>
      <c r="AA430" s="170">
        <f t="shared" si="211"/>
        <v>42906.5</v>
      </c>
      <c r="AB430" s="170">
        <f t="shared" si="212"/>
        <v>1840967742.25</v>
      </c>
      <c r="AD430" s="686">
        <f t="shared" si="213"/>
        <v>17.118673125222855</v>
      </c>
      <c r="AE430" s="687">
        <f t="shared" si="214"/>
        <v>-9.5147608384306182</v>
      </c>
      <c r="AG430" s="686">
        <f t="shared" si="215"/>
        <v>66.757959674304118</v>
      </c>
      <c r="AH430" s="687">
        <f t="shared" si="216"/>
        <v>61.751647072665207</v>
      </c>
      <c r="AJ430" s="170">
        <f t="shared" si="217"/>
        <v>0</v>
      </c>
      <c r="AK430" s="170">
        <f t="shared" si="229"/>
        <v>0</v>
      </c>
      <c r="AM430" s="170" t="str">
        <f t="shared" si="221"/>
        <v>0.00632570663065102-0.112300483956767i</v>
      </c>
      <c r="AN430" s="170" t="str">
        <f t="shared" si="222"/>
        <v>6.1706474291346i</v>
      </c>
      <c r="AO430" s="170" t="str">
        <f t="shared" si="223"/>
        <v>-0.0181991412159674-0.00102512851419517i</v>
      </c>
      <c r="AP430" s="170" t="str">
        <f t="shared" si="224"/>
        <v>0.165612382228225+0.0187167473261278i</v>
      </c>
      <c r="AQ430" s="170" t="str">
        <f t="shared" si="225"/>
        <v>0.834387617771775-0.0187167473261278i</v>
      </c>
      <c r="AR430" s="170" t="str">
        <f t="shared" si="226"/>
        <v>0.99783487015547+0.0223831499175098i</v>
      </c>
    </row>
    <row r="431" spans="7:44">
      <c r="G431" s="688">
        <v>43155</v>
      </c>
      <c r="H431" s="676">
        <f t="shared" si="218"/>
        <v>43.155000000000001</v>
      </c>
      <c r="I431" s="677">
        <f t="shared" si="198"/>
        <v>39.064750297776179</v>
      </c>
      <c r="J431" s="678">
        <f t="shared" si="199"/>
        <v>1.5451950049209024</v>
      </c>
      <c r="K431" s="678">
        <f t="shared" si="200"/>
        <v>1.0017776714542459</v>
      </c>
      <c r="L431" s="679">
        <f t="shared" si="201"/>
        <v>5.9582581565632363E-2</v>
      </c>
      <c r="M431" s="678">
        <f t="shared" si="202"/>
        <v>1.1405867880018234</v>
      </c>
      <c r="N431" s="679">
        <f t="shared" si="203"/>
        <v>-0.50175108823514902</v>
      </c>
      <c r="O431" s="677">
        <f t="shared" si="204"/>
        <v>1789595.6867021795</v>
      </c>
      <c r="P431" s="680">
        <f t="shared" si="205"/>
        <v>1.570795768009464</v>
      </c>
      <c r="Q431" s="689">
        <f t="shared" si="227"/>
        <v>72.187286123421259</v>
      </c>
      <c r="R431" s="690">
        <f t="shared" si="228"/>
        <v>1.5569430287965398</v>
      </c>
      <c r="S431" s="677">
        <f t="shared" si="206"/>
        <v>1.0118195085446289</v>
      </c>
      <c r="T431" s="680">
        <f t="shared" si="207"/>
        <v>0.15299838856968934</v>
      </c>
      <c r="U431" s="681">
        <f t="shared" si="219"/>
        <v>1.2357553386968218E-2</v>
      </c>
      <c r="V431" s="682">
        <f t="shared" si="220"/>
        <v>-3.0878582951286986</v>
      </c>
      <c r="W431" s="683">
        <f t="shared" si="208"/>
        <v>-46.855964714660026</v>
      </c>
      <c r="X431" s="684">
        <f t="shared" si="209"/>
        <v>-300.34865538990601</v>
      </c>
      <c r="Y431" s="687">
        <f t="shared" si="210"/>
        <v>-120.34865538990601</v>
      </c>
      <c r="AA431" s="170">
        <f t="shared" si="211"/>
        <v>43155</v>
      </c>
      <c r="AB431" s="170">
        <f t="shared" si="212"/>
        <v>1862354025</v>
      </c>
      <c r="AD431" s="686">
        <f t="shared" si="213"/>
        <v>17.117504939266507</v>
      </c>
      <c r="AE431" s="687">
        <f t="shared" si="214"/>
        <v>-9.559865439865483</v>
      </c>
      <c r="AG431" s="686">
        <f t="shared" si="215"/>
        <v>70.079045034675843</v>
      </c>
      <c r="AH431" s="687">
        <f t="shared" si="216"/>
        <v>63.05370654495588</v>
      </c>
      <c r="AJ431" s="170">
        <f t="shared" si="217"/>
        <v>0</v>
      </c>
      <c r="AK431" s="170">
        <f t="shared" si="229"/>
        <v>0</v>
      </c>
      <c r="AM431" s="170" t="str">
        <f t="shared" si="221"/>
        <v>0.00294763743446902-0.0767240920603981i</v>
      </c>
      <c r="AN431" s="170" t="str">
        <f t="shared" si="222"/>
        <v>6.20638574118848i</v>
      </c>
      <c r="AO431" s="170" t="str">
        <f t="shared" si="223"/>
        <v>-0.0123621210894484-0.000474936228166921i</v>
      </c>
      <c r="AP431" s="170" t="str">
        <f t="shared" si="224"/>
        <v>0.166175393760922+0.012787348676733i</v>
      </c>
      <c r="AQ431" s="170" t="str">
        <f t="shared" si="225"/>
        <v>0.833824606239078-0.012787348676733i</v>
      </c>
      <c r="AR431" s="170" t="str">
        <f t="shared" si="226"/>
        <v>0.998776157280769+0.0153170089699832i</v>
      </c>
    </row>
    <row r="432" spans="7:44">
      <c r="G432" s="688">
        <v>43403.5</v>
      </c>
      <c r="H432" s="676">
        <f t="shared" si="218"/>
        <v>43.403500000000001</v>
      </c>
      <c r="I432" s="677">
        <f t="shared" si="198"/>
        <v>39.289550376879774</v>
      </c>
      <c r="J432" s="678">
        <f t="shared" si="199"/>
        <v>1.5453415178243879</v>
      </c>
      <c r="K432" s="678">
        <f t="shared" si="200"/>
        <v>1.0017981847491026</v>
      </c>
      <c r="L432" s="679">
        <f t="shared" si="201"/>
        <v>5.9924858286240272E-2</v>
      </c>
      <c r="M432" s="678">
        <f t="shared" si="202"/>
        <v>1.1421094485641015</v>
      </c>
      <c r="N432" s="679">
        <f t="shared" si="203"/>
        <v>-0.50417601323730232</v>
      </c>
      <c r="O432" s="677">
        <f t="shared" si="204"/>
        <v>1799900.7389127079</v>
      </c>
      <c r="P432" s="680">
        <f t="shared" si="205"/>
        <v>1.5707957712087033</v>
      </c>
      <c r="Q432" s="689">
        <f t="shared" si="227"/>
        <v>72.602883574931155</v>
      </c>
      <c r="R432" s="690">
        <f t="shared" si="228"/>
        <v>1.5570223336428335</v>
      </c>
      <c r="S432" s="677">
        <f t="shared" si="206"/>
        <v>1.0119552148852589</v>
      </c>
      <c r="T432" s="680">
        <f t="shared" si="207"/>
        <v>0.1538656004168088</v>
      </c>
      <c r="U432" s="681">
        <f t="shared" si="219"/>
        <v>6.5736671763373614E-3</v>
      </c>
      <c r="V432" s="682">
        <f t="shared" si="220"/>
        <v>-3.112853651466585</v>
      </c>
      <c r="W432" s="683">
        <f t="shared" si="208"/>
        <v>-52.37770928983263</v>
      </c>
      <c r="X432" s="684">
        <f t="shared" si="209"/>
        <v>-301.95364927418211</v>
      </c>
      <c r="Y432" s="687">
        <f t="shared" si="210"/>
        <v>-121.95364927418211</v>
      </c>
      <c r="AA432" s="170">
        <f t="shared" si="211"/>
        <v>43403.5</v>
      </c>
      <c r="AB432" s="170">
        <f t="shared" si="212"/>
        <v>1883863812.25</v>
      </c>
      <c r="AD432" s="686">
        <f t="shared" si="213"/>
        <v>17.116330540449255</v>
      </c>
      <c r="AE432" s="687">
        <f t="shared" si="214"/>
        <v>-9.6050093690161109</v>
      </c>
      <c r="AG432" s="686">
        <f t="shared" si="215"/>
        <v>75.523466191339722</v>
      </c>
      <c r="AH432" s="687">
        <f t="shared" si="216"/>
        <v>64.358113444276185</v>
      </c>
      <c r="AJ432" s="170">
        <f t="shared" si="217"/>
        <v>0</v>
      </c>
      <c r="AK432" s="170">
        <f t="shared" si="229"/>
        <v>0</v>
      </c>
      <c r="AM432" s="170" t="str">
        <f t="shared" si="221"/>
        <v>0.000842894848871012-0.0410497165156663i</v>
      </c>
      <c r="AN432" s="170" t="str">
        <f t="shared" si="222"/>
        <v>6.24212405324236i</v>
      </c>
      <c r="AO432" s="170" t="str">
        <f t="shared" si="223"/>
        <v>-0.00657624170322981-0.000135033338280611i</v>
      </c>
      <c r="AP432" s="170" t="str">
        <f t="shared" si="224"/>
        <v>0.166526184191855+0.00684161941927772i</v>
      </c>
      <c r="AQ432" s="170" t="str">
        <f t="shared" si="225"/>
        <v>0.833473815808145-0.00684161941927772i</v>
      </c>
      <c r="AR432" s="170" t="str">
        <f t="shared" si="226"/>
        <v>0.999364179257142+0.00820334034022019i</v>
      </c>
    </row>
    <row r="433" spans="7:44">
      <c r="G433" s="688">
        <v>43652</v>
      </c>
      <c r="H433" s="676">
        <f t="shared" si="218"/>
        <v>43.652000000000001</v>
      </c>
      <c r="I433" s="677">
        <f t="shared" si="198"/>
        <v>39.514351289777835</v>
      </c>
      <c r="J433" s="678">
        <f t="shared" si="199"/>
        <v>1.5454863636791922</v>
      </c>
      <c r="K433" s="678">
        <f t="shared" si="200"/>
        <v>1.001818815403162</v>
      </c>
      <c r="L433" s="679">
        <f t="shared" si="201"/>
        <v>6.0267120949798914E-2</v>
      </c>
      <c r="M433" s="678">
        <f t="shared" si="202"/>
        <v>1.1436388071219934</v>
      </c>
      <c r="N433" s="679">
        <f t="shared" si="203"/>
        <v>-0.50659446685017262</v>
      </c>
      <c r="O433" s="677">
        <f t="shared" si="204"/>
        <v>1810205.7911232363</v>
      </c>
      <c r="P433" s="680">
        <f t="shared" si="205"/>
        <v>1.5707957743715175</v>
      </c>
      <c r="Q433" s="689">
        <f t="shared" si="227"/>
        <v>73.018481477861542</v>
      </c>
      <c r="R433" s="690">
        <f t="shared" si="228"/>
        <v>1.5571007357338436</v>
      </c>
      <c r="S433" s="677">
        <f t="shared" si="206"/>
        <v>1.0120916820688484</v>
      </c>
      <c r="T433" s="680">
        <f t="shared" si="207"/>
        <v>0.15473257905169266</v>
      </c>
      <c r="U433" s="681">
        <f t="shared" si="219"/>
        <v>8.4754778370936643E-4</v>
      </c>
      <c r="V433" s="682">
        <f t="shared" si="220"/>
        <v>-3.1378666027172177</v>
      </c>
      <c r="W433" s="683">
        <f t="shared" si="208"/>
        <v>-70.20951418185247</v>
      </c>
      <c r="X433" s="684">
        <f t="shared" si="209"/>
        <v>-303.55922413986644</v>
      </c>
      <c r="Y433" s="687">
        <f t="shared" si="210"/>
        <v>-123.55922413986644</v>
      </c>
      <c r="AA433" s="170">
        <f t="shared" si="211"/>
        <v>43652</v>
      </c>
      <c r="AB433" s="170">
        <f t="shared" si="212"/>
        <v>1905497104</v>
      </c>
      <c r="AD433" s="686">
        <f t="shared" si="213"/>
        <v>17.115149930221559</v>
      </c>
      <c r="AE433" s="687">
        <f t="shared" si="214"/>
        <v>-9.6501916580706268</v>
      </c>
      <c r="AG433" s="686">
        <f t="shared" si="215"/>
        <v>93.278582689052826</v>
      </c>
      <c r="AH433" s="687">
        <f t="shared" si="216"/>
        <v>65.663993950577051</v>
      </c>
      <c r="AJ433" s="170">
        <f t="shared" si="217"/>
        <v>0</v>
      </c>
      <c r="AK433" s="170">
        <f t="shared" si="229"/>
        <v>0</v>
      </c>
      <c r="AM433" s="170" t="str">
        <f t="shared" si="221"/>
        <v>0.0000141668216969704-0.00532291674692325i</v>
      </c>
      <c r="AN433" s="170" t="str">
        <f t="shared" si="222"/>
        <v>6.27786236529625i</v>
      </c>
      <c r="AO433" s="170" t="str">
        <f t="shared" si="223"/>
        <v>-0.0008478868183457-2.25663145711572E-06i</v>
      </c>
      <c r="AP433" s="170" t="str">
        <f t="shared" si="224"/>
        <v>0.166664305529717+0.000887152791153875i</v>
      </c>
      <c r="AQ433" s="170" t="str">
        <f t="shared" si="225"/>
        <v>0.833335694470283-0.000887152791153875i</v>
      </c>
      <c r="AR433" s="170" t="str">
        <f t="shared" si="226"/>
        <v>0.999596034903572+0.00106415027974381i</v>
      </c>
    </row>
    <row r="434" spans="7:44">
      <c r="G434" s="688">
        <v>43906</v>
      </c>
      <c r="H434" s="676">
        <f t="shared" si="218"/>
        <v>43.905999999999999</v>
      </c>
      <c r="I434" s="677">
        <f t="shared" si="198"/>
        <v>39.744128522547797</v>
      </c>
      <c r="J434" s="678">
        <f t="shared" si="199"/>
        <v>1.5456327220191548</v>
      </c>
      <c r="K434" s="678">
        <f t="shared" si="200"/>
        <v>1.001840023947925</v>
      </c>
      <c r="L434" s="679">
        <f t="shared" si="201"/>
        <v>6.0616944233586455E-2</v>
      </c>
      <c r="M434" s="678">
        <f t="shared" si="202"/>
        <v>1.1452089087292234</v>
      </c>
      <c r="N434" s="679">
        <f t="shared" si="203"/>
        <v>-0.50905975738651355</v>
      </c>
      <c r="O434" s="677">
        <f t="shared" si="204"/>
        <v>1820738.9229601547</v>
      </c>
      <c r="P434" s="680">
        <f t="shared" si="205"/>
        <v>1.5707957775673345</v>
      </c>
      <c r="Q434" s="689">
        <f t="shared" si="227"/>
        <v>73.443278183259622</v>
      </c>
      <c r="R434" s="690">
        <f t="shared" si="228"/>
        <v>1.5571799560890809</v>
      </c>
      <c r="S434" s="677">
        <f t="shared" si="206"/>
        <v>1.0122319556211927</v>
      </c>
      <c r="T434" s="680">
        <f t="shared" si="207"/>
        <v>0.15561850407832764</v>
      </c>
      <c r="U434" s="681">
        <f t="shared" si="219"/>
        <v>4.9393461956208492E-3</v>
      </c>
      <c r="V434" s="682">
        <f t="shared" si="220"/>
        <v>-2.1842749764897921E-2</v>
      </c>
      <c r="W434" s="683">
        <f t="shared" si="208"/>
        <v>-54.938883742029574</v>
      </c>
      <c r="X434" s="684">
        <f t="shared" si="209"/>
        <v>-125.2000223163372</v>
      </c>
      <c r="Y434" s="687">
        <f t="shared" si="210"/>
        <v>54.799977683662803</v>
      </c>
      <c r="AA434" s="170">
        <f t="shared" si="211"/>
        <v>43906</v>
      </c>
      <c r="AB434" s="170">
        <f t="shared" si="212"/>
        <v>1927736836</v>
      </c>
      <c r="AD434" s="686">
        <f t="shared" si="213"/>
        <v>17.11393677228957</v>
      </c>
      <c r="AE434" s="687">
        <f t="shared" si="214"/>
        <v>-9.6964126142148324</v>
      </c>
      <c r="AG434" s="686">
        <f t="shared" si="215"/>
        <v>77.930215323080191</v>
      </c>
      <c r="AH434" s="687">
        <f t="shared" si="216"/>
        <v>-113.00061495028424</v>
      </c>
      <c r="AJ434" s="170">
        <f t="shared" si="217"/>
        <v>0</v>
      </c>
      <c r="AK434" s="170">
        <f t="shared" si="229"/>
        <v>0</v>
      </c>
      <c r="AM434" s="170" t="str">
        <f t="shared" si="221"/>
        <v>0.000486878906393984+0.0312012942314631i</v>
      </c>
      <c r="AN434" s="170" t="str">
        <f t="shared" si="222"/>
        <v>6.3143916661481i</v>
      </c>
      <c r="AO434" s="170" t="str">
        <f t="shared" si="223"/>
        <v>0.00494129852583194-0.0000771062252923233i</v>
      </c>
      <c r="AP434" s="170" t="str">
        <f t="shared" si="224"/>
        <v>0.166585520182268-0.00520021570524385i</v>
      </c>
      <c r="AQ434" s="170" t="str">
        <f t="shared" si="225"/>
        <v>0.833414479817732+0.00520021570524385i</v>
      </c>
      <c r="AR434" s="170" t="str">
        <f t="shared" si="226"/>
        <v>0.999463760276126-0.00623630530651047i</v>
      </c>
    </row>
    <row r="435" spans="7:44">
      <c r="G435" s="688">
        <v>44160</v>
      </c>
      <c r="H435" s="676">
        <f t="shared" si="218"/>
        <v>44.16</v>
      </c>
      <c r="I435" s="677">
        <f t="shared" si="198"/>
        <v>39.973906596879907</v>
      </c>
      <c r="J435" s="678">
        <f t="shared" si="199"/>
        <v>1.5457773977676956</v>
      </c>
      <c r="K435" s="678">
        <f t="shared" si="200"/>
        <v>1.0018613550889941</v>
      </c>
      <c r="L435" s="679">
        <f t="shared" si="201"/>
        <v>6.0966752663648857E-2</v>
      </c>
      <c r="M435" s="678">
        <f t="shared" si="202"/>
        <v>1.1467859514404137</v>
      </c>
      <c r="N435" s="679">
        <f t="shared" si="203"/>
        <v>-0.51151828237018226</v>
      </c>
      <c r="O435" s="677">
        <f t="shared" si="204"/>
        <v>1831272.0547970731</v>
      </c>
      <c r="P435" s="680">
        <f t="shared" si="205"/>
        <v>1.5707957807263879</v>
      </c>
      <c r="Q435" s="689">
        <f t="shared" si="227"/>
        <v>73.868075344276491</v>
      </c>
      <c r="R435" s="690">
        <f t="shared" si="228"/>
        <v>1.5572582652911882</v>
      </c>
      <c r="S435" s="677">
        <f t="shared" si="206"/>
        <v>1.0123730234165769</v>
      </c>
      <c r="T435" s="680">
        <f t="shared" si="207"/>
        <v>0.15650418290380913</v>
      </c>
      <c r="U435" s="681">
        <f t="shared" si="219"/>
        <v>1.0653320391844837E-2</v>
      </c>
      <c r="V435" s="682">
        <f t="shared" si="220"/>
        <v>-4.7397573708098467E-2</v>
      </c>
      <c r="W435" s="683">
        <f t="shared" si="208"/>
        <v>-48.301727385380666</v>
      </c>
      <c r="X435" s="684">
        <f t="shared" si="209"/>
        <v>-126.83957479778306</v>
      </c>
      <c r="Y435" s="687">
        <f t="shared" si="210"/>
        <v>53.160425202216942</v>
      </c>
      <c r="AA435" s="170">
        <f t="shared" si="211"/>
        <v>44160</v>
      </c>
      <c r="AB435" s="170">
        <f t="shared" si="212"/>
        <v>1950105600</v>
      </c>
      <c r="AD435" s="686">
        <f t="shared" si="213"/>
        <v>17.11271712843303</v>
      </c>
      <c r="AE435" s="687">
        <f t="shared" si="214"/>
        <v>-9.7426716671945375</v>
      </c>
      <c r="AG435" s="686">
        <f t="shared" si="215"/>
        <v>71.21597045569969</v>
      </c>
      <c r="AH435" s="687">
        <f t="shared" si="216"/>
        <v>-111.66554125911374</v>
      </c>
      <c r="AJ435" s="170">
        <f t="shared" si="217"/>
        <v>0</v>
      </c>
      <c r="AK435" s="170">
        <f t="shared" si="229"/>
        <v>0</v>
      </c>
      <c r="AM435" s="170" t="str">
        <f t="shared" si="221"/>
        <v>0.00229318282138502+0.0676838751499794i</v>
      </c>
      <c r="AN435" s="170" t="str">
        <f t="shared" si="222"/>
        <v>6.35092096699996i</v>
      </c>
      <c r="AO435" s="170" t="str">
        <f t="shared" si="223"/>
        <v>0.010657332298996-0.000361078784211083i</v>
      </c>
      <c r="AP435" s="170" t="str">
        <f t="shared" si="224"/>
        <v>0.166284469529769-0.0112806458583299i</v>
      </c>
      <c r="AQ435" s="170" t="str">
        <f t="shared" si="225"/>
        <v>0.833715530470231+0.0112806458583299i</v>
      </c>
      <c r="AR435" s="170" t="str">
        <f t="shared" si="226"/>
        <v>0.998958871354582-0.0135164823527182i</v>
      </c>
    </row>
    <row r="436" spans="7:44">
      <c r="G436" s="688">
        <v>44414</v>
      </c>
      <c r="H436" s="676">
        <f t="shared" si="218"/>
        <v>44.414000000000001</v>
      </c>
      <c r="I436" s="677">
        <f t="shared" si="198"/>
        <v>40.203685498344704</v>
      </c>
      <c r="J436" s="678">
        <f t="shared" si="199"/>
        <v>1.5459204197685987</v>
      </c>
      <c r="K436" s="678">
        <f t="shared" si="200"/>
        <v>1.0018828088185381</v>
      </c>
      <c r="L436" s="679">
        <f t="shared" si="201"/>
        <v>6.1316546155328347E-2</v>
      </c>
      <c r="M436" s="678">
        <f t="shared" si="202"/>
        <v>1.1483699066591588</v>
      </c>
      <c r="N436" s="679">
        <f t="shared" si="203"/>
        <v>-0.5139700400152678</v>
      </c>
      <c r="O436" s="677">
        <f t="shared" si="204"/>
        <v>1841805.1866339915</v>
      </c>
      <c r="P436" s="680">
        <f t="shared" si="205"/>
        <v>1.5707957838493087</v>
      </c>
      <c r="Q436" s="689">
        <f t="shared" si="227"/>
        <v>74.292872953096676</v>
      </c>
      <c r="R436" s="690">
        <f t="shared" si="228"/>
        <v>1.5573356789687851</v>
      </c>
      <c r="S436" s="677">
        <f t="shared" si="206"/>
        <v>1.0125148851230295</v>
      </c>
      <c r="T436" s="680">
        <f t="shared" si="207"/>
        <v>0.15738961424183331</v>
      </c>
      <c r="U436" s="681">
        <f t="shared" si="219"/>
        <v>1.6288273581940092E-2</v>
      </c>
      <c r="V436" s="682">
        <f t="shared" si="220"/>
        <v>-7.2922130949699293E-2</v>
      </c>
      <c r="W436" s="683">
        <f t="shared" si="208"/>
        <v>-44.652762868465395</v>
      </c>
      <c r="X436" s="684">
        <f t="shared" si="209"/>
        <v>-128.47694861588977</v>
      </c>
      <c r="Y436" s="687">
        <f t="shared" si="210"/>
        <v>51.523051384110232</v>
      </c>
      <c r="AA436" s="170">
        <f t="shared" si="211"/>
        <v>44414</v>
      </c>
      <c r="AB436" s="170">
        <f t="shared" si="212"/>
        <v>1972603396</v>
      </c>
      <c r="AD436" s="686">
        <f t="shared" si="213"/>
        <v>17.111491000614677</v>
      </c>
      <c r="AE436" s="687">
        <f t="shared" si="214"/>
        <v>-9.7889678478921383</v>
      </c>
      <c r="AG436" s="686">
        <f t="shared" si="215"/>
        <v>67.490558424878273</v>
      </c>
      <c r="AH436" s="687">
        <f t="shared" si="216"/>
        <v>-110.33172008541302</v>
      </c>
      <c r="AJ436" s="170">
        <f t="shared" si="217"/>
        <v>0</v>
      </c>
      <c r="AK436" s="170">
        <f t="shared" si="229"/>
        <v>0</v>
      </c>
      <c r="AM436" s="170" t="str">
        <f t="shared" si="221"/>
        <v>0.00543066852112595+0.10407614943716i</v>
      </c>
      <c r="AN436" s="170" t="str">
        <f t="shared" si="222"/>
        <v>6.38745026785182i</v>
      </c>
      <c r="AO436" s="170" t="str">
        <f t="shared" si="223"/>
        <v>0.0162938488869303-0.000850209127804662i</v>
      </c>
      <c r="AP436" s="170" t="str">
        <f t="shared" si="224"/>
        <v>0.165761555246479-0.0173460249061933i</v>
      </c>
      <c r="AQ436" s="170" t="str">
        <f t="shared" si="225"/>
        <v>0.834238444753521+0.0173460249061933i</v>
      </c>
      <c r="AR436" s="170" t="str">
        <f t="shared" si="226"/>
        <v>0.998083972908449-0.0207528070198892i</v>
      </c>
    </row>
    <row r="437" spans="7:44">
      <c r="G437" s="688">
        <v>44668</v>
      </c>
      <c r="H437" s="676">
        <f t="shared" si="218"/>
        <v>44.667999999999999</v>
      </c>
      <c r="I437" s="677">
        <f t="shared" si="198"/>
        <v>40.433465212840673</v>
      </c>
      <c r="J437" s="678">
        <f t="shared" si="199"/>
        <v>1.5460618162102555</v>
      </c>
      <c r="K437" s="678">
        <f t="shared" si="200"/>
        <v>1.0019043851286824</v>
      </c>
      <c r="L437" s="679">
        <f t="shared" si="201"/>
        <v>6.1666324623989008E-2</v>
      </c>
      <c r="M437" s="678">
        <f t="shared" si="202"/>
        <v>1.1499607458216083</v>
      </c>
      <c r="N437" s="679">
        <f t="shared" si="203"/>
        <v>-0.51641502887110902</v>
      </c>
      <c r="O437" s="677">
        <f t="shared" si="204"/>
        <v>1852338.31847091</v>
      </c>
      <c r="P437" s="680">
        <f t="shared" si="205"/>
        <v>1.5707957869367131</v>
      </c>
      <c r="Q437" s="689">
        <f t="shared" si="227"/>
        <v>74.717671002082341</v>
      </c>
      <c r="R437" s="690">
        <f t="shared" si="228"/>
        <v>1.5574122123951164</v>
      </c>
      <c r="S437" s="677">
        <f t="shared" si="206"/>
        <v>1.0126575404068967</v>
      </c>
      <c r="T437" s="680">
        <f t="shared" si="207"/>
        <v>0.15827479680836745</v>
      </c>
      <c r="U437" s="681">
        <f t="shared" si="219"/>
        <v>2.1838326025224664E-2</v>
      </c>
      <c r="V437" s="682">
        <f t="shared" si="220"/>
        <v>-9.8400287282824989E-2</v>
      </c>
      <c r="W437" s="683">
        <f t="shared" si="208"/>
        <v>-42.144400281589142</v>
      </c>
      <c r="X437" s="684">
        <f t="shared" si="209"/>
        <v>-130.11121993687803</v>
      </c>
      <c r="Y437" s="687">
        <f t="shared" si="210"/>
        <v>49.88878006312197</v>
      </c>
      <c r="AA437" s="170">
        <f t="shared" si="211"/>
        <v>44668</v>
      </c>
      <c r="AB437" s="170">
        <f t="shared" si="212"/>
        <v>1995230224</v>
      </c>
      <c r="AD437" s="686">
        <f t="shared" si="213"/>
        <v>17.110258390929062</v>
      </c>
      <c r="AE437" s="687">
        <f t="shared" si="214"/>
        <v>-9.8353002076808238</v>
      </c>
      <c r="AG437" s="686">
        <f t="shared" si="215"/>
        <v>64.906382018836581</v>
      </c>
      <c r="AH437" s="687">
        <f t="shared" si="216"/>
        <v>-109.00007738795131</v>
      </c>
      <c r="AJ437" s="170">
        <f t="shared" si="217"/>
        <v>0</v>
      </c>
      <c r="AK437" s="170">
        <f t="shared" si="229"/>
        <v>0</v>
      </c>
      <c r="AM437" s="170" t="str">
        <f t="shared" si="221"/>
        <v>0.009895149842164+0.140329561012387i</v>
      </c>
      <c r="AN437" s="170" t="str">
        <f t="shared" si="222"/>
        <v>6.42397956870367i</v>
      </c>
      <c r="AO437" s="170" t="str">
        <f t="shared" si="223"/>
        <v>0.0218446462214862-0.00154034578353443i</v>
      </c>
      <c r="AP437" s="170" t="str">
        <f t="shared" si="224"/>
        <v>0.165017475026306-0.0233882601687312i</v>
      </c>
      <c r="AQ437" s="170" t="str">
        <f t="shared" si="225"/>
        <v>0.834982524973694+0.0233882601687312i</v>
      </c>
      <c r="AR437" s="170" t="str">
        <f t="shared" si="226"/>
        <v>0.996843558493809-0.0279220651885038i</v>
      </c>
    </row>
    <row r="438" spans="7:44">
      <c r="G438" s="688">
        <v>44928.25</v>
      </c>
      <c r="H438" s="676">
        <f t="shared" si="218"/>
        <v>44.928249999999998</v>
      </c>
      <c r="I438" s="677">
        <f t="shared" si="198"/>
        <v>40.668899784619413</v>
      </c>
      <c r="J438" s="678">
        <f t="shared" si="199"/>
        <v>1.5462050346523506</v>
      </c>
      <c r="K438" s="678">
        <f t="shared" si="200"/>
        <v>1.0019266194857803</v>
      </c>
      <c r="L438" s="679">
        <f t="shared" si="201"/>
        <v>6.2024694175767184E-2</v>
      </c>
      <c r="M438" s="678">
        <f t="shared" si="202"/>
        <v>1.1515978399248206</v>
      </c>
      <c r="N438" s="679">
        <f t="shared" si="203"/>
        <v>-0.51891315801563676</v>
      </c>
      <c r="O438" s="677">
        <f t="shared" si="204"/>
        <v>1863130.6317014536</v>
      </c>
      <c r="P438" s="680">
        <f t="shared" si="205"/>
        <v>1.5707957900638789</v>
      </c>
      <c r="Q438" s="689">
        <f t="shared" si="227"/>
        <v>75.152922207706041</v>
      </c>
      <c r="R438" s="690">
        <f t="shared" si="228"/>
        <v>1.5574897316267371</v>
      </c>
      <c r="S438" s="677">
        <f t="shared" si="206"/>
        <v>1.012804528666853</v>
      </c>
      <c r="T438" s="680">
        <f t="shared" si="207"/>
        <v>0.15918150107283277</v>
      </c>
      <c r="U438" s="681">
        <f t="shared" si="219"/>
        <v>2.7431007849453608E-2</v>
      </c>
      <c r="V438" s="682">
        <f t="shared" si="220"/>
        <v>-0.12444061761155624</v>
      </c>
      <c r="W438" s="683">
        <f t="shared" si="208"/>
        <v>-40.203101507857262</v>
      </c>
      <c r="X438" s="684">
        <f t="shared" si="209"/>
        <v>-131.78153495185796</v>
      </c>
      <c r="Y438" s="687">
        <f t="shared" si="210"/>
        <v>48.218465048142036</v>
      </c>
      <c r="AA438" s="170">
        <f t="shared" si="211"/>
        <v>44928.25</v>
      </c>
      <c r="AB438" s="170">
        <f t="shared" si="212"/>
        <v>2018547648.0625</v>
      </c>
      <c r="AD438" s="686">
        <f t="shared" si="213"/>
        <v>17.108988730534172</v>
      </c>
      <c r="AE438" s="687">
        <f t="shared" si="214"/>
        <v>-9.8828091897259274</v>
      </c>
      <c r="AG438" s="686">
        <f t="shared" si="215"/>
        <v>62.888053688306385</v>
      </c>
      <c r="AH438" s="687">
        <f t="shared" si="216"/>
        <v>-107.63888136755078</v>
      </c>
      <c r="AJ438" s="170">
        <f t="shared" si="217"/>
        <v>0</v>
      </c>
      <c r="AK438" s="170">
        <f t="shared" si="229"/>
        <v>0</v>
      </c>
      <c r="AM438" s="170" t="str">
        <f t="shared" si="221"/>
        <v>0.0158396211691481+0.177280424016624i</v>
      </c>
      <c r="AN438" s="170" t="str">
        <f t="shared" si="222"/>
        <v>6.46140772046232i</v>
      </c>
      <c r="AO438" s="170" t="str">
        <f t="shared" si="223"/>
        <v>0.0274368112470605-0.00245141954422507i</v>
      </c>
      <c r="AP438" s="170" t="str">
        <f t="shared" si="224"/>
        <v>0.164026729805142-0.029546737336104i</v>
      </c>
      <c r="AQ438" s="170" t="str">
        <f t="shared" si="225"/>
        <v>0.835973270194858+0.029546737336104i</v>
      </c>
      <c r="AR438" s="170" t="str">
        <f t="shared" si="226"/>
        <v>0.995200132383604-0.0351744702334086i</v>
      </c>
    </row>
    <row r="439" spans="7:44">
      <c r="G439" s="688">
        <v>45188.5</v>
      </c>
      <c r="H439" s="676">
        <f t="shared" si="218"/>
        <v>45.188499999999998</v>
      </c>
      <c r="I439" s="677">
        <f t="shared" si="198"/>
        <v>40.904335180976524</v>
      </c>
      <c r="J439" s="678">
        <f t="shared" si="199"/>
        <v>1.546346604436341</v>
      </c>
      <c r="K439" s="678">
        <f t="shared" si="200"/>
        <v>1.0019489825133268</v>
      </c>
      <c r="L439" s="679">
        <f t="shared" si="201"/>
        <v>6.2383047776288642E-2</v>
      </c>
      <c r="M439" s="678">
        <f t="shared" si="202"/>
        <v>1.1532421003161506</v>
      </c>
      <c r="N439" s="679">
        <f t="shared" si="203"/>
        <v>-0.52140417914331938</v>
      </c>
      <c r="O439" s="677">
        <f t="shared" si="204"/>
        <v>1873922.944931997</v>
      </c>
      <c r="P439" s="680">
        <f t="shared" si="205"/>
        <v>1.5707957931550249</v>
      </c>
      <c r="Q439" s="689">
        <f t="shared" si="227"/>
        <v>75.588173859740081</v>
      </c>
      <c r="R439" s="690">
        <f t="shared" si="228"/>
        <v>1.5575663581166848</v>
      </c>
      <c r="S439" s="677">
        <f t="shared" si="206"/>
        <v>1.0129523493241512</v>
      </c>
      <c r="T439" s="680">
        <f t="shared" si="207"/>
        <v>0.16008794145067412</v>
      </c>
      <c r="U439" s="681">
        <f t="shared" si="219"/>
        <v>3.2922930203671465E-2</v>
      </c>
      <c r="V439" s="682">
        <f t="shared" si="220"/>
        <v>-0.15039879430320402</v>
      </c>
      <c r="W439" s="683">
        <f t="shared" si="208"/>
        <v>-38.65679512481681</v>
      </c>
      <c r="X439" s="684">
        <f t="shared" si="209"/>
        <v>-133.44667813225442</v>
      </c>
      <c r="Y439" s="687">
        <f t="shared" si="210"/>
        <v>46.553321867745581</v>
      </c>
      <c r="AA439" s="170">
        <f t="shared" si="211"/>
        <v>45188.5</v>
      </c>
      <c r="AB439" s="170">
        <f t="shared" si="212"/>
        <v>2042000532.25</v>
      </c>
      <c r="AD439" s="686">
        <f t="shared" si="213"/>
        <v>17.107712270218521</v>
      </c>
      <c r="AE439" s="687">
        <f t="shared" si="214"/>
        <v>-9.9303542004475283</v>
      </c>
      <c r="AG439" s="686">
        <f t="shared" si="215"/>
        <v>61.26536785646109</v>
      </c>
      <c r="AH439" s="687">
        <f t="shared" si="216"/>
        <v>-106.28189159725407</v>
      </c>
      <c r="AJ439" s="170">
        <f t="shared" si="217"/>
        <v>0</v>
      </c>
      <c r="AK439" s="170">
        <f t="shared" si="229"/>
        <v>0</v>
      </c>
      <c r="AM439" s="170" t="str">
        <f t="shared" si="221"/>
        <v>0.023162608907099+0.213982969796232i</v>
      </c>
      <c r="AN439" s="170" t="str">
        <f t="shared" si="222"/>
        <v>6.49883587222096i</v>
      </c>
      <c r="AO439" s="170" t="str">
        <f t="shared" si="223"/>
        <v>0.0329263538891472-0.00356411661450118i</v>
      </c>
      <c r="AP439" s="170" t="str">
        <f t="shared" si="224"/>
        <v>0.162806231848817-0.035663828299372i</v>
      </c>
      <c r="AQ439" s="170" t="str">
        <f t="shared" si="225"/>
        <v>0.837193768151183+0.035663828299372i</v>
      </c>
      <c r="AR439" s="170" t="str">
        <f t="shared" si="226"/>
        <v>0.993188348791518-0.042309080750158i</v>
      </c>
    </row>
    <row r="440" spans="7:44">
      <c r="G440" s="688">
        <v>45448.75</v>
      </c>
      <c r="H440" s="676">
        <f t="shared" si="218"/>
        <v>45.448749999999997</v>
      </c>
      <c r="I440" s="677">
        <f t="shared" si="198"/>
        <v>41.139771387755268</v>
      </c>
      <c r="J440" s="678">
        <f t="shared" si="199"/>
        <v>1.5464865538615074</v>
      </c>
      <c r="K440" s="678">
        <f t="shared" si="200"/>
        <v>1.0019714742027062</v>
      </c>
      <c r="L440" s="679">
        <f t="shared" si="201"/>
        <v>6.2741385334586938E-2</v>
      </c>
      <c r="M440" s="678">
        <f t="shared" si="202"/>
        <v>1.1548934963869486</v>
      </c>
      <c r="N440" s="679">
        <f t="shared" si="203"/>
        <v>-0.52388809176549</v>
      </c>
      <c r="O440" s="677">
        <f t="shared" si="204"/>
        <v>1884715.2581625404</v>
      </c>
      <c r="P440" s="680">
        <f t="shared" si="205"/>
        <v>1.5707957962107695</v>
      </c>
      <c r="Q440" s="689">
        <f t="shared" si="227"/>
        <v>76.023425950517094</v>
      </c>
      <c r="R440" s="690">
        <f t="shared" si="228"/>
        <v>1.5576421071975237</v>
      </c>
      <c r="S440" s="677">
        <f t="shared" si="206"/>
        <v>1.0131010020144287</v>
      </c>
      <c r="T440" s="680">
        <f t="shared" si="207"/>
        <v>0.16099411656820453</v>
      </c>
      <c r="U440" s="681">
        <f t="shared" si="219"/>
        <v>3.8308719940503735E-2</v>
      </c>
      <c r="V440" s="682">
        <f t="shared" si="220"/>
        <v>-0.17625849668721824</v>
      </c>
      <c r="W440" s="683">
        <f t="shared" si="208"/>
        <v>-37.379321983628039</v>
      </c>
      <c r="X440" s="684">
        <f t="shared" si="209"/>
        <v>-135.10571501400545</v>
      </c>
      <c r="Y440" s="687">
        <f t="shared" si="210"/>
        <v>44.894284985994545</v>
      </c>
      <c r="AA440" s="170">
        <f t="shared" si="211"/>
        <v>45448.75</v>
      </c>
      <c r="AB440" s="170">
        <f t="shared" si="212"/>
        <v>2065588876.5625</v>
      </c>
      <c r="AD440" s="686">
        <f t="shared" si="213"/>
        <v>17.106429012642369</v>
      </c>
      <c r="AE440" s="687">
        <f t="shared" si="214"/>
        <v>-9.9779342826833535</v>
      </c>
      <c r="AG440" s="686">
        <f t="shared" si="215"/>
        <v>59.912157884200177</v>
      </c>
      <c r="AH440" s="687">
        <f t="shared" si="216"/>
        <v>-104.93004478124641</v>
      </c>
      <c r="AJ440" s="170">
        <f t="shared" si="217"/>
        <v>0</v>
      </c>
      <c r="AK440" s="170">
        <f t="shared" si="229"/>
        <v>0</v>
      </c>
      <c r="AM440" s="170" t="str">
        <f t="shared" si="221"/>
        <v>0.03185385572501+0.25038578898466i</v>
      </c>
      <c r="AN440" s="170" t="str">
        <f t="shared" si="222"/>
        <v>6.53626402397961i</v>
      </c>
      <c r="AO440" s="170" t="str">
        <f t="shared" si="223"/>
        <v>0.0383071718134502-0.00487340407427663i</v>
      </c>
      <c r="AP440" s="170" t="str">
        <f t="shared" si="224"/>
        <v>0.161357690712498-0.0417309648307767i</v>
      </c>
      <c r="AQ440" s="170" t="str">
        <f t="shared" si="225"/>
        <v>0.838642309287502+0.0417309648307767i</v>
      </c>
      <c r="AR440" s="170" t="str">
        <f t="shared" si="226"/>
        <v>0.990818752000137-0.0493032870336822i</v>
      </c>
    </row>
    <row r="441" spans="7:44">
      <c r="G441" s="688">
        <v>45709</v>
      </c>
      <c r="H441" s="676">
        <f t="shared" si="218"/>
        <v>45.709000000000003</v>
      </c>
      <c r="I441" s="677">
        <f t="shared" si="198"/>
        <v>41.375208391121106</v>
      </c>
      <c r="J441" s="678">
        <f t="shared" si="199"/>
        <v>1.5466249105832635</v>
      </c>
      <c r="K441" s="678">
        <f t="shared" si="200"/>
        <v>1.0019940945452543</v>
      </c>
      <c r="L441" s="679">
        <f t="shared" si="201"/>
        <v>6.3099706759720223E-2</v>
      </c>
      <c r="M441" s="678">
        <f t="shared" si="202"/>
        <v>1.1565519975709293</v>
      </c>
      <c r="N441" s="679">
        <f t="shared" si="203"/>
        <v>-0.52636489574713041</v>
      </c>
      <c r="O441" s="677">
        <f t="shared" si="204"/>
        <v>1895507.571393084</v>
      </c>
      <c r="P441" s="680">
        <f t="shared" si="205"/>
        <v>1.5707957992317176</v>
      </c>
      <c r="Q441" s="689">
        <f t="shared" si="227"/>
        <v>76.458678472544221</v>
      </c>
      <c r="R441" s="690">
        <f t="shared" si="228"/>
        <v>1.5577169938527264</v>
      </c>
      <c r="S441" s="677">
        <f t="shared" si="206"/>
        <v>1.0132504863714857</v>
      </c>
      <c r="T441" s="680">
        <f t="shared" si="207"/>
        <v>0.16190002505428355</v>
      </c>
      <c r="U441" s="681">
        <f t="shared" si="219"/>
        <v>4.3583389158595318E-2</v>
      </c>
      <c r="V441" s="682">
        <f t="shared" si="220"/>
        <v>-0.20200391650291882</v>
      </c>
      <c r="W441" s="683">
        <f t="shared" si="208"/>
        <v>-36.297050632123991</v>
      </c>
      <c r="X441" s="684">
        <f t="shared" si="209"/>
        <v>-136.75774049548914</v>
      </c>
      <c r="Y441" s="687">
        <f t="shared" si="210"/>
        <v>43.242259504510855</v>
      </c>
      <c r="AA441" s="170">
        <f t="shared" si="211"/>
        <v>45709</v>
      </c>
      <c r="AB441" s="170">
        <f t="shared" si="212"/>
        <v>2089312681</v>
      </c>
      <c r="AD441" s="686">
        <f t="shared" si="213"/>
        <v>17.105138960595966</v>
      </c>
      <c r="AE441" s="687">
        <f t="shared" si="214"/>
        <v>-10.025548499417782</v>
      </c>
      <c r="AG441" s="686">
        <f t="shared" si="215"/>
        <v>58.754784946696866</v>
      </c>
      <c r="AH441" s="687">
        <f t="shared" si="216"/>
        <v>-103.58424824816032</v>
      </c>
      <c r="AJ441" s="170">
        <f t="shared" si="217"/>
        <v>0</v>
      </c>
      <c r="AK441" s="170">
        <f t="shared" si="229"/>
        <v>0</v>
      </c>
      <c r="AM441" s="170" t="str">
        <f t="shared" si="221"/>
        <v>0.0419011877672451+0.286437892043255i</v>
      </c>
      <c r="AN441" s="170" t="str">
        <f t="shared" si="222"/>
        <v>6.57369217573825i</v>
      </c>
      <c r="AO441" s="170" t="str">
        <f t="shared" si="223"/>
        <v>0.0435733655281915-0.00637407208111923i</v>
      </c>
      <c r="AP441" s="170" t="str">
        <f t="shared" si="224"/>
        <v>0.159683135372126-0.0477396486738758i</v>
      </c>
      <c r="AQ441" s="170" t="str">
        <f t="shared" si="225"/>
        <v>0.840316864627874+0.0477396486738758i</v>
      </c>
      <c r="AR441" s="170" t="str">
        <f t="shared" si="226"/>
        <v>0.988103582854269-0.0561356315510224i</v>
      </c>
    </row>
    <row r="442" spans="7:44">
      <c r="G442" s="688">
        <v>45975.25</v>
      </c>
      <c r="H442" s="676">
        <f t="shared" si="218"/>
        <v>45.975250000000003</v>
      </c>
      <c r="I442" s="677">
        <f t="shared" si="198"/>
        <v>41.616074147175731</v>
      </c>
      <c r="J442" s="678">
        <f t="shared" si="199"/>
        <v>1.5467648370625449</v>
      </c>
      <c r="K442" s="678">
        <f t="shared" si="200"/>
        <v>1.0020173695216334</v>
      </c>
      <c r="L442" s="679">
        <f t="shared" si="201"/>
        <v>6.3466272407356639E-2</v>
      </c>
      <c r="M442" s="678">
        <f t="shared" si="202"/>
        <v>1.158256055976407</v>
      </c>
      <c r="N442" s="679">
        <f t="shared" si="203"/>
        <v>-0.52889144570206592</v>
      </c>
      <c r="O442" s="677">
        <f t="shared" si="204"/>
        <v>1906548.6987615074</v>
      </c>
      <c r="P442" s="680">
        <f t="shared" si="205"/>
        <v>1.5707958022869202</v>
      </c>
      <c r="Q442" s="689">
        <f t="shared" si="227"/>
        <v>76.903966073491318</v>
      </c>
      <c r="R442" s="690">
        <f t="shared" si="228"/>
        <v>1.5577927297911196</v>
      </c>
      <c r="S442" s="677">
        <f t="shared" si="206"/>
        <v>1.0134042773185976</v>
      </c>
      <c r="T442" s="680">
        <f t="shared" si="207"/>
        <v>0.16282654168846092</v>
      </c>
      <c r="U442" s="681">
        <f t="shared" si="219"/>
        <v>4.8859900656691817E-2</v>
      </c>
      <c r="V442" s="682">
        <f t="shared" si="220"/>
        <v>-0.22820875500747717</v>
      </c>
      <c r="W442" s="683">
        <f t="shared" si="208"/>
        <v>-35.343174042904735</v>
      </c>
      <c r="X442" s="684">
        <f t="shared" si="209"/>
        <v>-138.43968864608169</v>
      </c>
      <c r="Y442" s="687">
        <f t="shared" si="210"/>
        <v>41.560311353918308</v>
      </c>
      <c r="AA442" s="170">
        <f t="shared" si="211"/>
        <v>45975.25</v>
      </c>
      <c r="AB442" s="170">
        <f t="shared" si="212"/>
        <v>2113723612.5625</v>
      </c>
      <c r="AD442" s="686">
        <f t="shared" si="213"/>
        <v>17.103812138514787</v>
      </c>
      <c r="AE442" s="687">
        <f t="shared" si="214"/>
        <v>-10.074294817683336</v>
      </c>
      <c r="AG442" s="686">
        <f t="shared" si="215"/>
        <v>57.724725137282</v>
      </c>
      <c r="AH442" s="687">
        <f t="shared" si="216"/>
        <v>-102.21459677878983</v>
      </c>
      <c r="AJ442" s="170">
        <f t="shared" si="217"/>
        <v>0</v>
      </c>
      <c r="AK442" s="170">
        <f t="shared" si="229"/>
        <v>0</v>
      </c>
      <c r="AM442" s="170" t="str">
        <f t="shared" si="221"/>
        <v>0.053568813527556+0.322905573306443i</v>
      </c>
      <c r="AN442" s="170" t="str">
        <f t="shared" si="222"/>
        <v>6.61198322436741i</v>
      </c>
      <c r="AO442" s="170" t="str">
        <f t="shared" si="223"/>
        <v>0.0488364175088082-0.00810177698729432i</v>
      </c>
      <c r="AP442" s="170" t="str">
        <f t="shared" si="224"/>
        <v>0.157738531078741-0.0538175955510738i</v>
      </c>
      <c r="AQ442" s="170" t="str">
        <f t="shared" si="225"/>
        <v>0.842261468921259+0.0538175955510738i</v>
      </c>
      <c r="AR442" s="170" t="str">
        <f t="shared" si="226"/>
        <v>0.984982589832762-0.0629369816861758i</v>
      </c>
    </row>
    <row r="443" spans="7:44">
      <c r="G443" s="688">
        <v>46241.5</v>
      </c>
      <c r="H443" s="676">
        <f t="shared" si="218"/>
        <v>46.241500000000002</v>
      </c>
      <c r="I443" s="677">
        <f t="shared" si="198"/>
        <v>41.856940708671175</v>
      </c>
      <c r="J443" s="678">
        <f t="shared" si="199"/>
        <v>1.546903153125335</v>
      </c>
      <c r="K443" s="678">
        <f t="shared" si="200"/>
        <v>1.0020407791331958</v>
      </c>
      <c r="L443" s="679">
        <f t="shared" si="201"/>
        <v>6.3832820976878743E-2</v>
      </c>
      <c r="M443" s="678">
        <f t="shared" si="202"/>
        <v>1.1599674863059741</v>
      </c>
      <c r="N443" s="679">
        <f t="shared" si="203"/>
        <v>-0.53141055629228462</v>
      </c>
      <c r="O443" s="677">
        <f t="shared" si="204"/>
        <v>1917589.8261299308</v>
      </c>
      <c r="P443" s="680">
        <f t="shared" si="205"/>
        <v>1.57079580530694</v>
      </c>
      <c r="Q443" s="689">
        <f t="shared" si="227"/>
        <v>77.349254110475471</v>
      </c>
      <c r="R443" s="690">
        <f t="shared" si="228"/>
        <v>1.5578675937290967</v>
      </c>
      <c r="S443" s="677">
        <f t="shared" si="206"/>
        <v>1.0135589379410241</v>
      </c>
      <c r="T443" s="680">
        <f t="shared" si="207"/>
        <v>0.16375277636015828</v>
      </c>
      <c r="U443" s="681">
        <f t="shared" si="219"/>
        <v>5.4010883792586589E-2</v>
      </c>
      <c r="V443" s="682">
        <f t="shared" si="220"/>
        <v>-0.25426245650386453</v>
      </c>
      <c r="W443" s="683">
        <f t="shared" si="208"/>
        <v>-34.511033718643759</v>
      </c>
      <c r="X443" s="684">
        <f t="shared" si="209"/>
        <v>-140.11249355287009</v>
      </c>
      <c r="Y443" s="687">
        <f t="shared" si="210"/>
        <v>39.887506447129908</v>
      </c>
      <c r="AA443" s="170">
        <f t="shared" si="211"/>
        <v>46241.5</v>
      </c>
      <c r="AB443" s="170">
        <f t="shared" si="212"/>
        <v>2138276322.25</v>
      </c>
      <c r="AD443" s="686">
        <f t="shared" si="213"/>
        <v>17.102478211372144</v>
      </c>
      <c r="AE443" s="687">
        <f t="shared" si="214"/>
        <v>-10.123074940616595</v>
      </c>
      <c r="AG443" s="686">
        <f t="shared" si="215"/>
        <v>56.817051221417131</v>
      </c>
      <c r="AH443" s="687">
        <f t="shared" si="216"/>
        <v>-100.85308728636022</v>
      </c>
      <c r="AJ443" s="170">
        <f t="shared" si="217"/>
        <v>0</v>
      </c>
      <c r="AK443" s="170">
        <f t="shared" si="229"/>
        <v>0</v>
      </c>
      <c r="AM443" s="170" t="str">
        <f t="shared" si="221"/>
        <v>0.066623931321278+0.358899866840116i</v>
      </c>
      <c r="AN443" s="170" t="str">
        <f t="shared" si="222"/>
        <v>6.65027427299657i</v>
      </c>
      <c r="AO443" s="170" t="str">
        <f t="shared" si="223"/>
        <v>0.0539676789418188-0.0100182230967232i</v>
      </c>
      <c r="AP443" s="170" t="str">
        <f t="shared" si="224"/>
        <v>0.15556267811312-0.0598166444733527i</v>
      </c>
      <c r="AQ443" s="170" t="str">
        <f t="shared" si="225"/>
        <v>0.84443732188688+0.0598166444733527i</v>
      </c>
      <c r="AR443" s="170" t="str">
        <f t="shared" si="226"/>
        <v>0.981530610904641-0.0695277980620338i</v>
      </c>
    </row>
    <row r="444" spans="7:44">
      <c r="G444" s="688">
        <v>46507.75</v>
      </c>
      <c r="H444" s="676">
        <f t="shared" si="218"/>
        <v>46.507750000000001</v>
      </c>
      <c r="I444" s="677">
        <f t="shared" si="198"/>
        <v>42.097808061782231</v>
      </c>
      <c r="J444" s="678">
        <f t="shared" si="199"/>
        <v>1.5470398864088344</v>
      </c>
      <c r="K444" s="678">
        <f t="shared" si="200"/>
        <v>1.002064323370506</v>
      </c>
      <c r="L444" s="679">
        <f t="shared" si="201"/>
        <v>6.4199352370989532E-2</v>
      </c>
      <c r="M444" s="678">
        <f t="shared" si="202"/>
        <v>1.1616862559780252</v>
      </c>
      <c r="N444" s="679">
        <f t="shared" si="203"/>
        <v>-0.53392222849601656</v>
      </c>
      <c r="O444" s="677">
        <f t="shared" si="204"/>
        <v>1928630.9534983542</v>
      </c>
      <c r="P444" s="680">
        <f t="shared" si="205"/>
        <v>1.5707958082923816</v>
      </c>
      <c r="Q444" s="689">
        <f t="shared" si="227"/>
        <v>77.794542576009221</v>
      </c>
      <c r="R444" s="690">
        <f t="shared" si="228"/>
        <v>1.5579416006395501</v>
      </c>
      <c r="S444" s="677">
        <f t="shared" si="206"/>
        <v>1.0137144678407108</v>
      </c>
      <c r="T444" s="680">
        <f t="shared" si="207"/>
        <v>0.1646787276095433</v>
      </c>
      <c r="U444" s="681">
        <f t="shared" si="219"/>
        <v>5.9032390871502659E-2</v>
      </c>
      <c r="V444" s="682">
        <f t="shared" si="220"/>
        <v>-0.28015020596518619</v>
      </c>
      <c r="W444" s="683">
        <f t="shared" si="208"/>
        <v>-33.776968196048131</v>
      </c>
      <c r="X444" s="684">
        <f t="shared" si="209"/>
        <v>-141.77530708096609</v>
      </c>
      <c r="Y444" s="687">
        <f t="shared" si="210"/>
        <v>38.224692919033913</v>
      </c>
      <c r="AA444" s="170">
        <f t="shared" si="211"/>
        <v>46507.75</v>
      </c>
      <c r="AB444" s="170">
        <f t="shared" si="212"/>
        <v>2162970810.0625</v>
      </c>
      <c r="AD444" s="686">
        <f t="shared" si="213"/>
        <v>17.101137182555878</v>
      </c>
      <c r="AE444" s="687">
        <f t="shared" si="214"/>
        <v>-10.171887926726425</v>
      </c>
      <c r="AG444" s="686">
        <f t="shared" si="215"/>
        <v>56.008094207128927</v>
      </c>
      <c r="AH444" s="687">
        <f t="shared" si="216"/>
        <v>-99.500570254504993</v>
      </c>
      <c r="AJ444" s="170">
        <f t="shared" si="217"/>
        <v>0</v>
      </c>
      <c r="AK444" s="170">
        <f t="shared" si="229"/>
        <v>0</v>
      </c>
      <c r="AM444" s="170" t="str">
        <f t="shared" si="221"/>
        <v>0.081047402015852+0.394368004100465i</v>
      </c>
      <c r="AN444" s="170" t="str">
        <f t="shared" si="222"/>
        <v>6.68856532162573i</v>
      </c>
      <c r="AO444" s="170" t="str">
        <f t="shared" si="223"/>
        <v>0.0589615239048917-0.0121173073923352i</v>
      </c>
      <c r="AP444" s="170" t="str">
        <f t="shared" si="224"/>
        <v>0.153158766330691-0.0657280006834108i</v>
      </c>
      <c r="AQ444" s="170" t="str">
        <f t="shared" si="225"/>
        <v>0.846841233669309+0.0657280006834108i</v>
      </c>
      <c r="AR444" s="170" t="str">
        <f t="shared" si="226"/>
        <v>0.977765237130601-0.0758897318873723i</v>
      </c>
    </row>
    <row r="445" spans="7:44">
      <c r="G445" s="688">
        <v>46774</v>
      </c>
      <c r="H445" s="676">
        <f t="shared" si="218"/>
        <v>46.774000000000001</v>
      </c>
      <c r="I445" s="677">
        <f t="shared" si="198"/>
        <v>42.338676192998236</v>
      </c>
      <c r="J445" s="678">
        <f t="shared" si="199"/>
        <v>1.5471750639215613</v>
      </c>
      <c r="K445" s="678">
        <f t="shared" si="200"/>
        <v>1.0020880022240743</v>
      </c>
      <c r="L445" s="679">
        <f t="shared" si="201"/>
        <v>6.4565866492419619E-2</v>
      </c>
      <c r="M445" s="678">
        <f t="shared" si="202"/>
        <v>1.1634123324641816</v>
      </c>
      <c r="N445" s="679">
        <f t="shared" si="203"/>
        <v>-0.53642646366112179</v>
      </c>
      <c r="O445" s="677">
        <f t="shared" si="204"/>
        <v>1939672.0808667778</v>
      </c>
      <c r="P445" s="680">
        <f t="shared" si="205"/>
        <v>1.5707958112438352</v>
      </c>
      <c r="Q445" s="689">
        <f t="shared" si="227"/>
        <v>78.239831462775484</v>
      </c>
      <c r="R445" s="690">
        <f t="shared" si="228"/>
        <v>1.558014765154548</v>
      </c>
      <c r="S445" s="677">
        <f t="shared" si="206"/>
        <v>1.0138708666176111</v>
      </c>
      <c r="T445" s="680">
        <f t="shared" si="207"/>
        <v>0.16560439397962085</v>
      </c>
      <c r="U445" s="681">
        <f t="shared" si="219"/>
        <v>6.3920973013130059E-2</v>
      </c>
      <c r="V445" s="682">
        <f t="shared" si="220"/>
        <v>-0.30585802358231973</v>
      </c>
      <c r="W445" s="683">
        <f t="shared" si="208"/>
        <v>-33.123710574777853</v>
      </c>
      <c r="X445" s="684">
        <f t="shared" si="209"/>
        <v>-143.42732895477982</v>
      </c>
      <c r="Y445" s="687">
        <f t="shared" si="210"/>
        <v>36.572671045220176</v>
      </c>
      <c r="AA445" s="170">
        <f t="shared" si="211"/>
        <v>46774</v>
      </c>
      <c r="AB445" s="170">
        <f t="shared" si="212"/>
        <v>2187807076</v>
      </c>
      <c r="AD445" s="686">
        <f t="shared" si="213"/>
        <v>17.099789055581631</v>
      </c>
      <c r="AE445" s="687">
        <f t="shared" si="214"/>
        <v>-10.220732854211203</v>
      </c>
      <c r="AG445" s="686">
        <f t="shared" si="215"/>
        <v>55.280579783420372</v>
      </c>
      <c r="AH445" s="687">
        <f t="shared" si="216"/>
        <v>-98.157848297560122</v>
      </c>
      <c r="AJ445" s="170">
        <f t="shared" si="217"/>
        <v>0</v>
      </c>
      <c r="AK445" s="170">
        <f t="shared" si="229"/>
        <v>0</v>
      </c>
      <c r="AM445" s="170" t="str">
        <f t="shared" si="221"/>
        <v>0.096818080438798+0.42925798790208i</v>
      </c>
      <c r="AN445" s="170" t="str">
        <f t="shared" si="222"/>
        <v>6.7268563702549i</v>
      </c>
      <c r="AO445" s="170" t="str">
        <f t="shared" si="223"/>
        <v>0.0638125692411378-0.0143927676034399i</v>
      </c>
      <c r="AP445" s="170" t="str">
        <f t="shared" si="224"/>
        <v>0.150530319926867-0.07154299798368i</v>
      </c>
      <c r="AQ445" s="170" t="str">
        <f t="shared" si="225"/>
        <v>0.849469680073133+0.07154299798368i</v>
      </c>
      <c r="AR445" s="170" t="str">
        <f t="shared" si="226"/>
        <v>0.973705182627575-0.0820062087577111i</v>
      </c>
    </row>
    <row r="446" spans="7:44">
      <c r="G446" s="688">
        <v>47046.25</v>
      </c>
      <c r="H446" s="676">
        <f t="shared" si="218"/>
        <v>47.046250000000001</v>
      </c>
      <c r="I446" s="677">
        <f t="shared" si="198"/>
        <v>42.584973129287981</v>
      </c>
      <c r="J446" s="678">
        <f t="shared" si="199"/>
        <v>1.5473117064310187</v>
      </c>
      <c r="K446" s="678">
        <f t="shared" si="200"/>
        <v>1.0021123538765175</v>
      </c>
      <c r="L446" s="679">
        <f t="shared" si="201"/>
        <v>6.4940622124768282E-2</v>
      </c>
      <c r="M446" s="678">
        <f t="shared" si="202"/>
        <v>1.1651848282776001</v>
      </c>
      <c r="N446" s="679">
        <f t="shared" si="203"/>
        <v>-0.53897944376162521</v>
      </c>
      <c r="O446" s="677">
        <f t="shared" si="204"/>
        <v>1950962.0223730814</v>
      </c>
      <c r="P446" s="680">
        <f t="shared" si="205"/>
        <v>1.5707958142272564</v>
      </c>
      <c r="Q446" s="689">
        <f t="shared" si="227"/>
        <v>78.695155456808919</v>
      </c>
      <c r="R446" s="690">
        <f t="shared" si="228"/>
        <v>1.5580887222597641</v>
      </c>
      <c r="S446" s="677">
        <f t="shared" si="206"/>
        <v>1.0140316879234641</v>
      </c>
      <c r="T446" s="680">
        <f t="shared" si="207"/>
        <v>0.16655062434059725</v>
      </c>
      <c r="U446" s="681">
        <f t="shared" si="219"/>
        <v>6.8779203468568195E-2</v>
      </c>
      <c r="V446" s="682">
        <f t="shared" si="220"/>
        <v>-0.33194547241724676</v>
      </c>
      <c r="W446" s="683">
        <f t="shared" si="208"/>
        <v>-32.525768947283247</v>
      </c>
      <c r="X446" s="684">
        <f t="shared" si="209"/>
        <v>-145.10463952822721</v>
      </c>
      <c r="Y446" s="687">
        <f t="shared" si="210"/>
        <v>34.89536047177279</v>
      </c>
      <c r="AA446" s="170">
        <f t="shared" si="211"/>
        <v>47046.25</v>
      </c>
      <c r="AB446" s="170">
        <f t="shared" si="212"/>
        <v>2213349639.0625</v>
      </c>
      <c r="AD446" s="686">
        <f t="shared" si="213"/>
        <v>17.098403212176201</v>
      </c>
      <c r="AE446" s="687">
        <f t="shared" si="214"/>
        <v>-10.270710601342955</v>
      </c>
      <c r="AG446" s="686">
        <f t="shared" si="215"/>
        <v>54.607356665829023</v>
      </c>
      <c r="AH446" s="687">
        <f t="shared" si="216"/>
        <v>-96.795779687450292</v>
      </c>
      <c r="AJ446" s="170">
        <f t="shared" si="217"/>
        <v>0</v>
      </c>
      <c r="AK446" s="170">
        <f t="shared" si="229"/>
        <v>0</v>
      </c>
      <c r="AM446" s="170" t="str">
        <f t="shared" si="221"/>
        <v>0.114313145022259+0.464283097818172i</v>
      </c>
      <c r="AN446" s="170" t="str">
        <f t="shared" si="222"/>
        <v>6.76601031575457i</v>
      </c>
      <c r="AO446" s="170" t="str">
        <f t="shared" si="223"/>
        <v>0.0686199216600505-0.0168952070256355i</v>
      </c>
      <c r="AP446" s="170" t="str">
        <f t="shared" si="224"/>
        <v>0.147614475829624-0.0773805163030287i</v>
      </c>
      <c r="AQ446" s="170" t="str">
        <f t="shared" si="225"/>
        <v>0.852385524170376+0.0773805163030287i</v>
      </c>
      <c r="AR446" s="170" t="str">
        <f t="shared" si="226"/>
        <v>0.969269373341451-0.087991363554507i</v>
      </c>
    </row>
    <row r="447" spans="7:44">
      <c r="G447" s="688">
        <v>47318.5</v>
      </c>
      <c r="H447" s="676">
        <f t="shared" si="218"/>
        <v>47.3185</v>
      </c>
      <c r="I447" s="677">
        <f t="shared" si="198"/>
        <v>42.831270851544808</v>
      </c>
      <c r="J447" s="678">
        <f t="shared" si="199"/>
        <v>1.5474467774398091</v>
      </c>
      <c r="K447" s="678">
        <f t="shared" si="200"/>
        <v>1.0021368462605558</v>
      </c>
      <c r="L447" s="679">
        <f t="shared" si="201"/>
        <v>6.5315359491568983E-2</v>
      </c>
      <c r="M447" s="678">
        <f t="shared" si="202"/>
        <v>1.1669648953259917</v>
      </c>
      <c r="N447" s="679">
        <f t="shared" si="203"/>
        <v>-0.54152465187006371</v>
      </c>
      <c r="O447" s="677">
        <f t="shared" si="204"/>
        <v>1962251.963879385</v>
      </c>
      <c r="P447" s="680">
        <f t="shared" si="205"/>
        <v>1.570795817176347</v>
      </c>
      <c r="Q447" s="689">
        <f t="shared" si="227"/>
        <v>79.150479876325278</v>
      </c>
      <c r="R447" s="690">
        <f t="shared" si="228"/>
        <v>1.5581618284677938</v>
      </c>
      <c r="S447" s="677">
        <f t="shared" si="206"/>
        <v>1.0141934168561</v>
      </c>
      <c r="T447" s="680">
        <f t="shared" si="207"/>
        <v>0.16749655376595862</v>
      </c>
      <c r="U447" s="681">
        <f t="shared" si="219"/>
        <v>7.3492769904768468E-2</v>
      </c>
      <c r="V447" s="682">
        <f t="shared" si="220"/>
        <v>-0.35781808858737901</v>
      </c>
      <c r="W447" s="683">
        <f t="shared" si="208"/>
        <v>-31.988032683234451</v>
      </c>
      <c r="X447" s="684">
        <f t="shared" si="209"/>
        <v>-146.76913830901501</v>
      </c>
      <c r="Y447" s="687">
        <f t="shared" si="210"/>
        <v>33.230861690984995</v>
      </c>
      <c r="AA447" s="170">
        <f t="shared" si="211"/>
        <v>47318.5</v>
      </c>
      <c r="AB447" s="170">
        <f t="shared" si="212"/>
        <v>2239040442.25</v>
      </c>
      <c r="AD447" s="686">
        <f t="shared" si="213"/>
        <v>17.097009954920413</v>
      </c>
      <c r="AE447" s="687">
        <f t="shared" si="214"/>
        <v>-10.320719856984685</v>
      </c>
      <c r="AG447" s="686">
        <f t="shared" si="215"/>
        <v>53.994987224327588</v>
      </c>
      <c r="AH447" s="687">
        <f t="shared" si="216"/>
        <v>-95.445485786187589</v>
      </c>
      <c r="AJ447" s="170">
        <f t="shared" si="217"/>
        <v>0</v>
      </c>
      <c r="AK447" s="170">
        <f t="shared" si="229"/>
        <v>0</v>
      </c>
      <c r="AM447" s="170" t="str">
        <f t="shared" si="221"/>
        <v>0.133165821955825+0.498596538069088i</v>
      </c>
      <c r="AN447" s="170" t="str">
        <f t="shared" si="222"/>
        <v>6.80516426125425i</v>
      </c>
      <c r="AO447" s="170" t="str">
        <f t="shared" si="223"/>
        <v>0.0732673773810116-0.0195683479257092i</v>
      </c>
      <c r="AP447" s="170" t="str">
        <f t="shared" si="224"/>
        <v>0.144472363007362-0.0830994230115147i</v>
      </c>
      <c r="AQ447" s="170" t="str">
        <f t="shared" si="225"/>
        <v>0.855527636992638+0.0830994230115147i</v>
      </c>
      <c r="AR447" s="170" t="str">
        <f t="shared" si="226"/>
        <v>0.964567732743253-0.0936907454307978i</v>
      </c>
    </row>
    <row r="448" spans="7:44">
      <c r="G448" s="688">
        <v>47590.75</v>
      </c>
      <c r="H448" s="676">
        <f t="shared" si="218"/>
        <v>47.59075</v>
      </c>
      <c r="I448" s="677">
        <f t="shared" si="198"/>
        <v>43.077569346287312</v>
      </c>
      <c r="J448" s="678">
        <f t="shared" si="199"/>
        <v>1.5475803038983993</v>
      </c>
      <c r="K448" s="678">
        <f t="shared" si="200"/>
        <v>1.0021614793658713</v>
      </c>
      <c r="L448" s="679">
        <f t="shared" si="201"/>
        <v>6.5690078488917489E-2</v>
      </c>
      <c r="M448" s="678">
        <f t="shared" si="202"/>
        <v>1.1687524990152769</v>
      </c>
      <c r="N448" s="679">
        <f t="shared" si="203"/>
        <v>-0.54406209059703281</v>
      </c>
      <c r="O448" s="677">
        <f t="shared" si="204"/>
        <v>1973541.9053856884</v>
      </c>
      <c r="P448" s="680">
        <f t="shared" si="205"/>
        <v>1.570795820091696</v>
      </c>
      <c r="Q448" s="689">
        <f t="shared" si="227"/>
        <v>79.605804714023662</v>
      </c>
      <c r="R448" s="690">
        <f t="shared" si="228"/>
        <v>1.5582340983785909</v>
      </c>
      <c r="S448" s="677">
        <f t="shared" si="206"/>
        <v>1.0143560529813829</v>
      </c>
      <c r="T448" s="680">
        <f t="shared" si="207"/>
        <v>0.16844218070725298</v>
      </c>
      <c r="U448" s="681">
        <f t="shared" si="219"/>
        <v>7.805961369145395E-2</v>
      </c>
      <c r="V448" s="682">
        <f t="shared" si="220"/>
        <v>-0.38346389946743903</v>
      </c>
      <c r="W448" s="683">
        <f t="shared" si="208"/>
        <v>-31.502093594386981</v>
      </c>
      <c r="X448" s="684">
        <f t="shared" si="209"/>
        <v>-148.42014009071991</v>
      </c>
      <c r="Y448" s="687">
        <f t="shared" si="210"/>
        <v>31.579859909280088</v>
      </c>
      <c r="AA448" s="170">
        <f t="shared" si="211"/>
        <v>47590.75</v>
      </c>
      <c r="AB448" s="170">
        <f t="shared" si="212"/>
        <v>2264879485.5625</v>
      </c>
      <c r="AD448" s="686">
        <f t="shared" si="213"/>
        <v>17.095609287966134</v>
      </c>
      <c r="AE448" s="687">
        <f t="shared" si="214"/>
        <v>-10.370759695934622</v>
      </c>
      <c r="AG448" s="686">
        <f t="shared" si="215"/>
        <v>53.435055714122583</v>
      </c>
      <c r="AH448" s="687">
        <f t="shared" si="216"/>
        <v>-94.107654274348249</v>
      </c>
      <c r="AJ448" s="170">
        <f t="shared" si="217"/>
        <v>0</v>
      </c>
      <c r="AK448" s="170">
        <f t="shared" si="229"/>
        <v>0</v>
      </c>
      <c r="AM448" s="170" t="str">
        <f t="shared" si="221"/>
        <v>0.153347213184955+0.532145711791722i</v>
      </c>
      <c r="AN448" s="170" t="str">
        <f t="shared" si="222"/>
        <v>6.84431820675393i</v>
      </c>
      <c r="AO448" s="170" t="str">
        <f t="shared" si="223"/>
        <v>0.0777499957945561-0.0224050385374591i</v>
      </c>
      <c r="AP448" s="170" t="str">
        <f t="shared" si="224"/>
        <v>0.141108797802507-0.088690951965287i</v>
      </c>
      <c r="AQ448" s="170" t="str">
        <f t="shared" si="225"/>
        <v>0.858891202197493+0.088690951965287i</v>
      </c>
      <c r="AR448" s="170" t="str">
        <f t="shared" si="226"/>
        <v>0.959622561045949-0.0990926886301506i</v>
      </c>
    </row>
    <row r="449" spans="7:44">
      <c r="G449" s="688">
        <v>47863</v>
      </c>
      <c r="H449" s="676">
        <f t="shared" si="218"/>
        <v>47.863</v>
      </c>
      <c r="I449" s="677">
        <f t="shared" si="198"/>
        <v>43.323868600340631</v>
      </c>
      <c r="J449" s="678">
        <f t="shared" si="199"/>
        <v>1.5477123121446181</v>
      </c>
      <c r="K449" s="678">
        <f t="shared" si="200"/>
        <v>1.0021862531820873</v>
      </c>
      <c r="L449" s="679">
        <f t="shared" si="201"/>
        <v>6.6064779012940417E-2</v>
      </c>
      <c r="M449" s="678">
        <f t="shared" si="202"/>
        <v>1.1705476048166756</v>
      </c>
      <c r="N449" s="679">
        <f t="shared" si="203"/>
        <v>-0.54659176293740375</v>
      </c>
      <c r="O449" s="677">
        <f t="shared" si="204"/>
        <v>1984831.846891992</v>
      </c>
      <c r="P449" s="680">
        <f t="shared" si="205"/>
        <v>1.5707958229738794</v>
      </c>
      <c r="Q449" s="689">
        <f t="shared" si="227"/>
        <v>80.061129962769158</v>
      </c>
      <c r="R449" s="690">
        <f t="shared" si="228"/>
        <v>1.5583055462600133</v>
      </c>
      <c r="S449" s="677">
        <f t="shared" si="206"/>
        <v>1.0145195958630204</v>
      </c>
      <c r="T449" s="680">
        <f t="shared" si="207"/>
        <v>0.16938750361918231</v>
      </c>
      <c r="U449" s="681">
        <f t="shared" si="219"/>
        <v>8.2478209869114749E-2</v>
      </c>
      <c r="V449" s="682">
        <f t="shared" si="220"/>
        <v>-0.40887198916547729</v>
      </c>
      <c r="W449" s="683">
        <f t="shared" si="208"/>
        <v>-31.061220609341493</v>
      </c>
      <c r="X449" s="684">
        <f t="shared" si="209"/>
        <v>-150.05702021940027</v>
      </c>
      <c r="Y449" s="687">
        <f t="shared" si="210"/>
        <v>29.942979780599728</v>
      </c>
      <c r="AA449" s="170">
        <f t="shared" si="211"/>
        <v>47863</v>
      </c>
      <c r="AB449" s="170">
        <f t="shared" si="212"/>
        <v>2290866769</v>
      </c>
      <c r="AD449" s="686">
        <f t="shared" si="213"/>
        <v>17.094201215590957</v>
      </c>
      <c r="AE449" s="687">
        <f t="shared" si="214"/>
        <v>-10.420829212198697</v>
      </c>
      <c r="AG449" s="686">
        <f t="shared" si="215"/>
        <v>52.920823625521194</v>
      </c>
      <c r="AH449" s="687">
        <f t="shared" si="216"/>
        <v>-92.782912273062749</v>
      </c>
      <c r="AJ449" s="170">
        <f t="shared" si="217"/>
        <v>0</v>
      </c>
      <c r="AK449" s="170">
        <f t="shared" si="229"/>
        <v>0</v>
      </c>
      <c r="AM449" s="170" t="str">
        <f t="shared" si="221"/>
        <v>0.17482638395452+0.564879193617915i</v>
      </c>
      <c r="AN449" s="170" t="str">
        <f t="shared" si="222"/>
        <v>6.8834721522536i</v>
      </c>
      <c r="AO449" s="170" t="str">
        <f t="shared" si="223"/>
        <v>0.0820631188916741-0.0253979939320715i</v>
      </c>
      <c r="AP449" s="170" t="str">
        <f t="shared" si="224"/>
        <v>0.13752893600758-0.0941465322696525i</v>
      </c>
      <c r="AQ449" s="170" t="str">
        <f t="shared" si="225"/>
        <v>0.86247106399242+0.0941465322696525i</v>
      </c>
      <c r="AR449" s="170" t="str">
        <f t="shared" si="226"/>
        <v>0.954456486145136-0.104187574661208i</v>
      </c>
    </row>
    <row r="450" spans="7:44">
      <c r="G450" s="688">
        <v>48141.75</v>
      </c>
      <c r="H450" s="676">
        <f t="shared" si="218"/>
        <v>48.141750000000002</v>
      </c>
      <c r="I450" s="677">
        <f t="shared" si="198"/>
        <v>43.576049050629713</v>
      </c>
      <c r="J450" s="678">
        <f t="shared" si="199"/>
        <v>1.5478459259669268</v>
      </c>
      <c r="K450" s="678">
        <f t="shared" si="200"/>
        <v>1.0022117642553494</v>
      </c>
      <c r="L450" s="679">
        <f t="shared" si="201"/>
        <v>6.644840630636728E-2</v>
      </c>
      <c r="M450" s="678">
        <f t="shared" si="202"/>
        <v>1.1723933059066225</v>
      </c>
      <c r="N450" s="679">
        <f t="shared" si="203"/>
        <v>-0.54917378828622687</v>
      </c>
      <c r="O450" s="677">
        <f t="shared" si="204"/>
        <v>1996391.3370476656</v>
      </c>
      <c r="P450" s="680">
        <f t="shared" si="205"/>
        <v>1.5707958258911001</v>
      </c>
      <c r="Q450" s="689">
        <f t="shared" si="227"/>
        <v>80.527326572695827</v>
      </c>
      <c r="R450" s="690">
        <f t="shared" si="228"/>
        <v>1.5583778628266323</v>
      </c>
      <c r="S450" s="677">
        <f t="shared" si="206"/>
        <v>1.0146879823799893</v>
      </c>
      <c r="T450" s="680">
        <f t="shared" si="207"/>
        <v>0.17035507960952714</v>
      </c>
      <c r="U450" s="681">
        <f t="shared" si="219"/>
        <v>8.6847652588296145E-2</v>
      </c>
      <c r="V450" s="682">
        <f t="shared" si="220"/>
        <v>-0.43463011877072771</v>
      </c>
      <c r="W450" s="683">
        <f t="shared" si="208"/>
        <v>-30.650799141788649</v>
      </c>
      <c r="X450" s="684">
        <f t="shared" si="209"/>
        <v>-151.71776152788988</v>
      </c>
      <c r="Y450" s="687">
        <f t="shared" si="210"/>
        <v>28.282238472110123</v>
      </c>
      <c r="AA450" s="170">
        <f t="shared" si="211"/>
        <v>48141.75</v>
      </c>
      <c r="AB450" s="170">
        <f t="shared" si="212"/>
        <v>2317628093.0625</v>
      </c>
      <c r="AD450" s="686">
        <f t="shared" si="213"/>
        <v>17.092751857182733</v>
      </c>
      <c r="AE450" s="687">
        <f t="shared" si="214"/>
        <v>-10.472123965950553</v>
      </c>
      <c r="AG450" s="686">
        <f t="shared" si="215"/>
        <v>52.435940129930643</v>
      </c>
      <c r="AH450" s="687">
        <f t="shared" si="216"/>
        <v>-91.440694595364079</v>
      </c>
      <c r="AJ450" s="170">
        <f t="shared" si="217"/>
        <v>0</v>
      </c>
      <c r="AK450" s="170">
        <f t="shared" si="229"/>
        <v>0</v>
      </c>
      <c r="AM450" s="170" t="str">
        <f t="shared" si="221"/>
        <v>0.198128602617458+0.597496662802202i</v>
      </c>
      <c r="AN450" s="170" t="str">
        <f t="shared" si="222"/>
        <v>6.92356090269634i</v>
      </c>
      <c r="AO450" s="170" t="str">
        <f t="shared" si="223"/>
        <v>0.0862990405081163-0.0286165754012936i</v>
      </c>
      <c r="AP450" s="170" t="str">
        <f t="shared" si="224"/>
        <v>0.13364523289709-0.0995827771337003i</v>
      </c>
      <c r="AQ450" s="170" t="str">
        <f t="shared" si="225"/>
        <v>0.86635476710291+0.0995827771337003i</v>
      </c>
      <c r="AR450" s="170" t="str">
        <f t="shared" si="226"/>
        <v>0.948961947983544-0.109078024110626i</v>
      </c>
    </row>
    <row r="451" spans="7:44">
      <c r="G451" s="688">
        <v>48420.5</v>
      </c>
      <c r="H451" s="676">
        <f t="shared" si="218"/>
        <v>48.420499999999997</v>
      </c>
      <c r="I451" s="677">
        <f t="shared" si="198"/>
        <v>43.828230269914528</v>
      </c>
      <c r="J451" s="678">
        <f t="shared" si="199"/>
        <v>1.5479780022028331</v>
      </c>
      <c r="K451" s="678">
        <f t="shared" si="200"/>
        <v>1.0022374228164954</v>
      </c>
      <c r="L451" s="679">
        <f t="shared" si="201"/>
        <v>6.6832014013547561E-2</v>
      </c>
      <c r="M451" s="678">
        <f t="shared" si="202"/>
        <v>1.1742467985710889</v>
      </c>
      <c r="N451" s="679">
        <f t="shared" si="203"/>
        <v>-0.55174767954161963</v>
      </c>
      <c r="O451" s="677">
        <f t="shared" si="204"/>
        <v>2007950.8272033392</v>
      </c>
      <c r="P451" s="680">
        <f t="shared" si="205"/>
        <v>1.5707958287747328</v>
      </c>
      <c r="Q451" s="689">
        <f t="shared" si="227"/>
        <v>80.993523598907061</v>
      </c>
      <c r="R451" s="690">
        <f t="shared" si="228"/>
        <v>1.5584493468883345</v>
      </c>
      <c r="S451" s="677">
        <f t="shared" si="206"/>
        <v>1.0148573185354388</v>
      </c>
      <c r="T451" s="680">
        <f t="shared" si="207"/>
        <v>0.1713223336113075</v>
      </c>
      <c r="U451" s="681">
        <f t="shared" si="219"/>
        <v>9.106008881961053E-2</v>
      </c>
      <c r="V451" s="682">
        <f t="shared" si="220"/>
        <v>-0.46011930924322941</v>
      </c>
      <c r="W451" s="683">
        <f t="shared" si="208"/>
        <v>-30.277034753921228</v>
      </c>
      <c r="X451" s="684">
        <f t="shared" si="209"/>
        <v>-153.36256998339081</v>
      </c>
      <c r="Y451" s="687">
        <f t="shared" si="210"/>
        <v>26.637430016609187</v>
      </c>
      <c r="AA451" s="170">
        <f t="shared" si="211"/>
        <v>48420.5</v>
      </c>
      <c r="AB451" s="170">
        <f t="shared" si="212"/>
        <v>2344544820.25</v>
      </c>
      <c r="AD451" s="686">
        <f t="shared" si="213"/>
        <v>17.091294744987575</v>
      </c>
      <c r="AE451" s="687">
        <f t="shared" si="214"/>
        <v>-10.523447968210338</v>
      </c>
      <c r="AG451" s="686">
        <f t="shared" si="215"/>
        <v>51.988362221288554</v>
      </c>
      <c r="AH451" s="687">
        <f t="shared" si="216"/>
        <v>-90.113332970708868</v>
      </c>
      <c r="AJ451" s="170">
        <f t="shared" si="217"/>
        <v>0</v>
      </c>
      <c r="AK451" s="170">
        <f t="shared" si="229"/>
        <v>0</v>
      </c>
      <c r="AM451" s="170" t="str">
        <f t="shared" si="221"/>
        <v>0.222719342567653+0.629154018966373i</v>
      </c>
      <c r="AN451" s="170" t="str">
        <f t="shared" si="222"/>
        <v>6.96364965313908i</v>
      </c>
      <c r="AO451" s="170" t="str">
        <f t="shared" si="223"/>
        <v>0.0903483159413056-0.0319831343708188i</v>
      </c>
      <c r="AP451" s="170" t="str">
        <f t="shared" si="224"/>
        <v>0.129546776238724-0.104859003161062i</v>
      </c>
      <c r="AQ451" s="170" t="str">
        <f t="shared" si="225"/>
        <v>0.870453223761276+0.104859003161062i</v>
      </c>
      <c r="AR451" s="170" t="str">
        <f t="shared" si="226"/>
        <v>0.943284006003696-0.113632551258662i</v>
      </c>
    </row>
    <row r="452" spans="7:44">
      <c r="G452" s="688">
        <v>48699.25</v>
      </c>
      <c r="H452" s="676">
        <f t="shared" si="218"/>
        <v>48.699249999999999</v>
      </c>
      <c r="I452" s="677">
        <f t="shared" si="198"/>
        <v>44.080412244996943</v>
      </c>
      <c r="J452" s="678">
        <f t="shared" si="199"/>
        <v>1.5481085672370691</v>
      </c>
      <c r="K452" s="678">
        <f t="shared" si="200"/>
        <v>1.0022632288541982</v>
      </c>
      <c r="L452" s="679">
        <f t="shared" si="201"/>
        <v>6.7215602023090362E-2</v>
      </c>
      <c r="M452" s="678">
        <f t="shared" si="202"/>
        <v>1.1761080459725768</v>
      </c>
      <c r="N452" s="679">
        <f t="shared" si="203"/>
        <v>-0.5543134411374806</v>
      </c>
      <c r="O452" s="677">
        <f t="shared" si="204"/>
        <v>2019510.3173590126</v>
      </c>
      <c r="P452" s="680">
        <f t="shared" si="205"/>
        <v>1.5707958316253541</v>
      </c>
      <c r="Q452" s="689">
        <f t="shared" si="227"/>
        <v>81.459721034255622</v>
      </c>
      <c r="R452" s="690">
        <f t="shared" si="228"/>
        <v>1.5585200127377659</v>
      </c>
      <c r="S452" s="677">
        <f t="shared" si="206"/>
        <v>1.0150276038540866</v>
      </c>
      <c r="T452" s="680">
        <f t="shared" si="207"/>
        <v>0.17228926397624186</v>
      </c>
      <c r="U452" s="681">
        <f t="shared" si="219"/>
        <v>9.5115496439872979E-2</v>
      </c>
      <c r="V452" s="682">
        <f t="shared" si="220"/>
        <v>-0.48533131417870801</v>
      </c>
      <c r="W452" s="683">
        <f t="shared" si="208"/>
        <v>-29.935889310701981</v>
      </c>
      <c r="X452" s="684">
        <f t="shared" si="209"/>
        <v>-154.99097396058636</v>
      </c>
      <c r="Y452" s="687">
        <f t="shared" si="210"/>
        <v>25.009026039413641</v>
      </c>
      <c r="AA452" s="170">
        <f t="shared" si="211"/>
        <v>48699.25</v>
      </c>
      <c r="AB452" s="170">
        <f t="shared" si="212"/>
        <v>2371616950.5625</v>
      </c>
      <c r="AD452" s="686">
        <f t="shared" si="213"/>
        <v>17.089829883985917</v>
      </c>
      <c r="AE452" s="687">
        <f t="shared" si="214"/>
        <v>-10.574800305663249</v>
      </c>
      <c r="AG452" s="686">
        <f t="shared" si="215"/>
        <v>51.574044149641196</v>
      </c>
      <c r="AH452" s="687">
        <f t="shared" si="216"/>
        <v>-88.801301655418371</v>
      </c>
      <c r="AJ452" s="170">
        <f t="shared" si="217"/>
        <v>0</v>
      </c>
      <c r="AK452" s="170">
        <f t="shared" si="229"/>
        <v>0</v>
      </c>
      <c r="AM452" s="170" t="str">
        <f t="shared" si="221"/>
        <v>0.248559089124818+0.659800392136195i</v>
      </c>
      <c r="AN452" s="170" t="str">
        <f t="shared" si="222"/>
        <v>7.00373840358181i</v>
      </c>
      <c r="AO452" s="170" t="str">
        <f t="shared" si="223"/>
        <v>0.0942068869675035-0.0354894878708921i</v>
      </c>
      <c r="AP452" s="170" t="str">
        <f t="shared" si="224"/>
        <v>0.12524015181253-0.109966732022699i</v>
      </c>
      <c r="AQ452" s="170" t="str">
        <f t="shared" si="225"/>
        <v>0.87475984818747+0.109966732022699i</v>
      </c>
      <c r="AR452" s="170" t="str">
        <f t="shared" si="226"/>
        <v>0.937446701900639-0.117847144524377i</v>
      </c>
    </row>
    <row r="453" spans="7:44">
      <c r="G453" s="688">
        <v>48978</v>
      </c>
      <c r="H453" s="676">
        <f t="shared" si="218"/>
        <v>48.978000000000002</v>
      </c>
      <c r="I453" s="677">
        <f t="shared" si="198"/>
        <v>44.332594962979094</v>
      </c>
      <c r="J453" s="678">
        <f t="shared" si="199"/>
        <v>1.5482376468542245</v>
      </c>
      <c r="K453" s="678">
        <f t="shared" si="200"/>
        <v>1.0022891823570663</v>
      </c>
      <c r="L453" s="679">
        <f t="shared" si="201"/>
        <v>6.759917022363944E-2</v>
      </c>
      <c r="M453" s="678">
        <f t="shared" si="202"/>
        <v>1.1779770113527697</v>
      </c>
      <c r="N453" s="679">
        <f t="shared" si="203"/>
        <v>-0.55687107790789103</v>
      </c>
      <c r="O453" s="677">
        <f t="shared" si="204"/>
        <v>2031069.8075146861</v>
      </c>
      <c r="P453" s="680">
        <f t="shared" si="205"/>
        <v>1.5707958344435278</v>
      </c>
      <c r="Q453" s="689">
        <f t="shared" si="227"/>
        <v>81.925918871756949</v>
      </c>
      <c r="R453" s="690">
        <f t="shared" si="228"/>
        <v>1.5585898743422772</v>
      </c>
      <c r="S453" s="677">
        <f t="shared" si="206"/>
        <v>1.0151988378583068</v>
      </c>
      <c r="T453" s="680">
        <f t="shared" si="207"/>
        <v>0.17325586905957222</v>
      </c>
      <c r="U453" s="681">
        <f t="shared" si="219"/>
        <v>9.9014342359134741E-2</v>
      </c>
      <c r="V453" s="682">
        <f t="shared" si="220"/>
        <v>-0.51025903361049385</v>
      </c>
      <c r="W453" s="683">
        <f t="shared" si="208"/>
        <v>-29.623958662789043</v>
      </c>
      <c r="X453" s="684">
        <f t="shared" si="209"/>
        <v>-156.60256752757638</v>
      </c>
      <c r="Y453" s="687">
        <f t="shared" si="210"/>
        <v>23.397432472423617</v>
      </c>
      <c r="AA453" s="170">
        <f t="shared" si="211"/>
        <v>48978</v>
      </c>
      <c r="AB453" s="170">
        <f t="shared" si="212"/>
        <v>2398844484</v>
      </c>
      <c r="AD453" s="686">
        <f t="shared" si="213"/>
        <v>17.088357279282871</v>
      </c>
      <c r="AE453" s="687">
        <f t="shared" si="214"/>
        <v>-10.626180083833622</v>
      </c>
      <c r="AG453" s="686">
        <f t="shared" si="215"/>
        <v>51.189574269886876</v>
      </c>
      <c r="AH453" s="687">
        <f t="shared" si="216"/>
        <v>-87.505009208318839</v>
      </c>
      <c r="AJ453" s="170">
        <f t="shared" si="217"/>
        <v>0</v>
      </c>
      <c r="AK453" s="170">
        <f t="shared" si="229"/>
        <v>0</v>
      </c>
      <c r="AM453" s="170" t="str">
        <f t="shared" si="221"/>
        <v>0.275606320589094+0.689386536878644i</v>
      </c>
      <c r="AN453" s="170" t="str">
        <f t="shared" si="222"/>
        <v>7.04382715402455i</v>
      </c>
      <c r="AO453" s="170" t="str">
        <f t="shared" si="223"/>
        <v>0.0978710183830614-0.0391273542866003i</v>
      </c>
      <c r="AP453" s="170" t="str">
        <f t="shared" si="224"/>
        <v>0.120732279901818-0.114897756146441i</v>
      </c>
      <c r="AQ453" s="170" t="str">
        <f t="shared" si="225"/>
        <v>0.879267720098182+0.114897756146441i</v>
      </c>
      <c r="AR453" s="170" t="str">
        <f t="shared" si="226"/>
        <v>0.931473608861389-0.121719727816063i</v>
      </c>
    </row>
    <row r="454" spans="7:44">
      <c r="G454" s="688">
        <v>49263.25</v>
      </c>
      <c r="H454" s="676">
        <f t="shared" si="218"/>
        <v>49.263249999999999</v>
      </c>
      <c r="I454" s="677">
        <f t="shared" si="198"/>
        <v>44.590658930769877</v>
      </c>
      <c r="J454" s="678">
        <f t="shared" si="199"/>
        <v>1.5483682249115258</v>
      </c>
      <c r="K454" s="678">
        <f t="shared" si="200"/>
        <v>1.0023158937050032</v>
      </c>
      <c r="L454" s="679">
        <f t="shared" si="201"/>
        <v>6.7991661992021196E-2</v>
      </c>
      <c r="M454" s="678">
        <f t="shared" si="202"/>
        <v>1.1798975097568509</v>
      </c>
      <c r="N454" s="679">
        <f t="shared" si="203"/>
        <v>-0.55947994887522867</v>
      </c>
      <c r="O454" s="677">
        <f t="shared" si="204"/>
        <v>2042898.8463197299</v>
      </c>
      <c r="P454" s="680">
        <f t="shared" si="205"/>
        <v>1.5707958372944</v>
      </c>
      <c r="Q454" s="689">
        <f t="shared" si="227"/>
        <v>82.402988099429749</v>
      </c>
      <c r="R454" s="690">
        <f t="shared" si="228"/>
        <v>1.5586605466529388</v>
      </c>
      <c r="S454" s="677">
        <f t="shared" si="206"/>
        <v>1.0153750463885334</v>
      </c>
      <c r="T454" s="680">
        <f t="shared" si="207"/>
        <v>0.17424467535314753</v>
      </c>
      <c r="U454" s="681">
        <f t="shared" si="219"/>
        <v>0.10284298812317821</v>
      </c>
      <c r="V454" s="682">
        <f t="shared" si="220"/>
        <v>-0.53546748852327553</v>
      </c>
      <c r="W454" s="683">
        <f t="shared" si="208"/>
        <v>-29.331975904610871</v>
      </c>
      <c r="X454" s="684">
        <f t="shared" si="209"/>
        <v>-158.23398171506133</v>
      </c>
      <c r="Y454" s="687">
        <f t="shared" si="210"/>
        <v>21.766018284938667</v>
      </c>
      <c r="AA454" s="170">
        <f t="shared" si="211"/>
        <v>49263.25</v>
      </c>
      <c r="AB454" s="170">
        <f t="shared" si="212"/>
        <v>2426867800.5625</v>
      </c>
      <c r="AD454" s="686">
        <f t="shared" si="213"/>
        <v>17.086842324606565</v>
      </c>
      <c r="AE454" s="687">
        <f t="shared" si="214"/>
        <v>-10.678785449485165</v>
      </c>
      <c r="AG454" s="686">
        <f t="shared" si="215"/>
        <v>50.824008807614561</v>
      </c>
      <c r="AH454" s="687">
        <f t="shared" si="216"/>
        <v>-86.19514187775502</v>
      </c>
      <c r="AJ454" s="170">
        <f t="shared" si="217"/>
        <v>0</v>
      </c>
      <c r="AK454" s="170">
        <f t="shared" si="229"/>
        <v>0</v>
      </c>
      <c r="AM454" s="170" t="str">
        <f t="shared" si="221"/>
        <v>0.30448894271492+0.718515392454602i</v>
      </c>
      <c r="AN454" s="170" t="str">
        <f t="shared" si="222"/>
        <v>7.08485070941035i</v>
      </c>
      <c r="AO454" s="170" t="str">
        <f t="shared" si="223"/>
        <v>0.101415742112991-0.042977467727088i</v>
      </c>
      <c r="AP454" s="170" t="str">
        <f t="shared" si="224"/>
        <v>0.115918509547513-0.1197525654091i</v>
      </c>
      <c r="AQ454" s="170" t="str">
        <f t="shared" si="225"/>
        <v>0.884081490452487+0.1197525654091i</v>
      </c>
      <c r="AR454" s="170" t="str">
        <f t="shared" si="226"/>
        <v>0.925244590772935-0.125328280902298i</v>
      </c>
    </row>
    <row r="455" spans="7:44">
      <c r="G455" s="688">
        <v>49548.5</v>
      </c>
      <c r="H455" s="676">
        <f t="shared" si="218"/>
        <v>49.548499999999997</v>
      </c>
      <c r="I455" s="677">
        <f t="shared" si="198"/>
        <v>44.848723650109761</v>
      </c>
      <c r="J455" s="678">
        <f t="shared" si="199"/>
        <v>1.5484973002486564</v>
      </c>
      <c r="K455" s="678">
        <f t="shared" si="200"/>
        <v>1.002342759451248</v>
      </c>
      <c r="L455" s="679">
        <f t="shared" si="201"/>
        <v>6.8384132780983153E-2</v>
      </c>
      <c r="M455" s="678">
        <f t="shared" si="202"/>
        <v>1.18182601265669</v>
      </c>
      <c r="N455" s="679">
        <f t="shared" si="203"/>
        <v>-0.562080323185429</v>
      </c>
      <c r="O455" s="677">
        <f t="shared" si="204"/>
        <v>2054727.8851247735</v>
      </c>
      <c r="P455" s="680">
        <f t="shared" si="205"/>
        <v>1.5707958401124471</v>
      </c>
      <c r="Q455" s="689">
        <f t="shared" si="227"/>
        <v>82.880057733932432</v>
      </c>
      <c r="R455" s="690">
        <f t="shared" si="228"/>
        <v>1.5587304053638029</v>
      </c>
      <c r="S455" s="677">
        <f t="shared" si="206"/>
        <v>1.0155522473443341</v>
      </c>
      <c r="T455" s="680">
        <f t="shared" si="207"/>
        <v>0.17523313754464565</v>
      </c>
      <c r="U455" s="681">
        <f t="shared" si="219"/>
        <v>0.1065100986629177</v>
      </c>
      <c r="V455" s="682">
        <f t="shared" si="220"/>
        <v>-0.56036675644504297</v>
      </c>
      <c r="W455" s="683">
        <f t="shared" si="208"/>
        <v>-29.064882891595254</v>
      </c>
      <c r="X455" s="684">
        <f t="shared" si="209"/>
        <v>-159.84713597113182</v>
      </c>
      <c r="Y455" s="687">
        <f t="shared" si="210"/>
        <v>20.15286402886818</v>
      </c>
      <c r="AA455" s="170">
        <f t="shared" si="211"/>
        <v>49548.5</v>
      </c>
      <c r="AB455" s="170">
        <f t="shared" si="212"/>
        <v>2455053852.25</v>
      </c>
      <c r="AD455" s="686">
        <f t="shared" si="213"/>
        <v>17.085319272080298</v>
      </c>
      <c r="AE455" s="687">
        <f t="shared" si="214"/>
        <v>-10.731417713493876</v>
      </c>
      <c r="AG455" s="686">
        <f t="shared" si="215"/>
        <v>50.483980860462488</v>
      </c>
      <c r="AH455" s="687">
        <f t="shared" si="216"/>
        <v>-84.902417936790954</v>
      </c>
      <c r="AJ455" s="170">
        <f t="shared" si="217"/>
        <v>0</v>
      </c>
      <c r="AK455" s="170">
        <f t="shared" si="229"/>
        <v>0</v>
      </c>
      <c r="AM455" s="170" t="str">
        <f t="shared" si="221"/>
        <v>0.334541898576012+0.746435204990481i</v>
      </c>
      <c r="AN455" s="170" t="str">
        <f t="shared" si="222"/>
        <v>7.12587426479614i</v>
      </c>
      <c r="AO455" s="170" t="str">
        <f t="shared" si="223"/>
        <v>0.104749982563976-0.0469474882862788i</v>
      </c>
      <c r="AP455" s="170" t="str">
        <f t="shared" si="224"/>
        <v>0.110909683570665-0.124405867498413i</v>
      </c>
      <c r="AQ455" s="170" t="str">
        <f t="shared" si="225"/>
        <v>0.889090316429335+0.124405867498413i</v>
      </c>
      <c r="AR455" s="170" t="str">
        <f t="shared" si="226"/>
        <v>0.918921155002019-0.128579944397309i</v>
      </c>
    </row>
    <row r="456" spans="7:44">
      <c r="G456" s="688">
        <v>49833.75</v>
      </c>
      <c r="H456" s="676">
        <f t="shared" si="218"/>
        <v>49.833750000000002</v>
      </c>
      <c r="I456" s="677">
        <f t="shared" si="198"/>
        <v>45.106789108099491</v>
      </c>
      <c r="J456" s="678">
        <f t="shared" si="199"/>
        <v>1.5486248986534157</v>
      </c>
      <c r="K456" s="678">
        <f t="shared" si="200"/>
        <v>1.0023697795833859</v>
      </c>
      <c r="L456" s="679">
        <f t="shared" si="201"/>
        <v>6.8776582471309938E-2</v>
      </c>
      <c r="M456" s="678">
        <f t="shared" si="202"/>
        <v>1.1837624809311966</v>
      </c>
      <c r="N456" s="679">
        <f t="shared" si="203"/>
        <v>-0.56467220728373635</v>
      </c>
      <c r="O456" s="677">
        <f t="shared" si="204"/>
        <v>2066556.923929817</v>
      </c>
      <c r="P456" s="680">
        <f t="shared" si="205"/>
        <v>1.5707958428982334</v>
      </c>
      <c r="Q456" s="689">
        <f t="shared" si="227"/>
        <v>83.357127768279852</v>
      </c>
      <c r="R456" s="690">
        <f t="shared" si="228"/>
        <v>1.55879946444338</v>
      </c>
      <c r="S456" s="677">
        <f t="shared" si="206"/>
        <v>1.015730440206303</v>
      </c>
      <c r="T456" s="680">
        <f t="shared" si="207"/>
        <v>0.17622125388309812</v>
      </c>
      <c r="U456" s="681">
        <f t="shared" si="219"/>
        <v>0.1100175399542558</v>
      </c>
      <c r="V456" s="682">
        <f t="shared" si="220"/>
        <v>-0.58495275272821612</v>
      </c>
      <c r="W456" s="683">
        <f t="shared" si="208"/>
        <v>-28.820373022529758</v>
      </c>
      <c r="X456" s="684">
        <f t="shared" si="209"/>
        <v>-161.44179721574079</v>
      </c>
      <c r="Y456" s="687">
        <f t="shared" si="210"/>
        <v>18.558202784259208</v>
      </c>
      <c r="AA456" s="170">
        <f t="shared" si="211"/>
        <v>49833.75</v>
      </c>
      <c r="AB456" s="170">
        <f t="shared" si="212"/>
        <v>2483402639.0625</v>
      </c>
      <c r="AD456" s="686">
        <f t="shared" si="213"/>
        <v>17.083788127560386</v>
      </c>
      <c r="AE456" s="687">
        <f t="shared" si="214"/>
        <v>-10.784075975232261</v>
      </c>
      <c r="AG456" s="686">
        <f t="shared" si="215"/>
        <v>50.167176165907094</v>
      </c>
      <c r="AH456" s="687">
        <f t="shared" si="216"/>
        <v>-83.627073272141971</v>
      </c>
      <c r="AJ456" s="170">
        <f t="shared" si="217"/>
        <v>0</v>
      </c>
      <c r="AK456" s="170">
        <f t="shared" si="229"/>
        <v>0</v>
      </c>
      <c r="AM456" s="170" t="str">
        <f t="shared" si="221"/>
        <v>0.365714618181124+0.773098993926963i</v>
      </c>
      <c r="AN456" s="170" t="str">
        <f t="shared" si="222"/>
        <v>7.16689782018194i</v>
      </c>
      <c r="AO456" s="170" t="str">
        <f t="shared" si="223"/>
        <v>0.107870798959896-0.0510283008572096i</v>
      </c>
      <c r="AP456" s="170" t="str">
        <f t="shared" si="224"/>
        <v>0.105714230303146-0.128849832321161i</v>
      </c>
      <c r="AQ456" s="170" t="str">
        <f t="shared" si="225"/>
        <v>0.894285769696854+0.128849832321161i</v>
      </c>
      <c r="AR456" s="170" t="str">
        <f t="shared" si="226"/>
        <v>0.912526084714044-0.131477920132786i</v>
      </c>
    </row>
    <row r="457" spans="7:44">
      <c r="G457" s="688">
        <v>50119</v>
      </c>
      <c r="H457" s="676">
        <f t="shared" si="218"/>
        <v>50.119</v>
      </c>
      <c r="I457" s="677">
        <f t="shared" si="198"/>
        <v>45.364855292133257</v>
      </c>
      <c r="J457" s="678">
        <f t="shared" si="199"/>
        <v>1.5487510453270033</v>
      </c>
      <c r="K457" s="678">
        <f t="shared" si="200"/>
        <v>1.0023969540889324</v>
      </c>
      <c r="L457" s="679">
        <f t="shared" si="201"/>
        <v>6.9169010943824979E-2</v>
      </c>
      <c r="M457" s="678">
        <f t="shared" si="202"/>
        <v>1.1857068755537896</v>
      </c>
      <c r="N457" s="679">
        <f t="shared" si="203"/>
        <v>-0.56725560802966368</v>
      </c>
      <c r="O457" s="677">
        <f t="shared" si="204"/>
        <v>2078385.9627348606</v>
      </c>
      <c r="P457" s="680">
        <f t="shared" si="205"/>
        <v>1.570795845652309</v>
      </c>
      <c r="Q457" s="689">
        <f t="shared" si="227"/>
        <v>83.834198195645897</v>
      </c>
      <c r="R457" s="690">
        <f t="shared" si="228"/>
        <v>1.5588677375422524</v>
      </c>
      <c r="S457" s="677">
        <f t="shared" si="206"/>
        <v>1.0159096244524926</v>
      </c>
      <c r="T457" s="680">
        <f t="shared" si="207"/>
        <v>0.17720902262146299</v>
      </c>
      <c r="U457" s="681">
        <f t="shared" si="219"/>
        <v>0.11336755763035178</v>
      </c>
      <c r="V457" s="682">
        <f t="shared" si="220"/>
        <v>-0.60922248863362016</v>
      </c>
      <c r="W457" s="683">
        <f t="shared" si="208"/>
        <v>-28.596436553123354</v>
      </c>
      <c r="X457" s="684">
        <f t="shared" si="209"/>
        <v>-163.01779516833179</v>
      </c>
      <c r="Y457" s="687">
        <f t="shared" si="210"/>
        <v>16.982204831668213</v>
      </c>
      <c r="AA457" s="170">
        <f t="shared" si="211"/>
        <v>50119</v>
      </c>
      <c r="AB457" s="170">
        <f t="shared" si="212"/>
        <v>2511914161</v>
      </c>
      <c r="AD457" s="686">
        <f t="shared" si="213"/>
        <v>17.082248897026894</v>
      </c>
      <c r="AE457" s="687">
        <f t="shared" si="214"/>
        <v>-10.836759352512971</v>
      </c>
      <c r="AG457" s="686">
        <f t="shared" si="215"/>
        <v>49.871577438193704</v>
      </c>
      <c r="AH457" s="687">
        <f t="shared" si="216"/>
        <v>-82.369280969720847</v>
      </c>
      <c r="AJ457" s="170">
        <f t="shared" si="217"/>
        <v>0</v>
      </c>
      <c r="AK457" s="170">
        <f t="shared" si="229"/>
        <v>0</v>
      </c>
      <c r="AM457" s="170" t="str">
        <f t="shared" si="221"/>
        <v>0.397954647316909+0.7984618922107i</v>
      </c>
      <c r="AN457" s="170" t="str">
        <f t="shared" si="222"/>
        <v>7.20792137556773i</v>
      </c>
      <c r="AO457" s="170" t="str">
        <f t="shared" si="223"/>
        <v>0.110775610693701-0.0552107364358652i</v>
      </c>
      <c r="AP457" s="170" t="str">
        <f t="shared" si="224"/>
        <v>0.100340892113849-0.133076982035117i</v>
      </c>
      <c r="AQ457" s="170" t="str">
        <f t="shared" si="225"/>
        <v>0.899659107886151+0.133076982035117i</v>
      </c>
      <c r="AR457" s="170" t="str">
        <f t="shared" si="226"/>
        <v>0.906081086975773-0.134026916947628i</v>
      </c>
    </row>
    <row r="458" spans="7:44">
      <c r="G458" s="688">
        <v>50410.75</v>
      </c>
      <c r="H458" s="676">
        <f t="shared" si="218"/>
        <v>50.41075</v>
      </c>
      <c r="I458" s="677">
        <f t="shared" si="198"/>
        <v>45.628802775975416</v>
      </c>
      <c r="J458" s="678">
        <f t="shared" si="199"/>
        <v>1.5488785904491651</v>
      </c>
      <c r="K458" s="678">
        <f t="shared" si="200"/>
        <v>1.002424907497691</v>
      </c>
      <c r="L458" s="679">
        <f t="shared" si="201"/>
        <v>6.9570359622559766E-2</v>
      </c>
      <c r="M458" s="678">
        <f t="shared" si="202"/>
        <v>1.1877037359094285</v>
      </c>
      <c r="N458" s="679">
        <f t="shared" si="203"/>
        <v>-0.56988910886006505</v>
      </c>
      <c r="O458" s="677">
        <f t="shared" si="204"/>
        <v>2090484.5501892744</v>
      </c>
      <c r="P458" s="680">
        <f t="shared" si="205"/>
        <v>1.5707958484369007</v>
      </c>
      <c r="Q458" s="689">
        <f t="shared" si="227"/>
        <v>84.322140040239518</v>
      </c>
      <c r="R458" s="690">
        <f t="shared" si="228"/>
        <v>1.5589367672363641</v>
      </c>
      <c r="S458" s="677">
        <f t="shared" si="206"/>
        <v>1.0160939167562599</v>
      </c>
      <c r="T458" s="680">
        <f t="shared" si="207"/>
        <v>0.17821893828633936</v>
      </c>
      <c r="U458" s="681">
        <f t="shared" si="219"/>
        <v>0.11663376193637542</v>
      </c>
      <c r="V458" s="682">
        <f t="shared" si="220"/>
        <v>-0.63371608286097836</v>
      </c>
      <c r="W458" s="683">
        <f t="shared" si="208"/>
        <v>-28.38684232465722</v>
      </c>
      <c r="X458" s="684">
        <f t="shared" si="209"/>
        <v>-164.61028439387724</v>
      </c>
      <c r="Y458" s="687">
        <f t="shared" si="210"/>
        <v>15.389715606122763</v>
      </c>
      <c r="AA458" s="170">
        <f t="shared" si="211"/>
        <v>50410.75</v>
      </c>
      <c r="AB458" s="170">
        <f t="shared" si="212"/>
        <v>2541243715.5625</v>
      </c>
      <c r="AD458" s="686">
        <f t="shared" si="213"/>
        <v>17.080666233865042</v>
      </c>
      <c r="AE458" s="687">
        <f t="shared" si="214"/>
        <v>-10.890668307247806</v>
      </c>
      <c r="AG458" s="686">
        <f t="shared" si="215"/>
        <v>49.589334596868909</v>
      </c>
      <c r="AH458" s="687">
        <f t="shared" si="216"/>
        <v>-81.101102088657015</v>
      </c>
      <c r="AJ458" s="170">
        <f t="shared" si="217"/>
        <v>0</v>
      </c>
      <c r="AK458" s="170">
        <f t="shared" si="229"/>
        <v>0</v>
      </c>
      <c r="AM458" s="170" t="str">
        <f t="shared" si="221"/>
        <v>0.431976843734668+0.823012572167868i</v>
      </c>
      <c r="AN458" s="170" t="str">
        <f t="shared" si="222"/>
        <v>7.24987973589659i</v>
      </c>
      <c r="AO458" s="170" t="str">
        <f t="shared" si="223"/>
        <v>0.113520858572709-0.0595840013174019i</v>
      </c>
      <c r="AP458" s="170" t="str">
        <f t="shared" si="224"/>
        <v>0.094670526044222-0.137168762027978i</v>
      </c>
      <c r="AQ458" s="170" t="str">
        <f t="shared" si="225"/>
        <v>0.905329473955778+0.137168762027978i</v>
      </c>
      <c r="AR458" s="170" t="str">
        <f t="shared" si="226"/>
        <v>0.899458991595502-0.136279310374153i</v>
      </c>
    </row>
    <row r="459" spans="7:44">
      <c r="G459" s="688">
        <v>50702.5</v>
      </c>
      <c r="H459" s="676">
        <f t="shared" si="218"/>
        <v>50.702500000000001</v>
      </c>
      <c r="I459" s="677">
        <f t="shared" si="198"/>
        <v>45.892750993557627</v>
      </c>
      <c r="J459" s="678">
        <f t="shared" si="199"/>
        <v>1.5490046684437169</v>
      </c>
      <c r="K459" s="678">
        <f t="shared" si="200"/>
        <v>1.0024530223687971</v>
      </c>
      <c r="L459" s="679">
        <f t="shared" si="201"/>
        <v>6.9971685853428417E-2</v>
      </c>
      <c r="M459" s="678">
        <f t="shared" si="202"/>
        <v>1.1897088056940712</v>
      </c>
      <c r="N459" s="679">
        <f t="shared" si="203"/>
        <v>-0.5725137511273134</v>
      </c>
      <c r="O459" s="677">
        <f t="shared" si="204"/>
        <v>2102583.1376436879</v>
      </c>
      <c r="P459" s="680">
        <f t="shared" si="205"/>
        <v>1.5707958511894462</v>
      </c>
      <c r="Q459" s="689">
        <f t="shared" si="227"/>
        <v>84.810082282013028</v>
      </c>
      <c r="R459" s="690">
        <f t="shared" si="228"/>
        <v>1.5590050026265643</v>
      </c>
      <c r="S459" s="677">
        <f t="shared" si="206"/>
        <v>1.0162792450278619</v>
      </c>
      <c r="T459" s="680">
        <f t="shared" si="207"/>
        <v>0.17922848664494853</v>
      </c>
      <c r="U459" s="681">
        <f t="shared" si="219"/>
        <v>0.11974107653370569</v>
      </c>
      <c r="V459" s="682">
        <f t="shared" si="220"/>
        <v>-0.657875783509551</v>
      </c>
      <c r="W459" s="683">
        <f t="shared" si="208"/>
        <v>-28.195261622755382</v>
      </c>
      <c r="X459" s="684">
        <f t="shared" si="209"/>
        <v>-166.18307705752267</v>
      </c>
      <c r="Y459" s="687">
        <f t="shared" si="210"/>
        <v>13.816922942477333</v>
      </c>
      <c r="AA459" s="170">
        <f t="shared" si="211"/>
        <v>50702.5</v>
      </c>
      <c r="AB459" s="170">
        <f t="shared" si="212"/>
        <v>2570743506.25</v>
      </c>
      <c r="AD459" s="686">
        <f t="shared" si="213"/>
        <v>17.079075125015994</v>
      </c>
      <c r="AE459" s="687">
        <f t="shared" si="214"/>
        <v>-10.944601725309445</v>
      </c>
      <c r="AG459" s="686">
        <f t="shared" si="215"/>
        <v>49.325751421382058</v>
      </c>
      <c r="AH459" s="687">
        <f t="shared" si="216"/>
        <v>-79.851463568152013</v>
      </c>
      <c r="AJ459" s="170">
        <f t="shared" si="217"/>
        <v>0</v>
      </c>
      <c r="AK459" s="170">
        <f t="shared" si="229"/>
        <v>0</v>
      </c>
      <c r="AM459" s="170" t="str">
        <f t="shared" si="221"/>
        <v>0.466998900490871+0.846114547754652i</v>
      </c>
      <c r="AN459" s="170" t="str">
        <f t="shared" si="222"/>
        <v>7.29183809622544i</v>
      </c>
      <c r="AO459" s="170" t="str">
        <f t="shared" si="223"/>
        <v>0.116035838507253-0.0640440577983498i</v>
      </c>
      <c r="AP459" s="170" t="str">
        <f t="shared" si="224"/>
        <v>0.0888335165848548-0.141019091292442i</v>
      </c>
      <c r="AQ459" s="170" t="str">
        <f t="shared" si="225"/>
        <v>0.911166483415145+0.141019091292442i</v>
      </c>
      <c r="AR459" s="170" t="str">
        <f t="shared" si="226"/>
        <v>0.892826829326505-0.138180706209944i</v>
      </c>
    </row>
    <row r="460" spans="7:44">
      <c r="G460" s="688">
        <v>50994.25</v>
      </c>
      <c r="H460" s="676">
        <f t="shared" si="218"/>
        <v>50.994250000000001</v>
      </c>
      <c r="I460" s="677">
        <f t="shared" si="198"/>
        <v>46.156699932292156</v>
      </c>
      <c r="J460" s="678">
        <f t="shared" si="199"/>
        <v>1.5491293044760999</v>
      </c>
      <c r="K460" s="678">
        <f t="shared" si="200"/>
        <v>1.002481298688666</v>
      </c>
      <c r="L460" s="679">
        <f t="shared" si="201"/>
        <v>7.0372989509047648E-2</v>
      </c>
      <c r="M460" s="678">
        <f t="shared" si="202"/>
        <v>1.1917220434706783</v>
      </c>
      <c r="N460" s="679">
        <f t="shared" si="203"/>
        <v>-0.57512954347521916</v>
      </c>
      <c r="O460" s="677">
        <f t="shared" si="204"/>
        <v>2114681.7250981019</v>
      </c>
      <c r="P460" s="680">
        <f t="shared" si="205"/>
        <v>1.570795853910496</v>
      </c>
      <c r="Q460" s="689">
        <f t="shared" si="227"/>
        <v>85.298024914150304</v>
      </c>
      <c r="R460" s="690">
        <f t="shared" si="228"/>
        <v>1.5590724573435271</v>
      </c>
      <c r="S460" s="677">
        <f t="shared" si="206"/>
        <v>1.0164656087006467</v>
      </c>
      <c r="T460" s="680">
        <f t="shared" si="207"/>
        <v>0.18023766584092532</v>
      </c>
      <c r="U460" s="681">
        <f t="shared" si="219"/>
        <v>0.12269286822240653</v>
      </c>
      <c r="V460" s="682">
        <f t="shared" si="220"/>
        <v>-0.68170157531628983</v>
      </c>
      <c r="W460" s="683">
        <f t="shared" si="208"/>
        <v>-28.020220195162842</v>
      </c>
      <c r="X460" s="684">
        <f t="shared" si="209"/>
        <v>-167.73617334187546</v>
      </c>
      <c r="Y460" s="687">
        <f t="shared" si="210"/>
        <v>12.263826658124543</v>
      </c>
      <c r="AA460" s="170">
        <f t="shared" si="211"/>
        <v>50994.25</v>
      </c>
      <c r="AB460" s="170">
        <f t="shared" si="212"/>
        <v>2600413533.0625</v>
      </c>
      <c r="AD460" s="686">
        <f t="shared" si="213"/>
        <v>17.077475577260628</v>
      </c>
      <c r="AE460" s="687">
        <f t="shared" si="214"/>
        <v>-10.998558719387429</v>
      </c>
      <c r="AG460" s="686">
        <f t="shared" si="215"/>
        <v>49.079345963322197</v>
      </c>
      <c r="AH460" s="687">
        <f t="shared" si="216"/>
        <v>-78.620368227140034</v>
      </c>
      <c r="AJ460" s="170">
        <f t="shared" si="217"/>
        <v>0</v>
      </c>
      <c r="AK460" s="170">
        <f t="shared" si="229"/>
        <v>0</v>
      </c>
      <c r="AM460" s="170" t="str">
        <f t="shared" si="221"/>
        <v>0.502959170159481+0.867727153817056i</v>
      </c>
      <c r="AN460" s="170" t="str">
        <f t="shared" si="222"/>
        <v>7.3337964565543i</v>
      </c>
      <c r="AO460" s="170" t="str">
        <f t="shared" si="223"/>
        <v>0.118318957849118-0.0685810102774233i</v>
      </c>
      <c r="AP460" s="170" t="str">
        <f t="shared" si="224"/>
        <v>0.0828401383067532-0.144621192302843i</v>
      </c>
      <c r="AQ460" s="170" t="str">
        <f t="shared" si="225"/>
        <v>0.917159861693247+0.144621192302843i</v>
      </c>
      <c r="AR460" s="170" t="str">
        <f t="shared" si="226"/>
        <v>0.886203896611105-0.139739940117647i</v>
      </c>
    </row>
    <row r="461" spans="7:44">
      <c r="G461" s="688">
        <v>51286</v>
      </c>
      <c r="H461" s="676">
        <f t="shared" si="218"/>
        <v>51.286000000000001</v>
      </c>
      <c r="I461" s="677">
        <f t="shared" ref="I461:I524" si="230">SQRT(1+(G461/pole1)^2)</f>
        <v>46.420649579877519</v>
      </c>
      <c r="J461" s="678">
        <f t="shared" ref="J461:J524" si="231">ATAN(G461/pole1)</f>
        <v>1.5492525231395697</v>
      </c>
      <c r="K461" s="678">
        <f t="shared" ref="K461:K524" si="232">SQRT(1+(G461/Zero1)^2)</f>
        <v>1.0025097364436362</v>
      </c>
      <c r="L461" s="679">
        <f t="shared" ref="L461:L524" si="233">ATAN(G461/Zero1)</f>
        <v>7.077427046207764E-2</v>
      </c>
      <c r="M461" s="678">
        <f t="shared" ref="M461:M524" si="234">SQRT(1+(G461/z_RHP)^2)</f>
        <v>1.1937434079135103</v>
      </c>
      <c r="N461" s="679">
        <f t="shared" ref="N461:N524" si="235">-ATAN(G461/z_RHP)</f>
        <v>-0.57773649497383406</v>
      </c>
      <c r="O461" s="677">
        <f t="shared" ref="O461:O524" si="236">SQRT(1+(G461/Pole2)^2)</f>
        <v>2126780.3125525154</v>
      </c>
      <c r="P461" s="680">
        <f t="shared" ref="P461:P524" si="237">ATAN(G461/Pole2)</f>
        <v>1.5707958566005873</v>
      </c>
      <c r="Q461" s="689">
        <f t="shared" si="227"/>
        <v>85.785967929990264</v>
      </c>
      <c r="R461" s="690">
        <f t="shared" si="228"/>
        <v>1.5591391447078344</v>
      </c>
      <c r="S461" s="677">
        <f t="shared" ref="S461:S524" si="238">SQRT(1+(G461/pole4)^2)</f>
        <v>1.0166530072052129</v>
      </c>
      <c r="T461" s="680">
        <f t="shared" ref="T461:T524" si="239">ATAN(G461/pole4)</f>
        <v>0.18124647402226987</v>
      </c>
      <c r="U461" s="681">
        <f t="shared" si="219"/>
        <v>0.12549274183080286</v>
      </c>
      <c r="V461" s="682">
        <f t="shared" si="220"/>
        <v>-0.70519437990520495</v>
      </c>
      <c r="W461" s="683">
        <f t="shared" ref="W461:W524" si="240">20*LOG10(((K461*Q461*M461*U461)/(I461*O461*S461))*Adc)</f>
        <v>-27.860404988554365</v>
      </c>
      <c r="X461" s="684">
        <f t="shared" ref="X461:X524" si="241">((L461+R461+N461+V461)-(J461+P461+T461))*radconv</f>
        <v>-169.26962711886901</v>
      </c>
      <c r="Y461" s="687">
        <f t="shared" ref="Y461:Y524" si="242">IF(X461&gt;0,X461,X461+180)</f>
        <v>10.73037288113099</v>
      </c>
      <c r="AA461" s="170">
        <f t="shared" ref="AA461:AA524" si="243">IF(W461&lt;0,G461,1000000000)</f>
        <v>51286</v>
      </c>
      <c r="AB461" s="170">
        <f t="shared" ref="AB461:AB524" si="244">G461^2</f>
        <v>2630253796</v>
      </c>
      <c r="AD461" s="686">
        <f t="shared" ref="AD461:AD524" si="245">20*LOG10((Q461/(O461*S461))*Aea)</f>
        <v>17.075867597502775</v>
      </c>
      <c r="AE461" s="687">
        <f t="shared" ref="AE461:AE524" si="246">(R461-(P461+T461))*radconv</f>
        <v>-11.052538420187638</v>
      </c>
      <c r="AG461" s="686">
        <f t="shared" ref="AG461:AG524" si="247">20*LOG10((K461*M461/(I461*U461))*Acs*Am)</f>
        <v>48.848797593550458</v>
      </c>
      <c r="AH461" s="687">
        <f t="shared" ref="AH461:AH524" si="248">(L461+N461-(J461+V461))*radconv</f>
        <v>-77.407765196516422</v>
      </c>
      <c r="AJ461" s="170">
        <f t="shared" ref="AJ461:AJ524" si="249">SUM((W462&lt;0)*(W461&gt;0))*G461</f>
        <v>0</v>
      </c>
      <c r="AK461" s="170">
        <f t="shared" si="229"/>
        <v>0</v>
      </c>
      <c r="AM461" s="170" t="str">
        <f t="shared" si="221"/>
        <v>0.539794353829154+0.887812346857417i</v>
      </c>
      <c r="AN461" s="170" t="str">
        <f t="shared" si="222"/>
        <v>7.37575481688315i</v>
      </c>
      <c r="AO461" s="170" t="str">
        <f t="shared" si="223"/>
        <v>0.120369015632842-0.0731849644179551i</v>
      </c>
      <c r="AP461" s="170" t="str">
        <f t="shared" si="224"/>
        <v>0.0767009410284743-0.147968724476236i</v>
      </c>
      <c r="AQ461" s="170" t="str">
        <f t="shared" si="225"/>
        <v>0.923299058971526+0.147968724476236i</v>
      </c>
      <c r="AR461" s="170" t="str">
        <f t="shared" si="226"/>
        <v>0.879608095199415-0.140966771947769i</v>
      </c>
    </row>
    <row r="462" spans="7:44">
      <c r="G462" s="688">
        <v>51584.75</v>
      </c>
      <c r="H462" s="676">
        <f t="shared" ref="H462:H525" si="250">G462/1000</f>
        <v>51.58475</v>
      </c>
      <c r="I462" s="677">
        <f t="shared" si="230"/>
        <v>46.690932931590289</v>
      </c>
      <c r="J462" s="678">
        <f t="shared" si="231"/>
        <v>1.549377254523751</v>
      </c>
      <c r="K462" s="678">
        <f t="shared" si="232"/>
        <v>1.0025390237870011</v>
      </c>
      <c r="L462" s="679">
        <f t="shared" si="233"/>
        <v>7.1185155747972892E-2</v>
      </c>
      <c r="M462" s="678">
        <f t="shared" si="234"/>
        <v>1.1958216496794354</v>
      </c>
      <c r="N462" s="679">
        <f t="shared" si="235"/>
        <v>-0.58039684377863177</v>
      </c>
      <c r="O462" s="677">
        <f t="shared" si="236"/>
        <v>2139169.1831677887</v>
      </c>
      <c r="P462" s="680">
        <f t="shared" si="237"/>
        <v>1.5707958593236897</v>
      </c>
      <c r="Q462" s="689">
        <f t="shared" si="227"/>
        <v>86.285618624094027</v>
      </c>
      <c r="R462" s="690">
        <f t="shared" si="228"/>
        <v>1.5592066505190216</v>
      </c>
      <c r="S462" s="677">
        <f t="shared" si="238"/>
        <v>1.0168459737645263</v>
      </c>
      <c r="T462" s="680">
        <f t="shared" si="239"/>
        <v>0.18227910028033548</v>
      </c>
      <c r="U462" s="681">
        <f t="shared" ref="U462:U525" si="251">IMABS(IMPRODUCT(AO462, AR462))</f>
        <v>0.12820633644570387</v>
      </c>
      <c r="V462" s="682">
        <f t="shared" ref="V462:V525" si="252">IMARGUMENT(IMPRODUCT(AO462, AR462))</f>
        <v>-0.72890765647153521</v>
      </c>
      <c r="W462" s="683">
        <f t="shared" si="240"/>
        <v>-27.711307146960582</v>
      </c>
      <c r="X462" s="684">
        <f t="shared" si="241"/>
        <v>-170.81962661835573</v>
      </c>
      <c r="Y462" s="687">
        <f t="shared" si="242"/>
        <v>9.180373381644273</v>
      </c>
      <c r="AA462" s="170">
        <f t="shared" si="243"/>
        <v>51584.75</v>
      </c>
      <c r="AB462" s="170">
        <f t="shared" si="244"/>
        <v>2660986432.5625</v>
      </c>
      <c r="AD462" s="686">
        <f t="shared" si="245"/>
        <v>17.074212306696435</v>
      </c>
      <c r="AE462" s="687">
        <f t="shared" si="246"/>
        <v>-11.107835904601009</v>
      </c>
      <c r="AG462" s="686">
        <f t="shared" si="247"/>
        <v>48.627915441732263</v>
      </c>
      <c r="AH462" s="687">
        <f t="shared" si="248"/>
        <v>-76.185125877130318</v>
      </c>
      <c r="AJ462" s="170">
        <f t="shared" si="249"/>
        <v>0</v>
      </c>
      <c r="AK462" s="170">
        <f t="shared" si="229"/>
        <v>0</v>
      </c>
      <c r="AM462" s="170" t="str">
        <f t="shared" ref="AM462:AM525" si="253">IMSUB(1,IMEXP(COMPLEX(0,-2*Pi*G462*Tsw)))</f>
        <v>0.578352245508633+0.906759709698434i</v>
      </c>
      <c r="AN462" s="170" t="str">
        <f t="shared" ref="AN462:AN525" si="254">COMPLEX(0, 2*Pi*G462*Tsw)</f>
        <v>7.41871989022761i</v>
      </c>
      <c r="AO462" s="170" t="str">
        <f t="shared" ref="AO462:AO525" si="255">IMDIV(AM462, AN462)</f>
        <v>0.122225899227288-0.0779584960837346i</v>
      </c>
      <c r="AP462" s="170" t="str">
        <f t="shared" ref="AP462:AP525" si="256">IMDIV(IMEXP(COMPLEX(0,-2*Pi*G462*Tsw)),6)</f>
        <v>0.0702746257485612-0.151126618283072i</v>
      </c>
      <c r="AQ462" s="170" t="str">
        <f t="shared" ref="AQ462:AQ525" si="257">IMSUB(1, AP462)</f>
        <v>0.929725374251439+0.151126618283072i</v>
      </c>
      <c r="AR462" s="170" t="str">
        <f t="shared" ref="AR462:AR525" si="258">IMDIV(0.833, AQ462)</f>
        <v>0.872899387036237-0.141889568809893i</v>
      </c>
    </row>
    <row r="463" spans="7:44">
      <c r="G463" s="688">
        <v>51883.5</v>
      </c>
      <c r="H463" s="676">
        <f t="shared" si="250"/>
        <v>51.883499999999998</v>
      </c>
      <c r="I463" s="677">
        <f t="shared" si="230"/>
        <v>46.961217001355074</v>
      </c>
      <c r="J463" s="678">
        <f t="shared" si="231"/>
        <v>1.5495005501333214</v>
      </c>
      <c r="K463" s="678">
        <f t="shared" si="232"/>
        <v>1.0025684803758339</v>
      </c>
      <c r="L463" s="679">
        <f t="shared" si="233"/>
        <v>7.1596016958686046E-2</v>
      </c>
      <c r="M463" s="678">
        <f t="shared" si="234"/>
        <v>1.1979083254192298</v>
      </c>
      <c r="N463" s="679">
        <f t="shared" si="235"/>
        <v>-0.58304794299472817</v>
      </c>
      <c r="O463" s="677">
        <f t="shared" si="236"/>
        <v>2151558.0537830624</v>
      </c>
      <c r="P463" s="680">
        <f t="shared" si="237"/>
        <v>1.5707958620154321</v>
      </c>
      <c r="Q463" s="689">
        <f t="shared" si="227"/>
        <v>86.785269706876704</v>
      </c>
      <c r="R463" s="690">
        <f t="shared" si="228"/>
        <v>1.5592733790245972</v>
      </c>
      <c r="S463" s="677">
        <f t="shared" si="238"/>
        <v>1.0170400241918538</v>
      </c>
      <c r="T463" s="680">
        <f t="shared" si="239"/>
        <v>0.18331133359020321</v>
      </c>
      <c r="U463" s="681">
        <f t="shared" si="251"/>
        <v>0.1307688772921381</v>
      </c>
      <c r="V463" s="682">
        <f t="shared" si="252"/>
        <v>-0.75227643811460632</v>
      </c>
      <c r="W463" s="683">
        <f t="shared" si="240"/>
        <v>-27.575810361206837</v>
      </c>
      <c r="X463" s="684">
        <f t="shared" si="241"/>
        <v>-172.34929918609959</v>
      </c>
      <c r="Y463" s="687">
        <f t="shared" si="242"/>
        <v>7.6507008139004142</v>
      </c>
      <c r="AA463" s="170">
        <f t="shared" si="243"/>
        <v>51883.5</v>
      </c>
      <c r="AB463" s="170">
        <f t="shared" si="244"/>
        <v>2691897572.25</v>
      </c>
      <c r="AD463" s="686">
        <f t="shared" si="245"/>
        <v>17.072548189447541</v>
      </c>
      <c r="AE463" s="687">
        <f t="shared" si="246"/>
        <v>-11.163155409275248</v>
      </c>
      <c r="AG463" s="686">
        <f t="shared" si="247"/>
        <v>48.421280146965017</v>
      </c>
      <c r="AH463" s="687">
        <f t="shared" si="248"/>
        <v>-74.981613816118482</v>
      </c>
      <c r="AJ463" s="170">
        <f t="shared" si="249"/>
        <v>0</v>
      </c>
      <c r="AK463" s="170">
        <f t="shared" si="229"/>
        <v>0</v>
      </c>
      <c r="AM463" s="170" t="str">
        <f t="shared" si="253"/>
        <v>0.617688378170081+0.924033453839079i</v>
      </c>
      <c r="AN463" s="170" t="str">
        <f t="shared" si="254"/>
        <v>7.46168496357207i</v>
      </c>
      <c r="AO463" s="170" t="str">
        <f t="shared" si="255"/>
        <v>0.123837103596602-0.0827813531642832i</v>
      </c>
      <c r="AP463" s="170" t="str">
        <f t="shared" si="256"/>
        <v>0.0637186036383198-0.154005575639846i</v>
      </c>
      <c r="AQ463" s="170" t="str">
        <f t="shared" si="257"/>
        <v>0.93628139636168+0.154005575639846i</v>
      </c>
      <c r="AR463" s="170" t="str">
        <f t="shared" si="258"/>
        <v>0.866252647856541-0.142486797453308i</v>
      </c>
    </row>
    <row r="464" spans="7:44">
      <c r="G464" s="688">
        <v>52182.25</v>
      </c>
      <c r="H464" s="676">
        <f t="shared" si="250"/>
        <v>52.182250000000003</v>
      </c>
      <c r="I464" s="677">
        <f t="shared" si="230"/>
        <v>47.231501776844631</v>
      </c>
      <c r="J464" s="678">
        <f t="shared" si="231"/>
        <v>1.5496224346133889</v>
      </c>
      <c r="K464" s="678">
        <f t="shared" si="232"/>
        <v>1.0025981061952169</v>
      </c>
      <c r="L464" s="679">
        <f t="shared" si="233"/>
        <v>7.2006853957632802E-2</v>
      </c>
      <c r="M464" s="678">
        <f t="shared" si="234"/>
        <v>1.2000033911355974</v>
      </c>
      <c r="N464" s="679">
        <f t="shared" si="235"/>
        <v>-0.58568980370582102</v>
      </c>
      <c r="O464" s="677">
        <f t="shared" si="236"/>
        <v>2163946.9243983361</v>
      </c>
      <c r="P464" s="680">
        <f t="shared" si="237"/>
        <v>1.5707958646763536</v>
      </c>
      <c r="Q464" s="689">
        <f t="shared" si="227"/>
        <v>87.284921171663456</v>
      </c>
      <c r="R464" s="690">
        <f t="shared" si="228"/>
        <v>1.5593393435727234</v>
      </c>
      <c r="S464" s="677">
        <f t="shared" si="238"/>
        <v>1.0172351578669108</v>
      </c>
      <c r="T464" s="680">
        <f t="shared" si="239"/>
        <v>0.18434317197768385</v>
      </c>
      <c r="U464" s="681">
        <f t="shared" si="251"/>
        <v>0.1331847530138536</v>
      </c>
      <c r="V464" s="682">
        <f t="shared" si="252"/>
        <v>-0.77530430734591282</v>
      </c>
      <c r="W464" s="683">
        <f t="shared" si="240"/>
        <v>-27.45289477196043</v>
      </c>
      <c r="X464" s="684">
        <f t="shared" si="241"/>
        <v>-173.85885126194975</v>
      </c>
      <c r="Y464" s="687">
        <f t="shared" si="242"/>
        <v>6.1411487380502479</v>
      </c>
      <c r="AA464" s="170">
        <f t="shared" si="243"/>
        <v>52182.25</v>
      </c>
      <c r="AB464" s="170">
        <f t="shared" si="244"/>
        <v>2722987215.0625</v>
      </c>
      <c r="AD464" s="686">
        <f t="shared" si="245"/>
        <v>17.070875253551108</v>
      </c>
      <c r="AE464" s="687">
        <f t="shared" si="246"/>
        <v>-11.218496056335155</v>
      </c>
      <c r="AG464" s="686">
        <f t="shared" si="247"/>
        <v>48.227864091461555</v>
      </c>
      <c r="AH464" s="687">
        <f t="shared" si="248"/>
        <v>-73.797025805627456</v>
      </c>
      <c r="AJ464" s="170">
        <f t="shared" si="249"/>
        <v>0</v>
      </c>
      <c r="AK464" s="170">
        <f t="shared" si="229"/>
        <v>0</v>
      </c>
      <c r="AM464" s="170" t="str">
        <f t="shared" si="253"/>
        <v>0.65773014857967+0.939601696895395i</v>
      </c>
      <c r="AN464" s="170" t="str">
        <f t="shared" si="254"/>
        <v>7.50465003691652i</v>
      </c>
      <c r="AO464" s="170" t="str">
        <f t="shared" si="255"/>
        <v>0.125202600024432-0.0876430140438521i</v>
      </c>
      <c r="AP464" s="170" t="str">
        <f t="shared" si="256"/>
        <v>0.0570449752367217-0.156600282815899i</v>
      </c>
      <c r="AQ464" s="170" t="str">
        <f t="shared" si="257"/>
        <v>0.942955024763278+0.156600282815899i</v>
      </c>
      <c r="AR464" s="170" t="str">
        <f t="shared" si="258"/>
        <v>0.859682609480776-0.142770902366628i</v>
      </c>
    </row>
    <row r="465" spans="7:44">
      <c r="G465" s="688">
        <v>52481</v>
      </c>
      <c r="H465" s="676">
        <f t="shared" si="250"/>
        <v>52.481000000000002</v>
      </c>
      <c r="I465" s="677">
        <f t="shared" si="230"/>
        <v>47.50178724601227</v>
      </c>
      <c r="J465" s="678">
        <f t="shared" si="231"/>
        <v>1.5497429320483083</v>
      </c>
      <c r="K465" s="678">
        <f t="shared" si="232"/>
        <v>1.0026279012301493</v>
      </c>
      <c r="L465" s="679">
        <f t="shared" si="233"/>
        <v>7.241766660827767E-2</v>
      </c>
      <c r="M465" s="678">
        <f t="shared" si="234"/>
        <v>1.2021068029616739</v>
      </c>
      <c r="N465" s="679">
        <f t="shared" si="235"/>
        <v>-0.58832243743432922</v>
      </c>
      <c r="O465" s="677">
        <f t="shared" si="236"/>
        <v>2176335.7950136098</v>
      </c>
      <c r="P465" s="680">
        <f t="shared" si="237"/>
        <v>1.5707958673069802</v>
      </c>
      <c r="Q465" s="689">
        <f t="shared" si="227"/>
        <v>87.784573011931442</v>
      </c>
      <c r="R465" s="690">
        <f t="shared" si="228"/>
        <v>1.5594045572076907</v>
      </c>
      <c r="S465" s="677">
        <f t="shared" si="238"/>
        <v>1.0174313741664276</v>
      </c>
      <c r="T465" s="680">
        <f t="shared" si="239"/>
        <v>0.18537461347346235</v>
      </c>
      <c r="U465" s="681">
        <f t="shared" si="251"/>
        <v>0.135458449285906</v>
      </c>
      <c r="V465" s="682">
        <f t="shared" si="252"/>
        <v>-0.79799556911104186</v>
      </c>
      <c r="W465" s="683">
        <f t="shared" si="240"/>
        <v>-27.341638877936237</v>
      </c>
      <c r="X465" s="684">
        <f t="shared" si="241"/>
        <v>-175.34853068887452</v>
      </c>
      <c r="Y465" s="687">
        <f t="shared" si="242"/>
        <v>4.6514693111254815</v>
      </c>
      <c r="AA465" s="170">
        <f t="shared" si="243"/>
        <v>52481</v>
      </c>
      <c r="AB465" s="170">
        <f t="shared" si="244"/>
        <v>2754255361</v>
      </c>
      <c r="AD465" s="686">
        <f t="shared" si="245"/>
        <v>17.069193506925217</v>
      </c>
      <c r="AE465" s="687">
        <f t="shared" si="246"/>
        <v>-11.27385698559466</v>
      </c>
      <c r="AG465" s="686">
        <f t="shared" si="247"/>
        <v>48.046738136939965</v>
      </c>
      <c r="AH465" s="687">
        <f t="shared" si="248"/>
        <v>-72.631117238384547</v>
      </c>
      <c r="AJ465" s="170">
        <f t="shared" si="249"/>
        <v>0</v>
      </c>
      <c r="AK465" s="170">
        <f t="shared" si="229"/>
        <v>0</v>
      </c>
      <c r="AM465" s="170" t="str">
        <f t="shared" si="253"/>
        <v>0.698403651098429+0.953435704349927i</v>
      </c>
      <c r="AN465" s="170" t="str">
        <f t="shared" si="254"/>
        <v>7.54761511026098i</v>
      </c>
      <c r="AO465" s="170" t="str">
        <f t="shared" si="255"/>
        <v>0.126322777516004-0.0925330241269125i</v>
      </c>
      <c r="AP465" s="170" t="str">
        <f t="shared" si="256"/>
        <v>0.0502660581502618-0.158905950724988i</v>
      </c>
      <c r="AQ465" s="170" t="str">
        <f t="shared" si="257"/>
        <v>0.949733941849738+0.158905950724988i</v>
      </c>
      <c r="AR465" s="170" t="str">
        <f t="shared" si="258"/>
        <v>0.853202561552496-0.142754679210933i</v>
      </c>
    </row>
    <row r="466" spans="7:44">
      <c r="G466" s="688">
        <v>52786.5</v>
      </c>
      <c r="H466" s="676">
        <f t="shared" si="250"/>
        <v>52.786499999999997</v>
      </c>
      <c r="I466" s="677">
        <f t="shared" si="230"/>
        <v>47.778180288619374</v>
      </c>
      <c r="J466" s="678">
        <f t="shared" si="231"/>
        <v>1.5498647421350336</v>
      </c>
      <c r="K466" s="678">
        <f t="shared" si="232"/>
        <v>1.0026585444362823</v>
      </c>
      <c r="L466" s="679">
        <f t="shared" si="233"/>
        <v>7.2837735896473202E-2</v>
      </c>
      <c r="M466" s="678">
        <f t="shared" si="234"/>
        <v>1.2042663251058601</v>
      </c>
      <c r="N466" s="679">
        <f t="shared" si="235"/>
        <v>-0.59100502366988383</v>
      </c>
      <c r="O466" s="677">
        <f t="shared" si="236"/>
        <v>2189004.5815339987</v>
      </c>
      <c r="P466" s="680">
        <f t="shared" si="237"/>
        <v>1.5707958699662501</v>
      </c>
      <c r="Q466" s="689">
        <f t="shared" si="227"/>
        <v>88.295514438619506</v>
      </c>
      <c r="R466" s="690">
        <f t="shared" si="228"/>
        <v>1.5594704810165636</v>
      </c>
      <c r="S466" s="677">
        <f t="shared" si="238"/>
        <v>1.0176331427446581</v>
      </c>
      <c r="T466" s="680">
        <f t="shared" si="239"/>
        <v>0.18642894701420781</v>
      </c>
      <c r="U466" s="681">
        <f t="shared" si="251"/>
        <v>0.13764122306771018</v>
      </c>
      <c r="V466" s="682">
        <f t="shared" si="252"/>
        <v>-0.82085658471508627</v>
      </c>
      <c r="W466" s="683">
        <f t="shared" si="240"/>
        <v>-27.2390571388122</v>
      </c>
      <c r="X466" s="684">
        <f t="shared" si="241"/>
        <v>-176.85161413454935</v>
      </c>
      <c r="Y466" s="687">
        <f t="shared" si="242"/>
        <v>3.1483858654506491</v>
      </c>
      <c r="AA466" s="170">
        <f t="shared" si="243"/>
        <v>52786.5</v>
      </c>
      <c r="AB466" s="170">
        <f t="shared" si="244"/>
        <v>2786414582.25</v>
      </c>
      <c r="AD466" s="686">
        <f t="shared" si="245"/>
        <v>17.067464659468243</v>
      </c>
      <c r="AE466" s="687">
        <f t="shared" si="246"/>
        <v>-11.330488844090262</v>
      </c>
      <c r="AG466" s="686">
        <f t="shared" si="247"/>
        <v>47.873351782436522</v>
      </c>
      <c r="AH466" s="687">
        <f t="shared" si="248"/>
        <v>-71.457889403581461</v>
      </c>
      <c r="AJ466" s="170">
        <f t="shared" si="249"/>
        <v>0</v>
      </c>
      <c r="AK466" s="170">
        <f t="shared" si="229"/>
        <v>0</v>
      </c>
      <c r="AM466" s="170" t="str">
        <f t="shared" si="253"/>
        <v>0.740571214071046+0.965762240425369i</v>
      </c>
      <c r="AN466" s="170" t="str">
        <f t="shared" si="254"/>
        <v>7.59155094258477i</v>
      </c>
      <c r="AO466" s="170" t="str">
        <f t="shared" si="255"/>
        <v>0.12721540667111-0.0975520311556912i</v>
      </c>
      <c r="AP466" s="170" t="str">
        <f t="shared" si="256"/>
        <v>0.043238130988159-0.160960373404228i</v>
      </c>
      <c r="AQ466" s="170" t="str">
        <f t="shared" si="257"/>
        <v>0.956761869011841+0.160960373404228i</v>
      </c>
      <c r="AR466" s="170" t="str">
        <f t="shared" si="258"/>
        <v>0.846681561123677-0.142441065689309i</v>
      </c>
    </row>
    <row r="467" spans="7:44">
      <c r="G467" s="688">
        <v>53092</v>
      </c>
      <c r="H467" s="676">
        <f t="shared" si="250"/>
        <v>53.091999999999999</v>
      </c>
      <c r="I467" s="677">
        <f t="shared" si="230"/>
        <v>48.054574031989752</v>
      </c>
      <c r="J467" s="678">
        <f t="shared" si="231"/>
        <v>1.5499851510022491</v>
      </c>
      <c r="K467" s="678">
        <f t="shared" si="232"/>
        <v>1.0026893645589119</v>
      </c>
      <c r="L467" s="679">
        <f t="shared" si="233"/>
        <v>7.3257779435060524E-2</v>
      </c>
      <c r="M467" s="678">
        <f t="shared" si="234"/>
        <v>1.2064344824129112</v>
      </c>
      <c r="N467" s="679">
        <f t="shared" si="235"/>
        <v>-0.59367798700324559</v>
      </c>
      <c r="O467" s="677">
        <f t="shared" si="236"/>
        <v>2201673.3680543872</v>
      </c>
      <c r="P467" s="680">
        <f t="shared" si="237"/>
        <v>1.5707958725949165</v>
      </c>
      <c r="Q467" s="689">
        <f t="shared" si="227"/>
        <v>88.806456244619824</v>
      </c>
      <c r="R467" s="690">
        <f t="shared" si="228"/>
        <v>1.5595356462495642</v>
      </c>
      <c r="S467" s="677">
        <f t="shared" si="238"/>
        <v>1.0178360420942203</v>
      </c>
      <c r="T467" s="680">
        <f t="shared" si="239"/>
        <v>0.18748286137631398</v>
      </c>
      <c r="U467" s="681">
        <f t="shared" si="251"/>
        <v>0.13968497520800216</v>
      </c>
      <c r="V467" s="682">
        <f t="shared" si="252"/>
        <v>-0.84337671731308039</v>
      </c>
      <c r="W467" s="683">
        <f t="shared" si="240"/>
        <v>-27.146983308697195</v>
      </c>
      <c r="X467" s="684">
        <f t="shared" si="241"/>
        <v>-178.33455570661985</v>
      </c>
      <c r="Y467" s="687">
        <f t="shared" si="242"/>
        <v>1.6654442933801477</v>
      </c>
      <c r="AA467" s="170">
        <f t="shared" si="243"/>
        <v>53092</v>
      </c>
      <c r="AB467" s="170">
        <f t="shared" si="244"/>
        <v>2818760464</v>
      </c>
      <c r="AD467" s="686">
        <f t="shared" si="245"/>
        <v>17.065726615771105</v>
      </c>
      <c r="AE467" s="687">
        <f t="shared" si="246"/>
        <v>-11.387140146861473</v>
      </c>
      <c r="AG467" s="686">
        <f t="shared" si="247"/>
        <v>47.711116776840598</v>
      </c>
      <c r="AH467" s="687">
        <f t="shared" si="248"/>
        <v>-70.303562566051852</v>
      </c>
      <c r="AJ467" s="170">
        <f t="shared" si="249"/>
        <v>0</v>
      </c>
      <c r="AK467" s="170">
        <f t="shared" si="229"/>
        <v>0</v>
      </c>
      <c r="AM467" s="170" t="str">
        <f t="shared" si="253"/>
        <v>0.783239486756993+0.976224810122457i</v>
      </c>
      <c r="AN467" s="170" t="str">
        <f t="shared" si="254"/>
        <v>7.63548677490856i</v>
      </c>
      <c r="AO467" s="170" t="str">
        <f t="shared" si="255"/>
        <v>0.12785364429292-0.102578854478649i</v>
      </c>
      <c r="AP467" s="170" t="str">
        <f t="shared" si="256"/>
        <v>0.0361267522071678-0.16270413502041i</v>
      </c>
      <c r="AQ467" s="170" t="str">
        <f t="shared" si="257"/>
        <v>0.963873247792832+0.16270413502041i</v>
      </c>
      <c r="AR467" s="170" t="str">
        <f t="shared" si="258"/>
        <v>0.840278408192815-0.141841027224696i</v>
      </c>
    </row>
    <row r="468" spans="7:44">
      <c r="G468" s="688">
        <v>53397.5</v>
      </c>
      <c r="H468" s="676">
        <f t="shared" si="250"/>
        <v>53.397500000000001</v>
      </c>
      <c r="I468" s="677">
        <f t="shared" si="230"/>
        <v>48.330968464100884</v>
      </c>
      <c r="J468" s="678">
        <f t="shared" si="231"/>
        <v>1.5501041826862536</v>
      </c>
      <c r="K468" s="678">
        <f t="shared" si="232"/>
        <v>1.0027203615817244</v>
      </c>
      <c r="L468" s="679">
        <f t="shared" si="233"/>
        <v>7.3677797078198798E-2</v>
      </c>
      <c r="M468" s="678">
        <f t="shared" si="234"/>
        <v>1.2086112284103381</v>
      </c>
      <c r="N468" s="679">
        <f t="shared" si="235"/>
        <v>-0.59634134113022486</v>
      </c>
      <c r="O468" s="677">
        <f t="shared" si="236"/>
        <v>2214342.1545747761</v>
      </c>
      <c r="P468" s="680">
        <f t="shared" si="237"/>
        <v>1.5707958751935043</v>
      </c>
      <c r="Q468" s="689">
        <f t="shared" si="227"/>
        <v>89.31739842342283</v>
      </c>
      <c r="R468" s="690">
        <f t="shared" si="228"/>
        <v>1.5596000659244849</v>
      </c>
      <c r="S468" s="677">
        <f t="shared" si="238"/>
        <v>1.018040071539013</v>
      </c>
      <c r="T468" s="680">
        <f t="shared" si="239"/>
        <v>0.18853635446987543</v>
      </c>
      <c r="U468" s="681">
        <f t="shared" si="251"/>
        <v>0.14159460867172813</v>
      </c>
      <c r="V468" s="682">
        <f t="shared" si="252"/>
        <v>-0.86556245055020253</v>
      </c>
      <c r="W468" s="683">
        <f t="shared" si="240"/>
        <v>-27.064679236366267</v>
      </c>
      <c r="X468" s="684">
        <f t="shared" si="241"/>
        <v>-179.79772819526036</v>
      </c>
      <c r="Y468" s="687">
        <f t="shared" si="242"/>
        <v>0.20227180473963813</v>
      </c>
      <c r="AA468" s="170">
        <f t="shared" si="243"/>
        <v>53397.5</v>
      </c>
      <c r="AB468" s="170">
        <f t="shared" si="244"/>
        <v>2851293006.25</v>
      </c>
      <c r="AD468" s="686">
        <f t="shared" si="245"/>
        <v>17.063979384682213</v>
      </c>
      <c r="AE468" s="687">
        <f t="shared" si="246"/>
        <v>-11.443810028331038</v>
      </c>
      <c r="AG468" s="686">
        <f t="shared" si="247"/>
        <v>47.559287180085562</v>
      </c>
      <c r="AH468" s="687">
        <f t="shared" si="248"/>
        <v>-69.167767410537408</v>
      </c>
      <c r="AJ468" s="170">
        <f t="shared" si="249"/>
        <v>0</v>
      </c>
      <c r="AK468" s="170">
        <f t="shared" si="229"/>
        <v>0</v>
      </c>
      <c r="AM468" s="170" t="str">
        <f t="shared" si="253"/>
        <v>0.826326117390609+0.984803220191414i</v>
      </c>
      <c r="AN468" s="170" t="str">
        <f t="shared" si="254"/>
        <v>7.67942260723235i</v>
      </c>
      <c r="AO468" s="170" t="str">
        <f t="shared" si="255"/>
        <v>0.128239227160639-0.107602636246687i</v>
      </c>
      <c r="AP468" s="170" t="str">
        <f t="shared" si="256"/>
        <v>0.0289456471015652-0.164133870031902i</v>
      </c>
      <c r="AQ468" s="170" t="str">
        <f t="shared" si="257"/>
        <v>0.971054352898435+0.164133870031902i</v>
      </c>
      <c r="AR468" s="170" t="str">
        <f t="shared" si="258"/>
        <v>0.834003040214695-0.140968573180504i</v>
      </c>
    </row>
    <row r="469" spans="7:44">
      <c r="G469" s="688">
        <v>53703</v>
      </c>
      <c r="H469" s="676">
        <f t="shared" si="250"/>
        <v>53.703000000000003</v>
      </c>
      <c r="I469" s="677">
        <f t="shared" si="230"/>
        <v>48.607363573203692</v>
      </c>
      <c r="J469" s="678">
        <f t="shared" si="231"/>
        <v>1.5502218606767959</v>
      </c>
      <c r="K469" s="678">
        <f t="shared" si="232"/>
        <v>1.0027515354883152</v>
      </c>
      <c r="L469" s="679">
        <f t="shared" si="233"/>
        <v>7.4097788680101681E-2</v>
      </c>
      <c r="M469" s="678">
        <f t="shared" si="234"/>
        <v>1.2107965167764085</v>
      </c>
      <c r="N469" s="679">
        <f t="shared" si="235"/>
        <v>-0.59899510019363666</v>
      </c>
      <c r="O469" s="677">
        <f t="shared" si="236"/>
        <v>2227010.9410951645</v>
      </c>
      <c r="P469" s="680">
        <f t="shared" si="237"/>
        <v>1.570795877762527</v>
      </c>
      <c r="Q469" s="689">
        <f t="shared" si="227"/>
        <v>89.828340968667021</v>
      </c>
      <c r="R469" s="690">
        <f t="shared" si="228"/>
        <v>1.5596637527629633</v>
      </c>
      <c r="S469" s="677">
        <f t="shared" si="238"/>
        <v>1.0182452303997123</v>
      </c>
      <c r="T469" s="680">
        <f t="shared" si="239"/>
        <v>0.18958942421039746</v>
      </c>
      <c r="U469" s="681">
        <f t="shared" si="251"/>
        <v>0.14337500351833016</v>
      </c>
      <c r="V469" s="682">
        <f t="shared" si="252"/>
        <v>-0.88742075808163856</v>
      </c>
      <c r="W469" s="683">
        <f t="shared" si="240"/>
        <v>-26.991471731068792</v>
      </c>
      <c r="X469" s="684">
        <f t="shared" si="241"/>
        <v>-181.2415324777219</v>
      </c>
      <c r="Y469" s="687">
        <f t="shared" si="242"/>
        <v>-1.2415324777219041</v>
      </c>
      <c r="AA469" s="170">
        <f t="shared" si="243"/>
        <v>53703</v>
      </c>
      <c r="AB469" s="170">
        <f t="shared" si="244"/>
        <v>2884012209</v>
      </c>
      <c r="AD469" s="686">
        <f t="shared" si="245"/>
        <v>17.06222297517288</v>
      </c>
      <c r="AE469" s="687">
        <f t="shared" si="246"/>
        <v>-11.500497640199475</v>
      </c>
      <c r="AG469" s="686">
        <f t="shared" si="247"/>
        <v>47.417182134542742</v>
      </c>
      <c r="AH469" s="687">
        <f t="shared" si="248"/>
        <v>-68.050106540567754</v>
      </c>
      <c r="AJ469" s="170">
        <f t="shared" si="249"/>
        <v>0</v>
      </c>
      <c r="AK469" s="170">
        <f t="shared" si="229"/>
        <v>0</v>
      </c>
      <c r="AM469" s="170" t="str">
        <f t="shared" si="253"/>
        <v>0.869747946755777+0.991480913898833i</v>
      </c>
      <c r="AN469" s="170" t="str">
        <f t="shared" si="254"/>
        <v>7.72335843955613i</v>
      </c>
      <c r="AO469" s="170" t="str">
        <f t="shared" si="255"/>
        <v>0.128374323379948-0.112612661132139i</v>
      </c>
      <c r="AP469" s="170" t="str">
        <f t="shared" si="256"/>
        <v>0.0217086755407038-0.165246818983139i</v>
      </c>
      <c r="AQ469" s="170" t="str">
        <f t="shared" si="257"/>
        <v>0.978291324459296+0.165246818983139i</v>
      </c>
      <c r="AR469" s="170" t="str">
        <f t="shared" si="258"/>
        <v>0.82786411478319-0.13983760061843i</v>
      </c>
    </row>
    <row r="470" spans="7:44">
      <c r="G470" s="688">
        <v>54015.75</v>
      </c>
      <c r="H470" s="676">
        <f t="shared" si="250"/>
        <v>54.015749999999997</v>
      </c>
      <c r="I470" s="677">
        <f t="shared" si="230"/>
        <v>48.890318666333229</v>
      </c>
      <c r="J470" s="678">
        <f t="shared" si="231"/>
        <v>1.5503409530575691</v>
      </c>
      <c r="K470" s="678">
        <f t="shared" si="232"/>
        <v>1.0027836324141626</v>
      </c>
      <c r="L470" s="679">
        <f t="shared" si="233"/>
        <v>7.4527720221757882E-2</v>
      </c>
      <c r="M470" s="678">
        <f t="shared" si="234"/>
        <v>1.2130424661618409</v>
      </c>
      <c r="N470" s="679">
        <f t="shared" si="235"/>
        <v>-0.60170191307502974</v>
      </c>
      <c r="O470" s="677">
        <f t="shared" si="236"/>
        <v>2239980.3780321581</v>
      </c>
      <c r="P470" s="680">
        <f t="shared" si="237"/>
        <v>1.5707958803624145</v>
      </c>
      <c r="Q470" s="689">
        <f t="shared" si="227"/>
        <v>90.351409364760514</v>
      </c>
      <c r="R470" s="690">
        <f t="shared" si="228"/>
        <v>1.5597282048414782</v>
      </c>
      <c r="S470" s="677">
        <f t="shared" si="238"/>
        <v>1.0184564272314343</v>
      </c>
      <c r="T470" s="680">
        <f t="shared" si="239"/>
        <v>0.19066704425450076</v>
      </c>
      <c r="U470" s="681">
        <f t="shared" si="251"/>
        <v>0.14506882020686124</v>
      </c>
      <c r="V470" s="682">
        <f t="shared" si="252"/>
        <v>-0.90946635140566379</v>
      </c>
      <c r="W470" s="683">
        <f t="shared" si="240"/>
        <v>-26.925307751472403</v>
      </c>
      <c r="X470" s="684">
        <f t="shared" si="241"/>
        <v>-182.69998151305501</v>
      </c>
      <c r="Y470" s="687">
        <f t="shared" si="242"/>
        <v>-2.6999815130550076</v>
      </c>
      <c r="AA470" s="170">
        <f t="shared" si="243"/>
        <v>54015.75</v>
      </c>
      <c r="AB470" s="170">
        <f t="shared" si="244"/>
        <v>2917701248.0625</v>
      </c>
      <c r="AD470" s="686">
        <f t="shared" si="245"/>
        <v>17.060415385037643</v>
      </c>
      <c r="AE470" s="687">
        <f t="shared" si="246"/>
        <v>-11.558548037594459</v>
      </c>
      <c r="AG470" s="686">
        <f t="shared" si="247"/>
        <v>47.281128202914999</v>
      </c>
      <c r="AH470" s="687">
        <f t="shared" si="248"/>
        <v>-66.924266266962348</v>
      </c>
      <c r="AJ470" s="170">
        <f t="shared" si="249"/>
        <v>0</v>
      </c>
      <c r="AK470" s="170">
        <f t="shared" si="229"/>
        <v>0</v>
      </c>
      <c r="AM470" s="170" t="str">
        <f t="shared" si="253"/>
        <v>0.914459967401434+0.996334734325285i</v>
      </c>
      <c r="AN470" s="170" t="str">
        <f t="shared" si="254"/>
        <v>7.7683369389318i</v>
      </c>
      <c r="AO470" s="170" t="str">
        <f t="shared" si="255"/>
        <v>0.128255859929563-0.117716311044456i</v>
      </c>
      <c r="AP470" s="170" t="str">
        <f t="shared" si="256"/>
        <v>0.0142566720997611-0.166055789054214i</v>
      </c>
      <c r="AQ470" s="170" t="str">
        <f t="shared" si="257"/>
        <v>0.985743327900239+0.166055789054214i</v>
      </c>
      <c r="AR470" s="170" t="str">
        <f t="shared" si="258"/>
        <v>0.821728628127536-0.138426294015925i</v>
      </c>
    </row>
    <row r="471" spans="7:44">
      <c r="G471" s="688">
        <v>54328.5</v>
      </c>
      <c r="H471" s="676">
        <f t="shared" si="250"/>
        <v>54.328499999999998</v>
      </c>
      <c r="I471" s="677">
        <f t="shared" si="230"/>
        <v>49.173274444893806</v>
      </c>
      <c r="J471" s="678">
        <f t="shared" si="231"/>
        <v>1.550458674863084</v>
      </c>
      <c r="K471" s="678">
        <f t="shared" si="232"/>
        <v>1.0028159146837849</v>
      </c>
      <c r="L471" s="679">
        <f t="shared" si="233"/>
        <v>7.4957624162487468E-2</v>
      </c>
      <c r="M471" s="678">
        <f t="shared" si="234"/>
        <v>1.2152972704222049</v>
      </c>
      <c r="N471" s="679">
        <f t="shared" si="235"/>
        <v>-0.60439870147284214</v>
      </c>
      <c r="O471" s="677">
        <f t="shared" si="236"/>
        <v>2252949.8149691517</v>
      </c>
      <c r="P471" s="680">
        <f t="shared" si="237"/>
        <v>1.5707958829323687</v>
      </c>
      <c r="Q471" s="689">
        <f t="shared" ref="Q471:Q534" si="259">SQRT(1+(G471/Zero2)^2)</f>
        <v>90.874478131859391</v>
      </c>
      <c r="R471" s="690">
        <f t="shared" ref="R471:R534" si="260">ATAN(G471/Zero2)</f>
        <v>1.5597919149546353</v>
      </c>
      <c r="S471" s="677">
        <f t="shared" si="238"/>
        <v>1.018668806269708</v>
      </c>
      <c r="T471" s="680">
        <f t="shared" si="239"/>
        <v>0.19174421620986171</v>
      </c>
      <c r="U471" s="681">
        <f t="shared" si="251"/>
        <v>0.14663736829747923</v>
      </c>
      <c r="V471" s="682">
        <f t="shared" si="252"/>
        <v>-0.93118488175685055</v>
      </c>
      <c r="W471" s="683">
        <f t="shared" si="240"/>
        <v>-26.867428617874509</v>
      </c>
      <c r="X471" s="684">
        <f t="shared" si="241"/>
        <v>-184.13905674919985</v>
      </c>
      <c r="Y471" s="687">
        <f t="shared" si="242"/>
        <v>-4.1390567491998524</v>
      </c>
      <c r="AA471" s="170">
        <f t="shared" si="243"/>
        <v>54328.5</v>
      </c>
      <c r="AB471" s="170">
        <f t="shared" si="244"/>
        <v>2951585912.25</v>
      </c>
      <c r="AD471" s="686">
        <f t="shared" si="245"/>
        <v>17.058598195086351</v>
      </c>
      <c r="AE471" s="687">
        <f t="shared" si="246"/>
        <v>-11.61661527116417</v>
      </c>
      <c r="AG471" s="686">
        <f t="shared" si="247"/>
        <v>47.154001381045461</v>
      </c>
      <c r="AH471" s="687">
        <f t="shared" si="248"/>
        <v>-65.816514013994095</v>
      </c>
      <c r="AJ471" s="170">
        <f t="shared" si="249"/>
        <v>0</v>
      </c>
      <c r="AK471" s="170">
        <f t="shared" ref="AK471:AK534" si="261">IF(AJ471&gt;0,Y471,0)</f>
        <v>0</v>
      </c>
      <c r="AM471" s="170" t="str">
        <f t="shared" si="253"/>
        <v>0.959345011955024+0.999173244210964i</v>
      </c>
      <c r="AN471" s="170" t="str">
        <f t="shared" si="254"/>
        <v>7.81331543830746i</v>
      </c>
      <c r="AO471" s="170" t="str">
        <f t="shared" si="255"/>
        <v>0.127880827556529-0.122783345883043i</v>
      </c>
      <c r="AP471" s="170" t="str">
        <f t="shared" si="256"/>
        <v>0.00677583134082932-0.166528874035161i</v>
      </c>
      <c r="AQ471" s="170" t="str">
        <f t="shared" si="257"/>
        <v>0.993224168659171+0.166528874035161i</v>
      </c>
      <c r="AR471" s="170" t="str">
        <f t="shared" si="258"/>
        <v>0.81575076817528-0.136772806385628i</v>
      </c>
    </row>
    <row r="472" spans="7:44">
      <c r="G472" s="688">
        <v>54641.25</v>
      </c>
      <c r="H472" s="676">
        <f t="shared" si="250"/>
        <v>54.641249999999999</v>
      </c>
      <c r="I472" s="677">
        <f t="shared" si="230"/>
        <v>49.456230897120662</v>
      </c>
      <c r="J472" s="678">
        <f t="shared" si="231"/>
        <v>1.5505750496146753</v>
      </c>
      <c r="K472" s="678">
        <f t="shared" si="232"/>
        <v>1.0028483822792833</v>
      </c>
      <c r="L472" s="679">
        <f t="shared" si="233"/>
        <v>7.5387500346056194E-2</v>
      </c>
      <c r="M472" s="678">
        <f t="shared" si="234"/>
        <v>1.2175608803624014</v>
      </c>
      <c r="N472" s="679">
        <f t="shared" si="235"/>
        <v>-0.6070854819633994</v>
      </c>
      <c r="O472" s="677">
        <f t="shared" si="236"/>
        <v>2265919.2519061458</v>
      </c>
      <c r="P472" s="680">
        <f t="shared" si="237"/>
        <v>1.5707958854729038</v>
      </c>
      <c r="Q472" s="689">
        <f t="shared" si="259"/>
        <v>91.397547263593879</v>
      </c>
      <c r="R472" s="690">
        <f t="shared" si="260"/>
        <v>1.5598548958407399</v>
      </c>
      <c r="S472" s="677">
        <f t="shared" si="238"/>
        <v>1.0188823667752653</v>
      </c>
      <c r="T472" s="680">
        <f t="shared" si="239"/>
        <v>0.19282093785778417</v>
      </c>
      <c r="U472" s="681">
        <f t="shared" si="251"/>
        <v>0.14808566538828832</v>
      </c>
      <c r="V472" s="682">
        <f t="shared" si="252"/>
        <v>-0.95258501896903192</v>
      </c>
      <c r="W472" s="683">
        <f t="shared" si="240"/>
        <v>-26.817281375525003</v>
      </c>
      <c r="X472" s="684">
        <f t="shared" si="241"/>
        <v>-185.55925638047938</v>
      </c>
      <c r="Y472" s="687">
        <f t="shared" si="242"/>
        <v>-5.5592563804793826</v>
      </c>
      <c r="AA472" s="170">
        <f t="shared" si="243"/>
        <v>54641.25</v>
      </c>
      <c r="AB472" s="170">
        <f t="shared" si="244"/>
        <v>2985666201.5625</v>
      </c>
      <c r="AD472" s="686">
        <f t="shared" si="245"/>
        <v>17.056771415327265</v>
      </c>
      <c r="AE472" s="687">
        <f t="shared" si="246"/>
        <v>-11.674698483965017</v>
      </c>
      <c r="AG472" s="686">
        <f t="shared" si="247"/>
        <v>47.035240869133659</v>
      </c>
      <c r="AH472" s="687">
        <f t="shared" si="248"/>
        <v>-64.726355343152946</v>
      </c>
      <c r="AJ472" s="170">
        <f t="shared" si="249"/>
        <v>0</v>
      </c>
      <c r="AK472" s="170">
        <f t="shared" si="261"/>
        <v>0</v>
      </c>
      <c r="AM472" s="170" t="str">
        <f t="shared" si="253"/>
        <v>1.00431229034341+0.999990702032771i</v>
      </c>
      <c r="AN472" s="170" t="str">
        <f t="shared" si="254"/>
        <v>7.85829393768312i</v>
      </c>
      <c r="AO472" s="170" t="str">
        <f t="shared" si="255"/>
        <v>0.127252901197483-0.127802840961115i</v>
      </c>
      <c r="AP472" s="170" t="str">
        <f t="shared" si="256"/>
        <v>-0.000718715057234888-0.166665117005462i</v>
      </c>
      <c r="AQ472" s="170" t="str">
        <f t="shared" si="257"/>
        <v>1.00071871505723+0.166665117005462i</v>
      </c>
      <c r="AR472" s="170" t="str">
        <f t="shared" si="258"/>
        <v>0.809936234181601-0.134891168922648i</v>
      </c>
    </row>
    <row r="473" spans="7:44">
      <c r="G473" s="688">
        <v>54954</v>
      </c>
      <c r="H473" s="676">
        <f t="shared" si="250"/>
        <v>54.954000000000001</v>
      </c>
      <c r="I473" s="677">
        <f t="shared" si="230"/>
        <v>49.739188011516745</v>
      </c>
      <c r="J473" s="678">
        <f t="shared" si="231"/>
        <v>1.5506901002985916</v>
      </c>
      <c r="K473" s="678">
        <f t="shared" si="232"/>
        <v>1.0028810351826583</v>
      </c>
      <c r="L473" s="679">
        <f t="shared" si="233"/>
        <v>7.5817348616290942E-2</v>
      </c>
      <c r="M473" s="678">
        <f t="shared" si="234"/>
        <v>1.2198332469610813</v>
      </c>
      <c r="N473" s="679">
        <f t="shared" si="235"/>
        <v>-0.60976227157818508</v>
      </c>
      <c r="O473" s="677">
        <f t="shared" si="236"/>
        <v>2278888.6888431394</v>
      </c>
      <c r="P473" s="680">
        <f t="shared" si="237"/>
        <v>1.5707958879845216</v>
      </c>
      <c r="Q473" s="689">
        <f t="shared" si="259"/>
        <v>91.920616753739154</v>
      </c>
      <c r="R473" s="690">
        <f t="shared" si="260"/>
        <v>1.5599171599481738</v>
      </c>
      <c r="S473" s="677">
        <f t="shared" si="238"/>
        <v>1.0190971080053466</v>
      </c>
      <c r="T473" s="680">
        <f t="shared" si="239"/>
        <v>0.19389720698560328</v>
      </c>
      <c r="U473" s="681">
        <f t="shared" si="251"/>
        <v>0.14941861800871917</v>
      </c>
      <c r="V473" s="682">
        <f t="shared" si="252"/>
        <v>-0.97367571276709108</v>
      </c>
      <c r="W473" s="683">
        <f t="shared" si="240"/>
        <v>-26.774358958426028</v>
      </c>
      <c r="X473" s="684">
        <f t="shared" si="241"/>
        <v>-186.96109465016571</v>
      </c>
      <c r="Y473" s="687">
        <f t="shared" si="242"/>
        <v>-6.9610946501657054</v>
      </c>
      <c r="AA473" s="170">
        <f t="shared" si="243"/>
        <v>54954</v>
      </c>
      <c r="AB473" s="170">
        <f t="shared" si="244"/>
        <v>3019942116</v>
      </c>
      <c r="AD473" s="686">
        <f t="shared" si="245"/>
        <v>17.054935055892319</v>
      </c>
      <c r="AE473" s="687">
        <f t="shared" si="246"/>
        <v>-11.732796836009658</v>
      </c>
      <c r="AG473" s="686">
        <f t="shared" si="247"/>
        <v>46.924331879198753</v>
      </c>
      <c r="AH473" s="687">
        <f t="shared" si="248"/>
        <v>-63.65327977476997</v>
      </c>
      <c r="AJ473" s="170">
        <f t="shared" si="249"/>
        <v>0</v>
      </c>
      <c r="AK473" s="170">
        <f t="shared" si="261"/>
        <v>0</v>
      </c>
      <c r="AM473" s="170" t="str">
        <f t="shared" si="253"/>
        <v>1.04927084615706+0.998785454298854i</v>
      </c>
      <c r="AN473" s="170" t="str">
        <f t="shared" si="254"/>
        <v>7.90327243705878i</v>
      </c>
      <c r="AO473" s="170" t="str">
        <f t="shared" si="255"/>
        <v>0.126376189389032-0.132764099240333i</v>
      </c>
      <c r="AP473" s="170" t="str">
        <f t="shared" si="256"/>
        <v>-0.00821180769284267-0.166464242383142i</v>
      </c>
      <c r="AQ473" s="170" t="str">
        <f t="shared" si="257"/>
        <v>1.00821180769284+0.166464242383142i</v>
      </c>
      <c r="AR473" s="170" t="str">
        <f t="shared" si="258"/>
        <v>0.804289710114061-0.132794990327552i</v>
      </c>
    </row>
    <row r="474" spans="7:44">
      <c r="G474" s="688">
        <v>55274</v>
      </c>
      <c r="H474" s="676">
        <f t="shared" si="250"/>
        <v>55.274000000000001</v>
      </c>
      <c r="I474" s="677">
        <f t="shared" si="230"/>
        <v>50.028705157133921</v>
      </c>
      <c r="J474" s="678">
        <f t="shared" si="231"/>
        <v>1.5508064709907199</v>
      </c>
      <c r="K474" s="678">
        <f t="shared" si="232"/>
        <v>1.0029146368101849</v>
      </c>
      <c r="L474" s="679">
        <f t="shared" si="233"/>
        <v>7.6257132340516995E-2</v>
      </c>
      <c r="M474" s="678">
        <f t="shared" si="234"/>
        <v>1.2221673028759978</v>
      </c>
      <c r="N474" s="679">
        <f t="shared" si="235"/>
        <v>-0.61249079033838383</v>
      </c>
      <c r="O474" s="677">
        <f t="shared" si="236"/>
        <v>2292158.7761967382</v>
      </c>
      <c r="P474" s="680">
        <f t="shared" si="237"/>
        <v>1.5707958905249444</v>
      </c>
      <c r="Q474" s="689">
        <f t="shared" si="259"/>
        <v>92.455812120271261</v>
      </c>
      <c r="R474" s="690">
        <f t="shared" si="260"/>
        <v>1.5599801382216159</v>
      </c>
      <c r="S474" s="677">
        <f t="shared" si="238"/>
        <v>1.0193180485693183</v>
      </c>
      <c r="T474" s="680">
        <f t="shared" si="239"/>
        <v>0.19499795491925262</v>
      </c>
      <c r="U474" s="681">
        <f t="shared" si="251"/>
        <v>0.15066807069034044</v>
      </c>
      <c r="V474" s="682">
        <f t="shared" si="252"/>
        <v>-0.99494460644712279</v>
      </c>
      <c r="W474" s="683">
        <f t="shared" si="240"/>
        <v>-26.737434073018719</v>
      </c>
      <c r="X474" s="684">
        <f t="shared" si="241"/>
        <v>-188.37697486925691</v>
      </c>
      <c r="Y474" s="687">
        <f t="shared" si="242"/>
        <v>-8.3769748692569124</v>
      </c>
      <c r="AA474" s="170">
        <f t="shared" si="243"/>
        <v>55274</v>
      </c>
      <c r="AB474" s="170">
        <f t="shared" si="244"/>
        <v>3055215076</v>
      </c>
      <c r="AD474" s="686">
        <f t="shared" si="245"/>
        <v>17.053046222312961</v>
      </c>
      <c r="AE474" s="687">
        <f t="shared" si="246"/>
        <v>-11.792256803269707</v>
      </c>
      <c r="AG474" s="686">
        <f t="shared" si="247"/>
        <v>46.818485122088234</v>
      </c>
      <c r="AH474" s="687">
        <f t="shared" si="248"/>
        <v>-62.5724643382596</v>
      </c>
      <c r="AJ474" s="170">
        <f t="shared" si="249"/>
        <v>0</v>
      </c>
      <c r="AK474" s="170">
        <f t="shared" si="261"/>
        <v>0</v>
      </c>
      <c r="AM474" s="170" t="str">
        <f t="shared" si="253"/>
        <v>1.09516772682139+0.995461251768069i</v>
      </c>
      <c r="AN474" s="170" t="str">
        <f t="shared" si="254"/>
        <v>7.94929360348632i</v>
      </c>
      <c r="AO474" s="170" t="str">
        <f t="shared" si="255"/>
        <v>0.125226378773013-0.137769188238447i</v>
      </c>
      <c r="AP474" s="170" t="str">
        <f t="shared" si="256"/>
        <v>-0.0158612878035642-0.165910208628012i</v>
      </c>
      <c r="AQ474" s="170" t="str">
        <f t="shared" si="257"/>
        <v>1.01586128780356+0.165910208628012i</v>
      </c>
      <c r="AR474" s="170" t="str">
        <f t="shared" si="258"/>
        <v>0.79869010900929-0.130441866626662i</v>
      </c>
    </row>
    <row r="475" spans="7:44">
      <c r="G475" s="688">
        <v>55594</v>
      </c>
      <c r="H475" s="676">
        <f t="shared" si="250"/>
        <v>55.594000000000001</v>
      </c>
      <c r="I475" s="677">
        <f t="shared" si="230"/>
        <v>50.318222972450485</v>
      </c>
      <c r="J475" s="678">
        <f t="shared" si="231"/>
        <v>1.5509215025517047</v>
      </c>
      <c r="K475" s="678">
        <f t="shared" si="232"/>
        <v>1.0029484323981357</v>
      </c>
      <c r="L475" s="679">
        <f t="shared" si="233"/>
        <v>7.6696886511677942E-2</v>
      </c>
      <c r="M475" s="678">
        <f t="shared" si="234"/>
        <v>1.2245104228737711</v>
      </c>
      <c r="N475" s="679">
        <f t="shared" si="235"/>
        <v>-0.61520888714261335</v>
      </c>
      <c r="O475" s="677">
        <f t="shared" si="236"/>
        <v>2305428.863550337</v>
      </c>
      <c r="P475" s="680">
        <f t="shared" si="237"/>
        <v>1.5707958930361214</v>
      </c>
      <c r="Q475" s="689">
        <f t="shared" si="259"/>
        <v>92.991007849286419</v>
      </c>
      <c r="R475" s="690">
        <f t="shared" si="260"/>
        <v>1.5600423915713824</v>
      </c>
      <c r="S475" s="677">
        <f t="shared" si="238"/>
        <v>1.0195402236497806</v>
      </c>
      <c r="T475" s="680">
        <f t="shared" si="239"/>
        <v>0.19609822444232472</v>
      </c>
      <c r="U475" s="681">
        <f t="shared" si="251"/>
        <v>0.15180674850571568</v>
      </c>
      <c r="V475" s="682">
        <f t="shared" si="252"/>
        <v>-1.0159091777463485</v>
      </c>
      <c r="W475" s="683">
        <f t="shared" si="240"/>
        <v>-26.707127346443315</v>
      </c>
      <c r="X475" s="684">
        <f t="shared" si="241"/>
        <v>-189.77476065539221</v>
      </c>
      <c r="Y475" s="687">
        <f t="shared" si="242"/>
        <v>-9.7747606553922139</v>
      </c>
      <c r="AA475" s="170">
        <f t="shared" si="243"/>
        <v>55594</v>
      </c>
      <c r="AB475" s="170">
        <f t="shared" si="244"/>
        <v>3090692836</v>
      </c>
      <c r="AD475" s="686">
        <f t="shared" si="245"/>
        <v>17.0511473816135</v>
      </c>
      <c r="AE475" s="687">
        <f t="shared" si="246"/>
        <v>-11.851730893014249</v>
      </c>
      <c r="AG475" s="686">
        <f t="shared" si="247"/>
        <v>46.719896640643384</v>
      </c>
      <c r="AH475" s="687">
        <f t="shared" si="248"/>
        <v>-61.508413122411802</v>
      </c>
      <c r="AJ475" s="170">
        <f t="shared" si="249"/>
        <v>0</v>
      </c>
      <c r="AK475" s="170">
        <f t="shared" si="261"/>
        <v>0</v>
      </c>
      <c r="AM475" s="170" t="str">
        <f t="shared" si="253"/>
        <v>1.14086308278392+0.990029086395249i</v>
      </c>
      <c r="AN475" s="170" t="str">
        <f t="shared" si="254"/>
        <v>7.99531476991385i</v>
      </c>
      <c r="AO475" s="170" t="str">
        <f t="shared" si="255"/>
        <v>0.123826155052794-0.142691453134148i</v>
      </c>
      <c r="AP475" s="170" t="str">
        <f t="shared" si="256"/>
        <v>-0.0234771804639865-0.165004847732542i</v>
      </c>
      <c r="AQ475" s="170" t="str">
        <f t="shared" si="257"/>
        <v>1.02347718046399+0.165004847732542i</v>
      </c>
      <c r="AR475" s="170" t="str">
        <f t="shared" si="258"/>
        <v>0.793273468450652-0.127891437513658i</v>
      </c>
    </row>
    <row r="476" spans="7:44">
      <c r="G476" s="688">
        <v>55914</v>
      </c>
      <c r="H476" s="676">
        <f t="shared" si="250"/>
        <v>55.914000000000001</v>
      </c>
      <c r="I476" s="677">
        <f t="shared" si="230"/>
        <v>50.607741445972728</v>
      </c>
      <c r="J476" s="678">
        <f t="shared" si="231"/>
        <v>1.5510352179613152</v>
      </c>
      <c r="K476" s="678">
        <f t="shared" si="232"/>
        <v>1.0029824219269039</v>
      </c>
      <c r="L476" s="679">
        <f t="shared" si="233"/>
        <v>7.7136610962687174E-2</v>
      </c>
      <c r="M476" s="678">
        <f t="shared" si="234"/>
        <v>1.2268625550213623</v>
      </c>
      <c r="N476" s="679">
        <f t="shared" si="235"/>
        <v>-0.61791658165601726</v>
      </c>
      <c r="O476" s="677">
        <f t="shared" si="236"/>
        <v>2318698.9509039358</v>
      </c>
      <c r="P476" s="680">
        <f t="shared" si="237"/>
        <v>1.5707958955185555</v>
      </c>
      <c r="Q476" s="689">
        <f t="shared" si="259"/>
        <v>93.526203934561778</v>
      </c>
      <c r="R476" s="690">
        <f t="shared" si="260"/>
        <v>1.560103932441937</v>
      </c>
      <c r="S476" s="677">
        <f t="shared" si="238"/>
        <v>1.0197636324398438</v>
      </c>
      <c r="T476" s="680">
        <f t="shared" si="239"/>
        <v>0.19719801320442951</v>
      </c>
      <c r="U476" s="681">
        <f t="shared" si="251"/>
        <v>0.1528394661828322</v>
      </c>
      <c r="V476" s="682">
        <f t="shared" si="252"/>
        <v>-1.0365796024654608</v>
      </c>
      <c r="W476" s="683">
        <f t="shared" si="240"/>
        <v>-26.683017851670328</v>
      </c>
      <c r="X476" s="684">
        <f t="shared" si="241"/>
        <v>-191.15503664429812</v>
      </c>
      <c r="Y476" s="687">
        <f t="shared" si="242"/>
        <v>-11.155036644298121</v>
      </c>
      <c r="AA476" s="170">
        <f t="shared" si="243"/>
        <v>55914</v>
      </c>
      <c r="AB476" s="170">
        <f t="shared" si="244"/>
        <v>3126375396</v>
      </c>
      <c r="AD476" s="686">
        <f t="shared" si="245"/>
        <v>17.049238545032129</v>
      </c>
      <c r="AE476" s="687">
        <f t="shared" si="246"/>
        <v>-11.91121825758939</v>
      </c>
      <c r="AG476" s="686">
        <f t="shared" si="247"/>
        <v>46.628137619804761</v>
      </c>
      <c r="AH476" s="687">
        <f t="shared" si="248"/>
        <v>-60.460545549739933</v>
      </c>
      <c r="AJ476" s="170">
        <f t="shared" si="249"/>
        <v>0</v>
      </c>
      <c r="AK476" s="170">
        <f t="shared" si="261"/>
        <v>0</v>
      </c>
      <c r="AM476" s="170" t="str">
        <f t="shared" si="253"/>
        <v>1.18626015074802+0.982500461192425i</v>
      </c>
      <c r="AN476" s="170" t="str">
        <f t="shared" si="254"/>
        <v>8.04133593634139i</v>
      </c>
      <c r="AO476" s="170" t="str">
        <f t="shared" si="255"/>
        <v>0.122181248112293-0.147520282716573i</v>
      </c>
      <c r="AP476" s="170" t="str">
        <f t="shared" si="256"/>
        <v>-0.0310433584580025-0.163750076865404i</v>
      </c>
      <c r="AQ476" s="170" t="str">
        <f t="shared" si="257"/>
        <v>1.031043358458+0.163750076865404i</v>
      </c>
      <c r="AR476" s="170" t="str">
        <f t="shared" si="258"/>
        <v>0.788042111452424-0.12515667286437i</v>
      </c>
    </row>
    <row r="477" spans="7:44">
      <c r="G477" s="688">
        <v>56234</v>
      </c>
      <c r="H477" s="676">
        <f t="shared" si="250"/>
        <v>56.234000000000002</v>
      </c>
      <c r="I477" s="677">
        <f t="shared" si="230"/>
        <v>50.897260566468454</v>
      </c>
      <c r="J477" s="678">
        <f t="shared" si="231"/>
        <v>1.5511476396765944</v>
      </c>
      <c r="K477" s="678">
        <f t="shared" si="232"/>
        <v>1.0030166053767731</v>
      </c>
      <c r="L477" s="679">
        <f t="shared" si="233"/>
        <v>7.7576305526526668E-2</v>
      </c>
      <c r="M477" s="678">
        <f t="shared" si="234"/>
        <v>1.2292236475842475</v>
      </c>
      <c r="N477" s="679">
        <f t="shared" si="235"/>
        <v>-0.62061389400363409</v>
      </c>
      <c r="O477" s="677">
        <f t="shared" si="236"/>
        <v>2331969.0382575342</v>
      </c>
      <c r="P477" s="680">
        <f t="shared" si="237"/>
        <v>1.5707958979727366</v>
      </c>
      <c r="Q477" s="689">
        <f t="shared" si="259"/>
        <v>94.061400370016131</v>
      </c>
      <c r="R477" s="690">
        <f t="shared" si="260"/>
        <v>1.5601647729945356</v>
      </c>
      <c r="S477" s="677">
        <f t="shared" si="238"/>
        <v>1.0199882741288473</v>
      </c>
      <c r="T477" s="680">
        <f t="shared" si="239"/>
        <v>0.1982973188618822</v>
      </c>
      <c r="U477" s="681">
        <f t="shared" si="251"/>
        <v>0.15377087154976685</v>
      </c>
      <c r="V477" s="682">
        <f t="shared" si="252"/>
        <v>-1.0569661644721084</v>
      </c>
      <c r="W477" s="683">
        <f t="shared" si="240"/>
        <v>-26.664718518634032</v>
      </c>
      <c r="X477" s="684">
        <f t="shared" si="241"/>
        <v>-192.51839367648788</v>
      </c>
      <c r="Y477" s="687">
        <f t="shared" si="242"/>
        <v>-12.518393676487875</v>
      </c>
      <c r="AA477" s="170">
        <f t="shared" si="243"/>
        <v>56234</v>
      </c>
      <c r="AB477" s="170">
        <f t="shared" si="244"/>
        <v>3162262756</v>
      </c>
      <c r="AD477" s="686">
        <f t="shared" si="245"/>
        <v>17.047319723931537</v>
      </c>
      <c r="AE477" s="687">
        <f t="shared" si="246"/>
        <v>-11.970718065951344</v>
      </c>
      <c r="AG477" s="686">
        <f t="shared" si="247"/>
        <v>46.542813225437278</v>
      </c>
      <c r="AH477" s="687">
        <f t="shared" si="248"/>
        <v>-59.428274847372968</v>
      </c>
      <c r="AJ477" s="170">
        <f t="shared" si="249"/>
        <v>0</v>
      </c>
      <c r="AK477" s="170">
        <f t="shared" si="261"/>
        <v>0</v>
      </c>
      <c r="AM477" s="170" t="str">
        <f t="shared" si="253"/>
        <v>1.2312627990639+0.972891318580411i</v>
      </c>
      <c r="AN477" s="170" t="str">
        <f t="shared" si="254"/>
        <v>8.08735710276893i</v>
      </c>
      <c r="AO477" s="170" t="str">
        <f t="shared" si="255"/>
        <v>0.120297806343597-0.152245385410562i</v>
      </c>
      <c r="AP477" s="170" t="str">
        <f t="shared" si="256"/>
        <v>-0.0385437998439833-0.162148553096735i</v>
      </c>
      <c r="AQ477" s="170" t="str">
        <f t="shared" si="257"/>
        <v>1.03854379984398+0.162148553096735i</v>
      </c>
      <c r="AR477" s="170" t="str">
        <f t="shared" si="258"/>
        <v>0.782997641988164-0.122249956858449i</v>
      </c>
    </row>
    <row r="478" spans="7:44">
      <c r="G478" s="688">
        <v>56561.5</v>
      </c>
      <c r="H478" s="676">
        <f t="shared" si="250"/>
        <v>56.561500000000002</v>
      </c>
      <c r="I478" s="677">
        <f t="shared" si="230"/>
        <v>51.193565949792813</v>
      </c>
      <c r="J478" s="678">
        <f t="shared" si="231"/>
        <v>1.5512613796460184</v>
      </c>
      <c r="K478" s="678">
        <f t="shared" si="232"/>
        <v>1.0030517907724605</v>
      </c>
      <c r="L478" s="679">
        <f t="shared" si="233"/>
        <v>7.8026274311392502E-2</v>
      </c>
      <c r="M478" s="678">
        <f t="shared" si="234"/>
        <v>1.231649302369348</v>
      </c>
      <c r="N478" s="679">
        <f t="shared" si="235"/>
        <v>-0.62336369606748288</v>
      </c>
      <c r="O478" s="677">
        <f t="shared" si="236"/>
        <v>2345550.1432834836</v>
      </c>
      <c r="P478" s="680">
        <f t="shared" si="237"/>
        <v>1.5707959004556846</v>
      </c>
      <c r="Q478" s="689">
        <f t="shared" si="259"/>
        <v>94.609140828311169</v>
      </c>
      <c r="R478" s="690">
        <f t="shared" si="260"/>
        <v>1.5602263267684273</v>
      </c>
      <c r="S478" s="677">
        <f t="shared" si="238"/>
        <v>1.0202194565892206</v>
      </c>
      <c r="T478" s="680">
        <f t="shared" si="239"/>
        <v>0.19942188683557369</v>
      </c>
      <c r="U478" s="681">
        <f t="shared" si="251"/>
        <v>0.15462387401389704</v>
      </c>
      <c r="V478" s="682">
        <f t="shared" si="252"/>
        <v>-1.0775474218260657</v>
      </c>
      <c r="W478" s="683">
        <f t="shared" si="240"/>
        <v>-26.651634767601749</v>
      </c>
      <c r="X478" s="684">
        <f t="shared" si="241"/>
        <v>-193.89680679167009</v>
      </c>
      <c r="Y478" s="687">
        <f t="shared" si="242"/>
        <v>-13.896806791670087</v>
      </c>
      <c r="AA478" s="170">
        <f t="shared" si="243"/>
        <v>56561.5</v>
      </c>
      <c r="AB478" s="170">
        <f t="shared" si="244"/>
        <v>3199203282.25</v>
      </c>
      <c r="AD478" s="686">
        <f t="shared" si="245"/>
        <v>17.045345604166808</v>
      </c>
      <c r="AE478" s="687">
        <f t="shared" si="246"/>
        <v>-12.031624435494392</v>
      </c>
      <c r="AG478" s="686">
        <f t="shared" si="247"/>
        <v>46.461772128721194</v>
      </c>
      <c r="AH478" s="687">
        <f t="shared" si="248"/>
        <v>-58.387343223408593</v>
      </c>
      <c r="AJ478" s="170">
        <f t="shared" si="249"/>
        <v>0</v>
      </c>
      <c r="AK478" s="170">
        <f t="shared" si="261"/>
        <v>0</v>
      </c>
      <c r="AM478" s="170" t="str">
        <f t="shared" si="253"/>
        <v>1.27681236499833+0.960923990013794i</v>
      </c>
      <c r="AN478" s="170" t="str">
        <f t="shared" si="254"/>
        <v>8.13445689028461i</v>
      </c>
      <c r="AO478" s="170" t="str">
        <f t="shared" si="255"/>
        <v>0.118130073460894-0.156963443561093i</v>
      </c>
      <c r="AP478" s="170" t="str">
        <f t="shared" si="256"/>
        <v>-0.046135394166389-0.160153998335632i</v>
      </c>
      <c r="AQ478" s="170" t="str">
        <f t="shared" si="257"/>
        <v>1.04613539416639+0.160153998335632i</v>
      </c>
      <c r="AR478" s="170" t="str">
        <f t="shared" si="258"/>
        <v>0.778029462031904-0.119109371370253i</v>
      </c>
    </row>
    <row r="479" spans="7:44">
      <c r="G479" s="688">
        <v>56889</v>
      </c>
      <c r="H479" s="676">
        <f t="shared" si="250"/>
        <v>56.889000000000003</v>
      </c>
      <c r="I479" s="677">
        <f t="shared" si="230"/>
        <v>51.489871987774734</v>
      </c>
      <c r="J479" s="678">
        <f t="shared" si="231"/>
        <v>1.5513738105501325</v>
      </c>
      <c r="K479" s="678">
        <f t="shared" si="232"/>
        <v>1.003087179243686</v>
      </c>
      <c r="L479" s="679">
        <f t="shared" si="233"/>
        <v>7.8476211437953913E-2</v>
      </c>
      <c r="M479" s="678">
        <f t="shared" si="234"/>
        <v>1.2340842335101576</v>
      </c>
      <c r="N479" s="679">
        <f t="shared" si="235"/>
        <v>-0.62610266768529166</v>
      </c>
      <c r="O479" s="677">
        <f t="shared" si="236"/>
        <v>2359131.2483094321</v>
      </c>
      <c r="P479" s="680">
        <f t="shared" si="237"/>
        <v>1.5707959029100447</v>
      </c>
      <c r="Q479" s="689">
        <f t="shared" si="259"/>
        <v>95.156881640940924</v>
      </c>
      <c r="R479" s="690">
        <f t="shared" si="260"/>
        <v>1.5602871719124716</v>
      </c>
      <c r="S479" s="677">
        <f t="shared" si="238"/>
        <v>1.0204519286877711</v>
      </c>
      <c r="T479" s="680">
        <f t="shared" si="239"/>
        <v>0.20054594384811864</v>
      </c>
      <c r="U479" s="681">
        <f t="shared" si="251"/>
        <v>0.15538005325490642</v>
      </c>
      <c r="V479" s="682">
        <f t="shared" si="252"/>
        <v>-1.0978533410931253</v>
      </c>
      <c r="W479" s="683">
        <f t="shared" si="240"/>
        <v>-26.643912393815846</v>
      </c>
      <c r="X479" s="684">
        <f t="shared" si="241"/>
        <v>-195.25876179158098</v>
      </c>
      <c r="Y479" s="687">
        <f t="shared" si="242"/>
        <v>-15.25876179158098</v>
      </c>
      <c r="AA479" s="170">
        <f t="shared" si="243"/>
        <v>56889</v>
      </c>
      <c r="AB479" s="170">
        <f t="shared" si="244"/>
        <v>3236358321</v>
      </c>
      <c r="AD479" s="686">
        <f t="shared" si="245"/>
        <v>17.043361050844506</v>
      </c>
      <c r="AE479" s="687">
        <f t="shared" si="246"/>
        <v>-12.092542128981773</v>
      </c>
      <c r="AG479" s="686">
        <f t="shared" si="247"/>
        <v>46.386730420306357</v>
      </c>
      <c r="AH479" s="687">
        <f t="shared" si="248"/>
        <v>-57.361493580901424</v>
      </c>
      <c r="AJ479" s="170">
        <f t="shared" si="249"/>
        <v>0</v>
      </c>
      <c r="AK479" s="170">
        <f t="shared" si="261"/>
        <v>0</v>
      </c>
      <c r="AM479" s="170" t="str">
        <f t="shared" si="253"/>
        <v>1.32174796666841+0.946825351342446i</v>
      </c>
      <c r="AN479" s="170" t="str">
        <f t="shared" si="254"/>
        <v>8.18155667780029i</v>
      </c>
      <c r="AO479" s="170" t="str">
        <f t="shared" si="255"/>
        <v>0.115726797311268-0.161552137169057i</v>
      </c>
      <c r="AP479" s="170" t="str">
        <f t="shared" si="256"/>
        <v>-0.0536246611114008-0.157804225223741i</v>
      </c>
      <c r="AQ479" s="170" t="str">
        <f t="shared" si="257"/>
        <v>1.0536246611114+0.157804225223741i</v>
      </c>
      <c r="AR479" s="170" t="str">
        <f t="shared" si="258"/>
        <v>0.773258491101534-0.115813022976552i</v>
      </c>
    </row>
    <row r="480" spans="7:44">
      <c r="G480" s="688">
        <v>57216.5</v>
      </c>
      <c r="H480" s="676">
        <f t="shared" si="250"/>
        <v>57.216500000000003</v>
      </c>
      <c r="I480" s="677">
        <f t="shared" si="230"/>
        <v>51.78617866917692</v>
      </c>
      <c r="J480" s="678">
        <f t="shared" si="231"/>
        <v>1.551484954856436</v>
      </c>
      <c r="K480" s="678">
        <f t="shared" si="232"/>
        <v>1.0031227707689563</v>
      </c>
      <c r="L480" s="679">
        <f t="shared" si="233"/>
        <v>7.8926116727397522E-2</v>
      </c>
      <c r="M480" s="678">
        <f t="shared" si="234"/>
        <v>1.236528386206591</v>
      </c>
      <c r="N480" s="679">
        <f t="shared" si="235"/>
        <v>-0.62883083186388555</v>
      </c>
      <c r="O480" s="677">
        <f t="shared" si="236"/>
        <v>2372712.353335381</v>
      </c>
      <c r="P480" s="680">
        <f t="shared" si="237"/>
        <v>1.5707959053363079</v>
      </c>
      <c r="Q480" s="689">
        <f t="shared" si="259"/>
        <v>95.704622801821571</v>
      </c>
      <c r="R480" s="690">
        <f t="shared" si="260"/>
        <v>1.5603473205932039</v>
      </c>
      <c r="S480" s="677">
        <f t="shared" si="238"/>
        <v>1.0206856895433114</v>
      </c>
      <c r="T480" s="680">
        <f t="shared" si="239"/>
        <v>0.20166948740912072</v>
      </c>
      <c r="U480" s="681">
        <f t="shared" si="251"/>
        <v>0.15604382081395995</v>
      </c>
      <c r="V480" s="682">
        <f t="shared" si="252"/>
        <v>-1.1178950729830976</v>
      </c>
      <c r="W480" s="683">
        <f t="shared" si="240"/>
        <v>-26.641228316164568</v>
      </c>
      <c r="X480" s="684">
        <f t="shared" si="241"/>
        <v>-196.60489934081181</v>
      </c>
      <c r="Y480" s="687">
        <f t="shared" si="242"/>
        <v>-16.604899340811812</v>
      </c>
      <c r="AA480" s="170">
        <f t="shared" si="243"/>
        <v>57216.5</v>
      </c>
      <c r="AB480" s="170">
        <f t="shared" si="244"/>
        <v>3273727872.25</v>
      </c>
      <c r="AD480" s="686">
        <f t="shared" si="245"/>
        <v>17.041366076533897</v>
      </c>
      <c r="AE480" s="687">
        <f t="shared" si="246"/>
        <v>-12.153470306661315</v>
      </c>
      <c r="AG480" s="686">
        <f t="shared" si="247"/>
        <v>46.317357082919564</v>
      </c>
      <c r="AH480" s="687">
        <f t="shared" si="248"/>
        <v>-56.350089646972123</v>
      </c>
      <c r="AJ480" s="170">
        <f t="shared" si="249"/>
        <v>0</v>
      </c>
      <c r="AK480" s="170">
        <f t="shared" si="261"/>
        <v>0</v>
      </c>
      <c r="AM480" s="170" t="str">
        <f t="shared" si="253"/>
        <v>1.36596993781238+0.930626673063697i</v>
      </c>
      <c r="AN480" s="170" t="str">
        <f t="shared" si="254"/>
        <v>8.22865646531597i</v>
      </c>
      <c r="AO480" s="170" t="str">
        <f t="shared" si="255"/>
        <v>0.113095822748989-0.166001575539091i</v>
      </c>
      <c r="AP480" s="170" t="str">
        <f t="shared" si="256"/>
        <v>-0.060994989635396-0.155104445510616i</v>
      </c>
      <c r="AQ480" s="170" t="str">
        <f t="shared" si="257"/>
        <v>1.0609949896354+0.155104445510616i</v>
      </c>
      <c r="AR480" s="170" t="str">
        <f t="shared" si="258"/>
        <v>0.768684650398443-0.112372261544367i</v>
      </c>
    </row>
    <row r="481" spans="7:44">
      <c r="G481" s="688">
        <v>57544</v>
      </c>
      <c r="H481" s="676">
        <f t="shared" si="250"/>
        <v>57.543999999999997</v>
      </c>
      <c r="I481" s="677">
        <f t="shared" si="230"/>
        <v>52.082485983017769</v>
      </c>
      <c r="J481" s="678">
        <f t="shared" si="231"/>
        <v>1.5515948345212685</v>
      </c>
      <c r="K481" s="678">
        <f t="shared" si="232"/>
        <v>1.0031585653266593</v>
      </c>
      <c r="L481" s="679">
        <f t="shared" si="233"/>
        <v>7.9375990000986815E-2</v>
      </c>
      <c r="M481" s="678">
        <f t="shared" si="234"/>
        <v>1.2389817058842603</v>
      </c>
      <c r="N481" s="679">
        <f t="shared" si="235"/>
        <v>-0.63154821207239686</v>
      </c>
      <c r="O481" s="677">
        <f t="shared" si="236"/>
        <v>2386293.4583613295</v>
      </c>
      <c r="P481" s="680">
        <f t="shared" si="237"/>
        <v>1.5707959077349538</v>
      </c>
      <c r="Q481" s="689">
        <f t="shared" si="259"/>
        <v>96.252364305007745</v>
      </c>
      <c r="R481" s="690">
        <f t="shared" si="260"/>
        <v>1.560406784700237</v>
      </c>
      <c r="S481" s="677">
        <f t="shared" si="238"/>
        <v>1.0209207382705794</v>
      </c>
      <c r="T481" s="680">
        <f t="shared" si="239"/>
        <v>0.20279251503564341</v>
      </c>
      <c r="U481" s="681">
        <f t="shared" si="251"/>
        <v>0.15661939238925326</v>
      </c>
      <c r="V481" s="682">
        <f t="shared" si="252"/>
        <v>-1.1376837508157525</v>
      </c>
      <c r="W481" s="683">
        <f t="shared" si="240"/>
        <v>-26.643285323905125</v>
      </c>
      <c r="X481" s="684">
        <f t="shared" si="241"/>
        <v>-197.93585912106786</v>
      </c>
      <c r="Y481" s="687">
        <f t="shared" si="242"/>
        <v>-17.935859121067864</v>
      </c>
      <c r="AA481" s="170">
        <f t="shared" si="243"/>
        <v>57544</v>
      </c>
      <c r="AB481" s="170">
        <f t="shared" si="244"/>
        <v>3311311936</v>
      </c>
      <c r="AD481" s="686">
        <f t="shared" si="245"/>
        <v>17.039360693930131</v>
      </c>
      <c r="AE481" s="687">
        <f t="shared" si="246"/>
        <v>-12.214408145074067</v>
      </c>
      <c r="AG481" s="686">
        <f t="shared" si="247"/>
        <v>46.253347094688458</v>
      </c>
      <c r="AH481" s="687">
        <f t="shared" si="248"/>
        <v>-55.352496142313889</v>
      </c>
      <c r="AJ481" s="170">
        <f t="shared" si="249"/>
        <v>0</v>
      </c>
      <c r="AK481" s="170">
        <f t="shared" si="261"/>
        <v>0</v>
      </c>
      <c r="AM481" s="170" t="str">
        <f t="shared" si="253"/>
        <v>1.40938019498668+0.912363883520535i</v>
      </c>
      <c r="AN481" s="170" t="str">
        <f t="shared" si="254"/>
        <v>8.27575625283165i</v>
      </c>
      <c r="AO481" s="170" t="str">
        <f t="shared" si="255"/>
        <v>0.110245378868953-0.170302284399017i</v>
      </c>
      <c r="AP481" s="170" t="str">
        <f t="shared" si="256"/>
        <v>-0.0682300324977793-0.152060647253422i</v>
      </c>
      <c r="AQ481" s="170" t="str">
        <f t="shared" si="257"/>
        <v>1.06823003249778+0.152060647253422i</v>
      </c>
      <c r="AR481" s="170" t="str">
        <f t="shared" si="258"/>
        <v>0.764307415872145-0.108797802741378i</v>
      </c>
    </row>
    <row r="482" spans="7:44">
      <c r="G482" s="688">
        <v>57879</v>
      </c>
      <c r="H482" s="676">
        <f t="shared" si="250"/>
        <v>57.878999999999998</v>
      </c>
      <c r="I482" s="677">
        <f t="shared" si="230"/>
        <v>52.385579603675907</v>
      </c>
      <c r="J482" s="678">
        <f t="shared" si="231"/>
        <v>1.5517059444683436</v>
      </c>
      <c r="K482" s="678">
        <f t="shared" si="232"/>
        <v>1.0031953896444685</v>
      </c>
      <c r="L482" s="679">
        <f t="shared" si="233"/>
        <v>7.9836132405671362E-2</v>
      </c>
      <c r="M482" s="678">
        <f t="shared" si="234"/>
        <v>1.2415006360807832</v>
      </c>
      <c r="N482" s="679">
        <f t="shared" si="235"/>
        <v>-0.63431669006298208</v>
      </c>
      <c r="O482" s="677">
        <f t="shared" si="236"/>
        <v>2400185.5810596282</v>
      </c>
      <c r="P482" s="680">
        <f t="shared" si="237"/>
        <v>1.5707959101604463</v>
      </c>
      <c r="Q482" s="689">
        <f t="shared" si="259"/>
        <v>96.812649854837034</v>
      </c>
      <c r="R482" s="690">
        <f t="shared" si="260"/>
        <v>1.5604669144245698</v>
      </c>
      <c r="S482" s="677">
        <f t="shared" si="238"/>
        <v>1.021162501315281</v>
      </c>
      <c r="T482" s="680">
        <f t="shared" si="239"/>
        <v>0.20394072447873662</v>
      </c>
      <c r="U482" s="681">
        <f t="shared" si="251"/>
        <v>0.15712108657394253</v>
      </c>
      <c r="V482" s="682">
        <f t="shared" si="252"/>
        <v>-1.1576753553692611</v>
      </c>
      <c r="W482" s="683">
        <f t="shared" si="240"/>
        <v>-26.650009670671256</v>
      </c>
      <c r="X482" s="684">
        <f t="shared" si="241"/>
        <v>-199.28226022164748</v>
      </c>
      <c r="Y482" s="687">
        <f t="shared" si="242"/>
        <v>-19.282260221647476</v>
      </c>
      <c r="AA482" s="170">
        <f t="shared" si="243"/>
        <v>57879</v>
      </c>
      <c r="AB482" s="170">
        <f t="shared" si="244"/>
        <v>3349978641</v>
      </c>
      <c r="AD482" s="686">
        <f t="shared" si="245"/>
        <v>17.037298631338853</v>
      </c>
      <c r="AE482" s="687">
        <f t="shared" si="246"/>
        <v>-12.276750659774542</v>
      </c>
      <c r="AG482" s="686">
        <f t="shared" si="247"/>
        <v>46.193127248430329</v>
      </c>
      <c r="AH482" s="687">
        <f t="shared" si="248"/>
        <v>-54.345685592354172</v>
      </c>
      <c r="AJ482" s="170">
        <f t="shared" si="249"/>
        <v>0</v>
      </c>
      <c r="AK482" s="170">
        <f t="shared" si="261"/>
        <v>0</v>
      </c>
      <c r="AM482" s="170" t="str">
        <f t="shared" si="253"/>
        <v>1.45284440565326+0.891589560430438i</v>
      </c>
      <c r="AN482" s="170" t="str">
        <f t="shared" si="254"/>
        <v>8.32393466143548i</v>
      </c>
      <c r="AO482" s="170" t="str">
        <f t="shared" si="255"/>
        <v>0.107111552011712-0.174538179928807i</v>
      </c>
      <c r="AP482" s="170" t="str">
        <f t="shared" si="256"/>
        <v>-0.0754740676088773-0.14859826007174i</v>
      </c>
      <c r="AQ482" s="170" t="str">
        <f t="shared" si="257"/>
        <v>1.07547406760888+0.14859826007174i</v>
      </c>
      <c r="AR482" s="170" t="str">
        <f t="shared" si="258"/>
        <v>0.760032411641389-0.105013684076213i</v>
      </c>
    </row>
    <row r="483" spans="7:44">
      <c r="G483" s="688">
        <v>58214</v>
      </c>
      <c r="H483" s="676">
        <f t="shared" si="250"/>
        <v>58.213999999999999</v>
      </c>
      <c r="I483" s="677">
        <f t="shared" si="230"/>
        <v>52.688673863615449</v>
      </c>
      <c r="J483" s="678">
        <f t="shared" si="231"/>
        <v>1.5518157760855871</v>
      </c>
      <c r="K483" s="678">
        <f t="shared" si="232"/>
        <v>1.0032324263542545</v>
      </c>
      <c r="L483" s="679">
        <f t="shared" si="233"/>
        <v>8.0296240933267843E-2</v>
      </c>
      <c r="M483" s="678">
        <f t="shared" si="234"/>
        <v>1.2440290431456655</v>
      </c>
      <c r="N483" s="679">
        <f t="shared" si="235"/>
        <v>-0.63707393561676917</v>
      </c>
      <c r="O483" s="677">
        <f t="shared" si="236"/>
        <v>2414077.7037579273</v>
      </c>
      <c r="P483" s="680">
        <f t="shared" si="237"/>
        <v>1.5707959125580233</v>
      </c>
      <c r="Q483" s="689">
        <f t="shared" si="259"/>
        <v>97.372935750672355</v>
      </c>
      <c r="R483" s="690">
        <f t="shared" si="260"/>
        <v>1.5605263521737485</v>
      </c>
      <c r="S483" s="677">
        <f t="shared" si="238"/>
        <v>1.0214056100068734</v>
      </c>
      <c r="T483" s="680">
        <f t="shared" si="239"/>
        <v>0.2050883888547719</v>
      </c>
      <c r="U483" s="681">
        <f t="shared" si="251"/>
        <v>0.1575387989684765</v>
      </c>
      <c r="V483" s="682">
        <f t="shared" si="252"/>
        <v>-1.1774255967133289</v>
      </c>
      <c r="W483" s="683">
        <f t="shared" si="240"/>
        <v>-26.661139628924772</v>
      </c>
      <c r="X483" s="684">
        <f t="shared" si="241"/>
        <v>-200.61412577148201</v>
      </c>
      <c r="Y483" s="687">
        <f t="shared" si="242"/>
        <v>-20.614125771482009</v>
      </c>
      <c r="AA483" s="170">
        <f t="shared" si="243"/>
        <v>58214</v>
      </c>
      <c r="AB483" s="170">
        <f t="shared" si="244"/>
        <v>3388869796</v>
      </c>
      <c r="AD483" s="686">
        <f t="shared" si="245"/>
        <v>17.035225705543393</v>
      </c>
      <c r="AE483" s="687">
        <f t="shared" si="246"/>
        <v>-12.339101590089474</v>
      </c>
      <c r="AG483" s="686">
        <f t="shared" si="247"/>
        <v>46.137947960707208</v>
      </c>
      <c r="AH483" s="687">
        <f t="shared" si="248"/>
        <v>-53.351989262527937</v>
      </c>
      <c r="AJ483" s="170">
        <f t="shared" si="249"/>
        <v>0</v>
      </c>
      <c r="AK483" s="170">
        <f t="shared" si="261"/>
        <v>0</v>
      </c>
      <c r="AM483" s="170" t="str">
        <f t="shared" si="253"/>
        <v>1.49525769572998+0.868746116434621i</v>
      </c>
      <c r="AN483" s="170" t="str">
        <f t="shared" si="254"/>
        <v>8.37211307003931i</v>
      </c>
      <c r="AO483" s="170" t="str">
        <f t="shared" si="255"/>
        <v>0.103766648773957-0.178599797114656i</v>
      </c>
      <c r="AP483" s="170" t="str">
        <f t="shared" si="256"/>
        <v>-0.0825429492883292-0.14479101940577i</v>
      </c>
      <c r="AQ483" s="170" t="str">
        <f t="shared" si="257"/>
        <v>1.08254294928833+0.14479101940577i</v>
      </c>
      <c r="AR483" s="170" t="str">
        <f t="shared" si="258"/>
        <v>0.755960881894804-0.101110396398028i</v>
      </c>
    </row>
    <row r="484" spans="7:44">
      <c r="G484" s="688">
        <v>58549</v>
      </c>
      <c r="H484" s="676">
        <f t="shared" si="250"/>
        <v>58.548999999999999</v>
      </c>
      <c r="I484" s="677">
        <f t="shared" si="230"/>
        <v>52.991768751867006</v>
      </c>
      <c r="J484" s="678">
        <f t="shared" si="231"/>
        <v>1.5519243513051608</v>
      </c>
      <c r="K484" s="678">
        <f t="shared" si="232"/>
        <v>1.0032696754324946</v>
      </c>
      <c r="L484" s="679">
        <f t="shared" si="233"/>
        <v>8.0756315392729122E-2</v>
      </c>
      <c r="M484" s="678">
        <f t="shared" si="234"/>
        <v>1.2465668694132155</v>
      </c>
      <c r="N484" s="679">
        <f t="shared" si="235"/>
        <v>-0.63981997528593304</v>
      </c>
      <c r="O484" s="677">
        <f t="shared" si="236"/>
        <v>2427969.8264562259</v>
      </c>
      <c r="P484" s="680">
        <f t="shared" si="237"/>
        <v>1.5707959149281636</v>
      </c>
      <c r="Q484" s="689">
        <f t="shared" si="259"/>
        <v>97.933221986575106</v>
      </c>
      <c r="R484" s="690">
        <f t="shared" si="260"/>
        <v>1.5605851098239369</v>
      </c>
      <c r="S484" s="677">
        <f t="shared" si="238"/>
        <v>1.021650063384739</v>
      </c>
      <c r="T484" s="680">
        <f t="shared" si="239"/>
        <v>0.20623550553068584</v>
      </c>
      <c r="U484" s="681">
        <f t="shared" si="251"/>
        <v>0.15787641493779717</v>
      </c>
      <c r="V484" s="682">
        <f t="shared" si="252"/>
        <v>-1.1969461989344938</v>
      </c>
      <c r="W484" s="683">
        <f t="shared" si="240"/>
        <v>-26.676428138133176</v>
      </c>
      <c r="X484" s="684">
        <f t="shared" si="241"/>
        <v>-201.93212946885353</v>
      </c>
      <c r="Y484" s="687">
        <f t="shared" si="242"/>
        <v>-21.932129468853532</v>
      </c>
      <c r="AA484" s="170">
        <f t="shared" si="243"/>
        <v>58549</v>
      </c>
      <c r="AB484" s="170">
        <f t="shared" si="244"/>
        <v>3427985401</v>
      </c>
      <c r="AD484" s="686">
        <f t="shared" si="245"/>
        <v>17.033141930524028</v>
      </c>
      <c r="AE484" s="687">
        <f t="shared" si="246"/>
        <v>-12.401460104728811</v>
      </c>
      <c r="AG484" s="686">
        <f t="shared" si="247"/>
        <v>46.087554200241399</v>
      </c>
      <c r="AH484" s="687">
        <f t="shared" si="248"/>
        <v>-52.370738201051225</v>
      </c>
      <c r="AJ484" s="170">
        <f t="shared" si="249"/>
        <v>0</v>
      </c>
      <c r="AK484" s="170">
        <f t="shared" si="261"/>
        <v>0</v>
      </c>
      <c r="AM484" s="170" t="str">
        <f t="shared" si="253"/>
        <v>1.53652163626577+0.843886564544487i</v>
      </c>
      <c r="AN484" s="170" t="str">
        <f t="shared" si="254"/>
        <v>8.42029147864313i</v>
      </c>
      <c r="AO484" s="170" t="str">
        <f t="shared" si="255"/>
        <v>0.100220588169054-0.182478437968916i</v>
      </c>
      <c r="AP484" s="170" t="str">
        <f t="shared" si="256"/>
        <v>-0.0894202727109625-0.140647760757415i</v>
      </c>
      <c r="AQ484" s="170" t="str">
        <f t="shared" si="257"/>
        <v>1.08942027271096+0.140647760757415i</v>
      </c>
      <c r="AR484" s="170" t="str">
        <f t="shared" si="258"/>
        <v>0.752091253480856-0.0970974685683905i</v>
      </c>
    </row>
    <row r="485" spans="7:44">
      <c r="G485" s="688">
        <v>58884</v>
      </c>
      <c r="H485" s="676">
        <f t="shared" si="250"/>
        <v>58.884</v>
      </c>
      <c r="I485" s="677">
        <f t="shared" si="230"/>
        <v>53.294864257710699</v>
      </c>
      <c r="J485" s="678">
        <f t="shared" si="231"/>
        <v>1.5520316915604222</v>
      </c>
      <c r="K485" s="678">
        <f t="shared" si="232"/>
        <v>1.003307136855536</v>
      </c>
      <c r="L485" s="679">
        <f t="shared" si="233"/>
        <v>8.1216355593093981E-2</v>
      </c>
      <c r="M485" s="678">
        <f t="shared" si="234"/>
        <v>1.2491140574724238</v>
      </c>
      <c r="N485" s="679">
        <f t="shared" si="235"/>
        <v>-0.64255483608327091</v>
      </c>
      <c r="O485" s="677">
        <f t="shared" si="236"/>
        <v>2441861.9491545251</v>
      </c>
      <c r="P485" s="680">
        <f t="shared" si="237"/>
        <v>1.5707959172713359</v>
      </c>
      <c r="Q485" s="689">
        <f t="shared" si="259"/>
        <v>98.493508556741801</v>
      </c>
      <c r="R485" s="690">
        <f t="shared" si="260"/>
        <v>1.5606431989810847</v>
      </c>
      <c r="S485" s="677">
        <f t="shared" si="238"/>
        <v>1.0218958604838682</v>
      </c>
      <c r="T485" s="680">
        <f t="shared" si="239"/>
        <v>0.20738207188169308</v>
      </c>
      <c r="U485" s="681">
        <f t="shared" si="251"/>
        <v>0.15813761521339928</v>
      </c>
      <c r="V485" s="682">
        <f t="shared" si="252"/>
        <v>-1.216248788596803</v>
      </c>
      <c r="W485" s="683">
        <f t="shared" si="240"/>
        <v>-26.695648426506125</v>
      </c>
      <c r="X485" s="684">
        <f t="shared" si="241"/>
        <v>-203.23693943818029</v>
      </c>
      <c r="Y485" s="687">
        <f t="shared" si="242"/>
        <v>-23.236939438180286</v>
      </c>
      <c r="AA485" s="170">
        <f t="shared" si="243"/>
        <v>58884</v>
      </c>
      <c r="AB485" s="170">
        <f t="shared" si="244"/>
        <v>3467325456</v>
      </c>
      <c r="AD485" s="686">
        <f t="shared" si="245"/>
        <v>17.031047320388343</v>
      </c>
      <c r="AE485" s="687">
        <f t="shared" si="246"/>
        <v>-12.463825388358339</v>
      </c>
      <c r="AG485" s="686">
        <f t="shared" si="247"/>
        <v>46.041711350391438</v>
      </c>
      <c r="AH485" s="687">
        <f t="shared" si="248"/>
        <v>-51.401269041574594</v>
      </c>
      <c r="AJ485" s="170">
        <f t="shared" si="249"/>
        <v>0</v>
      </c>
      <c r="AK485" s="170">
        <f t="shared" si="261"/>
        <v>0</v>
      </c>
      <c r="AM485" s="170" t="str">
        <f t="shared" si="253"/>
        <v>1.57654046561675+0.817068596573395i</v>
      </c>
      <c r="AN485" s="170" t="str">
        <f t="shared" si="254"/>
        <v>8.46846988724696i</v>
      </c>
      <c r="AO485" s="170" t="str">
        <f t="shared" si="255"/>
        <v>0.0964836159840226-0.186165917409818i</v>
      </c>
      <c r="AP485" s="170" t="str">
        <f t="shared" si="256"/>
        <v>-0.0960900776027923-0.136178099428899i</v>
      </c>
      <c r="AQ485" s="170" t="str">
        <f t="shared" si="257"/>
        <v>1.09609007760279+0.136178099428899i</v>
      </c>
      <c r="AR485" s="170" t="str">
        <f t="shared" si="258"/>
        <v>0.748421736485876-0.0929838265380749i</v>
      </c>
    </row>
    <row r="486" spans="7:44">
      <c r="G486" s="688">
        <v>59227</v>
      </c>
      <c r="H486" s="676">
        <f t="shared" si="250"/>
        <v>59.226999999999997</v>
      </c>
      <c r="I486" s="677">
        <f t="shared" si="230"/>
        <v>53.605198494136772</v>
      </c>
      <c r="J486" s="678">
        <f t="shared" si="231"/>
        <v>1.5521403374859293</v>
      </c>
      <c r="K486" s="678">
        <f t="shared" si="232"/>
        <v>1.0033457128666143</v>
      </c>
      <c r="L486" s="679">
        <f t="shared" si="233"/>
        <v>8.1687346132697652E-2</v>
      </c>
      <c r="M486" s="678">
        <f t="shared" si="234"/>
        <v>1.2517317140240416</v>
      </c>
      <c r="N486" s="679">
        <f t="shared" si="235"/>
        <v>-0.64534345317562403</v>
      </c>
      <c r="O486" s="677">
        <f t="shared" si="236"/>
        <v>2456085.8240366639</v>
      </c>
      <c r="P486" s="680">
        <f t="shared" si="237"/>
        <v>1.5707959196430006</v>
      </c>
      <c r="Q486" s="689">
        <f t="shared" si="259"/>
        <v>99.067175445113463</v>
      </c>
      <c r="R486" s="690">
        <f t="shared" si="260"/>
        <v>1.5607019945572072</v>
      </c>
      <c r="S486" s="677">
        <f t="shared" si="238"/>
        <v>1.0221489185897761</v>
      </c>
      <c r="T486" s="680">
        <f t="shared" si="239"/>
        <v>0.2085554459942433</v>
      </c>
      <c r="U486" s="681">
        <f t="shared" si="251"/>
        <v>0.15832951219055275</v>
      </c>
      <c r="V486" s="682">
        <f t="shared" si="252"/>
        <v>-1.2357984796958412</v>
      </c>
      <c r="W486" s="683">
        <f t="shared" si="240"/>
        <v>-26.719184307413876</v>
      </c>
      <c r="X486" s="684">
        <f t="shared" si="241"/>
        <v>-204.55993018536378</v>
      </c>
      <c r="Y486" s="687">
        <f t="shared" si="242"/>
        <v>-24.559930185363783</v>
      </c>
      <c r="AA486" s="170">
        <f t="shared" si="243"/>
        <v>59227</v>
      </c>
      <c r="AB486" s="170">
        <f t="shared" si="244"/>
        <v>3507837529</v>
      </c>
      <c r="AD486" s="686">
        <f t="shared" si="245"/>
        <v>17.028891478247196</v>
      </c>
      <c r="AE486" s="687">
        <f t="shared" si="246"/>
        <v>-12.527686170390874</v>
      </c>
      <c r="AG486" s="686">
        <f t="shared" si="247"/>
        <v>45.999263769053911</v>
      </c>
      <c r="AH486" s="687">
        <f t="shared" si="248"/>
        <v>-50.420169422647007</v>
      </c>
      <c r="AJ486" s="170">
        <f t="shared" si="249"/>
        <v>0</v>
      </c>
      <c r="AK486" s="170">
        <f t="shared" si="261"/>
        <v>0</v>
      </c>
      <c r="AM486" s="170" t="str">
        <f t="shared" si="253"/>
        <v>1.61612792907429+0.787646097568336i</v>
      </c>
      <c r="AN486" s="170" t="str">
        <f t="shared" si="254"/>
        <v>8.51779882501148i</v>
      </c>
      <c r="AO486" s="170" t="str">
        <f t="shared" si="255"/>
        <v>0.0924706152081814-0.189735395525981i</v>
      </c>
      <c r="AP486" s="170" t="str">
        <f t="shared" si="256"/>
        <v>-0.102687988179048-0.131274349594723i</v>
      </c>
      <c r="AQ486" s="170" t="str">
        <f t="shared" si="257"/>
        <v>1.10268798817905+0.131274349594723i</v>
      </c>
      <c r="AR486" s="170" t="str">
        <f t="shared" si="258"/>
        <v>0.744869884288522-0.0886763170007388i</v>
      </c>
    </row>
    <row r="487" spans="7:44">
      <c r="G487" s="688">
        <v>59570</v>
      </c>
      <c r="H487" s="676">
        <f t="shared" si="250"/>
        <v>59.57</v>
      </c>
      <c r="I487" s="677">
        <f t="shared" si="230"/>
        <v>53.915533356031069</v>
      </c>
      <c r="J487" s="678">
        <f t="shared" si="231"/>
        <v>1.5522477326926789</v>
      </c>
      <c r="K487" s="678">
        <f t="shared" si="232"/>
        <v>1.0033845114348245</v>
      </c>
      <c r="L487" s="679">
        <f t="shared" si="233"/>
        <v>8.2158300352528454E-2</v>
      </c>
      <c r="M487" s="678">
        <f t="shared" si="234"/>
        <v>1.2543590638531577</v>
      </c>
      <c r="N487" s="679">
        <f t="shared" si="235"/>
        <v>-0.64812040984909036</v>
      </c>
      <c r="O487" s="677">
        <f t="shared" si="236"/>
        <v>2470309.6989188027</v>
      </c>
      <c r="P487" s="680">
        <f t="shared" si="237"/>
        <v>1.5707959219873535</v>
      </c>
      <c r="Q487" s="689">
        <f t="shared" si="259"/>
        <v>99.640842672009001</v>
      </c>
      <c r="R487" s="690">
        <f t="shared" si="260"/>
        <v>1.560760113120083</v>
      </c>
      <c r="S487" s="677">
        <f t="shared" si="238"/>
        <v>1.0224033832994932</v>
      </c>
      <c r="T487" s="680">
        <f t="shared" si="239"/>
        <v>0.20972823764157855</v>
      </c>
      <c r="U487" s="681">
        <f t="shared" si="251"/>
        <v>0.15844847264852557</v>
      </c>
      <c r="V487" s="682">
        <f t="shared" si="252"/>
        <v>-1.255143931943651</v>
      </c>
      <c r="W487" s="683">
        <f t="shared" si="240"/>
        <v>-26.746419552289119</v>
      </c>
      <c r="X487" s="684">
        <f t="shared" si="241"/>
        <v>-205.87048665125738</v>
      </c>
      <c r="Y487" s="687">
        <f t="shared" si="242"/>
        <v>-25.87048665125738</v>
      </c>
      <c r="AA487" s="170">
        <f t="shared" si="243"/>
        <v>59570</v>
      </c>
      <c r="AB487" s="170">
        <f t="shared" si="244"/>
        <v>3548584900</v>
      </c>
      <c r="AD487" s="686">
        <f t="shared" si="245"/>
        <v>17.02672430764316</v>
      </c>
      <c r="AE487" s="687">
        <f t="shared" si="246"/>
        <v>-12.591552368061731</v>
      </c>
      <c r="AG487" s="686">
        <f t="shared" si="247"/>
        <v>45.961148355544871</v>
      </c>
      <c r="AH487" s="687">
        <f t="shared" si="248"/>
        <v>-49.450034155193904</v>
      </c>
      <c r="AJ487" s="170">
        <f t="shared" si="249"/>
        <v>0</v>
      </c>
      <c r="AK487" s="170">
        <f t="shared" si="261"/>
        <v>0</v>
      </c>
      <c r="AM487" s="170" t="str">
        <f t="shared" si="253"/>
        <v>1.65421644526168+0.756307373195033i</v>
      </c>
      <c r="AN487" s="170" t="str">
        <f t="shared" si="254"/>
        <v>8.56712776277599i</v>
      </c>
      <c r="AO487" s="170" t="str">
        <f t="shared" si="255"/>
        <v>0.0882801557461504-0.193088803046596i</v>
      </c>
      <c r="AP487" s="170" t="str">
        <f t="shared" si="256"/>
        <v>-0.10903607421028-0.126051228865839i</v>
      </c>
      <c r="AQ487" s="170" t="str">
        <f t="shared" si="257"/>
        <v>1.10903607421028+0.126051228865839i</v>
      </c>
      <c r="AR487" s="170" t="str">
        <f t="shared" si="258"/>
        <v>0.741523541793019-0.0842803546697228i</v>
      </c>
    </row>
    <row r="488" spans="7:44">
      <c r="G488" s="688">
        <v>59913</v>
      </c>
      <c r="H488" s="676">
        <f t="shared" si="250"/>
        <v>59.912999999999997</v>
      </c>
      <c r="I488" s="677">
        <f t="shared" si="230"/>
        <v>54.225868832654925</v>
      </c>
      <c r="J488" s="678">
        <f t="shared" si="231"/>
        <v>1.5523538986518202</v>
      </c>
      <c r="K488" s="678">
        <f t="shared" si="232"/>
        <v>1.0034235325343503</v>
      </c>
      <c r="L488" s="679">
        <f t="shared" si="233"/>
        <v>8.2629218047898342E-2</v>
      </c>
      <c r="M488" s="678">
        <f t="shared" si="234"/>
        <v>1.2569960461776466</v>
      </c>
      <c r="N488" s="679">
        <f t="shared" si="235"/>
        <v>-0.6508857365260331</v>
      </c>
      <c r="O488" s="677">
        <f t="shared" si="236"/>
        <v>2484533.5738009415</v>
      </c>
      <c r="P488" s="680">
        <f t="shared" si="237"/>
        <v>1.5707959243048637</v>
      </c>
      <c r="Q488" s="689">
        <f t="shared" si="259"/>
        <v>100.21451023161487</v>
      </c>
      <c r="R488" s="690">
        <f t="shared" si="260"/>
        <v>1.5608175662957924</v>
      </c>
      <c r="S488" s="677">
        <f t="shared" si="238"/>
        <v>1.0226592535630186</v>
      </c>
      <c r="T488" s="680">
        <f t="shared" si="239"/>
        <v>0.2109004440334965</v>
      </c>
      <c r="U488" s="681">
        <f t="shared" si="251"/>
        <v>0.15849781286345868</v>
      </c>
      <c r="V488" s="682">
        <f t="shared" si="252"/>
        <v>-1.2742972473098568</v>
      </c>
      <c r="W488" s="683">
        <f t="shared" si="240"/>
        <v>-26.777167404829743</v>
      </c>
      <c r="X488" s="684">
        <f t="shared" si="241"/>
        <v>-207.16930438668689</v>
      </c>
      <c r="Y488" s="687">
        <f t="shared" si="242"/>
        <v>-27.169304386686889</v>
      </c>
      <c r="AA488" s="170">
        <f t="shared" si="243"/>
        <v>59913</v>
      </c>
      <c r="AB488" s="170">
        <f t="shared" si="244"/>
        <v>3589567569</v>
      </c>
      <c r="AD488" s="686">
        <f t="shared" si="245"/>
        <v>17.024545824118054</v>
      </c>
      <c r="AE488" s="687">
        <f t="shared" si="246"/>
        <v>-12.655423155405652</v>
      </c>
      <c r="AG488" s="686">
        <f t="shared" si="247"/>
        <v>45.92717032664369</v>
      </c>
      <c r="AH488" s="687">
        <f t="shared" si="248"/>
        <v>-48.490172832438233</v>
      </c>
      <c r="AJ488" s="170">
        <f t="shared" si="249"/>
        <v>0</v>
      </c>
      <c r="AK488" s="170">
        <f t="shared" si="261"/>
        <v>0</v>
      </c>
      <c r="AM488" s="170" t="str">
        <f t="shared" si="253"/>
        <v>1.69071335050527+0.723128665891334i</v>
      </c>
      <c r="AN488" s="170" t="str">
        <f t="shared" si="254"/>
        <v>8.61645670054051i</v>
      </c>
      <c r="AO488" s="170" t="str">
        <f t="shared" si="255"/>
        <v>0.0839241339013486-0.196219096696582i</v>
      </c>
      <c r="AP488" s="170" t="str">
        <f t="shared" si="256"/>
        <v>-0.115118891750879-0.120521444315222i</v>
      </c>
      <c r="AQ488" s="170" t="str">
        <f t="shared" si="257"/>
        <v>1.11511889175088+0.120521444315222i</v>
      </c>
      <c r="AR488" s="170" t="str">
        <f t="shared" si="258"/>
        <v>0.738380402769976-0.0798037529936974i</v>
      </c>
    </row>
    <row r="489" spans="7:44">
      <c r="G489" s="688">
        <v>60256</v>
      </c>
      <c r="H489" s="676">
        <f t="shared" si="250"/>
        <v>60.256</v>
      </c>
      <c r="I489" s="677">
        <f t="shared" si="230"/>
        <v>54.536204913514069</v>
      </c>
      <c r="J489" s="678">
        <f t="shared" si="231"/>
        <v>1.5524588563458914</v>
      </c>
      <c r="K489" s="678">
        <f t="shared" si="232"/>
        <v>1.0034627761392316</v>
      </c>
      <c r="L489" s="679">
        <f t="shared" si="233"/>
        <v>8.3100099014215736E-2</v>
      </c>
      <c r="M489" s="678">
        <f t="shared" si="234"/>
        <v>1.2596426005024457</v>
      </c>
      <c r="N489" s="679">
        <f t="shared" si="235"/>
        <v>-0.6536394640860137</v>
      </c>
      <c r="O489" s="677">
        <f t="shared" si="236"/>
        <v>2498757.4486830803</v>
      </c>
      <c r="P489" s="680">
        <f t="shared" si="237"/>
        <v>1.5707959265959897</v>
      </c>
      <c r="Q489" s="689">
        <f t="shared" si="259"/>
        <v>100.7881781182499</v>
      </c>
      <c r="R489" s="690">
        <f t="shared" si="260"/>
        <v>1.5608743654457391</v>
      </c>
      <c r="S489" s="677">
        <f t="shared" si="238"/>
        <v>1.022916528325605</v>
      </c>
      <c r="T489" s="680">
        <f t="shared" si="239"/>
        <v>0.21207206238901244</v>
      </c>
      <c r="U489" s="681">
        <f t="shared" si="251"/>
        <v>0.15848064746262161</v>
      </c>
      <c r="V489" s="682">
        <f t="shared" si="252"/>
        <v>-1.2932703898065543</v>
      </c>
      <c r="W489" s="683">
        <f t="shared" si="240"/>
        <v>-26.811257534877203</v>
      </c>
      <c r="X489" s="684">
        <f t="shared" si="241"/>
        <v>-208.45707105198093</v>
      </c>
      <c r="Y489" s="687">
        <f t="shared" si="242"/>
        <v>-28.457071051980932</v>
      </c>
      <c r="AA489" s="170">
        <f t="shared" si="243"/>
        <v>60256</v>
      </c>
      <c r="AB489" s="170">
        <f t="shared" si="244"/>
        <v>3630785536</v>
      </c>
      <c r="AD489" s="686">
        <f t="shared" si="245"/>
        <v>17.022356043343326</v>
      </c>
      <c r="AE489" s="687">
        <f t="shared" si="246"/>
        <v>-12.719297722149729</v>
      </c>
      <c r="AG489" s="686">
        <f t="shared" si="247"/>
        <v>45.897151452563392</v>
      </c>
      <c r="AH489" s="687">
        <f t="shared" si="248"/>
        <v>-47.539902950181748</v>
      </c>
      <c r="AJ489" s="170">
        <f t="shared" si="249"/>
        <v>0</v>
      </c>
      <c r="AK489" s="170">
        <f t="shared" si="261"/>
        <v>0</v>
      </c>
      <c r="AM489" s="170" t="str">
        <f t="shared" si="253"/>
        <v>1.72552985328319+0.688190694498899i</v>
      </c>
      <c r="AN489" s="170" t="str">
        <f t="shared" si="254"/>
        <v>8.66578563830502i</v>
      </c>
      <c r="AO489" s="170" t="str">
        <f t="shared" si="255"/>
        <v>0.0794146916647601-0.199119840404995i</v>
      </c>
      <c r="AP489" s="170" t="str">
        <f t="shared" si="256"/>
        <v>-0.120921642213864-0.11469844908315i</v>
      </c>
      <c r="AQ489" s="170" t="str">
        <f t="shared" si="257"/>
        <v>1.12092164221386+0.11469844908315i</v>
      </c>
      <c r="AR489" s="170" t="str">
        <f t="shared" si="258"/>
        <v>0.735438120679992-0.0752537988935785i</v>
      </c>
    </row>
    <row r="490" spans="7:44">
      <c r="G490" s="688">
        <v>60607</v>
      </c>
      <c r="H490" s="676">
        <f t="shared" si="250"/>
        <v>60.606999999999999</v>
      </c>
      <c r="I490" s="677">
        <f t="shared" si="230"/>
        <v>54.85377976853308</v>
      </c>
      <c r="J490" s="678">
        <f t="shared" si="231"/>
        <v>1.5525650325604838</v>
      </c>
      <c r="K490" s="678">
        <f t="shared" si="232"/>
        <v>1.0035031653699344</v>
      </c>
      <c r="L490" s="679">
        <f t="shared" si="233"/>
        <v>8.3581924389604101E-2</v>
      </c>
      <c r="M490" s="678">
        <f t="shared" si="234"/>
        <v>1.2623607287142105</v>
      </c>
      <c r="N490" s="679">
        <f t="shared" si="235"/>
        <v>-0.65644544313989173</v>
      </c>
      <c r="O490" s="677">
        <f t="shared" si="236"/>
        <v>2513313.0757490592</v>
      </c>
      <c r="P490" s="680">
        <f t="shared" si="237"/>
        <v>1.5707959289137057</v>
      </c>
      <c r="Q490" s="689">
        <f t="shared" si="259"/>
        <v>101.37522634666976</v>
      </c>
      <c r="R490" s="690">
        <f t="shared" si="260"/>
        <v>1.5609318238557455</v>
      </c>
      <c r="S490" s="677">
        <f t="shared" si="238"/>
        <v>1.0231812565784335</v>
      </c>
      <c r="T490" s="680">
        <f t="shared" si="239"/>
        <v>0.21327039545940535</v>
      </c>
      <c r="U490" s="681">
        <f t="shared" si="251"/>
        <v>0.15839727614689705</v>
      </c>
      <c r="V490" s="682">
        <f t="shared" si="252"/>
        <v>-1.3125118652940055</v>
      </c>
      <c r="W490" s="683">
        <f t="shared" si="240"/>
        <v>-26.849441228059252</v>
      </c>
      <c r="X490" s="684">
        <f t="shared" si="241"/>
        <v>-209.76414147199688</v>
      </c>
      <c r="Y490" s="687">
        <f t="shared" si="242"/>
        <v>-29.764141471996879</v>
      </c>
      <c r="AA490" s="170">
        <f t="shared" si="243"/>
        <v>60607</v>
      </c>
      <c r="AB490" s="170">
        <f t="shared" si="244"/>
        <v>3673208449</v>
      </c>
      <c r="AD490" s="686">
        <f t="shared" si="245"/>
        <v>17.020103509886631</v>
      </c>
      <c r="AE490" s="687">
        <f t="shared" si="246"/>
        <v>-12.784665158013336</v>
      </c>
      <c r="AG490" s="686">
        <f t="shared" si="247"/>
        <v>45.870361403784791</v>
      </c>
      <c r="AH490" s="687">
        <f t="shared" si="248"/>
        <v>-46.576695257743822</v>
      </c>
      <c r="AJ490" s="170">
        <f t="shared" si="249"/>
        <v>0</v>
      </c>
      <c r="AK490" s="170">
        <f t="shared" si="261"/>
        <v>0</v>
      </c>
      <c r="AM490" s="170" t="str">
        <f t="shared" si="253"/>
        <v>1.75933040801927+0.65070525697684i</v>
      </c>
      <c r="AN490" s="170" t="str">
        <f t="shared" si="254"/>
        <v>8.71626510523022i</v>
      </c>
      <c r="AO490" s="170" t="str">
        <f t="shared" si="255"/>
        <v>0.0746541378814169-0.201844527074283i</v>
      </c>
      <c r="AP490" s="170" t="str">
        <f t="shared" si="256"/>
        <v>-0.126555068003211-0.108450876162807i</v>
      </c>
      <c r="AQ490" s="170" t="str">
        <f t="shared" si="257"/>
        <v>1.12655506800321+0.108450876162807i</v>
      </c>
      <c r="AR490" s="170" t="str">
        <f t="shared" si="258"/>
        <v>0.73263270076009-0.070528872098358i</v>
      </c>
    </row>
    <row r="491" spans="7:44">
      <c r="G491" s="688">
        <v>60958</v>
      </c>
      <c r="H491" s="676">
        <f t="shared" si="250"/>
        <v>60.957999999999998</v>
      </c>
      <c r="I491" s="677">
        <f t="shared" si="230"/>
        <v>55.171355234820993</v>
      </c>
      <c r="J491" s="678">
        <f t="shared" si="231"/>
        <v>1.5526699864404647</v>
      </c>
      <c r="K491" s="678">
        <f t="shared" si="232"/>
        <v>1.0035437875508255</v>
      </c>
      <c r="L491" s="679">
        <f t="shared" si="233"/>
        <v>8.4063710869473118E-2</v>
      </c>
      <c r="M491" s="678">
        <f t="shared" si="234"/>
        <v>1.2650887533907615</v>
      </c>
      <c r="N491" s="679">
        <f t="shared" si="235"/>
        <v>-0.65923934254264938</v>
      </c>
      <c r="O491" s="677">
        <f t="shared" si="236"/>
        <v>2527868.7028150382</v>
      </c>
      <c r="P491" s="680">
        <f t="shared" si="237"/>
        <v>1.5707959312047306</v>
      </c>
      <c r="Q491" s="689">
        <f t="shared" si="259"/>
        <v>101.96227490592285</v>
      </c>
      <c r="R491" s="690">
        <f t="shared" si="260"/>
        <v>1.5609886206314885</v>
      </c>
      <c r="S491" s="677">
        <f t="shared" si="238"/>
        <v>1.0234474533604103</v>
      </c>
      <c r="T491" s="680">
        <f t="shared" si="239"/>
        <v>0.21446810688055842</v>
      </c>
      <c r="U491" s="681">
        <f t="shared" si="251"/>
        <v>0.15825024191072393</v>
      </c>
      <c r="V491" s="682">
        <f t="shared" si="252"/>
        <v>-1.3315895690861734</v>
      </c>
      <c r="W491" s="683">
        <f t="shared" si="240"/>
        <v>-26.890811969563437</v>
      </c>
      <c r="X491" s="684">
        <f t="shared" si="241"/>
        <v>-211.06107083540908</v>
      </c>
      <c r="Y491" s="687">
        <f t="shared" si="242"/>
        <v>-31.061070835409083</v>
      </c>
      <c r="AA491" s="170">
        <f t="shared" si="243"/>
        <v>60958</v>
      </c>
      <c r="AB491" s="170">
        <f t="shared" si="244"/>
        <v>3715877764</v>
      </c>
      <c r="AD491" s="686">
        <f t="shared" si="245"/>
        <v>17.017839179659497</v>
      </c>
      <c r="AE491" s="687">
        <f t="shared" si="246"/>
        <v>-12.850034883320761</v>
      </c>
      <c r="AG491" s="686">
        <f t="shared" si="247"/>
        <v>45.847388051096573</v>
      </c>
      <c r="AH491" s="687">
        <f t="shared" si="248"/>
        <v>-45.622111073166707</v>
      </c>
      <c r="AJ491" s="170">
        <f t="shared" si="249"/>
        <v>0</v>
      </c>
      <c r="AK491" s="170">
        <f t="shared" si="261"/>
        <v>0</v>
      </c>
      <c r="AM491" s="170" t="str">
        <f t="shared" si="253"/>
        <v>1.79119646563139+0.611562059624696i</v>
      </c>
      <c r="AN491" s="170" t="str">
        <f t="shared" si="254"/>
        <v>8.76674457215543i</v>
      </c>
      <c r="AO491" s="170" t="str">
        <f t="shared" si="255"/>
        <v>0.0697593108355311-0.204317172798728i</v>
      </c>
      <c r="AP491" s="170" t="str">
        <f t="shared" si="256"/>
        <v>-0.131866077605231-0.101927009937449i</v>
      </c>
      <c r="AQ491" s="170" t="str">
        <f t="shared" si="257"/>
        <v>1.13186607760523+0.101927009937449i</v>
      </c>
      <c r="AR491" s="170" t="str">
        <f t="shared" si="258"/>
        <v>0.730032668400502-0.0657410346674185i</v>
      </c>
    </row>
    <row r="492" spans="7:44">
      <c r="G492" s="688">
        <v>61309</v>
      </c>
      <c r="H492" s="676">
        <f t="shared" si="250"/>
        <v>61.308999999999997</v>
      </c>
      <c r="I492" s="677">
        <f t="shared" si="230"/>
        <v>55.488931301882523</v>
      </c>
      <c r="J492" s="678">
        <f t="shared" si="231"/>
        <v>1.5527737389706184</v>
      </c>
      <c r="K492" s="678">
        <f t="shared" si="232"/>
        <v>1.0035846426536172</v>
      </c>
      <c r="L492" s="679">
        <f t="shared" si="233"/>
        <v>8.4545458234896689E-2</v>
      </c>
      <c r="M492" s="678">
        <f t="shared" si="234"/>
        <v>1.2678266106484428</v>
      </c>
      <c r="N492" s="679">
        <f t="shared" si="235"/>
        <v>-0.66202119679378935</v>
      </c>
      <c r="O492" s="677">
        <f t="shared" si="236"/>
        <v>2542424.3298810166</v>
      </c>
      <c r="P492" s="680">
        <f t="shared" si="237"/>
        <v>1.5707959334695227</v>
      </c>
      <c r="Q492" s="689">
        <f t="shared" si="259"/>
        <v>102.54932379032758</v>
      </c>
      <c r="R492" s="690">
        <f t="shared" si="260"/>
        <v>1.5610447671352761</v>
      </c>
      <c r="S492" s="677">
        <f t="shared" si="238"/>
        <v>1.0237151175259502</v>
      </c>
      <c r="T492" s="680">
        <f t="shared" si="239"/>
        <v>0.21566519370249562</v>
      </c>
      <c r="U492" s="681">
        <f t="shared" si="251"/>
        <v>0.15804227028214701</v>
      </c>
      <c r="V492" s="682">
        <f t="shared" si="252"/>
        <v>-1.3505158737449632</v>
      </c>
      <c r="W492" s="683">
        <f t="shared" si="240"/>
        <v>-26.935233739190902</v>
      </c>
      <c r="X492" s="684">
        <f t="shared" si="241"/>
        <v>-212.34857040934918</v>
      </c>
      <c r="Y492" s="687">
        <f t="shared" si="242"/>
        <v>-32.348570409349179</v>
      </c>
      <c r="AA492" s="170">
        <f t="shared" si="243"/>
        <v>61309</v>
      </c>
      <c r="AB492" s="170">
        <f t="shared" si="244"/>
        <v>3758793481</v>
      </c>
      <c r="AD492" s="686">
        <f t="shared" si="245"/>
        <v>17.015563069861788</v>
      </c>
      <c r="AE492" s="687">
        <f t="shared" si="246"/>
        <v>-12.915406078064768</v>
      </c>
      <c r="AG492" s="686">
        <f t="shared" si="247"/>
        <v>45.828087306076533</v>
      </c>
      <c r="AH492" s="687">
        <f t="shared" si="248"/>
        <v>-44.675444692429686</v>
      </c>
      <c r="AJ492" s="170">
        <f t="shared" si="249"/>
        <v>0</v>
      </c>
      <c r="AK492" s="170">
        <f t="shared" si="261"/>
        <v>0</v>
      </c>
      <c r="AM492" s="170" t="str">
        <f t="shared" si="253"/>
        <v>1.82104684301907+0.570860825042686i</v>
      </c>
      <c r="AN492" s="170" t="str">
        <f t="shared" si="254"/>
        <v>8.81722403908063i</v>
      </c>
      <c r="AO492" s="170" t="str">
        <f t="shared" si="255"/>
        <v>0.0647438266865463-0.206532899124218i</v>
      </c>
      <c r="AP492" s="170" t="str">
        <f t="shared" si="256"/>
        <v>-0.136841140503178-0.0951434708404477i</v>
      </c>
      <c r="AQ492" s="170" t="str">
        <f t="shared" si="257"/>
        <v>1.13684114050318+0.0951434708404477i</v>
      </c>
      <c r="AR492" s="170" t="str">
        <f t="shared" si="258"/>
        <v>0.727635599454242-0.0608966142872912i</v>
      </c>
    </row>
    <row r="493" spans="7:44">
      <c r="G493" s="688">
        <v>61660</v>
      </c>
      <c r="H493" s="676">
        <f t="shared" si="250"/>
        <v>61.66</v>
      </c>
      <c r="I493" s="677">
        <f t="shared" si="230"/>
        <v>55.806507959461257</v>
      </c>
      <c r="J493" s="678">
        <f t="shared" si="231"/>
        <v>1.5528763106581633</v>
      </c>
      <c r="K493" s="678">
        <f t="shared" si="232"/>
        <v>1.0036257306498648</v>
      </c>
      <c r="L493" s="679">
        <f t="shared" si="233"/>
        <v>8.5027166267056975E-2</v>
      </c>
      <c r="M493" s="678">
        <f t="shared" si="234"/>
        <v>1.2705742369249646</v>
      </c>
      <c r="N493" s="679">
        <f t="shared" si="235"/>
        <v>-0.66479104084170404</v>
      </c>
      <c r="O493" s="677">
        <f t="shared" si="236"/>
        <v>2556979.9569469956</v>
      </c>
      <c r="P493" s="680">
        <f t="shared" si="237"/>
        <v>1.5707959357085304</v>
      </c>
      <c r="Q493" s="689">
        <f t="shared" si="259"/>
        <v>103.13637299433165</v>
      </c>
      <c r="R493" s="690">
        <f t="shared" si="260"/>
        <v>1.5611002744707381</v>
      </c>
      <c r="S493" s="677">
        <f t="shared" si="238"/>
        <v>1.0239842479243537</v>
      </c>
      <c r="T493" s="680">
        <f t="shared" si="239"/>
        <v>0.21686165298547744</v>
      </c>
      <c r="U493" s="681">
        <f t="shared" si="251"/>
        <v>0.15777589513497892</v>
      </c>
      <c r="V493" s="682">
        <f t="shared" si="252"/>
        <v>-1.3693030075413604</v>
      </c>
      <c r="W493" s="683">
        <f t="shared" si="240"/>
        <v>-26.982584250693662</v>
      </c>
      <c r="X493" s="684">
        <f t="shared" si="241"/>
        <v>-213.62734320744582</v>
      </c>
      <c r="Y493" s="687">
        <f t="shared" si="242"/>
        <v>-33.627343207445819</v>
      </c>
      <c r="AA493" s="170">
        <f t="shared" si="243"/>
        <v>61660</v>
      </c>
      <c r="AB493" s="170">
        <f t="shared" si="244"/>
        <v>3801955600</v>
      </c>
      <c r="AD493" s="686">
        <f t="shared" si="245"/>
        <v>17.013275197825376</v>
      </c>
      <c r="AE493" s="687">
        <f t="shared" si="246"/>
        <v>-12.980777937645273</v>
      </c>
      <c r="AG493" s="686">
        <f t="shared" si="247"/>
        <v>45.812328942711282</v>
      </c>
      <c r="AH493" s="687">
        <f t="shared" si="248"/>
        <v>-43.735998677123526</v>
      </c>
      <c r="AJ493" s="170">
        <f t="shared" si="249"/>
        <v>0</v>
      </c>
      <c r="AK493" s="170">
        <f t="shared" si="261"/>
        <v>0</v>
      </c>
      <c r="AM493" s="170" t="str">
        <f t="shared" si="253"/>
        <v>1.8488054923004+0.528705245142004i</v>
      </c>
      <c r="AN493" s="170" t="str">
        <f t="shared" si="254"/>
        <v>8.86770350600583i</v>
      </c>
      <c r="AO493" s="170" t="str">
        <f t="shared" si="255"/>
        <v>0.0596214391678666-0.208487517771457i</v>
      </c>
      <c r="AP493" s="170" t="str">
        <f t="shared" si="256"/>
        <v>-0.141467582050068-0.0881175408570007i</v>
      </c>
      <c r="AQ493" s="170" t="str">
        <f t="shared" si="257"/>
        <v>1.14146758205007+0.0881175408570007i</v>
      </c>
      <c r="AR493" s="170" t="str">
        <f t="shared" si="258"/>
        <v>0.725439160221759-0.0560015158076606i</v>
      </c>
    </row>
    <row r="494" spans="7:44">
      <c r="G494" s="688">
        <v>62019</v>
      </c>
      <c r="H494" s="676">
        <f t="shared" si="250"/>
        <v>62.018999999999998</v>
      </c>
      <c r="I494" s="677">
        <f t="shared" si="230"/>
        <v>56.131323431869916</v>
      </c>
      <c r="J494" s="678">
        <f t="shared" si="231"/>
        <v>1.5529800195303716</v>
      </c>
      <c r="K494" s="678">
        <f t="shared" si="232"/>
        <v>1.0036679960109625</v>
      </c>
      <c r="L494" s="679">
        <f t="shared" si="233"/>
        <v>8.551981248349734E-2</v>
      </c>
      <c r="M494" s="678">
        <f t="shared" si="234"/>
        <v>1.2733945267889553</v>
      </c>
      <c r="N494" s="679">
        <f t="shared" si="235"/>
        <v>-0.66761162819427267</v>
      </c>
      <c r="O494" s="677">
        <f t="shared" si="236"/>
        <v>2571867.3361968142</v>
      </c>
      <c r="P494" s="680">
        <f t="shared" si="237"/>
        <v>1.5707959379723528</v>
      </c>
      <c r="Q494" s="689">
        <f t="shared" si="259"/>
        <v>103.73680256212685</v>
      </c>
      <c r="R494" s="690">
        <f t="shared" si="260"/>
        <v>1.5611563970543407</v>
      </c>
      <c r="S494" s="677">
        <f t="shared" si="238"/>
        <v>1.0242610278855333</v>
      </c>
      <c r="T494" s="680">
        <f t="shared" si="239"/>
        <v>0.21808472978608512</v>
      </c>
      <c r="U494" s="681">
        <f t="shared" si="251"/>
        <v>0.15744548116217197</v>
      </c>
      <c r="V494" s="682">
        <f t="shared" si="252"/>
        <v>-1.3883869740439767</v>
      </c>
      <c r="W494" s="683">
        <f t="shared" si="240"/>
        <v>-27.03392969009699</v>
      </c>
      <c r="X494" s="684">
        <f t="shared" si="241"/>
        <v>-214.92695890985729</v>
      </c>
      <c r="Y494" s="687">
        <f t="shared" si="242"/>
        <v>-34.926958909857291</v>
      </c>
      <c r="AA494" s="170">
        <f t="shared" si="243"/>
        <v>62019</v>
      </c>
      <c r="AB494" s="170">
        <f t="shared" si="244"/>
        <v>3846356361</v>
      </c>
      <c r="AD494" s="686">
        <f t="shared" si="245"/>
        <v>17.010923031336709</v>
      </c>
      <c r="AE494" s="687">
        <f t="shared" si="246"/>
        <v>-13.047639618948525</v>
      </c>
      <c r="AG494" s="686">
        <f t="shared" si="247"/>
        <v>45.799753762852013</v>
      </c>
      <c r="AH494" s="687">
        <f t="shared" si="248"/>
        <v>-42.781891221794972</v>
      </c>
      <c r="AJ494" s="170">
        <f t="shared" si="249"/>
        <v>0</v>
      </c>
      <c r="AK494" s="170">
        <f t="shared" si="261"/>
        <v>0</v>
      </c>
      <c r="AM494" s="170" t="str">
        <f t="shared" si="253"/>
        <v>1.8749593555756+0.484196371414259i</v>
      </c>
      <c r="AN494" s="170" t="str">
        <f t="shared" si="254"/>
        <v>8.91933350209173i</v>
      </c>
      <c r="AO494" s="170" t="str">
        <f t="shared" si="255"/>
        <v>0.0542861606532267-0.210212944177487i</v>
      </c>
      <c r="AP494" s="170" t="str">
        <f t="shared" si="256"/>
        <v>-0.145826559262599-0.0806993952357098i</v>
      </c>
      <c r="AQ494" s="170" t="str">
        <f t="shared" si="257"/>
        <v>1.1458265592626+0.0806993952357098i</v>
      </c>
      <c r="AR494" s="170" t="str">
        <f t="shared" si="258"/>
        <v>0.723397888089603-0.0509481750197777i</v>
      </c>
    </row>
    <row r="495" spans="7:44">
      <c r="G495" s="688">
        <v>62378</v>
      </c>
      <c r="H495" s="676">
        <f t="shared" si="250"/>
        <v>62.378</v>
      </c>
      <c r="I495" s="677">
        <f t="shared" si="230"/>
        <v>56.456139501053805</v>
      </c>
      <c r="J495" s="678">
        <f t="shared" si="231"/>
        <v>1.5530825350415856</v>
      </c>
      <c r="K495" s="678">
        <f t="shared" si="232"/>
        <v>1.003710504942029</v>
      </c>
      <c r="L495" s="679">
        <f t="shared" si="233"/>
        <v>8.6012417090591736E-2</v>
      </c>
      <c r="M495" s="678">
        <f t="shared" si="234"/>
        <v>1.2762249025921475</v>
      </c>
      <c r="N495" s="679">
        <f t="shared" si="235"/>
        <v>-0.67041972696581731</v>
      </c>
      <c r="O495" s="677">
        <f t="shared" si="236"/>
        <v>2586754.7154466333</v>
      </c>
      <c r="P495" s="680">
        <f t="shared" si="237"/>
        <v>1.5707959402101177</v>
      </c>
      <c r="Q495" s="689">
        <f t="shared" si="259"/>
        <v>104.33723245290584</v>
      </c>
      <c r="R495" s="690">
        <f t="shared" si="260"/>
        <v>1.5612118737004019</v>
      </c>
      <c r="S495" s="677">
        <f t="shared" si="238"/>
        <v>1.0245393392268622</v>
      </c>
      <c r="T495" s="680">
        <f t="shared" si="239"/>
        <v>0.21930714392826031</v>
      </c>
      <c r="U495" s="681">
        <f t="shared" si="251"/>
        <v>0.15705875003381498</v>
      </c>
      <c r="V495" s="682">
        <f t="shared" si="252"/>
        <v>-1.4073507952335238</v>
      </c>
      <c r="W495" s="683">
        <f t="shared" si="240"/>
        <v>-27.088120726142918</v>
      </c>
      <c r="X495" s="684">
        <f t="shared" si="241"/>
        <v>-216.21890829987007</v>
      </c>
      <c r="Y495" s="687">
        <f t="shared" si="242"/>
        <v>-36.218908299870066</v>
      </c>
      <c r="AA495" s="170">
        <f t="shared" si="243"/>
        <v>62378</v>
      </c>
      <c r="AB495" s="170">
        <f t="shared" si="244"/>
        <v>3891014884</v>
      </c>
      <c r="AD495" s="686">
        <f t="shared" si="245"/>
        <v>17.0085585974163</v>
      </c>
      <c r="AE495" s="687">
        <f t="shared" si="246"/>
        <v>-13.114500340722307</v>
      </c>
      <c r="AG495" s="686">
        <f t="shared" si="247"/>
        <v>45.790649709555566</v>
      </c>
      <c r="AH495" s="687">
        <f t="shared" si="248"/>
        <v>-41.833886052347275</v>
      </c>
      <c r="AJ495" s="170">
        <f t="shared" si="249"/>
        <v>0</v>
      </c>
      <c r="AK495" s="170">
        <f t="shared" si="261"/>
        <v>0</v>
      </c>
      <c r="AM495" s="170" t="str">
        <f t="shared" si="253"/>
        <v>1.89878139581666+0.438397083172168i</v>
      </c>
      <c r="AN495" s="170" t="str">
        <f t="shared" si="254"/>
        <v>8.97096349817762i</v>
      </c>
      <c r="AO495" s="170" t="str">
        <f t="shared" si="255"/>
        <v>0.0488684502240172-0.211658580062485i</v>
      </c>
      <c r="AP495" s="170" t="str">
        <f t="shared" si="256"/>
        <v>-0.149796899302776-0.0730661805286947i</v>
      </c>
      <c r="AQ495" s="170" t="str">
        <f t="shared" si="257"/>
        <v>1.14979689930278+0.0730661805286947i</v>
      </c>
      <c r="AR495" s="170" t="str">
        <f t="shared" si="258"/>
        <v>0.7215619455472-0.0458531201536181i</v>
      </c>
    </row>
    <row r="496" spans="7:44">
      <c r="G496" s="688">
        <v>62737</v>
      </c>
      <c r="H496" s="676">
        <f t="shared" si="250"/>
        <v>62.737000000000002</v>
      </c>
      <c r="I496" s="677">
        <f t="shared" si="230"/>
        <v>56.780956156771325</v>
      </c>
      <c r="J496" s="678">
        <f t="shared" si="231"/>
        <v>1.5531838776695719</v>
      </c>
      <c r="K496" s="678">
        <f t="shared" si="232"/>
        <v>1.0037532574121188</v>
      </c>
      <c r="L496" s="679">
        <f t="shared" si="233"/>
        <v>8.6504979854571687E-2</v>
      </c>
      <c r="M496" s="678">
        <f t="shared" si="234"/>
        <v>1.2790652973786221</v>
      </c>
      <c r="N496" s="679">
        <f t="shared" si="235"/>
        <v>-0.6732153759230034</v>
      </c>
      <c r="O496" s="677">
        <f t="shared" si="236"/>
        <v>2601642.0946964524</v>
      </c>
      <c r="P496" s="680">
        <f t="shared" si="237"/>
        <v>1.5707959424222722</v>
      </c>
      <c r="Q496" s="689">
        <f t="shared" si="259"/>
        <v>104.93766266112448</v>
      </c>
      <c r="R496" s="690">
        <f t="shared" si="260"/>
        <v>1.5612667154963142</v>
      </c>
      <c r="S496" s="677">
        <f t="shared" si="238"/>
        <v>1.0248191807007048</v>
      </c>
      <c r="T496" s="680">
        <f t="shared" si="239"/>
        <v>0.22052889230007602</v>
      </c>
      <c r="U496" s="681">
        <f t="shared" si="251"/>
        <v>0.15661783709820015</v>
      </c>
      <c r="V496" s="682">
        <f t="shared" si="252"/>
        <v>-1.4262071328036272</v>
      </c>
      <c r="W496" s="683">
        <f t="shared" si="240"/>
        <v>-27.145066188926886</v>
      </c>
      <c r="X496" s="684">
        <f t="shared" si="241"/>
        <v>-217.50391943340571</v>
      </c>
      <c r="Y496" s="687">
        <f t="shared" si="242"/>
        <v>-37.503919433405713</v>
      </c>
      <c r="AA496" s="170">
        <f t="shared" si="243"/>
        <v>62737</v>
      </c>
      <c r="AB496" s="170">
        <f t="shared" si="244"/>
        <v>3935931169</v>
      </c>
      <c r="AD496" s="686">
        <f t="shared" si="245"/>
        <v>17.006181915021553</v>
      </c>
      <c r="AE496" s="687">
        <f t="shared" si="246"/>
        <v>-13.18135928943115</v>
      </c>
      <c r="AG496" s="686">
        <f t="shared" si="247"/>
        <v>45.784917517909037</v>
      </c>
      <c r="AH496" s="687">
        <f t="shared" si="248"/>
        <v>-40.891261115023212</v>
      </c>
      <c r="AJ496" s="170">
        <f t="shared" si="249"/>
        <v>0</v>
      </c>
      <c r="AK496" s="170">
        <f t="shared" si="261"/>
        <v>0</v>
      </c>
      <c r="AM496" s="170" t="str">
        <f t="shared" si="253"/>
        <v>1.92020812575209+0.391429438468577i</v>
      </c>
      <c r="AN496" s="170" t="str">
        <f t="shared" si="254"/>
        <v>9.02259349426351i</v>
      </c>
      <c r="AO496" s="170" t="str">
        <f t="shared" si="255"/>
        <v>0.0433832510261539-0.212822192086227i</v>
      </c>
      <c r="AP496" s="170" t="str">
        <f t="shared" si="256"/>
        <v>-0.153368020958682-0.0652382397447628i</v>
      </c>
      <c r="AQ496" s="170" t="str">
        <f t="shared" si="257"/>
        <v>1.15336802095868+0.0652382397447628i</v>
      </c>
      <c r="AR496" s="170" t="str">
        <f t="shared" si="258"/>
        <v>0.719929271079456-0.0407215368663637i</v>
      </c>
    </row>
    <row r="497" spans="7:44">
      <c r="G497" s="688">
        <v>63096</v>
      </c>
      <c r="H497" s="676">
        <f t="shared" si="250"/>
        <v>63.095999999999997</v>
      </c>
      <c r="I497" s="677">
        <f t="shared" si="230"/>
        <v>57.105773389013905</v>
      </c>
      <c r="J497" s="678">
        <f t="shared" si="231"/>
        <v>1.5532840674262853</v>
      </c>
      <c r="K497" s="678">
        <f t="shared" si="232"/>
        <v>1.003796253390115</v>
      </c>
      <c r="L497" s="679">
        <f t="shared" si="233"/>
        <v>8.6997500541789688E-2</v>
      </c>
      <c r="M497" s="678">
        <f t="shared" si="234"/>
        <v>1.2819156445499238</v>
      </c>
      <c r="N497" s="679">
        <f t="shared" si="235"/>
        <v>-0.67599861426794727</v>
      </c>
      <c r="O497" s="677">
        <f t="shared" si="236"/>
        <v>2616529.473946271</v>
      </c>
      <c r="P497" s="680">
        <f t="shared" si="237"/>
        <v>1.5707959446092534</v>
      </c>
      <c r="Q497" s="689">
        <f t="shared" si="259"/>
        <v>105.5380931813648</v>
      </c>
      <c r="R497" s="690">
        <f t="shared" si="260"/>
        <v>1.5613209332771714</v>
      </c>
      <c r="S497" s="677">
        <f t="shared" si="238"/>
        <v>1.0251005510539315</v>
      </c>
      <c r="T497" s="680">
        <f t="shared" si="239"/>
        <v>0.22174997180094422</v>
      </c>
      <c r="U497" s="681">
        <f t="shared" si="251"/>
        <v>0.15612469838116108</v>
      </c>
      <c r="V497" s="682">
        <f t="shared" si="252"/>
        <v>-1.4449685262906944</v>
      </c>
      <c r="W497" s="683">
        <f t="shared" si="240"/>
        <v>-27.204686930867908</v>
      </c>
      <c r="X497" s="684">
        <f t="shared" si="241"/>
        <v>-218.78271338065085</v>
      </c>
      <c r="Y497" s="687">
        <f t="shared" si="242"/>
        <v>-38.782713380650847</v>
      </c>
      <c r="AA497" s="170">
        <f t="shared" si="243"/>
        <v>63096</v>
      </c>
      <c r="AB497" s="170">
        <f t="shared" si="244"/>
        <v>3981105216</v>
      </c>
      <c r="AD497" s="686">
        <f t="shared" si="245"/>
        <v>17.003793003244262</v>
      </c>
      <c r="AE497" s="687">
        <f t="shared" si="246"/>
        <v>-13.24821566664434</v>
      </c>
      <c r="AG497" s="686">
        <f t="shared" si="247"/>
        <v>45.782470074728458</v>
      </c>
      <c r="AH497" s="687">
        <f t="shared" si="248"/>
        <v>-39.953301353412172</v>
      </c>
      <c r="AJ497" s="170">
        <f t="shared" si="249"/>
        <v>0</v>
      </c>
      <c r="AK497" s="170">
        <f t="shared" si="261"/>
        <v>0</v>
      </c>
      <c r="AM497" s="170" t="str">
        <f t="shared" si="253"/>
        <v>1.93918244176664+0.343418609101561i</v>
      </c>
      <c r="AN497" s="170" t="str">
        <f t="shared" si="254"/>
        <v>9.0742234903494i</v>
      </c>
      <c r="AO497" s="170" t="str">
        <f t="shared" si="255"/>
        <v>0.0378455092567196-0.213702301230402i</v>
      </c>
      <c r="AP497" s="170" t="str">
        <f t="shared" si="256"/>
        <v>-0.156530406961107-0.0572364348502602i</v>
      </c>
      <c r="AQ497" s="170" t="str">
        <f t="shared" si="257"/>
        <v>1.15653040696111+0.0572364348502602i</v>
      </c>
      <c r="AR497" s="170" t="str">
        <f t="shared" si="258"/>
        <v>0.718497986977805-0.0355583069620764i</v>
      </c>
    </row>
    <row r="498" spans="7:44">
      <c r="G498" s="688">
        <v>63463.25</v>
      </c>
      <c r="H498" s="676">
        <f t="shared" si="250"/>
        <v>63.463250000000002</v>
      </c>
      <c r="I498" s="677">
        <f t="shared" si="230"/>
        <v>57.438055670466809</v>
      </c>
      <c r="J498" s="678">
        <f t="shared" si="231"/>
        <v>1.5533853870688945</v>
      </c>
      <c r="K498" s="678">
        <f t="shared" si="232"/>
        <v>1.0038404893707231</v>
      </c>
      <c r="L498" s="679">
        <f t="shared" si="233"/>
        <v>8.7501295819568531E-2</v>
      </c>
      <c r="M498" s="678">
        <f t="shared" si="234"/>
        <v>1.2848417231438576</v>
      </c>
      <c r="N498" s="679">
        <f t="shared" si="235"/>
        <v>-0.67883301244993366</v>
      </c>
      <c r="O498" s="677">
        <f t="shared" si="236"/>
        <v>2631758.9726356752</v>
      </c>
      <c r="P498" s="680">
        <f t="shared" si="237"/>
        <v>1.5707959468208905</v>
      </c>
      <c r="Q498" s="689">
        <f t="shared" si="259"/>
        <v>106.15232221335093</v>
      </c>
      <c r="R498" s="690">
        <f t="shared" si="260"/>
        <v>1.5613757623599931</v>
      </c>
      <c r="S498" s="677">
        <f t="shared" si="238"/>
        <v>1.0253899681113396</v>
      </c>
      <c r="T498" s="680">
        <f t="shared" si="239"/>
        <v>0.22299841699599782</v>
      </c>
      <c r="U498" s="681">
        <f t="shared" si="251"/>
        <v>0.15556804592612239</v>
      </c>
      <c r="V498" s="682">
        <f t="shared" si="252"/>
        <v>-1.4640757829230382</v>
      </c>
      <c r="W498" s="683">
        <f t="shared" si="240"/>
        <v>-27.268375506216902</v>
      </c>
      <c r="X498" s="684">
        <f t="shared" si="241"/>
        <v>-220.08520673558832</v>
      </c>
      <c r="Y498" s="687">
        <f t="shared" si="242"/>
        <v>-40.085206735588315</v>
      </c>
      <c r="AA498" s="170">
        <f t="shared" si="243"/>
        <v>63463.25</v>
      </c>
      <c r="AB498" s="170">
        <f t="shared" si="244"/>
        <v>4027584100.5625</v>
      </c>
      <c r="AD498" s="686">
        <f t="shared" si="245"/>
        <v>17.00133655895354</v>
      </c>
      <c r="AE498" s="687">
        <f t="shared" si="246"/>
        <v>-13.316604959029659</v>
      </c>
      <c r="AG498" s="686">
        <f t="shared" si="247"/>
        <v>45.783286573545382</v>
      </c>
      <c r="AH498" s="687">
        <f t="shared" si="248"/>
        <v>-38.997875087249085</v>
      </c>
      <c r="AJ498" s="170">
        <f t="shared" si="249"/>
        <v>0</v>
      </c>
      <c r="AK498" s="170">
        <f t="shared" si="261"/>
        <v>0</v>
      </c>
      <c r="AM498" s="170" t="str">
        <f t="shared" si="253"/>
        <v>1.95600251380571+0.293358472857307i</v>
      </c>
      <c r="AN498" s="170" t="str">
        <f t="shared" si="254"/>
        <v>9.12703996963225i</v>
      </c>
      <c r="AO498" s="170" t="str">
        <f t="shared" si="255"/>
        <v>0.032141688196105-0.214308529415208i</v>
      </c>
      <c r="AP498" s="170" t="str">
        <f t="shared" si="256"/>
        <v>-0.159333752300951-0.0488930788095512i</v>
      </c>
      <c r="AQ498" s="170" t="str">
        <f t="shared" si="257"/>
        <v>1.15933375230095+0.0488930788095512i</v>
      </c>
      <c r="AR498" s="170" t="str">
        <f t="shared" si="258"/>
        <v>0.717240446607597-0.03024848850625i</v>
      </c>
    </row>
    <row r="499" spans="7:44">
      <c r="G499" s="688">
        <v>63830.5</v>
      </c>
      <c r="H499" s="676">
        <f t="shared" si="250"/>
        <v>63.830500000000001</v>
      </c>
      <c r="I499" s="677">
        <f t="shared" si="230"/>
        <v>57.770338534776862</v>
      </c>
      <c r="J499" s="678">
        <f t="shared" si="231"/>
        <v>1.5534855411738768</v>
      </c>
      <c r="K499" s="678">
        <f t="shared" si="232"/>
        <v>1.0038849801132745</v>
      </c>
      <c r="L499" s="679">
        <f t="shared" si="233"/>
        <v>8.8005046570226439E-2</v>
      </c>
      <c r="M499" s="678">
        <f t="shared" si="234"/>
        <v>1.2877780769598179</v>
      </c>
      <c r="N499" s="679">
        <f t="shared" si="235"/>
        <v>-0.68165450739008326</v>
      </c>
      <c r="O499" s="677">
        <f t="shared" si="236"/>
        <v>2646988.4713250794</v>
      </c>
      <c r="P499" s="680">
        <f t="shared" si="237"/>
        <v>1.5707959490070782</v>
      </c>
      <c r="Q499" s="689">
        <f t="shared" si="259"/>
        <v>106.76655156078341</v>
      </c>
      <c r="R499" s="690">
        <f t="shared" si="260"/>
        <v>1.5614299605781354</v>
      </c>
      <c r="S499" s="677">
        <f t="shared" si="238"/>
        <v>1.0256809824539721</v>
      </c>
      <c r="T499" s="680">
        <f t="shared" si="239"/>
        <v>0.2242461556973355</v>
      </c>
      <c r="U499" s="681">
        <f t="shared" si="251"/>
        <v>0.15496033536539461</v>
      </c>
      <c r="V499" s="682">
        <f t="shared" si="252"/>
        <v>-1.4831098886010545</v>
      </c>
      <c r="W499" s="683">
        <f t="shared" si="240"/>
        <v>-27.33473245381392</v>
      </c>
      <c r="X499" s="684">
        <f t="shared" si="241"/>
        <v>-221.38270098441689</v>
      </c>
      <c r="Y499" s="687">
        <f t="shared" si="242"/>
        <v>-41.382700984416886</v>
      </c>
      <c r="AA499" s="170">
        <f t="shared" si="243"/>
        <v>63830.5</v>
      </c>
      <c r="AB499" s="170">
        <f t="shared" si="244"/>
        <v>4074332730.25</v>
      </c>
      <c r="AD499" s="686">
        <f t="shared" si="245"/>
        <v>16.998867357585645</v>
      </c>
      <c r="AE499" s="687">
        <f t="shared" si="246"/>
        <v>-13.384989916732223</v>
      </c>
      <c r="AG499" s="686">
        <f t="shared" si="247"/>
        <v>45.787392787535957</v>
      </c>
      <c r="AH499" s="687">
        <f t="shared" si="248"/>
        <v>-38.045836531570131</v>
      </c>
      <c r="AJ499" s="170">
        <f t="shared" si="249"/>
        <v>0</v>
      </c>
      <c r="AK499" s="170">
        <f t="shared" si="261"/>
        <v>0</v>
      </c>
      <c r="AM499" s="170" t="str">
        <f t="shared" si="253"/>
        <v>1.97015635978057+0.242480179761788i</v>
      </c>
      <c r="AN499" s="170" t="str">
        <f t="shared" si="254"/>
        <v>9.17985644891511i</v>
      </c>
      <c r="AO499" s="170" t="str">
        <f t="shared" si="255"/>
        <v>0.026414375988466-0.214617338598297i</v>
      </c>
      <c r="AP499" s="170" t="str">
        <f t="shared" si="256"/>
        <v>-0.161692726630095-0.0404133632936313i</v>
      </c>
      <c r="AQ499" s="170" t="str">
        <f t="shared" si="257"/>
        <v>1.16169272663009+0.0404133632936313i</v>
      </c>
      <c r="AR499" s="170" t="str">
        <f t="shared" si="258"/>
        <v>0.716190330711924-0.0249150738047646i</v>
      </c>
    </row>
    <row r="500" spans="7:44">
      <c r="G500" s="688">
        <v>64197.75</v>
      </c>
      <c r="H500" s="676">
        <f t="shared" si="250"/>
        <v>64.197749999999999</v>
      </c>
      <c r="I500" s="677">
        <f t="shared" si="230"/>
        <v>58.102621971944181</v>
      </c>
      <c r="J500" s="678">
        <f t="shared" si="231"/>
        <v>1.5535845497360059</v>
      </c>
      <c r="K500" s="678">
        <f t="shared" si="232"/>
        <v>1.0039297255838993</v>
      </c>
      <c r="L500" s="679">
        <f t="shared" si="233"/>
        <v>8.8508752544031927E-2</v>
      </c>
      <c r="M500" s="678">
        <f t="shared" si="234"/>
        <v>1.2907246358704847</v>
      </c>
      <c r="N500" s="679">
        <f t="shared" si="235"/>
        <v>-0.68446314238181616</v>
      </c>
      <c r="O500" s="677">
        <f t="shared" si="236"/>
        <v>2662217.9700144827</v>
      </c>
      <c r="P500" s="680">
        <f t="shared" si="237"/>
        <v>1.5707959511682532</v>
      </c>
      <c r="Q500" s="689">
        <f t="shared" si="259"/>
        <v>107.38078121824904</v>
      </c>
      <c r="R500" s="690">
        <f t="shared" si="260"/>
        <v>1.56148353875712</v>
      </c>
      <c r="S500" s="677">
        <f t="shared" si="238"/>
        <v>1.025973592722633</v>
      </c>
      <c r="T500" s="680">
        <f t="shared" si="239"/>
        <v>0.22549318462271281</v>
      </c>
      <c r="U500" s="681">
        <f t="shared" si="251"/>
        <v>0.15430312157672743</v>
      </c>
      <c r="V500" s="682">
        <f t="shared" si="252"/>
        <v>-1.5020839516121156</v>
      </c>
      <c r="W500" s="683">
        <f t="shared" si="240"/>
        <v>-27.403708892281536</v>
      </c>
      <c r="X500" s="684">
        <f t="shared" si="241"/>
        <v>-222.67595000884509</v>
      </c>
      <c r="Y500" s="687">
        <f t="shared" si="242"/>
        <v>-42.675950008845092</v>
      </c>
      <c r="AA500" s="170">
        <f t="shared" si="243"/>
        <v>64197.75</v>
      </c>
      <c r="AB500" s="170">
        <f t="shared" si="244"/>
        <v>4121351105.0625</v>
      </c>
      <c r="AD500" s="686">
        <f t="shared" si="245"/>
        <v>16.996385420000578</v>
      </c>
      <c r="AE500" s="687">
        <f t="shared" si="246"/>
        <v>-13.453369731461617</v>
      </c>
      <c r="AG500" s="686">
        <f t="shared" si="247"/>
        <v>45.794731711224969</v>
      </c>
      <c r="AH500" s="687">
        <f t="shared" si="248"/>
        <v>-37.096438277286332</v>
      </c>
      <c r="AJ500" s="170">
        <f t="shared" si="249"/>
        <v>0</v>
      </c>
      <c r="AK500" s="170">
        <f t="shared" si="261"/>
        <v>0</v>
      </c>
      <c r="AM500" s="170" t="str">
        <f t="shared" si="253"/>
        <v>1.98160450557636+0.190925625918011i</v>
      </c>
      <c r="AN500" s="170" t="str">
        <f t="shared" si="254"/>
        <v>9.23267292819796i</v>
      </c>
      <c r="AO500" s="170" t="str">
        <f t="shared" si="255"/>
        <v>0.0206793446927916-0.214629557549282i</v>
      </c>
      <c r="AP500" s="170" t="str">
        <f t="shared" si="256"/>
        <v>-0.163600750929394-0.0318209376530018i</v>
      </c>
      <c r="AQ500" s="170" t="str">
        <f t="shared" si="257"/>
        <v>1.16360075092939+0.0318209376530018i</v>
      </c>
      <c r="AR500" s="170" t="str">
        <f t="shared" si="258"/>
        <v>0.715346308309725-0.0195625434745101i</v>
      </c>
    </row>
    <row r="501" spans="7:44">
      <c r="G501" s="688">
        <v>64565</v>
      </c>
      <c r="H501" s="676">
        <f t="shared" si="250"/>
        <v>64.564999999999998</v>
      </c>
      <c r="I501" s="677">
        <f t="shared" si="230"/>
        <v>58.434905972196304</v>
      </c>
      <c r="J501" s="678">
        <f t="shared" si="231"/>
        <v>1.5536824322953542</v>
      </c>
      <c r="K501" s="678">
        <f t="shared" si="232"/>
        <v>1.0039747257485385</v>
      </c>
      <c r="L501" s="679">
        <f t="shared" si="233"/>
        <v>8.9012413491388748E-2</v>
      </c>
      <c r="M501" s="678">
        <f t="shared" si="234"/>
        <v>1.2936813301448249</v>
      </c>
      <c r="N501" s="679">
        <f t="shared" si="235"/>
        <v>-0.68725896113637142</v>
      </c>
      <c r="O501" s="677">
        <f t="shared" si="236"/>
        <v>2677447.468703887</v>
      </c>
      <c r="P501" s="680">
        <f t="shared" si="237"/>
        <v>1.5707959533048426</v>
      </c>
      <c r="Q501" s="689">
        <f t="shared" si="259"/>
        <v>107.99501118045785</v>
      </c>
      <c r="R501" s="690">
        <f t="shared" si="260"/>
        <v>1.5615365074761975</v>
      </c>
      <c r="S501" s="677">
        <f t="shared" si="238"/>
        <v>1.0262677975522274</v>
      </c>
      <c r="T501" s="680">
        <f t="shared" si="239"/>
        <v>0.22673950050244826</v>
      </c>
      <c r="U501" s="681">
        <f t="shared" si="251"/>
        <v>0.1535977909119022</v>
      </c>
      <c r="V501" s="682">
        <f t="shared" si="252"/>
        <v>-1.5210110037035127</v>
      </c>
      <c r="W501" s="683">
        <f t="shared" si="240"/>
        <v>-27.475267211616547</v>
      </c>
      <c r="X501" s="684">
        <f t="shared" si="241"/>
        <v>-223.96570331786637</v>
      </c>
      <c r="Y501" s="687">
        <f t="shared" si="242"/>
        <v>-43.965703317866371</v>
      </c>
      <c r="AA501" s="170">
        <f t="shared" si="243"/>
        <v>64565</v>
      </c>
      <c r="AB501" s="170">
        <f t="shared" si="244"/>
        <v>4168639225</v>
      </c>
      <c r="AD501" s="686">
        <f t="shared" si="245"/>
        <v>16.993890767195566</v>
      </c>
      <c r="AE501" s="687">
        <f t="shared" si="246"/>
        <v>-13.521743609756907</v>
      </c>
      <c r="AG501" s="686">
        <f t="shared" si="247"/>
        <v>45.805257741002698</v>
      </c>
      <c r="AH501" s="687">
        <f t="shared" si="248"/>
        <v>-36.148937298611365</v>
      </c>
      <c r="AJ501" s="170">
        <f t="shared" si="249"/>
        <v>0</v>
      </c>
      <c r="AK501" s="170">
        <f t="shared" si="261"/>
        <v>0</v>
      </c>
      <c r="AM501" s="170" t="str">
        <f t="shared" si="253"/>
        <v>1.9903150230922+0.138838593474235i</v>
      </c>
      <c r="AN501" s="170" t="str">
        <f t="shared" si="254"/>
        <v>9.28548940748081i</v>
      </c>
      <c r="AO501" s="170" t="str">
        <f t="shared" si="255"/>
        <v>0.0149522106354868-0.21434680884873i</v>
      </c>
      <c r="AP501" s="170" t="str">
        <f t="shared" si="256"/>
        <v>-0.165052503848699-0.0231397655790392i</v>
      </c>
      <c r="AQ501" s="170" t="str">
        <f t="shared" si="257"/>
        <v>1.1650525038487+0.0231397655790392i</v>
      </c>
      <c r="AR501" s="170" t="str">
        <f t="shared" si="258"/>
        <v>0.714707297335943-0.0141952051631573i</v>
      </c>
    </row>
    <row r="502" spans="7:44">
      <c r="G502" s="688">
        <v>64941</v>
      </c>
      <c r="H502" s="676">
        <f t="shared" si="250"/>
        <v>64.941000000000003</v>
      </c>
      <c r="I502" s="677">
        <f t="shared" si="230"/>
        <v>58.775107455312352</v>
      </c>
      <c r="J502" s="678">
        <f t="shared" si="231"/>
        <v>1.5537815003548108</v>
      </c>
      <c r="K502" s="678">
        <f t="shared" si="232"/>
        <v>1.0040210619079801</v>
      </c>
      <c r="L502" s="679">
        <f t="shared" si="233"/>
        <v>8.9528027620481732E-2</v>
      </c>
      <c r="M502" s="678">
        <f t="shared" si="234"/>
        <v>1.2967188978886839</v>
      </c>
      <c r="N502" s="679">
        <f t="shared" si="235"/>
        <v>-0.69010816047872103</v>
      </c>
      <c r="O502" s="677">
        <f t="shared" si="236"/>
        <v>2693039.8213443658</v>
      </c>
      <c r="P502" s="680">
        <f t="shared" si="237"/>
        <v>1.5707959554673017</v>
      </c>
      <c r="Q502" s="689">
        <f t="shared" si="259"/>
        <v>108.6238759313262</v>
      </c>
      <c r="R502" s="690">
        <f t="shared" si="260"/>
        <v>1.5615901175956728</v>
      </c>
      <c r="S502" s="677">
        <f t="shared" si="238"/>
        <v>1.0265706625964102</v>
      </c>
      <c r="T502" s="680">
        <f t="shared" si="239"/>
        <v>0.22801476863765005</v>
      </c>
      <c r="U502" s="681">
        <f t="shared" si="251"/>
        <v>0.15282708196982392</v>
      </c>
      <c r="V502" s="682">
        <f t="shared" si="252"/>
        <v>-1.5403538471931857</v>
      </c>
      <c r="W502" s="683">
        <f t="shared" si="240"/>
        <v>-27.551177612939316</v>
      </c>
      <c r="X502" s="684">
        <f t="shared" si="241"/>
        <v>-225.28334335286675</v>
      </c>
      <c r="Y502" s="687">
        <f t="shared" si="242"/>
        <v>-45.283343352866751</v>
      </c>
      <c r="AA502" s="170">
        <f t="shared" si="243"/>
        <v>64941</v>
      </c>
      <c r="AB502" s="170">
        <f t="shared" si="244"/>
        <v>4217333481</v>
      </c>
      <c r="AD502" s="686">
        <f t="shared" si="245"/>
        <v>16.991323526276897</v>
      </c>
      <c r="AE502" s="687">
        <f t="shared" si="246"/>
        <v>-13.591739582046138</v>
      </c>
      <c r="AG502" s="686">
        <f t="shared" si="247"/>
        <v>45.819300527662335</v>
      </c>
      <c r="AH502" s="687">
        <f t="shared" si="248"/>
        <v>-35.180054767309052</v>
      </c>
      <c r="AJ502" s="170">
        <f t="shared" si="249"/>
        <v>0</v>
      </c>
      <c r="AK502" s="170">
        <f t="shared" si="261"/>
        <v>0</v>
      </c>
      <c r="AM502" s="170" t="str">
        <f t="shared" si="253"/>
        <v>1.99637151058554+0.0851105921345569i</v>
      </c>
      <c r="AN502" s="170" t="str">
        <f t="shared" si="254"/>
        <v>9.33956427803316i</v>
      </c>
      <c r="AO502" s="170" t="str">
        <f t="shared" si="255"/>
        <v>0.00911290822578723-0.213754244968477i</v>
      </c>
      <c r="AP502" s="170" t="str">
        <f t="shared" si="256"/>
        <v>-0.166061918430923-0.0141850986890928i</v>
      </c>
      <c r="AQ502" s="170" t="str">
        <f t="shared" si="257"/>
        <v>1.16606191843092+0.0141850986890928i</v>
      </c>
      <c r="AR502" s="170" t="str">
        <f t="shared" si="258"/>
        <v>0.714264596494626-0.00868900152835371i</v>
      </c>
    </row>
    <row r="503" spans="7:44">
      <c r="G503" s="688">
        <v>65317</v>
      </c>
      <c r="H503" s="676">
        <f t="shared" si="250"/>
        <v>65.316999999999993</v>
      </c>
      <c r="I503" s="677">
        <f t="shared" si="230"/>
        <v>59.11530950863618</v>
      </c>
      <c r="J503" s="678">
        <f t="shared" si="231"/>
        <v>1.5538794281638182</v>
      </c>
      <c r="K503" s="678">
        <f t="shared" si="232"/>
        <v>1.0040676649697053</v>
      </c>
      <c r="L503" s="679">
        <f t="shared" si="233"/>
        <v>9.0043594022930898E-2</v>
      </c>
      <c r="M503" s="678">
        <f t="shared" si="234"/>
        <v>1.2997669430630958</v>
      </c>
      <c r="N503" s="679">
        <f t="shared" si="235"/>
        <v>-0.69294401960572849</v>
      </c>
      <c r="O503" s="677">
        <f t="shared" si="236"/>
        <v>2708632.1739848447</v>
      </c>
      <c r="P503" s="680">
        <f t="shared" si="237"/>
        <v>1.5707959576048642</v>
      </c>
      <c r="Q503" s="689">
        <f t="shared" si="259"/>
        <v>109.25274099079047</v>
      </c>
      <c r="R503" s="690">
        <f t="shared" si="260"/>
        <v>1.5616431105494382</v>
      </c>
      <c r="S503" s="677">
        <f t="shared" si="238"/>
        <v>1.026875196175117</v>
      </c>
      <c r="T503" s="680">
        <f t="shared" si="239"/>
        <v>0.2292892824489266</v>
      </c>
      <c r="U503" s="681">
        <f t="shared" si="251"/>
        <v>0.15200836077938484</v>
      </c>
      <c r="V503" s="682">
        <f t="shared" si="252"/>
        <v>-1.55967488230245</v>
      </c>
      <c r="W503" s="683">
        <f t="shared" si="240"/>
        <v>-27.629749657156395</v>
      </c>
      <c r="X503" s="684">
        <f t="shared" si="241"/>
        <v>-226.59889906465602</v>
      </c>
      <c r="Y503" s="687">
        <f t="shared" si="242"/>
        <v>-46.598899064656024</v>
      </c>
      <c r="AA503" s="170">
        <f t="shared" si="243"/>
        <v>65317</v>
      </c>
      <c r="AB503" s="170">
        <f t="shared" si="244"/>
        <v>4266310489</v>
      </c>
      <c r="AD503" s="686">
        <f t="shared" si="245"/>
        <v>16.988743001995957</v>
      </c>
      <c r="AE503" s="687">
        <f t="shared" si="246"/>
        <v>-13.661727694322007</v>
      </c>
      <c r="AG503" s="686">
        <f t="shared" si="247"/>
        <v>45.836622815850596</v>
      </c>
      <c r="AH503" s="687">
        <f t="shared" si="248"/>
        <v>-34.211594829122681</v>
      </c>
      <c r="AJ503" s="170">
        <f t="shared" si="249"/>
        <v>0</v>
      </c>
      <c r="AK503" s="170">
        <f t="shared" si="261"/>
        <v>0</v>
      </c>
      <c r="AM503" s="170" t="str">
        <f t="shared" si="253"/>
        <v>1.99951522636053+0.031133780262787i</v>
      </c>
      <c r="AN503" s="170" t="str">
        <f t="shared" si="254"/>
        <v>9.39363914858552i</v>
      </c>
      <c r="AO503" s="170" t="str">
        <f t="shared" si="255"/>
        <v>0.00331434705659042-0.212858424166912i</v>
      </c>
      <c r="AP503" s="170" t="str">
        <f t="shared" si="256"/>
        <v>-0.166585871060089-0.00518896337713117i</v>
      </c>
      <c r="AQ503" s="170" t="str">
        <f t="shared" si="257"/>
        <v>1.16658587106009+0.00518896337713117i</v>
      </c>
      <c r="AR503" s="170" t="str">
        <f t="shared" si="258"/>
        <v>0.714035323415902-0.00317602264445073i</v>
      </c>
    </row>
    <row r="504" spans="7:44">
      <c r="G504" s="688">
        <v>65693</v>
      </c>
      <c r="H504" s="676">
        <f t="shared" si="250"/>
        <v>65.692999999999998</v>
      </c>
      <c r="I504" s="677">
        <f t="shared" si="230"/>
        <v>59.455512122379645</v>
      </c>
      <c r="J504" s="678">
        <f t="shared" si="231"/>
        <v>1.5539762352939159</v>
      </c>
      <c r="K504" s="678">
        <f t="shared" si="232"/>
        <v>1.0041145348965514</v>
      </c>
      <c r="L504" s="679">
        <f t="shared" si="233"/>
        <v>9.0559112431316591E-2</v>
      </c>
      <c r="M504" s="678">
        <f t="shared" si="234"/>
        <v>1.3028253921301611</v>
      </c>
      <c r="N504" s="679">
        <f t="shared" si="235"/>
        <v>-0.69576658669557623</v>
      </c>
      <c r="O504" s="677">
        <f t="shared" si="236"/>
        <v>2724224.5266253236</v>
      </c>
      <c r="P504" s="680">
        <f t="shared" si="237"/>
        <v>1.5707959597179577</v>
      </c>
      <c r="Q504" s="689">
        <f t="shared" si="259"/>
        <v>109.88160635355229</v>
      </c>
      <c r="R504" s="690">
        <f t="shared" si="260"/>
        <v>1.5616954969335293</v>
      </c>
      <c r="S504" s="677">
        <f t="shared" si="238"/>
        <v>1.027181396804312</v>
      </c>
      <c r="T504" s="680">
        <f t="shared" si="239"/>
        <v>0.23056303846843776</v>
      </c>
      <c r="U504" s="681">
        <f t="shared" si="251"/>
        <v>0.15114260296507709</v>
      </c>
      <c r="V504" s="682">
        <f t="shared" si="252"/>
        <v>-1.5789879521007777</v>
      </c>
      <c r="W504" s="683">
        <f t="shared" si="240"/>
        <v>-27.710978151188375</v>
      </c>
      <c r="X504" s="684">
        <f t="shared" si="241"/>
        <v>-227.91316669401024</v>
      </c>
      <c r="Y504" s="687">
        <f t="shared" si="242"/>
        <v>-47.913166694010243</v>
      </c>
      <c r="AA504" s="170">
        <f t="shared" si="243"/>
        <v>65693</v>
      </c>
      <c r="AB504" s="170">
        <f t="shared" si="244"/>
        <v>4315570249</v>
      </c>
      <c r="AD504" s="686">
        <f t="shared" si="245"/>
        <v>16.986149217318825</v>
      </c>
      <c r="AE504" s="687">
        <f t="shared" si="246"/>
        <v>-13.731707140808318</v>
      </c>
      <c r="AG504" s="686">
        <f t="shared" si="247"/>
        <v>45.857211241788029</v>
      </c>
      <c r="AH504" s="687">
        <f t="shared" si="248"/>
        <v>-33.242768231690256</v>
      </c>
      <c r="AJ504" s="170">
        <f t="shared" si="249"/>
        <v>0</v>
      </c>
      <c r="AK504" s="170">
        <f t="shared" si="261"/>
        <v>0</v>
      </c>
      <c r="AM504" s="170" t="str">
        <f t="shared" si="253"/>
        <v>1.99973698014398-0.0229340474536375i</v>
      </c>
      <c r="AN504" s="170" t="str">
        <f t="shared" si="254"/>
        <v>9.44771401913787i</v>
      </c>
      <c r="AO504" s="170" t="str">
        <f t="shared" si="255"/>
        <v>-0.00242747054019426-0.211663580850689i</v>
      </c>
      <c r="AP504" s="170" t="str">
        <f t="shared" si="256"/>
        <v>-0.166622830023996+0.00382234124227292i</v>
      </c>
      <c r="AQ504" s="170" t="str">
        <f t="shared" si="257"/>
        <v>1.166622830024-0.00382234124227292i</v>
      </c>
      <c r="AR504" s="170" t="str">
        <f t="shared" si="258"/>
        <v>0.71401916410964+0.00233942352961957i</v>
      </c>
    </row>
    <row r="505" spans="7:44">
      <c r="G505" s="688">
        <v>66069</v>
      </c>
      <c r="H505" s="676">
        <f t="shared" si="250"/>
        <v>66.069000000000003</v>
      </c>
      <c r="I505" s="677">
        <f t="shared" si="230"/>
        <v>59.795715286977391</v>
      </c>
      <c r="J505" s="678">
        <f t="shared" si="231"/>
        <v>1.5540719408713259</v>
      </c>
      <c r="K505" s="678">
        <f t="shared" si="232"/>
        <v>1.0041616716511501</v>
      </c>
      <c r="L505" s="679">
        <f t="shared" si="233"/>
        <v>9.1074582578371005E-2</v>
      </c>
      <c r="M505" s="678">
        <f t="shared" si="234"/>
        <v>1.3058941719910588</v>
      </c>
      <c r="N505" s="679">
        <f t="shared" si="235"/>
        <v>-0.69857591032305122</v>
      </c>
      <c r="O505" s="677">
        <f t="shared" si="236"/>
        <v>2739816.8792658029</v>
      </c>
      <c r="P505" s="680">
        <f t="shared" si="237"/>
        <v>1.570795961807</v>
      </c>
      <c r="Q505" s="689">
        <f t="shared" si="259"/>
        <v>110.51047201443386</v>
      </c>
      <c r="R505" s="690">
        <f t="shared" si="260"/>
        <v>1.5617472871028062</v>
      </c>
      <c r="S505" s="677">
        <f t="shared" si="238"/>
        <v>1.0274892629936088</v>
      </c>
      <c r="T505" s="680">
        <f t="shared" si="239"/>
        <v>0.23183603324230162</v>
      </c>
      <c r="U505" s="681">
        <f t="shared" si="251"/>
        <v>0.15023062218124927</v>
      </c>
      <c r="V505" s="682">
        <f t="shared" si="252"/>
        <v>-1.5983068887414655</v>
      </c>
      <c r="W505" s="683">
        <f t="shared" si="240"/>
        <v>-27.794869500498809</v>
      </c>
      <c r="X505" s="684">
        <f t="shared" si="241"/>
        <v>-229.22694186807257</v>
      </c>
      <c r="Y505" s="687">
        <f t="shared" si="242"/>
        <v>-49.226941868072572</v>
      </c>
      <c r="AA505" s="170">
        <f t="shared" si="243"/>
        <v>66069</v>
      </c>
      <c r="AB505" s="170">
        <f t="shared" si="244"/>
        <v>4365112761</v>
      </c>
      <c r="AD505" s="686">
        <f t="shared" si="245"/>
        <v>16.983542195352403</v>
      </c>
      <c r="AE505" s="687">
        <f t="shared" si="246"/>
        <v>-13.801677130346338</v>
      </c>
      <c r="AG505" s="686">
        <f t="shared" si="247"/>
        <v>45.881064172284852</v>
      </c>
      <c r="AH505" s="687">
        <f t="shared" si="248"/>
        <v>-32.272786345300787</v>
      </c>
      <c r="AJ505" s="170">
        <f t="shared" si="249"/>
        <v>0</v>
      </c>
      <c r="AK505" s="170">
        <f t="shared" si="261"/>
        <v>0</v>
      </c>
      <c r="AM505" s="170" t="str">
        <f t="shared" si="253"/>
        <v>1.99703612366547-0.0769348302534924i</v>
      </c>
      <c r="AN505" s="170" t="str">
        <f t="shared" si="254"/>
        <v>9.50178888969023i</v>
      </c>
      <c r="AO505" s="170" t="str">
        <f t="shared" si="255"/>
        <v>-0.00809687850852689-0.210174752022993i</v>
      </c>
      <c r="AP505" s="170" t="str">
        <f t="shared" si="256"/>
        <v>-0.166172687277578+0.0128224717089154i</v>
      </c>
      <c r="AQ505" s="170" t="str">
        <f t="shared" si="257"/>
        <v>1.16617268727758-0.0128224717089154i</v>
      </c>
      <c r="AR505" s="170" t="str">
        <f t="shared" si="258"/>
        <v>0.714216096414506+0.00785305280275969i</v>
      </c>
    </row>
    <row r="506" spans="7:44">
      <c r="G506" s="688">
        <v>66453.75</v>
      </c>
      <c r="H506" s="676">
        <f t="shared" si="250"/>
        <v>66.453749999999999</v>
      </c>
      <c r="I506" s="677">
        <f t="shared" si="230"/>
        <v>60.143835973997675</v>
      </c>
      <c r="J506" s="678">
        <f t="shared" si="231"/>
        <v>1.5541687528355634</v>
      </c>
      <c r="K506" s="678">
        <f t="shared" si="232"/>
        <v>1.0042101815131408</v>
      </c>
      <c r="L506" s="679">
        <f t="shared" si="233"/>
        <v>9.1601998136085216E-2</v>
      </c>
      <c r="M506" s="678">
        <f t="shared" si="234"/>
        <v>1.3090449846883765</v>
      </c>
      <c r="N506" s="679">
        <f t="shared" si="235"/>
        <v>-0.70143695223464864</v>
      </c>
      <c r="O506" s="677">
        <f t="shared" si="236"/>
        <v>2755772.0858573569</v>
      </c>
      <c r="P506" s="680">
        <f t="shared" si="237"/>
        <v>1.5707959639201854</v>
      </c>
      <c r="Q506" s="689">
        <f t="shared" si="259"/>
        <v>111.15397248537973</v>
      </c>
      <c r="R506" s="690">
        <f t="shared" si="260"/>
        <v>1.5617996758635628</v>
      </c>
      <c r="S506" s="677">
        <f t="shared" si="238"/>
        <v>1.027806016211402</v>
      </c>
      <c r="T506" s="680">
        <f t="shared" si="239"/>
        <v>0.23313786061671138</v>
      </c>
      <c r="U506" s="681">
        <f t="shared" si="251"/>
        <v>0.14925025316732785</v>
      </c>
      <c r="V506" s="682">
        <f t="shared" si="252"/>
        <v>-1.6180959132633621</v>
      </c>
      <c r="W506" s="683">
        <f t="shared" si="240"/>
        <v>-27.883488486181673</v>
      </c>
      <c r="X506" s="684">
        <f t="shared" si="241"/>
        <v>-230.57161099378942</v>
      </c>
      <c r="Y506" s="687">
        <f t="shared" si="242"/>
        <v>-50.57161099378942</v>
      </c>
      <c r="AA506" s="170">
        <f t="shared" si="243"/>
        <v>66453.75</v>
      </c>
      <c r="AB506" s="170">
        <f t="shared" si="244"/>
        <v>4416100889.0625</v>
      </c>
      <c r="AD506" s="686">
        <f t="shared" si="245"/>
        <v>16.980860825960708</v>
      </c>
      <c r="AE506" s="687">
        <f t="shared" si="246"/>
        <v>-13.873264810827751</v>
      </c>
      <c r="AG506" s="686">
        <f t="shared" si="247"/>
        <v>45.908862132160813</v>
      </c>
      <c r="AH506" s="687">
        <f t="shared" si="248"/>
        <v>-31.278212616373946</v>
      </c>
      <c r="AJ506" s="170">
        <f t="shared" si="249"/>
        <v>0</v>
      </c>
      <c r="AK506" s="170">
        <f t="shared" si="261"/>
        <v>0</v>
      </c>
      <c r="AM506" s="170" t="str">
        <f t="shared" si="253"/>
        <v>1.99125528240684-0.131958194518328i</v>
      </c>
      <c r="AN506" s="170" t="str">
        <f t="shared" si="254"/>
        <v>9.55712215151208i</v>
      </c>
      <c r="AO506" s="170" t="str">
        <f t="shared" si="255"/>
        <v>-0.0138073148408436-0.208353022054007i</v>
      </c>
      <c r="AP506" s="170" t="str">
        <f t="shared" si="256"/>
        <v>-0.165209213734473+0.0219930324197213i</v>
      </c>
      <c r="AQ506" s="170" t="str">
        <f t="shared" si="257"/>
        <v>1.16520921373447-0.0219930324197213i</v>
      </c>
      <c r="AR506" s="170" t="str">
        <f t="shared" si="258"/>
        <v>0.714638482489723+0.0134886225825524i</v>
      </c>
    </row>
    <row r="507" spans="7:44">
      <c r="G507" s="688">
        <v>66838.5</v>
      </c>
      <c r="H507" s="676">
        <f t="shared" si="250"/>
        <v>66.838499999999996</v>
      </c>
      <c r="I507" s="677">
        <f t="shared" si="230"/>
        <v>60.491957218231441</v>
      </c>
      <c r="J507" s="678">
        <f t="shared" si="231"/>
        <v>1.5542644505268917</v>
      </c>
      <c r="K507" s="678">
        <f t="shared" si="232"/>
        <v>1.0042589706864045</v>
      </c>
      <c r="L507" s="679">
        <f t="shared" si="233"/>
        <v>9.2129362594400577E-2</v>
      </c>
      <c r="M507" s="678">
        <f t="shared" si="234"/>
        <v>1.3122064611439483</v>
      </c>
      <c r="N507" s="679">
        <f t="shared" si="235"/>
        <v>-0.70428423124133677</v>
      </c>
      <c r="O507" s="677">
        <f t="shared" si="236"/>
        <v>2771727.2924489104</v>
      </c>
      <c r="P507" s="680">
        <f t="shared" si="237"/>
        <v>1.570795966009042</v>
      </c>
      <c r="Q507" s="689">
        <f t="shared" si="259"/>
        <v>111.79747325788486</v>
      </c>
      <c r="R507" s="690">
        <f t="shared" si="260"/>
        <v>1.5618514615301855</v>
      </c>
      <c r="S507" s="677">
        <f t="shared" si="238"/>
        <v>1.0281245102330527</v>
      </c>
      <c r="T507" s="680">
        <f t="shared" si="239"/>
        <v>0.23443888363065277</v>
      </c>
      <c r="U507" s="681">
        <f t="shared" si="251"/>
        <v>0.14822270852007824</v>
      </c>
      <c r="V507" s="682">
        <f t="shared" si="252"/>
        <v>-1.6379204313643589</v>
      </c>
      <c r="W507" s="683">
        <f t="shared" si="240"/>
        <v>-27.974946539292059</v>
      </c>
      <c r="X507" s="684">
        <f t="shared" si="241"/>
        <v>-231.91745274696422</v>
      </c>
      <c r="Y507" s="687">
        <f t="shared" si="242"/>
        <v>-51.917452746964216</v>
      </c>
      <c r="AA507" s="170">
        <f t="shared" si="243"/>
        <v>66838.5</v>
      </c>
      <c r="AB507" s="170">
        <f t="shared" si="244"/>
        <v>4467385082.25</v>
      </c>
      <c r="AD507" s="686">
        <f t="shared" si="245"/>
        <v>16.978165645408033</v>
      </c>
      <c r="AE507" s="687">
        <f t="shared" si="246"/>
        <v>-13.944840958203692</v>
      </c>
      <c r="AG507" s="686">
        <f t="shared" si="247"/>
        <v>45.940112518643737</v>
      </c>
      <c r="AH507" s="687">
        <f t="shared" si="248"/>
        <v>-30.280755783441371</v>
      </c>
      <c r="AJ507" s="170">
        <f t="shared" si="249"/>
        <v>0</v>
      </c>
      <c r="AK507" s="170">
        <f t="shared" si="261"/>
        <v>0</v>
      </c>
      <c r="AM507" s="170" t="str">
        <f t="shared" si="253"/>
        <v>1.98244021988962-0.186577636235512i</v>
      </c>
      <c r="AN507" s="170" t="str">
        <f t="shared" si="254"/>
        <v>9.61245541333394i</v>
      </c>
      <c r="AO507" s="170" t="str">
        <f t="shared" si="255"/>
        <v>-0.019409987169012-0.206236610173471i</v>
      </c>
      <c r="AP507" s="170" t="str">
        <f t="shared" si="256"/>
        <v>-0.16374003664827+0.0310962727059187i</v>
      </c>
      <c r="AQ507" s="170" t="str">
        <f t="shared" si="257"/>
        <v>1.16374003664827-0.0310962727059187i</v>
      </c>
      <c r="AR507" s="170" t="str">
        <f t="shared" si="258"/>
        <v>0.715284880850951+0.0191131120498558i</v>
      </c>
    </row>
    <row r="508" spans="7:44">
      <c r="G508" s="688">
        <v>67223.25</v>
      </c>
      <c r="H508" s="676">
        <f t="shared" si="250"/>
        <v>67.223249999999993</v>
      </c>
      <c r="I508" s="677">
        <f t="shared" si="230"/>
        <v>60.840079010113733</v>
      </c>
      <c r="J508" s="678">
        <f t="shared" si="231"/>
        <v>1.5543590530708689</v>
      </c>
      <c r="K508" s="678">
        <f t="shared" si="232"/>
        <v>1.0043080391302348</v>
      </c>
      <c r="L508" s="679">
        <f t="shared" si="233"/>
        <v>9.2656675667451643E-2</v>
      </c>
      <c r="M508" s="678">
        <f t="shared" si="234"/>
        <v>1.315378524467619</v>
      </c>
      <c r="N508" s="679">
        <f t="shared" si="235"/>
        <v>-0.70711780057974538</v>
      </c>
      <c r="O508" s="677">
        <f t="shared" si="236"/>
        <v>2787682.4990404644</v>
      </c>
      <c r="P508" s="680">
        <f t="shared" si="237"/>
        <v>1.5707959680739876</v>
      </c>
      <c r="Q508" s="689">
        <f t="shared" si="259"/>
        <v>112.44097432677178</v>
      </c>
      <c r="R508" s="690">
        <f t="shared" si="260"/>
        <v>1.5619026544569397</v>
      </c>
      <c r="S508" s="677">
        <f t="shared" si="238"/>
        <v>1.028444743441258</v>
      </c>
      <c r="T508" s="680">
        <f t="shared" si="239"/>
        <v>0.23573909862909365</v>
      </c>
      <c r="U508" s="681">
        <f t="shared" si="251"/>
        <v>0.14714836149320509</v>
      </c>
      <c r="V508" s="682">
        <f t="shared" si="252"/>
        <v>-1.6577953521640409</v>
      </c>
      <c r="W508" s="683">
        <f t="shared" si="240"/>
        <v>-28.069288565497246</v>
      </c>
      <c r="X508" s="684">
        <f t="shared" si="241"/>
        <v>-233.26532471700367</v>
      </c>
      <c r="Y508" s="687">
        <f t="shared" si="242"/>
        <v>-53.265324717003665</v>
      </c>
      <c r="AA508" s="170">
        <f t="shared" si="243"/>
        <v>67223.25</v>
      </c>
      <c r="AB508" s="170">
        <f t="shared" si="244"/>
        <v>4518965340.5625</v>
      </c>
      <c r="AD508" s="686">
        <f t="shared" si="245"/>
        <v>16.975456678895004</v>
      </c>
      <c r="AE508" s="687">
        <f t="shared" si="246"/>
        <v>-14.016404769824467</v>
      </c>
      <c r="AG508" s="686">
        <f t="shared" si="247"/>
        <v>45.974852036473223</v>
      </c>
      <c r="AH508" s="687">
        <f t="shared" si="248"/>
        <v>-29.279565779300473</v>
      </c>
      <c r="AJ508" s="170">
        <f t="shared" si="249"/>
        <v>0</v>
      </c>
      <c r="AK508" s="170">
        <f t="shared" si="261"/>
        <v>0</v>
      </c>
      <c r="AM508" s="170" t="str">
        <f t="shared" si="253"/>
        <v>1.97061791892093-0.240625965908916i</v>
      </c>
      <c r="AN508" s="170" t="str">
        <f t="shared" si="254"/>
        <v>9.6677886751558i</v>
      </c>
      <c r="AO508" s="170" t="str">
        <f t="shared" si="255"/>
        <v>-0.024889452386074-0.203833367188198i</v>
      </c>
      <c r="AP508" s="170" t="str">
        <f t="shared" si="256"/>
        <v>-0.161769653153489+0.040104327651486i</v>
      </c>
      <c r="AQ508" s="170" t="str">
        <f t="shared" si="257"/>
        <v>1.16176965315349-0.040104327651486i</v>
      </c>
      <c r="AR508" s="170" t="str">
        <f t="shared" si="258"/>
        <v>0.716156209726537+0.0247217365392181i</v>
      </c>
    </row>
    <row r="509" spans="7:44">
      <c r="G509" s="688">
        <v>67608</v>
      </c>
      <c r="H509" s="676">
        <f t="shared" si="250"/>
        <v>67.608000000000004</v>
      </c>
      <c r="I509" s="677">
        <f t="shared" si="230"/>
        <v>61.188201340297219</v>
      </c>
      <c r="J509" s="678">
        <f t="shared" si="231"/>
        <v>1.5544525791578834</v>
      </c>
      <c r="K509" s="678">
        <f t="shared" si="232"/>
        <v>1.0043573868036997</v>
      </c>
      <c r="L509" s="679">
        <f t="shared" si="233"/>
        <v>9.3183937069543005E-2</v>
      </c>
      <c r="M509" s="678">
        <f t="shared" si="234"/>
        <v>1.3185610982528833</v>
      </c>
      <c r="N509" s="679">
        <f t="shared" si="235"/>
        <v>-0.70993771385569604</v>
      </c>
      <c r="O509" s="677">
        <f t="shared" si="236"/>
        <v>2803637.7056320184</v>
      </c>
      <c r="P509" s="680">
        <f t="shared" si="237"/>
        <v>1.5707959701154306</v>
      </c>
      <c r="Q509" s="689">
        <f t="shared" si="259"/>
        <v>113.08447568698088</v>
      </c>
      <c r="R509" s="690">
        <f t="shared" si="260"/>
        <v>1.5619532647624212</v>
      </c>
      <c r="S509" s="677">
        <f t="shared" si="238"/>
        <v>1.0287667142119021</v>
      </c>
      <c r="T509" s="680">
        <f t="shared" si="239"/>
        <v>0.23703850197246842</v>
      </c>
      <c r="U509" s="681">
        <f t="shared" si="251"/>
        <v>0.14602742508183567</v>
      </c>
      <c r="V509" s="682">
        <f t="shared" si="252"/>
        <v>-1.677735656061677</v>
      </c>
      <c r="W509" s="683">
        <f t="shared" si="240"/>
        <v>-28.166572702942275</v>
      </c>
      <c r="X509" s="684">
        <f t="shared" si="241"/>
        <v>-234.61608858793781</v>
      </c>
      <c r="Y509" s="687">
        <f t="shared" si="242"/>
        <v>-54.61608858793781</v>
      </c>
      <c r="AA509" s="170">
        <f t="shared" si="243"/>
        <v>67608</v>
      </c>
      <c r="AB509" s="170">
        <f t="shared" si="244"/>
        <v>4570841664</v>
      </c>
      <c r="AD509" s="686">
        <f t="shared" si="245"/>
        <v>16.972733951766621</v>
      </c>
      <c r="AE509" s="687">
        <f t="shared" si="246"/>
        <v>-14.087955457428887</v>
      </c>
      <c r="AG509" s="686">
        <f t="shared" si="247"/>
        <v>46.01313075621556</v>
      </c>
      <c r="AH509" s="687">
        <f t="shared" si="248"/>
        <v>-28.273788448933598</v>
      </c>
      <c r="AJ509" s="170">
        <f t="shared" si="249"/>
        <v>0</v>
      </c>
      <c r="AK509" s="170">
        <f t="shared" si="261"/>
        <v>0</v>
      </c>
      <c r="AM509" s="170" t="str">
        <f t="shared" si="253"/>
        <v>1.95582456743092-0.293937742209959i</v>
      </c>
      <c r="AN509" s="170" t="str">
        <f t="shared" si="254"/>
        <v>9.72312193697766i</v>
      </c>
      <c r="AO509" s="170" t="str">
        <f t="shared" si="255"/>
        <v>-0.0302307987203261-0.20115191191759i</v>
      </c>
      <c r="AP509" s="170" t="str">
        <f t="shared" si="256"/>
        <v>-0.159304094571821+0.0489896237016598i</v>
      </c>
      <c r="AQ509" s="170" t="str">
        <f t="shared" si="257"/>
        <v>1.15930409457182-0.0489896237016598i</v>
      </c>
      <c r="AR509" s="170" t="str">
        <f t="shared" si="258"/>
        <v>0.717253695822789+0.0303095527924976i</v>
      </c>
    </row>
    <row r="510" spans="7:44">
      <c r="G510" s="688">
        <v>68001.75</v>
      </c>
      <c r="H510" s="676">
        <f t="shared" si="250"/>
        <v>68.001750000000001</v>
      </c>
      <c r="I510" s="677">
        <f t="shared" si="230"/>
        <v>61.544467430687547</v>
      </c>
      <c r="J510" s="678">
        <f t="shared" si="231"/>
        <v>1.5545471975261742</v>
      </c>
      <c r="K510" s="678">
        <f t="shared" si="232"/>
        <v>1.0044081778693215</v>
      </c>
      <c r="L510" s="679">
        <f t="shared" si="233"/>
        <v>9.372347827564588E-2</v>
      </c>
      <c r="M510" s="678">
        <f t="shared" si="234"/>
        <v>1.3218289211165746</v>
      </c>
      <c r="N510" s="679">
        <f t="shared" si="235"/>
        <v>-0.71280950736148641</v>
      </c>
      <c r="O510" s="677">
        <f t="shared" si="236"/>
        <v>2819966.1334303925</v>
      </c>
      <c r="P510" s="680">
        <f t="shared" si="237"/>
        <v>1.5707959721807088</v>
      </c>
      <c r="Q510" s="689">
        <f t="shared" si="259"/>
        <v>113.74303000705113</v>
      </c>
      <c r="R510" s="690">
        <f t="shared" si="260"/>
        <v>1.5620044660289507</v>
      </c>
      <c r="S510" s="677">
        <f t="shared" si="238"/>
        <v>1.0290980137657133</v>
      </c>
      <c r="T510" s="680">
        <f t="shared" si="239"/>
        <v>0.23836745657806416</v>
      </c>
      <c r="U510" s="681">
        <f t="shared" si="251"/>
        <v>0.14483208848149201</v>
      </c>
      <c r="V510" s="682">
        <f t="shared" si="252"/>
        <v>-1.6982258221463225</v>
      </c>
      <c r="W510" s="683">
        <f t="shared" si="240"/>
        <v>-28.269253571487031</v>
      </c>
      <c r="X510" s="684">
        <f t="shared" si="241"/>
        <v>-236.00234806631235</v>
      </c>
      <c r="Y510" s="687">
        <f t="shared" si="242"/>
        <v>-56.002348066312351</v>
      </c>
      <c r="AA510" s="170">
        <f t="shared" si="243"/>
        <v>68001.75</v>
      </c>
      <c r="AB510" s="170">
        <f t="shared" si="244"/>
        <v>4624238003.0625</v>
      </c>
      <c r="AD510" s="686">
        <f t="shared" si="245"/>
        <v>16.969933314500896</v>
      </c>
      <c r="AE510" s="687">
        <f t="shared" si="246"/>
        <v>-14.16116544943152</v>
      </c>
      <c r="AG510" s="686">
        <f t="shared" si="247"/>
        <v>46.056035887065782</v>
      </c>
      <c r="AH510" s="687">
        <f t="shared" si="248"/>
        <v>-27.238837856277961</v>
      </c>
      <c r="AJ510" s="170">
        <f t="shared" si="249"/>
        <v>0</v>
      </c>
      <c r="AK510" s="170">
        <f t="shared" si="261"/>
        <v>0</v>
      </c>
      <c r="AM510" s="170" t="str">
        <f t="shared" si="253"/>
        <v>1.93765636579942-0.347563720310139i</v>
      </c>
      <c r="AN510" s="170" t="str">
        <f t="shared" si="254"/>
        <v>9.77974954410529i</v>
      </c>
      <c r="AO510" s="170" t="str">
        <f t="shared" si="255"/>
        <v>-0.0355391228315895-0.198129446675588i</v>
      </c>
      <c r="AP510" s="170" t="str">
        <f t="shared" si="256"/>
        <v>-0.15627606096657+0.0579272867183565i</v>
      </c>
      <c r="AQ510" s="170" t="str">
        <f t="shared" si="257"/>
        <v>1.15627606096657-0.0579272867183565i</v>
      </c>
      <c r="AR510" s="170" t="str">
        <f t="shared" si="258"/>
        <v>0.718612603503727+0.0360011590033157i</v>
      </c>
    </row>
    <row r="511" spans="7:44">
      <c r="G511" s="688">
        <v>68395.5</v>
      </c>
      <c r="H511" s="676">
        <f t="shared" si="250"/>
        <v>68.395499999999998</v>
      </c>
      <c r="I511" s="677">
        <f t="shared" si="230"/>
        <v>61.900734065720734</v>
      </c>
      <c r="J511" s="678">
        <f t="shared" si="231"/>
        <v>1.5546407267525502</v>
      </c>
      <c r="K511" s="678">
        <f t="shared" si="232"/>
        <v>1.0044592612932786</v>
      </c>
      <c r="L511" s="679">
        <f t="shared" si="233"/>
        <v>9.4262964760275764E-2</v>
      </c>
      <c r="M511" s="678">
        <f t="shared" si="234"/>
        <v>1.3251075915453263</v>
      </c>
      <c r="N511" s="679">
        <f t="shared" si="235"/>
        <v>-0.71566711316784493</v>
      </c>
      <c r="O511" s="677">
        <f t="shared" si="236"/>
        <v>2836294.5612287661</v>
      </c>
      <c r="P511" s="680">
        <f t="shared" si="237"/>
        <v>1.5707959742222077</v>
      </c>
      <c r="Q511" s="689">
        <f t="shared" si="259"/>
        <v>114.40158462187364</v>
      </c>
      <c r="R511" s="690">
        <f t="shared" si="260"/>
        <v>1.5620550778137356</v>
      </c>
      <c r="S511" s="677">
        <f t="shared" si="238"/>
        <v>1.0294311296587393</v>
      </c>
      <c r="T511" s="680">
        <f t="shared" si="239"/>
        <v>0.23969555344926466</v>
      </c>
      <c r="U511" s="681">
        <f t="shared" si="251"/>
        <v>0.14358790790282519</v>
      </c>
      <c r="V511" s="682">
        <f t="shared" si="252"/>
        <v>-1.7188165269267257</v>
      </c>
      <c r="W511" s="683">
        <f t="shared" si="240"/>
        <v>-28.375183111160794</v>
      </c>
      <c r="X511" s="684">
        <f t="shared" si="241"/>
        <v>-237.39348045330595</v>
      </c>
      <c r="Y511" s="687">
        <f t="shared" si="242"/>
        <v>-57.393480453305955</v>
      </c>
      <c r="AA511" s="170">
        <f t="shared" si="243"/>
        <v>68395.5</v>
      </c>
      <c r="AB511" s="170">
        <f t="shared" si="244"/>
        <v>4677944420.25</v>
      </c>
      <c r="AD511" s="686">
        <f t="shared" si="245"/>
        <v>16.967118319481862</v>
      </c>
      <c r="AE511" s="687">
        <f t="shared" si="246"/>
        <v>-14.234360070326941</v>
      </c>
      <c r="AG511" s="686">
        <f t="shared" si="247"/>
        <v>46.102798360176166</v>
      </c>
      <c r="AH511" s="687">
        <f t="shared" si="248"/>
        <v>-26.19725465744607</v>
      </c>
      <c r="AJ511" s="170">
        <f t="shared" si="249"/>
        <v>0</v>
      </c>
      <c r="AK511" s="170">
        <f t="shared" si="261"/>
        <v>0</v>
      </c>
      <c r="AM511" s="170" t="str">
        <f t="shared" si="253"/>
        <v>1.91648219812552-0.400075468529388i</v>
      </c>
      <c r="AN511" s="170" t="str">
        <f t="shared" si="254"/>
        <v>9.83637715123292i</v>
      </c>
      <c r="AO511" s="170" t="str">
        <f t="shared" si="255"/>
        <v>-0.0406730508985456-0.194836184975411i</v>
      </c>
      <c r="AP511" s="170" t="str">
        <f t="shared" si="256"/>
        <v>-0.15274703302092+0.066679244754898i</v>
      </c>
      <c r="AQ511" s="170" t="str">
        <f t="shared" si="257"/>
        <v>1.15274703302092-0.066679244754898i</v>
      </c>
      <c r="AR511" s="170" t="str">
        <f t="shared" si="258"/>
        <v>0.720211922990507+0.0416597793903047i</v>
      </c>
    </row>
    <row r="512" spans="7:44">
      <c r="G512" s="688">
        <v>68789.25</v>
      </c>
      <c r="H512" s="676">
        <f t="shared" si="250"/>
        <v>68.789249999999996</v>
      </c>
      <c r="I512" s="677">
        <f t="shared" si="230"/>
        <v>62.257001236046605</v>
      </c>
      <c r="J512" s="678">
        <f t="shared" si="231"/>
        <v>1.5547331855332822</v>
      </c>
      <c r="K512" s="678">
        <f t="shared" si="232"/>
        <v>1.004510637030968</v>
      </c>
      <c r="L512" s="679">
        <f t="shared" si="233"/>
        <v>9.4802396217774795E-2</v>
      </c>
      <c r="M512" s="678">
        <f t="shared" si="234"/>
        <v>1.3283970292191987</v>
      </c>
      <c r="N512" s="679">
        <f t="shared" si="235"/>
        <v>-0.71851058982896387</v>
      </c>
      <c r="O512" s="677">
        <f t="shared" si="236"/>
        <v>2852622.9890271402</v>
      </c>
      <c r="P512" s="680">
        <f t="shared" si="237"/>
        <v>1.5707959762403354</v>
      </c>
      <c r="Q512" s="689">
        <f t="shared" si="259"/>
        <v>115.06013952638732</v>
      </c>
      <c r="R512" s="690">
        <f t="shared" si="260"/>
        <v>1.5621051102383368</v>
      </c>
      <c r="S512" s="677">
        <f t="shared" si="238"/>
        <v>1.0297660601282941</v>
      </c>
      <c r="T512" s="680">
        <f t="shared" si="239"/>
        <v>0.24102278873564564</v>
      </c>
      <c r="U512" s="681">
        <f t="shared" si="251"/>
        <v>0.14229460932607371</v>
      </c>
      <c r="V512" s="682">
        <f t="shared" si="252"/>
        <v>-1.7395241885577495</v>
      </c>
      <c r="W512" s="683">
        <f t="shared" si="240"/>
        <v>-28.484469490531794</v>
      </c>
      <c r="X512" s="684">
        <f t="shared" si="241"/>
        <v>-238.79043008302673</v>
      </c>
      <c r="Y512" s="687">
        <f t="shared" si="242"/>
        <v>-58.790430083026735</v>
      </c>
      <c r="AA512" s="170">
        <f t="shared" si="243"/>
        <v>68789.25</v>
      </c>
      <c r="AB512" s="170">
        <f t="shared" si="244"/>
        <v>4731960915.5625</v>
      </c>
      <c r="AD512" s="686">
        <f t="shared" si="245"/>
        <v>16.964288994329348</v>
      </c>
      <c r="AE512" s="687">
        <f t="shared" si="246"/>
        <v>-14.307538519602771</v>
      </c>
      <c r="AG512" s="686">
        <f t="shared" si="247"/>
        <v>46.153518113399869</v>
      </c>
      <c r="AH512" s="687">
        <f t="shared" si="248"/>
        <v>-25.148102605094241</v>
      </c>
      <c r="AJ512" s="170">
        <f t="shared" si="249"/>
        <v>0</v>
      </c>
      <c r="AK512" s="170">
        <f t="shared" si="261"/>
        <v>0</v>
      </c>
      <c r="AM512" s="170" t="str">
        <f t="shared" si="253"/>
        <v>1.89236994517166-0.451304643178341i</v>
      </c>
      <c r="AN512" s="170" t="str">
        <f t="shared" si="254"/>
        <v>9.89300475836055i</v>
      </c>
      <c r="AO512" s="170" t="str">
        <f t="shared" si="255"/>
        <v>-0.0456185612158879-0.191283638428701i</v>
      </c>
      <c r="AP512" s="170" t="str">
        <f t="shared" si="256"/>
        <v>-0.148728324195277+0.0752174405297235i</v>
      </c>
      <c r="AQ512" s="170" t="str">
        <f t="shared" si="257"/>
        <v>1.14872832419528-0.0752174405297235i</v>
      </c>
      <c r="AR512" s="170" t="str">
        <f t="shared" si="258"/>
        <v>0.722053906206869+0.0472792788385507i</v>
      </c>
    </row>
    <row r="513" spans="7:44">
      <c r="G513" s="688">
        <v>69183</v>
      </c>
      <c r="H513" s="676">
        <f t="shared" si="250"/>
        <v>69.183000000000007</v>
      </c>
      <c r="I513" s="677">
        <f t="shared" si="230"/>
        <v>62.613268932527774</v>
      </c>
      <c r="J513" s="678">
        <f t="shared" si="231"/>
        <v>1.5548245921391908</v>
      </c>
      <c r="K513" s="678">
        <f t="shared" si="232"/>
        <v>1.0045623050375412</v>
      </c>
      <c r="L513" s="679">
        <f t="shared" si="233"/>
        <v>9.5341772342675463E-2</v>
      </c>
      <c r="M513" s="678">
        <f t="shared" si="234"/>
        <v>1.3316971543493736</v>
      </c>
      <c r="N513" s="679">
        <f t="shared" si="235"/>
        <v>-0.7213399962353676</v>
      </c>
      <c r="O513" s="677">
        <f t="shared" si="236"/>
        <v>2868951.4168255143</v>
      </c>
      <c r="P513" s="680">
        <f t="shared" si="237"/>
        <v>1.5707959782354912</v>
      </c>
      <c r="Q513" s="689">
        <f t="shared" si="259"/>
        <v>115.71869471564627</v>
      </c>
      <c r="R513" s="690">
        <f t="shared" si="260"/>
        <v>1.5621545731939193</v>
      </c>
      <c r="S513" s="677">
        <f t="shared" si="238"/>
        <v>1.0301028034043884</v>
      </c>
      <c r="T513" s="680">
        <f t="shared" si="239"/>
        <v>0.24234915860391867</v>
      </c>
      <c r="U513" s="681">
        <f t="shared" si="251"/>
        <v>0.14095175440809637</v>
      </c>
      <c r="V513" s="682">
        <f t="shared" si="252"/>
        <v>-1.7603653880116366</v>
      </c>
      <c r="W513" s="683">
        <f t="shared" si="240"/>
        <v>-28.597237680777219</v>
      </c>
      <c r="X513" s="684">
        <f t="shared" si="241"/>
        <v>-240.19415062739651</v>
      </c>
      <c r="Y513" s="687">
        <f t="shared" si="242"/>
        <v>-60.19415062739651</v>
      </c>
      <c r="AA513" s="170">
        <f t="shared" si="243"/>
        <v>69183</v>
      </c>
      <c r="AB513" s="170">
        <f t="shared" si="244"/>
        <v>4786287489</v>
      </c>
      <c r="AD513" s="686">
        <f t="shared" si="245"/>
        <v>16.96144536681139</v>
      </c>
      <c r="AE513" s="687">
        <f t="shared" si="246"/>
        <v>-14.380700010928626</v>
      </c>
      <c r="AG513" s="686">
        <f t="shared" si="247"/>
        <v>46.208312021940458</v>
      </c>
      <c r="AH513" s="687">
        <f t="shared" si="248"/>
        <v>-24.090436118013049</v>
      </c>
      <c r="AJ513" s="170">
        <f t="shared" si="249"/>
        <v>0</v>
      </c>
      <c r="AK513" s="170">
        <f t="shared" si="261"/>
        <v>0</v>
      </c>
      <c r="AM513" s="170" t="str">
        <f t="shared" si="253"/>
        <v>1.86539690669947-0.501087012279289i</v>
      </c>
      <c r="AN513" s="170" t="str">
        <f t="shared" si="254"/>
        <v>9.94963236548819i</v>
      </c>
      <c r="AO513" s="170" t="str">
        <f t="shared" si="255"/>
        <v>-0.0503623645449841-0.187484003245173i</v>
      </c>
      <c r="AP513" s="170" t="str">
        <f t="shared" si="256"/>
        <v>-0.144232817783245+0.0835145020465482i</v>
      </c>
      <c r="AQ513" s="170" t="str">
        <f t="shared" si="257"/>
        <v>1.14423281778325-0.0835145020465482i</v>
      </c>
      <c r="AR513" s="170" t="str">
        <f t="shared" si="258"/>
        <v>0.724141087849182+0.0528531269364677i</v>
      </c>
    </row>
    <row r="514" spans="7:44">
      <c r="G514" s="688">
        <v>69586</v>
      </c>
      <c r="H514" s="676">
        <f t="shared" si="250"/>
        <v>69.585999999999999</v>
      </c>
      <c r="I514" s="677">
        <f t="shared" si="230"/>
        <v>62.977906627877083</v>
      </c>
      <c r="J514" s="678">
        <f t="shared" si="231"/>
        <v>1.5549170751670087</v>
      </c>
      <c r="K514" s="678">
        <f t="shared" si="232"/>
        <v>1.0046154894336723</v>
      </c>
      <c r="L514" s="679">
        <f t="shared" si="233"/>
        <v>9.589376190947442E-2</v>
      </c>
      <c r="M514" s="678">
        <f t="shared" si="234"/>
        <v>1.3350857905275997</v>
      </c>
      <c r="N514" s="679">
        <f t="shared" si="235"/>
        <v>-0.72422136308559082</v>
      </c>
      <c r="O514" s="677">
        <f t="shared" si="236"/>
        <v>2885663.4330864535</v>
      </c>
      <c r="P514" s="680">
        <f t="shared" si="237"/>
        <v>1.5707959802541362</v>
      </c>
      <c r="Q514" s="689">
        <f t="shared" si="259"/>
        <v>116.39272101503789</v>
      </c>
      <c r="R514" s="690">
        <f t="shared" si="260"/>
        <v>1.5622046185308958</v>
      </c>
      <c r="S514" s="677">
        <f t="shared" si="238"/>
        <v>1.030449332806695</v>
      </c>
      <c r="T514" s="680">
        <f t="shared" si="239"/>
        <v>0.24370578750228003</v>
      </c>
      <c r="U514" s="681">
        <f t="shared" si="251"/>
        <v>0.13952540890870152</v>
      </c>
      <c r="V514" s="682">
        <f t="shared" si="252"/>
        <v>-1.7818519651948779</v>
      </c>
      <c r="W514" s="683">
        <f t="shared" si="240"/>
        <v>-28.716409497174602</v>
      </c>
      <c r="X514" s="684">
        <f t="shared" si="241"/>
        <v>-241.63886503154194</v>
      </c>
      <c r="Y514" s="687">
        <f t="shared" si="242"/>
        <v>-61.63886503154194</v>
      </c>
      <c r="AA514" s="170">
        <f t="shared" si="243"/>
        <v>69586</v>
      </c>
      <c r="AB514" s="170">
        <f t="shared" si="244"/>
        <v>4842211396</v>
      </c>
      <c r="AD514" s="686">
        <f t="shared" si="245"/>
        <v>16.958520155447513</v>
      </c>
      <c r="AE514" s="687">
        <f t="shared" si="246"/>
        <v>-14.455561850322544</v>
      </c>
      <c r="AG514" s="686">
        <f t="shared" si="247"/>
        <v>46.268752691534047</v>
      </c>
      <c r="AH514" s="687">
        <f t="shared" si="248"/>
        <v>-22.998108302387486</v>
      </c>
      <c r="AJ514" s="170">
        <f t="shared" si="249"/>
        <v>0</v>
      </c>
      <c r="AK514" s="170">
        <f t="shared" si="261"/>
        <v>0</v>
      </c>
      <c r="AM514" s="170" t="str">
        <f t="shared" si="253"/>
        <v>1.83491813026899-0.55037415977508i</v>
      </c>
      <c r="AN514" s="170" t="str">
        <f t="shared" si="254"/>
        <v>10.0075902719579i</v>
      </c>
      <c r="AO514" s="170" t="str">
        <f t="shared" si="255"/>
        <v>-0.0549956727662277-0.18335264338415i</v>
      </c>
      <c r="AP514" s="170" t="str">
        <f t="shared" si="256"/>
        <v>-0.139153021711499+0.09172902662918i</v>
      </c>
      <c r="AQ514" s="170" t="str">
        <f t="shared" si="257"/>
        <v>1.1391530217115-0.09172902662918i</v>
      </c>
      <c r="AR514" s="170" t="str">
        <f t="shared" si="258"/>
        <v>0.726534125668346+0.0585033501998803i</v>
      </c>
    </row>
    <row r="515" spans="7:44">
      <c r="G515" s="688">
        <v>69989</v>
      </c>
      <c r="H515" s="676">
        <f t="shared" si="250"/>
        <v>69.989000000000004</v>
      </c>
      <c r="I515" s="677">
        <f t="shared" si="230"/>
        <v>63.342544855681716</v>
      </c>
      <c r="J515" s="678">
        <f t="shared" si="231"/>
        <v>1.5550084934184456</v>
      </c>
      <c r="K515" s="678">
        <f t="shared" si="232"/>
        <v>1.0046689798961279</v>
      </c>
      <c r="L515" s="679">
        <f t="shared" si="233"/>
        <v>9.6445692866506255E-2</v>
      </c>
      <c r="M515" s="678">
        <f t="shared" si="234"/>
        <v>1.3384854547777196</v>
      </c>
      <c r="N515" s="679">
        <f t="shared" si="235"/>
        <v>-0.72708811667462958</v>
      </c>
      <c r="O515" s="677">
        <f t="shared" si="236"/>
        <v>2902375.4493473927</v>
      </c>
      <c r="P515" s="680">
        <f t="shared" si="237"/>
        <v>1.5707959822495345</v>
      </c>
      <c r="Q515" s="689">
        <f t="shared" si="259"/>
        <v>117.06674760258242</v>
      </c>
      <c r="R515" s="690">
        <f t="shared" si="260"/>
        <v>1.562254087583296</v>
      </c>
      <c r="S515" s="677">
        <f t="shared" si="238"/>
        <v>1.0307977574140612</v>
      </c>
      <c r="T515" s="680">
        <f t="shared" si="239"/>
        <v>0.24506150177382588</v>
      </c>
      <c r="U515" s="681">
        <f t="shared" si="251"/>
        <v>0.1380457033074462</v>
      </c>
      <c r="V515" s="682">
        <f t="shared" si="252"/>
        <v>-1.8035141744546066</v>
      </c>
      <c r="W515" s="683">
        <f t="shared" si="240"/>
        <v>-28.839551462279246</v>
      </c>
      <c r="X515" s="684">
        <f t="shared" si="241"/>
        <v>-243.09272809822212</v>
      </c>
      <c r="Y515" s="687">
        <f t="shared" si="242"/>
        <v>-63.092728098222125</v>
      </c>
      <c r="AA515" s="170">
        <f t="shared" si="243"/>
        <v>69989</v>
      </c>
      <c r="AB515" s="170">
        <f t="shared" si="244"/>
        <v>4898460121</v>
      </c>
      <c r="AD515" s="686">
        <f t="shared" si="245"/>
        <v>16.955580021165527</v>
      </c>
      <c r="AE515" s="687">
        <f t="shared" si="246"/>
        <v>-14.53040430280214</v>
      </c>
      <c r="AG515" s="686">
        <f t="shared" si="247"/>
        <v>46.333767271730707</v>
      </c>
      <c r="AH515" s="687">
        <f t="shared" si="248"/>
        <v>-21.894822582728288</v>
      </c>
      <c r="AJ515" s="170">
        <f t="shared" si="249"/>
        <v>0</v>
      </c>
      <c r="AK515" s="170">
        <f t="shared" si="261"/>
        <v>0</v>
      </c>
      <c r="AM515" s="170" t="str">
        <f t="shared" si="253"/>
        <v>1.80163554953976-0.597813052478854i</v>
      </c>
      <c r="AN515" s="170" t="str">
        <f t="shared" si="254"/>
        <v>10.0655481784275i</v>
      </c>
      <c r="AO515" s="170" t="str">
        <f t="shared" si="255"/>
        <v>-0.0593920014967578-0.17899030610186i</v>
      </c>
      <c r="AP515" s="170" t="str">
        <f t="shared" si="256"/>
        <v>-0.133605924923294+0.0996355087464757i</v>
      </c>
      <c r="AQ515" s="170" t="str">
        <f t="shared" si="257"/>
        <v>1.13360592492329-0.0996355087464757i</v>
      </c>
      <c r="AR515" s="170" t="str">
        <f t="shared" si="258"/>
        <v>0.729190192197444+0.0640903811238011i</v>
      </c>
    </row>
    <row r="516" spans="7:44">
      <c r="G516" s="688">
        <v>70392</v>
      </c>
      <c r="H516" s="676">
        <f t="shared" si="250"/>
        <v>70.391999999999996</v>
      </c>
      <c r="I516" s="677">
        <f t="shared" si="230"/>
        <v>63.707183606798893</v>
      </c>
      <c r="J516" s="678">
        <f t="shared" si="231"/>
        <v>1.5550988651752389</v>
      </c>
      <c r="K516" s="678">
        <f t="shared" si="232"/>
        <v>1.0047227763760236</v>
      </c>
      <c r="L516" s="679">
        <f t="shared" si="233"/>
        <v>9.6997564886891915E-2</v>
      </c>
      <c r="M516" s="678">
        <f t="shared" si="234"/>
        <v>1.3418960632816008</v>
      </c>
      <c r="N516" s="679">
        <f t="shared" si="235"/>
        <v>-0.72994032112870133</v>
      </c>
      <c r="O516" s="677">
        <f t="shared" si="236"/>
        <v>2919087.4656083314</v>
      </c>
      <c r="P516" s="680">
        <f t="shared" si="237"/>
        <v>1.5707959842220851</v>
      </c>
      <c r="Q516" s="689">
        <f t="shared" si="259"/>
        <v>117.74077447333114</v>
      </c>
      <c r="R516" s="690">
        <f t="shared" si="260"/>
        <v>1.5623029902479897</v>
      </c>
      <c r="S516" s="677">
        <f t="shared" si="238"/>
        <v>1.0311480753053188</v>
      </c>
      <c r="T516" s="680">
        <f t="shared" si="239"/>
        <v>0.2464162973647476</v>
      </c>
      <c r="U516" s="681">
        <f t="shared" si="251"/>
        <v>0.13651164507160138</v>
      </c>
      <c r="V516" s="682">
        <f t="shared" si="252"/>
        <v>-1.8253704359608889</v>
      </c>
      <c r="W516" s="683">
        <f t="shared" si="240"/>
        <v>-28.966858785499682</v>
      </c>
      <c r="X516" s="684">
        <f t="shared" si="241"/>
        <v>-244.55679916650567</v>
      </c>
      <c r="Y516" s="687">
        <f t="shared" si="242"/>
        <v>-64.55679916650567</v>
      </c>
      <c r="AA516" s="170">
        <f t="shared" si="243"/>
        <v>70392</v>
      </c>
      <c r="AB516" s="170">
        <f t="shared" si="244"/>
        <v>4955033664</v>
      </c>
      <c r="AD516" s="686">
        <f t="shared" si="245"/>
        <v>16.95262499420355</v>
      </c>
      <c r="AE516" s="687">
        <f t="shared" si="246"/>
        <v>-14.605226569075324</v>
      </c>
      <c r="AG516" s="686">
        <f t="shared" si="247"/>
        <v>46.403542712742116</v>
      </c>
      <c r="AH516" s="687">
        <f t="shared" si="248"/>
        <v>-20.779528301388368</v>
      </c>
      <c r="AJ516" s="170">
        <f t="shared" si="249"/>
        <v>0</v>
      </c>
      <c r="AK516" s="170">
        <f t="shared" si="261"/>
        <v>0</v>
      </c>
      <c r="AM516" s="170" t="str">
        <f t="shared" si="253"/>
        <v>1.76566093336604-0.643244382110758i</v>
      </c>
      <c r="AN516" s="170" t="str">
        <f t="shared" si="254"/>
        <v>10.1235060848972i</v>
      </c>
      <c r="AO516" s="170" t="str">
        <f t="shared" si="255"/>
        <v>-0.063539684444936-0.174411999020789i</v>
      </c>
      <c r="AP516" s="170" t="str">
        <f t="shared" si="256"/>
        <v>-0.127610155561006+0.10720739701846i</v>
      </c>
      <c r="AQ516" s="170" t="str">
        <f t="shared" si="257"/>
        <v>1.12761015556101-0.10720739701846i</v>
      </c>
      <c r="AR516" s="170" t="str">
        <f t="shared" si="258"/>
        <v>0.732112750368781+0.0696055298047694i</v>
      </c>
    </row>
    <row r="517" spans="7:44">
      <c r="G517" s="688">
        <v>70795</v>
      </c>
      <c r="H517" s="676">
        <f t="shared" si="250"/>
        <v>70.795000000000002</v>
      </c>
      <c r="I517" s="677">
        <f t="shared" si="230"/>
        <v>64.07182287229395</v>
      </c>
      <c r="J517" s="678">
        <f t="shared" si="231"/>
        <v>1.5551882083030222</v>
      </c>
      <c r="K517" s="678">
        <f t="shared" si="232"/>
        <v>1.0047768788242066</v>
      </c>
      <c r="L517" s="679">
        <f t="shared" si="233"/>
        <v>9.7549377643965748E-2</v>
      </c>
      <c r="M517" s="678">
        <f t="shared" si="234"/>
        <v>1.3453175328026181</v>
      </c>
      <c r="N517" s="679">
        <f t="shared" si="235"/>
        <v>-0.73277804087166387</v>
      </c>
      <c r="O517" s="677">
        <f t="shared" si="236"/>
        <v>2935799.4818692706</v>
      </c>
      <c r="P517" s="680">
        <f t="shared" si="237"/>
        <v>1.5707959861721783</v>
      </c>
      <c r="Q517" s="689">
        <f t="shared" si="259"/>
        <v>118.41480162244798</v>
      </c>
      <c r="R517" s="690">
        <f t="shared" si="260"/>
        <v>1.5623513361965222</v>
      </c>
      <c r="S517" s="677">
        <f t="shared" si="238"/>
        <v>1.0315002845514782</v>
      </c>
      <c r="T517" s="680">
        <f t="shared" si="239"/>
        <v>0.24777017024021866</v>
      </c>
      <c r="U517" s="681">
        <f t="shared" si="251"/>
        <v>0.13492206906170243</v>
      </c>
      <c r="V517" s="682">
        <f t="shared" si="252"/>
        <v>-1.8474394170795279</v>
      </c>
      <c r="W517" s="683">
        <f t="shared" si="240"/>
        <v>-29.098550135349672</v>
      </c>
      <c r="X517" s="684">
        <f t="shared" si="241"/>
        <v>-246.03215174593117</v>
      </c>
      <c r="Y517" s="687">
        <f t="shared" si="242"/>
        <v>-66.032151745931174</v>
      </c>
      <c r="AA517" s="170">
        <f t="shared" si="243"/>
        <v>70795</v>
      </c>
      <c r="AB517" s="170">
        <f t="shared" si="244"/>
        <v>5011932025</v>
      </c>
      <c r="AD517" s="686">
        <f t="shared" si="245"/>
        <v>16.949655104952033</v>
      </c>
      <c r="AE517" s="687">
        <f t="shared" si="246"/>
        <v>-14.680027863847162</v>
      </c>
      <c r="AG517" s="686">
        <f t="shared" si="247"/>
        <v>46.478289560092549</v>
      </c>
      <c r="AH517" s="687">
        <f t="shared" si="248"/>
        <v>-19.65116063064848</v>
      </c>
      <c r="AJ517" s="170">
        <f t="shared" si="249"/>
        <v>0</v>
      </c>
      <c r="AK517" s="170">
        <f t="shared" si="261"/>
        <v>0</v>
      </c>
      <c r="AM517" s="170" t="str">
        <f t="shared" si="253"/>
        <v>1.7271150909384-0.686515582146276i</v>
      </c>
      <c r="AN517" s="170" t="str">
        <f t="shared" si="254"/>
        <v>10.1814639913669i</v>
      </c>
      <c r="AO517" s="170" t="str">
        <f t="shared" si="255"/>
        <v>-0.067427983119951-0.169633275961381i</v>
      </c>
      <c r="AP517" s="170" t="str">
        <f t="shared" si="256"/>
        <v>-0.121185848489734+0.114419263691046i</v>
      </c>
      <c r="AQ517" s="170" t="str">
        <f t="shared" si="257"/>
        <v>1.12118584848973-0.114419263691046i</v>
      </c>
      <c r="AR517" s="170" t="str">
        <f t="shared" si="258"/>
        <v>0.735305434795736+0.0750393938263511i</v>
      </c>
    </row>
    <row r="518" spans="7:44">
      <c r="G518" s="688">
        <v>71207.25</v>
      </c>
      <c r="H518" s="676">
        <f t="shared" si="250"/>
        <v>71.207250000000002</v>
      </c>
      <c r="I518" s="677">
        <f t="shared" si="230"/>
        <v>64.44483217258572</v>
      </c>
      <c r="J518" s="678">
        <f t="shared" si="231"/>
        <v>1.5552785559985594</v>
      </c>
      <c r="K518" s="678">
        <f t="shared" si="232"/>
        <v>1.0048325396095847</v>
      </c>
      <c r="L518" s="679">
        <f t="shared" si="233"/>
        <v>9.8113794418790645E-2</v>
      </c>
      <c r="M518" s="678">
        <f t="shared" si="234"/>
        <v>1.3488286864536003</v>
      </c>
      <c r="N518" s="679">
        <f t="shared" si="235"/>
        <v>-0.73566597461854055</v>
      </c>
      <c r="O518" s="677">
        <f t="shared" si="236"/>
        <v>2952895.0865927748</v>
      </c>
      <c r="P518" s="680">
        <f t="shared" si="237"/>
        <v>1.5707959881441926</v>
      </c>
      <c r="Q518" s="689">
        <f t="shared" si="259"/>
        <v>119.10429990113772</v>
      </c>
      <c r="R518" s="690">
        <f t="shared" si="260"/>
        <v>1.5624002256464709</v>
      </c>
      <c r="S518" s="677">
        <f t="shared" si="238"/>
        <v>1.0318625329566715</v>
      </c>
      <c r="T518" s="680">
        <f t="shared" si="239"/>
        <v>0.24915415944785452</v>
      </c>
      <c r="U518" s="681">
        <f t="shared" si="251"/>
        <v>0.13323717007934388</v>
      </c>
      <c r="V518" s="682">
        <f t="shared" si="252"/>
        <v>-1.8702547763762531</v>
      </c>
      <c r="W518" s="683">
        <f t="shared" si="240"/>
        <v>-29.23805474830948</v>
      </c>
      <c r="X518" s="684">
        <f t="shared" si="241"/>
        <v>-247.55417549554835</v>
      </c>
      <c r="Y518" s="687">
        <f t="shared" si="242"/>
        <v>-67.55417549554835</v>
      </c>
      <c r="AA518" s="170">
        <f t="shared" si="243"/>
        <v>71207.25</v>
      </c>
      <c r="AB518" s="170">
        <f t="shared" si="244"/>
        <v>5070472452.5625</v>
      </c>
      <c r="AD518" s="686">
        <f t="shared" si="245"/>
        <v>16.946601702207367</v>
      </c>
      <c r="AE518" s="687">
        <f t="shared" si="246"/>
        <v>-14.756523558267091</v>
      </c>
      <c r="AG518" s="686">
        <f t="shared" si="247"/>
        <v>46.560142060037855</v>
      </c>
      <c r="AH518" s="687">
        <f t="shared" si="248"/>
        <v>-18.482241091304466</v>
      </c>
      <c r="AJ518" s="170">
        <f t="shared" si="249"/>
        <v>0</v>
      </c>
      <c r="AK518" s="170">
        <f t="shared" si="261"/>
        <v>0</v>
      </c>
      <c r="AM518" s="170" t="str">
        <f t="shared" si="253"/>
        <v>1.68515909130345-0.728393451099221i</v>
      </c>
      <c r="AN518" s="170" t="str">
        <f t="shared" si="254"/>
        <v>10.2407521971786i</v>
      </c>
      <c r="AO518" s="170" t="str">
        <f t="shared" si="255"/>
        <v>-0.0711269482040488-0.164554229890234i</v>
      </c>
      <c r="AP518" s="170" t="str">
        <f t="shared" si="256"/>
        <v>-0.114193181883908+0.121398908516537i</v>
      </c>
      <c r="AQ518" s="170" t="str">
        <f t="shared" si="257"/>
        <v>1.11419318188391-0.121398908516537i</v>
      </c>
      <c r="AR518" s="170" t="str">
        <f t="shared" si="258"/>
        <v>0.73885481189371+0.0805032459132687i</v>
      </c>
    </row>
    <row r="519" spans="7:44">
      <c r="G519" s="688">
        <v>71619.5</v>
      </c>
      <c r="H519" s="676">
        <f t="shared" si="250"/>
        <v>71.619500000000002</v>
      </c>
      <c r="I519" s="677">
        <f t="shared" si="230"/>
        <v>64.817841992867201</v>
      </c>
      <c r="J519" s="678">
        <f t="shared" si="231"/>
        <v>1.5553678638398454</v>
      </c>
      <c r="K519" s="678">
        <f t="shared" si="232"/>
        <v>1.0048885204652218</v>
      </c>
      <c r="L519" s="679">
        <f t="shared" si="233"/>
        <v>9.8678148487732889E-2</v>
      </c>
      <c r="M519" s="678">
        <f t="shared" si="234"/>
        <v>1.3523510310842324</v>
      </c>
      <c r="N519" s="679">
        <f t="shared" si="235"/>
        <v>-0.73853888835019277</v>
      </c>
      <c r="O519" s="677">
        <f t="shared" si="236"/>
        <v>2969990.6913162787</v>
      </c>
      <c r="P519" s="680">
        <f t="shared" si="237"/>
        <v>1.5707959900935047</v>
      </c>
      <c r="Q519" s="689">
        <f t="shared" si="259"/>
        <v>119.79379846123091</v>
      </c>
      <c r="R519" s="690">
        <f t="shared" si="260"/>
        <v>1.5624485523093818</v>
      </c>
      <c r="S519" s="677">
        <f t="shared" si="238"/>
        <v>1.0322267564288818</v>
      </c>
      <c r="T519" s="680">
        <f t="shared" si="239"/>
        <v>0.25053717461575253</v>
      </c>
      <c r="U519" s="681">
        <f t="shared" si="251"/>
        <v>0.13149116425965135</v>
      </c>
      <c r="V519" s="682">
        <f t="shared" si="252"/>
        <v>-1.8933330802411652</v>
      </c>
      <c r="W519" s="683">
        <f t="shared" si="240"/>
        <v>-29.38269289011064</v>
      </c>
      <c r="X519" s="684">
        <f t="shared" si="241"/>
        <v>-249.09032472488187</v>
      </c>
      <c r="Y519" s="687">
        <f t="shared" si="242"/>
        <v>-69.090324724881867</v>
      </c>
      <c r="AA519" s="170">
        <f t="shared" si="243"/>
        <v>71619.5</v>
      </c>
      <c r="AB519" s="170">
        <f t="shared" si="244"/>
        <v>5129352780.25</v>
      </c>
      <c r="AD519" s="686">
        <f t="shared" si="245"/>
        <v>16.943532811889838</v>
      </c>
      <c r="AE519" s="687">
        <f t="shared" si="246"/>
        <v>-14.832995688342205</v>
      </c>
      <c r="AG519" s="686">
        <f t="shared" si="247"/>
        <v>46.647725971216865</v>
      </c>
      <c r="AH519" s="687">
        <f t="shared" si="248"/>
        <v>-17.297339367981142</v>
      </c>
      <c r="AJ519" s="170">
        <f t="shared" si="249"/>
        <v>0</v>
      </c>
      <c r="AK519" s="170">
        <f t="shared" si="261"/>
        <v>0</v>
      </c>
      <c r="AM519" s="170" t="str">
        <f t="shared" si="253"/>
        <v>1.64079540026963-0.767711700440523i</v>
      </c>
      <c r="AN519" s="170" t="str">
        <f t="shared" si="254"/>
        <v>10.3000404029903i</v>
      </c>
      <c r="AO519" s="170" t="str">
        <f t="shared" si="255"/>
        <v>-0.0745348241758005-0.159299899424984i</v>
      </c>
      <c r="AP519" s="170" t="str">
        <f t="shared" si="256"/>
        <v>-0.106799233378272+0.127951950073421i</v>
      </c>
      <c r="AQ519" s="170" t="str">
        <f t="shared" si="257"/>
        <v>1.10679923337827-0.127951950073421i</v>
      </c>
      <c r="AR519" s="170" t="str">
        <f t="shared" si="258"/>
        <v>0.742694864239132+0.0858595247657111i</v>
      </c>
    </row>
    <row r="520" spans="7:44">
      <c r="G520" s="688">
        <v>72031.75</v>
      </c>
      <c r="H520" s="676">
        <f t="shared" si="250"/>
        <v>72.031750000000002</v>
      </c>
      <c r="I520" s="677">
        <f t="shared" si="230"/>
        <v>65.190852324212571</v>
      </c>
      <c r="J520" s="678">
        <f t="shared" si="231"/>
        <v>1.5554561496750203</v>
      </c>
      <c r="K520" s="678">
        <f t="shared" si="232"/>
        <v>1.0049448213376293</v>
      </c>
      <c r="L520" s="679">
        <f t="shared" si="233"/>
        <v>9.9242439501813343E-2</v>
      </c>
      <c r="M520" s="678">
        <f t="shared" si="234"/>
        <v>1.3558844794780449</v>
      </c>
      <c r="N520" s="679">
        <f t="shared" si="235"/>
        <v>-0.74139685188490045</v>
      </c>
      <c r="O520" s="677">
        <f t="shared" si="236"/>
        <v>2987086.2960397825</v>
      </c>
      <c r="P520" s="680">
        <f t="shared" si="237"/>
        <v>1.5707959920205041</v>
      </c>
      <c r="Q520" s="689">
        <f t="shared" si="259"/>
        <v>120.4832972978963</v>
      </c>
      <c r="R520" s="690">
        <f t="shared" si="260"/>
        <v>1.5624963258471385</v>
      </c>
      <c r="S520" s="677">
        <f t="shared" si="238"/>
        <v>1.0325929528781304</v>
      </c>
      <c r="T520" s="680">
        <f t="shared" si="239"/>
        <v>0.25191921148676122</v>
      </c>
      <c r="U520" s="681">
        <f t="shared" si="251"/>
        <v>0.12968225706181727</v>
      </c>
      <c r="V520" s="682">
        <f t="shared" si="252"/>
        <v>-1.9166951621125248</v>
      </c>
      <c r="W520" s="683">
        <f t="shared" si="240"/>
        <v>-29.532787574927617</v>
      </c>
      <c r="X520" s="684">
        <f t="shared" si="241"/>
        <v>-250.64179734744943</v>
      </c>
      <c r="Y520" s="687">
        <f t="shared" si="242"/>
        <v>-70.641797347449426</v>
      </c>
      <c r="AA520" s="170">
        <f t="shared" si="243"/>
        <v>72031.75</v>
      </c>
      <c r="AB520" s="170">
        <f t="shared" si="244"/>
        <v>5188573008.0625</v>
      </c>
      <c r="AD520" s="686">
        <f t="shared" si="245"/>
        <v>16.940448467009837</v>
      </c>
      <c r="AE520" s="687">
        <f t="shared" si="246"/>
        <v>-14.909443456592893</v>
      </c>
      <c r="AG520" s="686">
        <f t="shared" si="247"/>
        <v>46.741356037196041</v>
      </c>
      <c r="AH520" s="687">
        <f t="shared" si="248"/>
        <v>-16.095266835502965</v>
      </c>
      <c r="AJ520" s="170">
        <f t="shared" si="249"/>
        <v>0</v>
      </c>
      <c r="AK520" s="170">
        <f t="shared" si="261"/>
        <v>0</v>
      </c>
      <c r="AM520" s="170" t="str">
        <f t="shared" si="253"/>
        <v>1.59417991458945-0.804332163411659i</v>
      </c>
      <c r="AN520" s="170" t="str">
        <f t="shared" si="254"/>
        <v>10.3593286088021i</v>
      </c>
      <c r="AO520" s="170" t="str">
        <f t="shared" si="255"/>
        <v>-0.0776432714691795-0.153888343037493i</v>
      </c>
      <c r="AP520" s="170" t="str">
        <f t="shared" si="256"/>
        <v>-0.0990299857649075+0.13405536056861i</v>
      </c>
      <c r="AQ520" s="170" t="str">
        <f t="shared" si="257"/>
        <v>1.09902998576491-0.13405536056861i</v>
      </c>
      <c r="AR520" s="170" t="str">
        <f t="shared" si="258"/>
        <v>0.74682965070971+0.0910953471752087i</v>
      </c>
    </row>
    <row r="521" spans="7:44">
      <c r="G521" s="688">
        <v>72444</v>
      </c>
      <c r="H521" s="676">
        <f t="shared" si="250"/>
        <v>72.444000000000003</v>
      </c>
      <c r="I521" s="677">
        <f t="shared" si="230"/>
        <v>65.563863157899107</v>
      </c>
      <c r="J521" s="678">
        <f t="shared" si="231"/>
        <v>1.5555434309461165</v>
      </c>
      <c r="K521" s="678">
        <f t="shared" si="232"/>
        <v>1.0050014421730242</v>
      </c>
      <c r="L521" s="679">
        <f t="shared" si="233"/>
        <v>9.9806667112291483E-2</v>
      </c>
      <c r="M521" s="678">
        <f t="shared" si="234"/>
        <v>1.35942894505183</v>
      </c>
      <c r="N521" s="679">
        <f t="shared" si="235"/>
        <v>-0.7442399352931105</v>
      </c>
      <c r="O521" s="677">
        <f t="shared" si="236"/>
        <v>3004181.9007632863</v>
      </c>
      <c r="P521" s="680">
        <f t="shared" si="237"/>
        <v>1.570795993925572</v>
      </c>
      <c r="Q521" s="689">
        <f t="shared" si="259"/>
        <v>121.17279640641263</v>
      </c>
      <c r="R521" s="690">
        <f t="shared" si="260"/>
        <v>1.562543555701722</v>
      </c>
      <c r="S521" s="677">
        <f t="shared" si="238"/>
        <v>1.0329611202060889</v>
      </c>
      <c r="T521" s="680">
        <f t="shared" si="239"/>
        <v>0.25330026582469828</v>
      </c>
      <c r="U521" s="681">
        <f t="shared" si="251"/>
        <v>0.12780847550395943</v>
      </c>
      <c r="V521" s="682">
        <f t="shared" si="252"/>
        <v>-1.9403621408436782</v>
      </c>
      <c r="W521" s="683">
        <f t="shared" si="240"/>
        <v>-29.688697147857969</v>
      </c>
      <c r="X521" s="684">
        <f t="shared" si="241"/>
        <v>-252.20980763481512</v>
      </c>
      <c r="Y521" s="687">
        <f t="shared" si="242"/>
        <v>-72.209807634815121</v>
      </c>
      <c r="AA521" s="170">
        <f t="shared" si="243"/>
        <v>72444</v>
      </c>
      <c r="AB521" s="170">
        <f t="shared" si="244"/>
        <v>5248133136</v>
      </c>
      <c r="AD521" s="686">
        <f t="shared" si="245"/>
        <v>16.93734870073402</v>
      </c>
      <c r="AE521" s="687">
        <f t="shared" si="246"/>
        <v>-14.985866079339948</v>
      </c>
      <c r="AG521" s="686">
        <f t="shared" si="247"/>
        <v>46.841382469864861</v>
      </c>
      <c r="AH521" s="687">
        <f t="shared" si="248"/>
        <v>-14.874818506780727</v>
      </c>
      <c r="AJ521" s="170">
        <f t="shared" si="249"/>
        <v>0</v>
      </c>
      <c r="AK521" s="170">
        <f t="shared" si="261"/>
        <v>0</v>
      </c>
      <c r="AM521" s="170" t="str">
        <f t="shared" si="253"/>
        <v>1.54547644396118-0.83812615344199i</v>
      </c>
      <c r="AN521" s="170" t="str">
        <f t="shared" si="254"/>
        <v>10.4186168146138i</v>
      </c>
      <c r="AO521" s="170" t="str">
        <f t="shared" si="255"/>
        <v>-0.0804450502744647-0.148337967645897i</v>
      </c>
      <c r="AP521" s="170" t="str">
        <f t="shared" si="256"/>
        <v>-0.0909127406601965+0.139687692240332i</v>
      </c>
      <c r="AQ521" s="170" t="str">
        <f t="shared" si="257"/>
        <v>1.0909127406602-0.139687692240332i</v>
      </c>
      <c r="AR521" s="170" t="str">
        <f t="shared" si="258"/>
        <v>0.751263115517275+0.0961967047963717i</v>
      </c>
    </row>
    <row r="522" spans="7:44">
      <c r="G522" s="688">
        <v>72865.75</v>
      </c>
      <c r="H522" s="676">
        <f t="shared" si="250"/>
        <v>72.865750000000006</v>
      </c>
      <c r="I522" s="677">
        <f t="shared" si="230"/>
        <v>65.945470264621505</v>
      </c>
      <c r="J522" s="678">
        <f t="shared" si="231"/>
        <v>1.5556317017697436</v>
      </c>
      <c r="K522" s="678">
        <f t="shared" si="232"/>
        <v>1.0050596988457177</v>
      </c>
      <c r="L522" s="679">
        <f t="shared" si="233"/>
        <v>0.10038383096026593</v>
      </c>
      <c r="M522" s="678">
        <f t="shared" si="234"/>
        <v>1.3630664015497926</v>
      </c>
      <c r="N522" s="679">
        <f t="shared" si="235"/>
        <v>-0.74713321036494817</v>
      </c>
      <c r="O522" s="677">
        <f t="shared" si="236"/>
        <v>3021671.4612051006</v>
      </c>
      <c r="P522" s="680">
        <f t="shared" si="237"/>
        <v>1.5707959958522337</v>
      </c>
      <c r="Q522" s="689">
        <f t="shared" si="259"/>
        <v>121.87818479454494</v>
      </c>
      <c r="R522" s="690">
        <f t="shared" si="260"/>
        <v>1.5625913209349274</v>
      </c>
      <c r="S522" s="677">
        <f t="shared" si="238"/>
        <v>1.0333398090124932</v>
      </c>
      <c r="T522" s="680">
        <f t="shared" si="239"/>
        <v>0.25471212439869367</v>
      </c>
      <c r="U522" s="681">
        <f t="shared" si="251"/>
        <v>0.12582214010316395</v>
      </c>
      <c r="V522" s="682">
        <f t="shared" si="252"/>
        <v>-1.9649123338118344</v>
      </c>
      <c r="W522" s="683">
        <f t="shared" si="240"/>
        <v>-29.854631212064781</v>
      </c>
      <c r="X522" s="684">
        <f t="shared" si="241"/>
        <v>-253.8323479253132</v>
      </c>
      <c r="Y522" s="687">
        <f t="shared" si="242"/>
        <v>-73.832347925313201</v>
      </c>
      <c r="AA522" s="170">
        <f t="shared" si="243"/>
        <v>72865.75</v>
      </c>
      <c r="AB522" s="170">
        <f t="shared" si="244"/>
        <v>5309417523.0625</v>
      </c>
      <c r="AD522" s="686">
        <f t="shared" si="245"/>
        <v>16.934161578803636</v>
      </c>
      <c r="AE522" s="687">
        <f t="shared" si="246"/>
        <v>-15.064022981108003</v>
      </c>
      <c r="AG522" s="686">
        <f t="shared" si="247"/>
        <v>46.950739000290653</v>
      </c>
      <c r="AH522" s="687">
        <f t="shared" si="248"/>
        <v>-13.605957005681963</v>
      </c>
      <c r="AJ522" s="170">
        <f t="shared" si="249"/>
        <v>0</v>
      </c>
      <c r="AK522" s="170">
        <f t="shared" si="261"/>
        <v>0</v>
      </c>
      <c r="AM522" s="170" t="str">
        <f t="shared" si="253"/>
        <v>1.49366843398419-0.869650203982956i</v>
      </c>
      <c r="AN522" s="170" t="str">
        <f t="shared" si="254"/>
        <v>10.4792712738038i</v>
      </c>
      <c r="AO522" s="170" t="str">
        <f t="shared" si="255"/>
        <v>-0.0829876602352033-0.142535525129317i</v>
      </c>
      <c r="AP522" s="170" t="str">
        <f t="shared" si="256"/>
        <v>-0.0822780723306983+0.144941700663826i</v>
      </c>
      <c r="AQ522" s="170" t="str">
        <f t="shared" si="257"/>
        <v>1.0822780723307-0.144941700663826i</v>
      </c>
      <c r="AR522" s="170" t="str">
        <f t="shared" si="258"/>
        <v>0.756111704351397+0.101260590159151i</v>
      </c>
    </row>
    <row r="523" spans="7:44">
      <c r="G523" s="688">
        <v>73287.5</v>
      </c>
      <c r="H523" s="676">
        <f t="shared" si="250"/>
        <v>73.287499999999994</v>
      </c>
      <c r="I523" s="677">
        <f t="shared" si="230"/>
        <v>66.327077879261211</v>
      </c>
      <c r="J523" s="678">
        <f t="shared" si="231"/>
        <v>1.555718956875592</v>
      </c>
      <c r="K523" s="678">
        <f t="shared" si="232"/>
        <v>1.0051182902831204</v>
      </c>
      <c r="L523" s="679">
        <f t="shared" si="233"/>
        <v>0.10096092771115044</v>
      </c>
      <c r="M523" s="678">
        <f t="shared" si="234"/>
        <v>1.3667152075404458</v>
      </c>
      <c r="N523" s="679">
        <f t="shared" si="235"/>
        <v>-0.7500110607017253</v>
      </c>
      <c r="O523" s="677">
        <f t="shared" si="236"/>
        <v>3039161.0216469145</v>
      </c>
      <c r="P523" s="680">
        <f t="shared" si="237"/>
        <v>1.5707959977567203</v>
      </c>
      <c r="Q523" s="689">
        <f t="shared" si="259"/>
        <v>122.58357345754425</v>
      </c>
      <c r="R523" s="690">
        <f t="shared" si="260"/>
        <v>1.5626385364525959</v>
      </c>
      <c r="S523" s="677">
        <f t="shared" si="238"/>
        <v>1.0337205561097074</v>
      </c>
      <c r="T523" s="680">
        <f t="shared" si="239"/>
        <v>0.25612294573221117</v>
      </c>
      <c r="U523" s="681">
        <f t="shared" si="251"/>
        <v>0.123763177089486</v>
      </c>
      <c r="V523" s="682">
        <f t="shared" si="252"/>
        <v>-1.9898272075404415</v>
      </c>
      <c r="W523" s="683">
        <f t="shared" si="240"/>
        <v>-30.027538043997097</v>
      </c>
      <c r="X523" s="684">
        <f t="shared" si="241"/>
        <v>-255.47481682570452</v>
      </c>
      <c r="Y523" s="687">
        <f t="shared" si="242"/>
        <v>-75.474816825704522</v>
      </c>
      <c r="AA523" s="170">
        <f t="shared" si="243"/>
        <v>73287.5</v>
      </c>
      <c r="AB523" s="170">
        <f t="shared" si="244"/>
        <v>5371057656.25</v>
      </c>
      <c r="AD523" s="686">
        <f t="shared" si="245"/>
        <v>16.930958387254137</v>
      </c>
      <c r="AE523" s="687">
        <f t="shared" si="246"/>
        <v>-15.142151948483965</v>
      </c>
      <c r="AG523" s="686">
        <f t="shared" si="247"/>
        <v>47.067660092793545</v>
      </c>
      <c r="AH523" s="687">
        <f t="shared" si="248"/>
        <v>-12.315262711933888</v>
      </c>
      <c r="AJ523" s="170">
        <f t="shared" si="249"/>
        <v>0</v>
      </c>
      <c r="AK523" s="170">
        <f t="shared" si="261"/>
        <v>0</v>
      </c>
      <c r="AM523" s="170" t="str">
        <f t="shared" si="253"/>
        <v>1.44004479263625-0.897975823991784i</v>
      </c>
      <c r="AN523" s="170" t="str">
        <f t="shared" si="254"/>
        <v>10.5399257329939i</v>
      </c>
      <c r="AO523" s="170" t="str">
        <f t="shared" si="255"/>
        <v>-0.0851975475672266-0.136627603373748i</v>
      </c>
      <c r="AP523" s="170" t="str">
        <f t="shared" si="256"/>
        <v>-0.0733407987727078+0.149662637331964i</v>
      </c>
      <c r="AQ523" s="170" t="str">
        <f t="shared" si="257"/>
        <v>1.07334079877271-0.149662637331964i</v>
      </c>
      <c r="AR523" s="170" t="str">
        <f t="shared" si="258"/>
        <v>0.761280384969998+0.106150097242162i</v>
      </c>
    </row>
    <row r="524" spans="7:44">
      <c r="G524" s="688">
        <v>73709.25</v>
      </c>
      <c r="H524" s="676">
        <f t="shared" si="250"/>
        <v>73.709249999999997</v>
      </c>
      <c r="I524" s="677">
        <f t="shared" si="230"/>
        <v>66.708685993101582</v>
      </c>
      <c r="J524" s="678">
        <f t="shared" si="231"/>
        <v>1.5558052136936109</v>
      </c>
      <c r="K524" s="678">
        <f t="shared" si="232"/>
        <v>1.0051772164266926</v>
      </c>
      <c r="L524" s="679">
        <f t="shared" si="233"/>
        <v>0.10153795699231857</v>
      </c>
      <c r="M524" s="678">
        <f t="shared" si="234"/>
        <v>1.3703752723652016</v>
      </c>
      <c r="N524" s="679">
        <f t="shared" si="235"/>
        <v>-0.75287356203566647</v>
      </c>
      <c r="O524" s="677">
        <f t="shared" si="236"/>
        <v>3056650.5820887284</v>
      </c>
      <c r="P524" s="680">
        <f t="shared" si="237"/>
        <v>1.5707959996394127</v>
      </c>
      <c r="Q524" s="689">
        <f t="shared" si="259"/>
        <v>123.2889623906927</v>
      </c>
      <c r="R524" s="690">
        <f t="shared" si="260"/>
        <v>1.562685211689989</v>
      </c>
      <c r="S524" s="677">
        <f t="shared" si="238"/>
        <v>1.0341033592242015</v>
      </c>
      <c r="T524" s="680">
        <f t="shared" si="239"/>
        <v>0.25753272535782573</v>
      </c>
      <c r="U524" s="681">
        <f t="shared" si="251"/>
        <v>0.12162892922676681</v>
      </c>
      <c r="V524" s="682">
        <f t="shared" si="252"/>
        <v>-2.0151301841636031</v>
      </c>
      <c r="W524" s="683">
        <f t="shared" si="240"/>
        <v>-30.207940090811178</v>
      </c>
      <c r="X524" s="684">
        <f t="shared" si="241"/>
        <v>-257.13856088802794</v>
      </c>
      <c r="Y524" s="687">
        <f t="shared" si="242"/>
        <v>-77.138560888027939</v>
      </c>
      <c r="AA524" s="170">
        <f t="shared" si="243"/>
        <v>73709.25</v>
      </c>
      <c r="AB524" s="170">
        <f t="shared" si="244"/>
        <v>5433053535.5625</v>
      </c>
      <c r="AD524" s="686">
        <f t="shared" si="245"/>
        <v>16.927739162089768</v>
      </c>
      <c r="AE524" s="687">
        <f t="shared" si="246"/>
        <v>-15.220252184924387</v>
      </c>
      <c r="AG524" s="686">
        <f t="shared" si="247"/>
        <v>47.192659914496893</v>
      </c>
      <c r="AH524" s="687">
        <f t="shared" si="248"/>
        <v>-11.001398995252938</v>
      </c>
      <c r="AJ524" s="170">
        <f t="shared" si="249"/>
        <v>0</v>
      </c>
      <c r="AK524" s="170">
        <f t="shared" si="261"/>
        <v>0</v>
      </c>
      <c r="AM524" s="170" t="str">
        <f t="shared" si="253"/>
        <v>1.38480273885791-0.92299883649301i</v>
      </c>
      <c r="AN524" s="170" t="str">
        <f t="shared" si="254"/>
        <v>10.6005801921839i</v>
      </c>
      <c r="AO524" s="170" t="str">
        <f t="shared" si="255"/>
        <v>-0.0870705961144997-0.130634617516404i</v>
      </c>
      <c r="AP524" s="170" t="str">
        <f t="shared" si="256"/>
        <v>-0.0641337898096518+0.153833139415502i</v>
      </c>
      <c r="AQ524" s="170" t="str">
        <f t="shared" si="257"/>
        <v>1.06413378980965-0.153833139415502i</v>
      </c>
      <c r="AR524" s="170" t="str">
        <f t="shared" si="258"/>
        <v>0.766772204256144+0.110846001251747i</v>
      </c>
    </row>
    <row r="525" spans="7:44">
      <c r="G525" s="688">
        <v>74131</v>
      </c>
      <c r="H525" s="676">
        <f t="shared" si="250"/>
        <v>74.131</v>
      </c>
      <c r="I525" s="677">
        <f t="shared" ref="I525:I588" si="262">SQRT(1+(G525/pole1)^2)</f>
        <v>67.090294597624265</v>
      </c>
      <c r="J525" s="678">
        <f t="shared" ref="J525:J588" si="263">ATAN(G525/pole1)</f>
        <v>1.5558904892572452</v>
      </c>
      <c r="K525" s="678">
        <f t="shared" ref="K525:K588" si="264">SQRT(1+(G525/Zero1)^2)</f>
        <v>1.005236477217573</v>
      </c>
      <c r="L525" s="679">
        <f t="shared" ref="L525:L588" si="265">ATAN(G525/Zero1)</f>
        <v>0.10211491843141079</v>
      </c>
      <c r="M525" s="678">
        <f t="shared" ref="M525:M588" si="266">SQRT(1+(G525/z_RHP)^2)</f>
        <v>1.3740465060531724</v>
      </c>
      <c r="N525" s="679">
        <f t="shared" ref="N525:N588" si="267">-ATAN(G525/z_RHP)</f>
        <v>-0.75572079029948913</v>
      </c>
      <c r="O525" s="677">
        <f t="shared" ref="O525:O588" si="268">SQRT(1+(G525/Pole2)^2)</f>
        <v>3074140.1425305428</v>
      </c>
      <c r="P525" s="680">
        <f t="shared" ref="P525:P588" si="269">ATAN(G525/Pole2)</f>
        <v>1.570796001500683</v>
      </c>
      <c r="Q525" s="689">
        <f t="shared" si="259"/>
        <v>123.99435158937972</v>
      </c>
      <c r="R525" s="690">
        <f t="shared" si="260"/>
        <v>1.5627313558676732</v>
      </c>
      <c r="S525" s="677">
        <f t="shared" ref="S525:S588" si="270">SQRT(1+(G525/pole4)^2)</f>
        <v>1.0344882160735429</v>
      </c>
      <c r="T525" s="680">
        <f t="shared" ref="T525:T588" si="271">ATAN(G525/pole4)</f>
        <v>0.25894145883126979</v>
      </c>
      <c r="U525" s="681">
        <f t="shared" si="251"/>
        <v>0.11941657359610473</v>
      </c>
      <c r="V525" s="682">
        <f t="shared" si="252"/>
        <v>-2.0408448819540821</v>
      </c>
      <c r="W525" s="683">
        <f t="shared" ref="W525:W588" si="272">20*LOG10(((K525*Q525*M525*U525)/(I525*O525*S525))*Adc)</f>
        <v>-30.396416678820792</v>
      </c>
      <c r="X525" s="684">
        <f t="shared" ref="X525:X588" si="273">((L525+R525+N525+V525)-(J525+P525+T525))*radconv</f>
        <v>-258.82493790462087</v>
      </c>
      <c r="Y525" s="687">
        <f t="shared" ref="Y525:Y588" si="274">IF(X525&gt;0,X525,X525+180)</f>
        <v>-78.824937904620867</v>
      </c>
      <c r="AA525" s="170">
        <f t="shared" ref="AA525:AA588" si="275">IF(W525&lt;0,G525,1000000000)</f>
        <v>74131</v>
      </c>
      <c r="AB525" s="170">
        <f t="shared" ref="AB525:AB588" si="276">G525^2</f>
        <v>5495405161</v>
      </c>
      <c r="AD525" s="686">
        <f t="shared" ref="AD525:AD588" si="277">20*LOG10((Q525/(O525*S525))*Aea)</f>
        <v>16.924503939475109</v>
      </c>
      <c r="AE525" s="687">
        <f t="shared" ref="AE525:AE588" si="278">(R525-(P525+T525))*radconv</f>
        <v>-15.298322907513267</v>
      </c>
      <c r="AG525" s="686">
        <f t="shared" ref="AG525:AG588" si="279">20*LOG10((K525*M525/(I525*U525))*Acs*Am)</f>
        <v>47.326309650329407</v>
      </c>
      <c r="AH525" s="687">
        <f t="shared" ref="AH525:AH588" si="280">(L525+N525-(J525+V525))*radconv</f>
        <v>-9.6630179761922541</v>
      </c>
      <c r="AJ525" s="170">
        <f t="shared" ref="AJ525:AJ588" si="281">SUM((W526&lt;0)*(W525&gt;0))*G525</f>
        <v>0</v>
      </c>
      <c r="AK525" s="170">
        <f t="shared" si="261"/>
        <v>0</v>
      </c>
      <c r="AM525" s="170" t="str">
        <f t="shared" si="253"/>
        <v>1.32814544384433-0.944627210959014i</v>
      </c>
      <c r="AN525" s="170" t="str">
        <f t="shared" si="254"/>
        <v>10.661234651374i</v>
      </c>
      <c r="AO525" s="170" t="str">
        <f t="shared" si="255"/>
        <v>-0.0886039227020739-0.124577076415175i</v>
      </c>
      <c r="AP525" s="170" t="str">
        <f t="shared" si="256"/>
        <v>-0.0546909073073887+0.157437868493169i</v>
      </c>
      <c r="AQ525" s="170" t="str">
        <f t="shared" si="257"/>
        <v>1.05469090730739-0.157437868493169i</v>
      </c>
      <c r="AR525" s="170" t="str">
        <f t="shared" si="258"/>
        <v>0.772589469116284+0.115327474993094i</v>
      </c>
    </row>
    <row r="526" spans="7:44">
      <c r="G526" s="688">
        <v>74562.75</v>
      </c>
      <c r="H526" s="676">
        <f t="shared" ref="H526:H589" si="282">G526/1000</f>
        <v>74.562749999999994</v>
      </c>
      <c r="I526" s="677">
        <f t="shared" si="262"/>
        <v>67.480951919973762</v>
      </c>
      <c r="J526" s="678">
        <f t="shared" si="263"/>
        <v>1.5559767877159738</v>
      </c>
      <c r="K526" s="678">
        <f t="shared" si="264"/>
        <v>1.0052974897066991</v>
      </c>
      <c r="L526" s="679">
        <f t="shared" si="265"/>
        <v>0.10270548938439106</v>
      </c>
      <c r="M526" s="678">
        <f t="shared" si="266"/>
        <v>1.3778162633918618</v>
      </c>
      <c r="N526" s="679">
        <f t="shared" si="267"/>
        <v>-0.75861978732239643</v>
      </c>
      <c r="O526" s="677">
        <f t="shared" si="268"/>
        <v>3092044.3932021568</v>
      </c>
      <c r="P526" s="680">
        <f t="shared" si="269"/>
        <v>1.5707960033842747</v>
      </c>
      <c r="Q526" s="689">
        <f t="shared" si="259"/>
        <v>124.71646635062375</v>
      </c>
      <c r="R526" s="690">
        <f t="shared" si="260"/>
        <v>1.56277805346826</v>
      </c>
      <c r="S526" s="677">
        <f t="shared" si="270"/>
        <v>1.0348843231226383</v>
      </c>
      <c r="T526" s="680">
        <f t="shared" si="271"/>
        <v>0.26038250613309549</v>
      </c>
      <c r="U526" s="681">
        <f t="shared" ref="U526:U589" si="283">IMABS(IMPRODUCT(AO526, AR526))</f>
        <v>0.11706774647693849</v>
      </c>
      <c r="V526" s="682">
        <f t="shared" ref="V526:V589" si="284">IMARGUMENT(IMPRODUCT(AO526, AR526))</f>
        <v>-2.0676205734624373</v>
      </c>
      <c r="W526" s="683">
        <f t="shared" si="272"/>
        <v>-30.598397458962324</v>
      </c>
      <c r="X526" s="684">
        <f t="shared" si="273"/>
        <v>-260.57617009315152</v>
      </c>
      <c r="Y526" s="687">
        <f t="shared" si="274"/>
        <v>-80.576170093151518</v>
      </c>
      <c r="AA526" s="170">
        <f t="shared" si="275"/>
        <v>74562.75</v>
      </c>
      <c r="AB526" s="170">
        <f t="shared" si="276"/>
        <v>5559603687.5625</v>
      </c>
      <c r="AD526" s="686">
        <f t="shared" si="277"/>
        <v>16.921175474382181</v>
      </c>
      <c r="AE526" s="687">
        <f t="shared" si="278"/>
        <v>-15.378213368572732</v>
      </c>
      <c r="AG526" s="686">
        <f t="shared" si="279"/>
        <v>47.472751234854854</v>
      </c>
      <c r="AH526" s="687">
        <f t="shared" si="280"/>
        <v>-8.2660914662114227</v>
      </c>
      <c r="AJ526" s="170">
        <f t="shared" si="281"/>
        <v>0</v>
      </c>
      <c r="AK526" s="170">
        <f t="shared" si="261"/>
        <v>0</v>
      </c>
      <c r="AM526" s="170" t="str">
        <f t="shared" ref="AM526:AM589" si="285">IMSUB(1,IMEXP(COMPLEX(0,-2*Pi*G526*Tsw)))</f>
        <v>1.26889636968287-0.963169114107889i</v>
      </c>
      <c r="AN526" s="170" t="str">
        <f t="shared" ref="AN526:AN589" si="286">COMPLEX(0, 2*Pi*G526*Tsw)</f>
        <v>10.7233272720149i</v>
      </c>
      <c r="AO526" s="170" t="str">
        <f t="shared" ref="AO526:AO589" si="287">IMDIV(AM526, AN526)</f>
        <v>-0.0898199868077803-0.118330471270271i</v>
      </c>
      <c r="AP526" s="170" t="str">
        <f t="shared" ref="AP526:AP589" si="288">IMDIV(IMEXP(COMPLEX(0,-2*Pi*G526*Tsw)),6)</f>
        <v>-0.0448160616138108+0.160528185684648i</v>
      </c>
      <c r="AQ526" s="170" t="str">
        <f t="shared" ref="AQ526:AQ589" si="289">IMSUB(1, AP526)</f>
        <v>1.04481606161381-0.160528185684648i</v>
      </c>
      <c r="AR526" s="170" t="str">
        <f t="shared" ref="AR526:AR589" si="290">IMDIV(0.833, AQ526)</f>
        <v>0.778883182027666+0.119669584594692i</v>
      </c>
    </row>
    <row r="527" spans="7:44">
      <c r="G527" s="688">
        <v>74994.5</v>
      </c>
      <c r="H527" s="676">
        <f t="shared" si="282"/>
        <v>74.994500000000002</v>
      </c>
      <c r="I527" s="677">
        <f t="shared" si="262"/>
        <v>67.871609739097195</v>
      </c>
      <c r="J527" s="678">
        <f t="shared" si="263"/>
        <v>1.5560620927358713</v>
      </c>
      <c r="K527" s="678">
        <f t="shared" si="264"/>
        <v>1.0053588527748749</v>
      </c>
      <c r="L527" s="679">
        <f t="shared" si="265"/>
        <v>0.10329598845114113</v>
      </c>
      <c r="M527" s="678">
        <f t="shared" si="266"/>
        <v>1.3815975369049507</v>
      </c>
      <c r="N527" s="679">
        <f t="shared" si="267"/>
        <v>-0.76150294002291852</v>
      </c>
      <c r="O527" s="677">
        <f t="shared" si="268"/>
        <v>3109948.6438737707</v>
      </c>
      <c r="P527" s="680">
        <f t="shared" si="269"/>
        <v>1.5707960052461785</v>
      </c>
      <c r="Q527" s="689">
        <f t="shared" si="259"/>
        <v>125.43858138070148</v>
      </c>
      <c r="R527" s="690">
        <f t="shared" si="260"/>
        <v>1.5628242134187458</v>
      </c>
      <c r="S527" s="677">
        <f t="shared" si="270"/>
        <v>1.035282577583355</v>
      </c>
      <c r="T527" s="680">
        <f t="shared" si="271"/>
        <v>0.26182244773361157</v>
      </c>
      <c r="U527" s="681">
        <f t="shared" si="283"/>
        <v>0.11463060583661631</v>
      </c>
      <c r="V527" s="682">
        <f t="shared" si="284"/>
        <v>-2.0948781777751515</v>
      </c>
      <c r="W527" s="683">
        <f t="shared" si="272"/>
        <v>-30.810279972540041</v>
      </c>
      <c r="X527" s="684">
        <f t="shared" si="273"/>
        <v>-262.35402068943978</v>
      </c>
      <c r="Y527" s="687">
        <f t="shared" si="274"/>
        <v>-82.354020689439778</v>
      </c>
      <c r="AA527" s="170">
        <f t="shared" si="275"/>
        <v>74994.5</v>
      </c>
      <c r="AB527" s="170">
        <f t="shared" si="276"/>
        <v>5624175030.25</v>
      </c>
      <c r="AD527" s="686">
        <f t="shared" si="277"/>
        <v>16.91783032142483</v>
      </c>
      <c r="AE527" s="687">
        <f t="shared" si="278"/>
        <v>-15.458071281452721</v>
      </c>
      <c r="AG527" s="686">
        <f t="shared" si="279"/>
        <v>47.629680700964727</v>
      </c>
      <c r="AH527" s="687">
        <f t="shared" si="280"/>
        <v>-6.8405927725383151</v>
      </c>
      <c r="AJ527" s="170">
        <f t="shared" si="281"/>
        <v>0</v>
      </c>
      <c r="AK527" s="170">
        <f t="shared" si="261"/>
        <v>0</v>
      </c>
      <c r="AM527" s="170" t="str">
        <f t="shared" si="285"/>
        <v>1.20861090035445-0.977998717920072i</v>
      </c>
      <c r="AN527" s="170" t="str">
        <f t="shared" si="286"/>
        <v>10.7854198926558i</v>
      </c>
      <c r="AO527" s="170" t="str">
        <f t="shared" si="287"/>
        <v>-0.090677852847067-0.112059698406127i</v>
      </c>
      <c r="AP527" s="170" t="str">
        <f t="shared" si="288"/>
        <v>-0.0347684833924092+0.162999786320012i</v>
      </c>
      <c r="AQ527" s="170" t="str">
        <f t="shared" si="289"/>
        <v>1.03476848339241-0.162999786320012i</v>
      </c>
      <c r="AR527" s="170" t="str">
        <f t="shared" si="290"/>
        <v>0.785519515651332+0.123737353095253i</v>
      </c>
    </row>
    <row r="528" spans="7:44">
      <c r="G528" s="688">
        <v>75426.25</v>
      </c>
      <c r="H528" s="676">
        <f t="shared" si="282"/>
        <v>75.426249999999996</v>
      </c>
      <c r="I528" s="677">
        <f t="shared" si="262"/>
        <v>68.262268046465664</v>
      </c>
      <c r="J528" s="678">
        <f t="shared" si="263"/>
        <v>1.556146421371746</v>
      </c>
      <c r="K528" s="678">
        <f t="shared" si="264"/>
        <v>1.0054205663579103</v>
      </c>
      <c r="L528" s="679">
        <f t="shared" si="265"/>
        <v>0.10388641523305982</v>
      </c>
      <c r="M528" s="678">
        <f t="shared" si="266"/>
        <v>1.3853902322959668</v>
      </c>
      <c r="N528" s="679">
        <f t="shared" si="267"/>
        <v>-0.76437033040001545</v>
      </c>
      <c r="O528" s="677">
        <f t="shared" si="268"/>
        <v>3127852.8945453851</v>
      </c>
      <c r="P528" s="680">
        <f t="shared" si="269"/>
        <v>1.5707960070867666</v>
      </c>
      <c r="Q528" s="689">
        <f t="shared" si="259"/>
        <v>126.16069667499666</v>
      </c>
      <c r="R528" s="690">
        <f t="shared" si="260"/>
        <v>1.5628698449510943</v>
      </c>
      <c r="S528" s="677">
        <f t="shared" si="270"/>
        <v>1.0356829769784397</v>
      </c>
      <c r="T528" s="680">
        <f t="shared" si="271"/>
        <v>0.26326127894057011</v>
      </c>
      <c r="U528" s="681">
        <f t="shared" si="283"/>
        <v>0.11210168658770932</v>
      </c>
      <c r="V528" s="682">
        <f t="shared" si="284"/>
        <v>-2.1226431902828988</v>
      </c>
      <c r="W528" s="683">
        <f t="shared" si="272"/>
        <v>-31.032917294234529</v>
      </c>
      <c r="X528" s="684">
        <f t="shared" si="273"/>
        <v>-264.15995537219368</v>
      </c>
      <c r="Y528" s="687">
        <f t="shared" si="274"/>
        <v>-84.159955372193679</v>
      </c>
      <c r="AA528" s="170">
        <f t="shared" si="275"/>
        <v>75426.25</v>
      </c>
      <c r="AB528" s="170">
        <f t="shared" si="276"/>
        <v>5689119189.0625</v>
      </c>
      <c r="AD528" s="686">
        <f t="shared" si="277"/>
        <v>16.914468519906873</v>
      </c>
      <c r="AE528" s="687">
        <f t="shared" si="278"/>
        <v>-15.537895848376028</v>
      </c>
      <c r="AG528" s="686">
        <f t="shared" si="279"/>
        <v>47.797942822360248</v>
      </c>
      <c r="AH528" s="687">
        <f t="shared" si="280"/>
        <v>-5.3850668150896297</v>
      </c>
      <c r="AJ528" s="170">
        <f t="shared" si="281"/>
        <v>0</v>
      </c>
      <c r="AK528" s="170">
        <f t="shared" si="261"/>
        <v>0</v>
      </c>
      <c r="AM528" s="170" t="str">
        <f t="shared" si="285"/>
        <v>1.14752139142836-0.989058865321494i</v>
      </c>
      <c r="AN528" s="170" t="str">
        <f t="shared" si="286"/>
        <v>10.8475125132967i</v>
      </c>
      <c r="AO528" s="170" t="str">
        <f t="shared" si="287"/>
        <v>-0.0911784028005612-0.105786593011232i</v>
      </c>
      <c r="AP528" s="170" t="str">
        <f t="shared" si="288"/>
        <v>-0.0245868985713925+0.164843144220249i</v>
      </c>
      <c r="AQ528" s="170" t="str">
        <f t="shared" si="289"/>
        <v>1.02458689857139-0.164843144220249i</v>
      </c>
      <c r="AR528" s="170" t="str">
        <f t="shared" si="290"/>
        <v>0.79249699465171+0.127502798020976i</v>
      </c>
    </row>
    <row r="529" spans="7:44">
      <c r="G529" s="688">
        <v>75858</v>
      </c>
      <c r="H529" s="676">
        <f t="shared" si="282"/>
        <v>75.858000000000004</v>
      </c>
      <c r="I529" s="677">
        <f t="shared" si="262"/>
        <v>68.652926833744289</v>
      </c>
      <c r="J529" s="678">
        <f t="shared" si="263"/>
        <v>1.5562297902902718</v>
      </c>
      <c r="K529" s="678">
        <f t="shared" si="264"/>
        <v>1.0054826303912645</v>
      </c>
      <c r="L529" s="679">
        <f t="shared" si="265"/>
        <v>0.10447676933184505</v>
      </c>
      <c r="M529" s="678">
        <f t="shared" si="266"/>
        <v>1.3891942560149215</v>
      </c>
      <c r="N529" s="679">
        <f t="shared" si="267"/>
        <v>-0.76722204059531696</v>
      </c>
      <c r="O529" s="677">
        <f t="shared" si="268"/>
        <v>3145757.1452169991</v>
      </c>
      <c r="P529" s="680">
        <f t="shared" si="269"/>
        <v>1.570796008906403</v>
      </c>
      <c r="Q529" s="689">
        <f t="shared" si="259"/>
        <v>126.88281222899816</v>
      </c>
      <c r="R529" s="690">
        <f t="shared" si="260"/>
        <v>1.562914957087115</v>
      </c>
      <c r="S529" s="677">
        <f t="shared" si="270"/>
        <v>1.0360855188211371</v>
      </c>
      <c r="T529" s="680">
        <f t="shared" si="271"/>
        <v>0.26469899508734729</v>
      </c>
      <c r="U529" s="681">
        <f t="shared" si="283"/>
        <v>0.10947742628625273</v>
      </c>
      <c r="V529" s="682">
        <f t="shared" si="284"/>
        <v>-2.1509409254199481</v>
      </c>
      <c r="W529" s="683">
        <f t="shared" si="272"/>
        <v>-31.26726061006725</v>
      </c>
      <c r="X529" s="684">
        <f t="shared" si="273"/>
        <v>-265.99542945151046</v>
      </c>
      <c r="Y529" s="687">
        <f t="shared" si="274"/>
        <v>-85.995429451510461</v>
      </c>
      <c r="AA529" s="170">
        <f t="shared" si="275"/>
        <v>75858</v>
      </c>
      <c r="AB529" s="170">
        <f t="shared" si="276"/>
        <v>5754436164</v>
      </c>
      <c r="AD529" s="686">
        <f t="shared" si="277"/>
        <v>16.911090109296975</v>
      </c>
      <c r="AE529" s="687">
        <f t="shared" si="278"/>
        <v>-15.61768628507402</v>
      </c>
      <c r="AG529" s="686">
        <f t="shared" si="279"/>
        <v>47.978480624337998</v>
      </c>
      <c r="AH529" s="687">
        <f t="shared" si="280"/>
        <v>-3.8980688677391728</v>
      </c>
      <c r="AJ529" s="170">
        <f t="shared" si="281"/>
        <v>0</v>
      </c>
      <c r="AK529" s="170">
        <f t="shared" si="261"/>
        <v>0</v>
      </c>
      <c r="AM529" s="170" t="str">
        <f t="shared" si="285"/>
        <v>1.08586329744743-0.996306927684162i</v>
      </c>
      <c r="AN529" s="170" t="str">
        <f t="shared" si="286"/>
        <v>10.9096051339376i</v>
      </c>
      <c r="AO529" s="170" t="str">
        <f t="shared" si="287"/>
        <v>-0.0913238302809742-0.0995327772285292i</v>
      </c>
      <c r="AP529" s="170" t="str">
        <f t="shared" si="288"/>
        <v>-0.0143105495745723+0.166051154614027i</v>
      </c>
      <c r="AQ529" s="170" t="str">
        <f t="shared" si="289"/>
        <v>1.01431054957457-0.166051154614027i</v>
      </c>
      <c r="AR529" s="170" t="str">
        <f t="shared" si="290"/>
        <v>0.799812179139669+0.130935970128879i</v>
      </c>
    </row>
    <row r="530" spans="7:44">
      <c r="G530" s="688">
        <v>76299.75</v>
      </c>
      <c r="H530" s="676">
        <f t="shared" si="282"/>
        <v>76.299750000000003</v>
      </c>
      <c r="I530" s="677">
        <f t="shared" si="262"/>
        <v>69.052634372986688</v>
      </c>
      <c r="J530" s="678">
        <f t="shared" si="263"/>
        <v>1.5563141138325005</v>
      </c>
      <c r="K530" s="678">
        <f t="shared" si="264"/>
        <v>1.0055464945760397</v>
      </c>
      <c r="L530" s="679">
        <f t="shared" si="265"/>
        <v>0.10508072130475926</v>
      </c>
      <c r="M530" s="678">
        <f t="shared" si="266"/>
        <v>1.3930980149730516</v>
      </c>
      <c r="N530" s="679">
        <f t="shared" si="267"/>
        <v>-0.77012365747447709</v>
      </c>
      <c r="O530" s="677">
        <f t="shared" si="268"/>
        <v>3164076.0861184131</v>
      </c>
      <c r="P530" s="680">
        <f t="shared" si="269"/>
        <v>1.570796010746871</v>
      </c>
      <c r="Q530" s="689">
        <f t="shared" si="259"/>
        <v>127.62165336402735</v>
      </c>
      <c r="R530" s="690">
        <f t="shared" si="260"/>
        <v>1.5629605857050941</v>
      </c>
      <c r="S530" s="677">
        <f t="shared" si="270"/>
        <v>1.0364995990098971</v>
      </c>
      <c r="T530" s="680">
        <f t="shared" si="271"/>
        <v>0.26616885203174018</v>
      </c>
      <c r="U530" s="681">
        <f t="shared" si="283"/>
        <v>0.10668992389210447</v>
      </c>
      <c r="V530" s="682">
        <f t="shared" si="284"/>
        <v>-2.1804714976614825</v>
      </c>
      <c r="W530" s="683">
        <f t="shared" si="272"/>
        <v>-31.52025622258239</v>
      </c>
      <c r="X530" s="684">
        <f t="shared" si="273"/>
        <v>-267.90548687230324</v>
      </c>
      <c r="Y530" s="687">
        <f t="shared" si="274"/>
        <v>-87.905486872303243</v>
      </c>
      <c r="AA530" s="170">
        <f t="shared" si="275"/>
        <v>76299.75</v>
      </c>
      <c r="AB530" s="170">
        <f t="shared" si="276"/>
        <v>5821651850.0625</v>
      </c>
      <c r="AD530" s="686">
        <f t="shared" si="277"/>
        <v>16.907616300205124</v>
      </c>
      <c r="AE530" s="687">
        <f t="shared" si="278"/>
        <v>-15.699288662784808</v>
      </c>
      <c r="AG530" s="686">
        <f t="shared" si="279"/>
        <v>48.177005767766786</v>
      </c>
      <c r="AH530" s="687">
        <f t="shared" si="280"/>
        <v>-2.3425695948621654</v>
      </c>
      <c r="AJ530" s="170">
        <f t="shared" si="281"/>
        <v>0</v>
      </c>
      <c r="AK530" s="170">
        <f t="shared" si="261"/>
        <v>0</v>
      </c>
      <c r="AM530" s="170" t="str">
        <f t="shared" si="285"/>
        <v>1.02243648870189-0.999748270303445i</v>
      </c>
      <c r="AN530" s="170" t="str">
        <f t="shared" si="286"/>
        <v>10.9731359160293i</v>
      </c>
      <c r="AO530" s="170" t="str">
        <f t="shared" si="287"/>
        <v>-0.0911087111245051-0.0931763259405489i</v>
      </c>
      <c r="AP530" s="170" t="str">
        <f t="shared" si="288"/>
        <v>-0.00373941478364863+0.166624711717241i</v>
      </c>
      <c r="AQ530" s="170" t="str">
        <f t="shared" si="289"/>
        <v>1.00373941478365-0.166624711717241i</v>
      </c>
      <c r="AR530" s="170" t="str">
        <f t="shared" si="290"/>
        <v>0.80764027641321+0.134071479356612i</v>
      </c>
    </row>
    <row r="531" spans="7:44">
      <c r="G531" s="688">
        <v>76741.5</v>
      </c>
      <c r="H531" s="676">
        <f t="shared" si="282"/>
        <v>76.741500000000002</v>
      </c>
      <c r="I531" s="677">
        <f t="shared" si="262"/>
        <v>69.452342397573545</v>
      </c>
      <c r="J531" s="678">
        <f t="shared" si="263"/>
        <v>1.5563974667875626</v>
      </c>
      <c r="K531" s="678">
        <f t="shared" si="264"/>
        <v>1.0056107254952635</v>
      </c>
      <c r="L531" s="679">
        <f t="shared" si="265"/>
        <v>0.10568459634601571</v>
      </c>
      <c r="M531" s="678">
        <f t="shared" si="266"/>
        <v>1.3970134373458138</v>
      </c>
      <c r="N531" s="679">
        <f t="shared" si="267"/>
        <v>-0.77300903375704388</v>
      </c>
      <c r="O531" s="677">
        <f t="shared" si="268"/>
        <v>3182395.0270198272</v>
      </c>
      <c r="P531" s="680">
        <f t="shared" si="269"/>
        <v>1.5707960125661502</v>
      </c>
      <c r="Q531" s="689">
        <f t="shared" si="259"/>
        <v>128.36049476170231</v>
      </c>
      <c r="R531" s="690">
        <f t="shared" si="260"/>
        <v>1.5630056890476609</v>
      </c>
      <c r="S531" s="677">
        <f t="shared" si="270"/>
        <v>1.036915916743401</v>
      </c>
      <c r="T531" s="680">
        <f t="shared" si="271"/>
        <v>0.26763753186330169</v>
      </c>
      <c r="U531" s="681">
        <f t="shared" si="283"/>
        <v>0.10379491284123847</v>
      </c>
      <c r="V531" s="682">
        <f t="shared" si="284"/>
        <v>-2.2106120677893908</v>
      </c>
      <c r="W531" s="683">
        <f t="shared" si="272"/>
        <v>-31.787893981276252</v>
      </c>
      <c r="X531" s="684">
        <f t="shared" si="273"/>
        <v>-269.84947552845813</v>
      </c>
      <c r="Y531" s="687">
        <f t="shared" si="274"/>
        <v>-89.849475528458129</v>
      </c>
      <c r="AA531" s="170">
        <f t="shared" si="275"/>
        <v>76741.5</v>
      </c>
      <c r="AB531" s="170">
        <f t="shared" si="276"/>
        <v>5889257822.25</v>
      </c>
      <c r="AD531" s="686">
        <f t="shared" si="277"/>
        <v>16.904125187836719</v>
      </c>
      <c r="AE531" s="687">
        <f t="shared" si="278"/>
        <v>-15.780853691748478</v>
      </c>
      <c r="AG531" s="686">
        <f t="shared" si="279"/>
        <v>48.390752592343588</v>
      </c>
      <c r="AH531" s="687">
        <f t="shared" si="280"/>
        <v>-0.75113829721240544</v>
      </c>
      <c r="AJ531" s="170">
        <f t="shared" si="281"/>
        <v>0</v>
      </c>
      <c r="AK531" s="170">
        <f t="shared" si="261"/>
        <v>0</v>
      </c>
      <c r="AM531" s="170" t="str">
        <f t="shared" si="285"/>
        <v>0.958919153146419-0.999155825695768i</v>
      </c>
      <c r="AN531" s="170" t="str">
        <f t="shared" si="286"/>
        <v>11.0366666981211i</v>
      </c>
      <c r="AO531" s="170" t="str">
        <f t="shared" si="287"/>
        <v>-0.090530578935202-0.0868848520459231i</v>
      </c>
      <c r="AP531" s="170" t="str">
        <f t="shared" si="288"/>
        <v>0.0068468078089302+0.166525970949295i</v>
      </c>
      <c r="AQ531" s="170" t="str">
        <f t="shared" si="289"/>
        <v>0.99315319219107-0.166525970949295i</v>
      </c>
      <c r="AR531" s="170" t="str">
        <f t="shared" si="290"/>
        <v>0.815806655862849+0.136789567352387i</v>
      </c>
    </row>
    <row r="532" spans="7:44">
      <c r="G532" s="688">
        <v>77183.25</v>
      </c>
      <c r="H532" s="676">
        <f t="shared" si="282"/>
        <v>77.183250000000001</v>
      </c>
      <c r="I532" s="677">
        <f t="shared" si="262"/>
        <v>69.852050899173179</v>
      </c>
      <c r="J532" s="678">
        <f t="shared" si="263"/>
        <v>1.5564798658160175</v>
      </c>
      <c r="K532" s="678">
        <f t="shared" si="264"/>
        <v>1.0056753230786681</v>
      </c>
      <c r="L532" s="679">
        <f t="shared" si="265"/>
        <v>0.106288394029973</v>
      </c>
      <c r="M532" s="678">
        <f t="shared" si="266"/>
        <v>1.4009404253406281</v>
      </c>
      <c r="N532" s="679">
        <f t="shared" si="267"/>
        <v>-0.77587825777022512</v>
      </c>
      <c r="O532" s="677">
        <f t="shared" si="268"/>
        <v>3200713.9679212412</v>
      </c>
      <c r="P532" s="680">
        <f t="shared" si="269"/>
        <v>1.5707960143646045</v>
      </c>
      <c r="Q532" s="689">
        <f t="shared" si="259"/>
        <v>129.0993364175136</v>
      </c>
      <c r="R532" s="690">
        <f t="shared" si="260"/>
        <v>1.5630502761331586</v>
      </c>
      <c r="S532" s="677">
        <f t="shared" si="270"/>
        <v>1.0373344693276401</v>
      </c>
      <c r="T532" s="680">
        <f t="shared" si="271"/>
        <v>0.26910502966716204</v>
      </c>
      <c r="U532" s="681">
        <f t="shared" si="283"/>
        <v>0.10078852110245817</v>
      </c>
      <c r="V532" s="682">
        <f t="shared" si="284"/>
        <v>-2.2413879753826551</v>
      </c>
      <c r="W532" s="683">
        <f t="shared" si="272"/>
        <v>-32.071607935471498</v>
      </c>
      <c r="X532" s="684">
        <f t="shared" si="273"/>
        <v>-271.82885251235734</v>
      </c>
      <c r="Y532" s="687">
        <f t="shared" si="274"/>
        <v>-91.828852512357344</v>
      </c>
      <c r="AA532" s="170">
        <f t="shared" si="275"/>
        <v>77183.25</v>
      </c>
      <c r="AB532" s="170">
        <f t="shared" si="276"/>
        <v>5957254080.5625</v>
      </c>
      <c r="AD532" s="686">
        <f t="shared" si="277"/>
        <v>16.900616814985202</v>
      </c>
      <c r="AE532" s="687">
        <f t="shared" si="278"/>
        <v>-15.862380573671576</v>
      </c>
      <c r="AG532" s="686">
        <f t="shared" si="279"/>
        <v>48.621146843904626</v>
      </c>
      <c r="AH532" s="687">
        <f t="shared" si="280"/>
        <v>0.87767083639866361</v>
      </c>
      <c r="AJ532" s="170">
        <f t="shared" si="281"/>
        <v>0</v>
      </c>
      <c r="AK532" s="170">
        <f t="shared" si="261"/>
        <v>0</v>
      </c>
      <c r="AM532" s="170" t="str">
        <f t="shared" si="285"/>
        <v>0.895567570711241-0.994531984258349i</v>
      </c>
      <c r="AN532" s="170" t="str">
        <f t="shared" si="286"/>
        <v>11.1001974802129i</v>
      </c>
      <c r="AO532" s="170" t="str">
        <f t="shared" si="287"/>
        <v>-0.0895958820580617-0.0806803277426073i</v>
      </c>
      <c r="AP532" s="170" t="str">
        <f t="shared" si="288"/>
        <v>0.0174054048814598+0.165755330709725i</v>
      </c>
      <c r="AQ532" s="170" t="str">
        <f t="shared" si="289"/>
        <v>0.98259459511854-0.165755330709725i</v>
      </c>
      <c r="AR532" s="170" t="str">
        <f t="shared" si="290"/>
        <v>0.82429861626726+0.139052148690544i</v>
      </c>
    </row>
    <row r="533" spans="7:44">
      <c r="G533" s="688">
        <v>77625</v>
      </c>
      <c r="H533" s="676">
        <f t="shared" si="282"/>
        <v>77.625</v>
      </c>
      <c r="I533" s="677">
        <f t="shared" si="262"/>
        <v>70.251759869643422</v>
      </c>
      <c r="J533" s="678">
        <f t="shared" si="263"/>
        <v>1.5565613271993046</v>
      </c>
      <c r="K533" s="678">
        <f t="shared" si="264"/>
        <v>1.0057402872556016</v>
      </c>
      <c r="L533" s="679">
        <f t="shared" si="265"/>
        <v>0.10689211393132449</v>
      </c>
      <c r="M533" s="678">
        <f t="shared" si="266"/>
        <v>1.4048788819710747</v>
      </c>
      <c r="N533" s="679">
        <f t="shared" si="267"/>
        <v>-0.77873141791890321</v>
      </c>
      <c r="O533" s="677">
        <f t="shared" si="268"/>
        <v>3219032.9088226552</v>
      </c>
      <c r="P533" s="680">
        <f t="shared" si="269"/>
        <v>1.5707960161425893</v>
      </c>
      <c r="Q533" s="689">
        <f t="shared" si="259"/>
        <v>129.83817832705452</v>
      </c>
      <c r="R533" s="690">
        <f t="shared" si="260"/>
        <v>1.5630943557746646</v>
      </c>
      <c r="S533" s="677">
        <f t="shared" si="270"/>
        <v>1.0377552540585007</v>
      </c>
      <c r="T533" s="680">
        <f t="shared" si="271"/>
        <v>0.27057134055672355</v>
      </c>
      <c r="U533" s="681">
        <f t="shared" si="283"/>
        <v>9.7666975256472721E-2</v>
      </c>
      <c r="V533" s="682">
        <f t="shared" si="284"/>
        <v>-2.272823440460904</v>
      </c>
      <c r="W533" s="683">
        <f t="shared" si="272"/>
        <v>-32.373015744967574</v>
      </c>
      <c r="X533" s="684">
        <f t="shared" si="273"/>
        <v>-273.84501076644625</v>
      </c>
      <c r="Y533" s="687">
        <f t="shared" si="274"/>
        <v>-93.845010766446251</v>
      </c>
      <c r="AA533" s="170">
        <f t="shared" si="275"/>
        <v>77625</v>
      </c>
      <c r="AB533" s="170">
        <f t="shared" si="276"/>
        <v>6025640625</v>
      </c>
      <c r="AD533" s="686">
        <f t="shared" si="277"/>
        <v>16.897091224612989</v>
      </c>
      <c r="AE533" s="687">
        <f t="shared" si="278"/>
        <v>-15.94386852364093</v>
      </c>
      <c r="AG533" s="686">
        <f t="shared" si="279"/>
        <v>48.86979802031172</v>
      </c>
      <c r="AH533" s="687">
        <f t="shared" si="280"/>
        <v>2.5452394884243557</v>
      </c>
      <c r="AJ533" s="170">
        <f t="shared" si="281"/>
        <v>0</v>
      </c>
      <c r="AK533" s="170">
        <f t="shared" si="261"/>
        <v>0</v>
      </c>
      <c r="AM533" s="170" t="str">
        <f t="shared" si="285"/>
        <v>0.832637352545408-0.985895402280074i</v>
      </c>
      <c r="AN533" s="170" t="str">
        <f t="shared" si="286"/>
        <v>11.1637282623046i</v>
      </c>
      <c r="AO533" s="170" t="str">
        <f t="shared" si="287"/>
        <v>-0.0883123790829847-0.074584165162537i</v>
      </c>
      <c r="AP533" s="170" t="str">
        <f t="shared" si="288"/>
        <v>0.0278937745757653+0.164315900380012i</v>
      </c>
      <c r="AQ533" s="170" t="str">
        <f t="shared" si="289"/>
        <v>0.972106225424235-0.164315900380012i</v>
      </c>
      <c r="AR533" s="170" t="str">
        <f t="shared" si="290"/>
        <v>0.833099409777874+0.140819466066033i</v>
      </c>
    </row>
    <row r="534" spans="7:44">
      <c r="G534" s="688">
        <v>78077</v>
      </c>
      <c r="H534" s="676">
        <f t="shared" si="282"/>
        <v>78.076999999999998</v>
      </c>
      <c r="I534" s="677">
        <f t="shared" si="262"/>
        <v>70.660743832007768</v>
      </c>
      <c r="J534" s="678">
        <f t="shared" si="263"/>
        <v>1.5566437248091587</v>
      </c>
      <c r="K534" s="678">
        <f t="shared" si="264"/>
        <v>1.0058071381846405</v>
      </c>
      <c r="L534" s="679">
        <f t="shared" si="265"/>
        <v>0.10750976109367981</v>
      </c>
      <c r="M534" s="678">
        <f t="shared" si="266"/>
        <v>1.4089204938408382</v>
      </c>
      <c r="N534" s="679">
        <f t="shared" si="267"/>
        <v>-0.78163424541285376</v>
      </c>
      <c r="O534" s="677">
        <f t="shared" si="268"/>
        <v>3237776.9072096148</v>
      </c>
      <c r="P534" s="680">
        <f t="shared" si="269"/>
        <v>1.5707960179410043</v>
      </c>
      <c r="Q534" s="689">
        <f t="shared" si="259"/>
        <v>130.59416396858137</v>
      </c>
      <c r="R534" s="690">
        <f t="shared" si="260"/>
        <v>1.5631389419450048</v>
      </c>
      <c r="S534" s="677">
        <f t="shared" si="270"/>
        <v>1.0381881099343657</v>
      </c>
      <c r="T534" s="680">
        <f t="shared" si="271"/>
        <v>0.27207044089450433</v>
      </c>
      <c r="U534" s="681">
        <f t="shared" si="283"/>
        <v>9.4350054862298152E-2</v>
      </c>
      <c r="V534" s="682">
        <f t="shared" si="284"/>
        <v>-2.3056947400849239</v>
      </c>
      <c r="W534" s="683">
        <f t="shared" si="272"/>
        <v>-32.701643098741052</v>
      </c>
      <c r="X534" s="684">
        <f t="shared" si="273"/>
        <v>-275.94738735420611</v>
      </c>
      <c r="Y534" s="687">
        <f t="shared" si="274"/>
        <v>-95.947387354206114</v>
      </c>
      <c r="AA534" s="170">
        <f t="shared" si="275"/>
        <v>78077</v>
      </c>
      <c r="AB534" s="170">
        <f t="shared" si="276"/>
        <v>6096017929</v>
      </c>
      <c r="AD534" s="686">
        <f t="shared" si="277"/>
        <v>16.893466052951172</v>
      </c>
      <c r="AE534" s="687">
        <f t="shared" si="278"/>
        <v>-16.02720614981407</v>
      </c>
      <c r="AG534" s="686">
        <f t="shared" si="279"/>
        <v>49.1450190704427</v>
      </c>
      <c r="AH534" s="687">
        <f t="shared" si="280"/>
        <v>4.2929740022744296</v>
      </c>
      <c r="AJ534" s="170">
        <f t="shared" si="281"/>
        <v>0</v>
      </c>
      <c r="AK534" s="170">
        <f t="shared" si="261"/>
        <v>0</v>
      </c>
      <c r="AM534" s="170" t="str">
        <f t="shared" si="285"/>
        <v>0.768947931189567-0.972941386466019i</v>
      </c>
      <c r="AN534" s="170" t="str">
        <f t="shared" si="286"/>
        <v>11.2287331598835i</v>
      </c>
      <c r="AO534" s="170" t="str">
        <f t="shared" si="287"/>
        <v>-0.0866474759541007-0.0684803815569115i</v>
      </c>
      <c r="AP534" s="170" t="str">
        <f t="shared" si="288"/>
        <v>0.0385086781350722+0.162156897744337i</v>
      </c>
      <c r="AQ534" s="170" t="str">
        <f t="shared" si="289"/>
        <v>0.961491321864928-0.162156897744337i</v>
      </c>
      <c r="AR534" s="170" t="str">
        <f t="shared" si="290"/>
        <v>0.84240177966543+0.142072274744924i</v>
      </c>
    </row>
    <row r="535" spans="7:44">
      <c r="G535" s="688">
        <v>78529</v>
      </c>
      <c r="H535" s="676">
        <f t="shared" si="282"/>
        <v>78.528999999999996</v>
      </c>
      <c r="I535" s="677">
        <f t="shared" si="262"/>
        <v>71.069728268592257</v>
      </c>
      <c r="J535" s="678">
        <f t="shared" si="263"/>
        <v>1.5567251740737356</v>
      </c>
      <c r="K535" s="678">
        <f t="shared" si="264"/>
        <v>1.0058743727659625</v>
      </c>
      <c r="L535" s="679">
        <f t="shared" si="265"/>
        <v>0.10812732592214956</v>
      </c>
      <c r="M535" s="678">
        <f t="shared" si="266"/>
        <v>1.4129739098734559</v>
      </c>
      <c r="N535" s="679">
        <f t="shared" si="267"/>
        <v>-0.7845204423555735</v>
      </c>
      <c r="O535" s="677">
        <f t="shared" si="268"/>
        <v>3256520.9055965738</v>
      </c>
      <c r="P535" s="680">
        <f t="shared" si="269"/>
        <v>1.5707960197187165</v>
      </c>
      <c r="Q535" s="689">
        <f t="shared" ref="Q535:Q598" si="291">SQRT(1+(G535/Zero2)^2)</f>
        <v>131.35014986673144</v>
      </c>
      <c r="R535" s="690">
        <f t="shared" ref="R535:R598" si="292">ATAN(G535/Zero2)</f>
        <v>1.5631830148839498</v>
      </c>
      <c r="S535" s="677">
        <f t="shared" si="270"/>
        <v>1.0386232969845051</v>
      </c>
      <c r="T535" s="680">
        <f t="shared" si="271"/>
        <v>0.27356828833874725</v>
      </c>
      <c r="U535" s="681">
        <f t="shared" si="283"/>
        <v>9.0905240307406557E-2</v>
      </c>
      <c r="V535" s="682">
        <f t="shared" si="284"/>
        <v>-2.3393028070219271</v>
      </c>
      <c r="W535" s="683">
        <f t="shared" si="272"/>
        <v>-33.052946232208022</v>
      </c>
      <c r="X535" s="684">
        <f t="shared" si="273"/>
        <v>-278.09093273963066</v>
      </c>
      <c r="Y535" s="687">
        <f t="shared" si="274"/>
        <v>-98.090932739630659</v>
      </c>
      <c r="AA535" s="170">
        <f t="shared" si="275"/>
        <v>78529</v>
      </c>
      <c r="AB535" s="170">
        <f t="shared" si="276"/>
        <v>6166803841</v>
      </c>
      <c r="AD535" s="686">
        <f t="shared" si="277"/>
        <v>16.889822947028627</v>
      </c>
      <c r="AE535" s="687">
        <f t="shared" si="278"/>
        <v>-16.110501395281936</v>
      </c>
      <c r="AG535" s="686">
        <f t="shared" si="279"/>
        <v>49.443488555953586</v>
      </c>
      <c r="AH535" s="687">
        <f t="shared" si="280"/>
        <v>6.0839246528852682</v>
      </c>
      <c r="AJ535" s="170">
        <f t="shared" si="281"/>
        <v>0</v>
      </c>
      <c r="AK535" s="170">
        <f t="shared" ref="AK535:AK598" si="293">IF(AJ535&gt;0,Y535,0)</f>
        <v>0</v>
      </c>
      <c r="AM535" s="170" t="str">
        <f t="shared" si="285"/>
        <v>0.706234508180276-0.955877521346702i</v>
      </c>
      <c r="AN535" s="170" t="str">
        <f t="shared" si="286"/>
        <v>11.2937380574624i</v>
      </c>
      <c r="AO535" s="170" t="str">
        <f t="shared" si="287"/>
        <v>-0.0846378335041249-0.0625332821238605i</v>
      </c>
      <c r="AP535" s="170" t="str">
        <f t="shared" si="288"/>
        <v>0.0489609153032873+0.15931292022445i</v>
      </c>
      <c r="AQ535" s="170" t="str">
        <f t="shared" si="289"/>
        <v>0.951039084696713-0.15931292022445i</v>
      </c>
      <c r="AR535" s="170" t="str">
        <f t="shared" si="290"/>
        <v>0.851976652902453+0.142718517799116i</v>
      </c>
    </row>
    <row r="536" spans="7:44">
      <c r="G536" s="688">
        <v>78981</v>
      </c>
      <c r="H536" s="676">
        <f t="shared" si="282"/>
        <v>78.980999999999995</v>
      </c>
      <c r="I536" s="677">
        <f t="shared" si="262"/>
        <v>71.478713171256743</v>
      </c>
      <c r="J536" s="678">
        <f t="shared" si="263"/>
        <v>1.5568056912705917</v>
      </c>
      <c r="K536" s="678">
        <f t="shared" si="264"/>
        <v>1.0059419909226406</v>
      </c>
      <c r="L536" s="679">
        <f t="shared" si="265"/>
        <v>0.10874480796222859</v>
      </c>
      <c r="M536" s="678">
        <f t="shared" si="266"/>
        <v>1.4170390287721104</v>
      </c>
      <c r="N536" s="679">
        <f t="shared" si="267"/>
        <v>-0.78739010358210781</v>
      </c>
      <c r="O536" s="677">
        <f t="shared" si="268"/>
        <v>3275264.9039835329</v>
      </c>
      <c r="P536" s="680">
        <f t="shared" si="269"/>
        <v>1.5707960214760814</v>
      </c>
      <c r="Q536" s="689">
        <f t="shared" si="291"/>
        <v>132.10613601709909</v>
      </c>
      <c r="R536" s="690">
        <f t="shared" si="292"/>
        <v>1.5632265834023293</v>
      </c>
      <c r="S536" s="677">
        <f t="shared" si="270"/>
        <v>1.0390608122798404</v>
      </c>
      <c r="T536" s="680">
        <f t="shared" si="271"/>
        <v>0.27506487774694582</v>
      </c>
      <c r="U536" s="681">
        <f t="shared" si="283"/>
        <v>8.7329364339503515E-2</v>
      </c>
      <c r="V536" s="682">
        <f t="shared" si="284"/>
        <v>-2.3736675943553496</v>
      </c>
      <c r="W536" s="683">
        <f t="shared" si="272"/>
        <v>-33.429483780388701</v>
      </c>
      <c r="X536" s="684">
        <f t="shared" si="273"/>
        <v>-280.27679574306785</v>
      </c>
      <c r="Y536" s="687">
        <f t="shared" si="274"/>
        <v>-100.27679574306785</v>
      </c>
      <c r="AA536" s="170">
        <f t="shared" si="275"/>
        <v>78981</v>
      </c>
      <c r="AB536" s="170">
        <f t="shared" si="276"/>
        <v>6237998361</v>
      </c>
      <c r="AD536" s="686">
        <f t="shared" si="277"/>
        <v>16.886161953399188</v>
      </c>
      <c r="AE536" s="687">
        <f t="shared" si="278"/>
        <v>-16.193753460597641</v>
      </c>
      <c r="AG536" s="686">
        <f t="shared" si="279"/>
        <v>49.767756810065379</v>
      </c>
      <c r="AH536" s="687">
        <f t="shared" si="280"/>
        <v>7.9192282754029772</v>
      </c>
      <c r="AJ536" s="170">
        <f t="shared" si="281"/>
        <v>0</v>
      </c>
      <c r="AK536" s="170">
        <f t="shared" si="293"/>
        <v>0</v>
      </c>
      <c r="AM536" s="170" t="str">
        <f t="shared" si="285"/>
        <v>0.644761994355503-0.934775887229512i</v>
      </c>
      <c r="AN536" s="170" t="str">
        <f t="shared" si="286"/>
        <v>11.3587429550413i</v>
      </c>
      <c r="AO536" s="170" t="str">
        <f t="shared" si="287"/>
        <v>-0.0822957162539394-0.0567634989987463i</v>
      </c>
      <c r="AP536" s="170" t="str">
        <f t="shared" si="288"/>
        <v>0.0592063342740828+0.155795981204919i</v>
      </c>
      <c r="AQ536" s="170" t="str">
        <f t="shared" si="289"/>
        <v>0.940793665725917-0.155795981204919i</v>
      </c>
      <c r="AR536" s="170" t="str">
        <f t="shared" si="290"/>
        <v>0.861789302883636+0.142712812517781i</v>
      </c>
    </row>
    <row r="537" spans="7:44">
      <c r="G537" s="688">
        <v>79433</v>
      </c>
      <c r="H537" s="676">
        <f t="shared" si="282"/>
        <v>79.433000000000007</v>
      </c>
      <c r="I537" s="677">
        <f t="shared" si="262"/>
        <v>71.887698532046329</v>
      </c>
      <c r="J537" s="678">
        <f t="shared" si="263"/>
        <v>1.5568852923069054</v>
      </c>
      <c r="K537" s="678">
        <f t="shared" si="264"/>
        <v>1.0060099925773296</v>
      </c>
      <c r="L537" s="679">
        <f t="shared" si="265"/>
        <v>0.10936220675978608</v>
      </c>
      <c r="M537" s="678">
        <f t="shared" si="266"/>
        <v>1.4211157501082332</v>
      </c>
      <c r="N537" s="679">
        <f t="shared" si="267"/>
        <v>-0.79024332393335295</v>
      </c>
      <c r="O537" s="677">
        <f t="shared" si="268"/>
        <v>3294008.902370492</v>
      </c>
      <c r="P537" s="680">
        <f t="shared" si="269"/>
        <v>1.5707960232134464</v>
      </c>
      <c r="Q537" s="689">
        <f t="shared" si="291"/>
        <v>132.86212241537899</v>
      </c>
      <c r="R537" s="690">
        <f t="shared" si="292"/>
        <v>1.5632696561104464</v>
      </c>
      <c r="S537" s="677">
        <f t="shared" si="270"/>
        <v>1.039500652880567</v>
      </c>
      <c r="T537" s="680">
        <f t="shared" si="271"/>
        <v>0.27656020400776998</v>
      </c>
      <c r="U537" s="681">
        <f t="shared" si="283"/>
        <v>8.3619786287924755E-2</v>
      </c>
      <c r="V537" s="682">
        <f t="shared" si="284"/>
        <v>-2.4088060817062074</v>
      </c>
      <c r="W537" s="683">
        <f t="shared" si="272"/>
        <v>-33.834204661789244</v>
      </c>
      <c r="X537" s="684">
        <f t="shared" si="273"/>
        <v>-282.50595481038602</v>
      </c>
      <c r="Y537" s="687">
        <f t="shared" si="274"/>
        <v>-102.50595481038602</v>
      </c>
      <c r="AA537" s="170">
        <f t="shared" si="275"/>
        <v>79433</v>
      </c>
      <c r="AB537" s="170">
        <f t="shared" si="276"/>
        <v>6309601489</v>
      </c>
      <c r="AD537" s="686">
        <f t="shared" si="277"/>
        <v>16.882483118789654</v>
      </c>
      <c r="AE537" s="687">
        <f t="shared" si="278"/>
        <v>-16.276961559589392</v>
      </c>
      <c r="AG537" s="686">
        <f t="shared" si="279"/>
        <v>50.120764592330588</v>
      </c>
      <c r="AH537" s="687">
        <f t="shared" si="280"/>
        <v>9.7998513590335463</v>
      </c>
      <c r="AJ537" s="170">
        <f t="shared" si="281"/>
        <v>0</v>
      </c>
      <c r="AK537" s="170">
        <f t="shared" si="293"/>
        <v>0</v>
      </c>
      <c r="AM537" s="170" t="str">
        <f t="shared" si="285"/>
        <v>0.584790058768032-0.909725620559378i</v>
      </c>
      <c r="AN537" s="170" t="str">
        <f t="shared" si="286"/>
        <v>11.4237478526202i</v>
      </c>
      <c r="AO537" s="170" t="str">
        <f t="shared" si="287"/>
        <v>-0.0796346026099236-0.0511907358524113i</v>
      </c>
      <c r="AP537" s="170" t="str">
        <f t="shared" si="288"/>
        <v>0.0692016568719947+0.151620936759896i</v>
      </c>
      <c r="AQ537" s="170" t="str">
        <f t="shared" si="289"/>
        <v>0.930798343128005-0.151620936759896i</v>
      </c>
      <c r="AR537" s="170" t="str">
        <f t="shared" si="290"/>
        <v>0.871798158347137+0.142010194162934i</v>
      </c>
    </row>
    <row r="538" spans="7:44">
      <c r="G538" s="688">
        <v>79895.5</v>
      </c>
      <c r="H538" s="676">
        <f t="shared" si="282"/>
        <v>79.895499999999998</v>
      </c>
      <c r="I538" s="677">
        <f t="shared" si="262"/>
        <v>72.306185125063436</v>
      </c>
      <c r="J538" s="678">
        <f t="shared" si="263"/>
        <v>1.556965810366564</v>
      </c>
      <c r="K538" s="678">
        <f t="shared" si="264"/>
        <v>1.0060799707998809</v>
      </c>
      <c r="L538" s="679">
        <f t="shared" si="265"/>
        <v>0.1099938611471466</v>
      </c>
      <c r="M538" s="678">
        <f t="shared" si="266"/>
        <v>1.4252990800447449</v>
      </c>
      <c r="N538" s="679">
        <f t="shared" si="267"/>
        <v>-0.79314590556788256</v>
      </c>
      <c r="O538" s="677">
        <f t="shared" si="268"/>
        <v>3313188.3254987411</v>
      </c>
      <c r="P538" s="680">
        <f t="shared" si="269"/>
        <v>1.5707960249708222</v>
      </c>
      <c r="Q538" s="689">
        <f t="shared" si="291"/>
        <v>133.63567069682122</v>
      </c>
      <c r="R538" s="690">
        <f t="shared" si="292"/>
        <v>1.5633132249580235</v>
      </c>
      <c r="S538" s="677">
        <f t="shared" si="270"/>
        <v>1.0399531148979901</v>
      </c>
      <c r="T538" s="680">
        <f t="shared" si="271"/>
        <v>0.27808895402820255</v>
      </c>
      <c r="U538" s="681">
        <f t="shared" si="283"/>
        <v>7.9683581414747615E-2</v>
      </c>
      <c r="V538" s="682">
        <f t="shared" si="284"/>
        <v>-2.445575715304908</v>
      </c>
      <c r="W538" s="683">
        <f t="shared" si="272"/>
        <v>-34.281073693807485</v>
      </c>
      <c r="X538" s="684">
        <f t="shared" si="273"/>
        <v>-284.83252223803669</v>
      </c>
      <c r="Y538" s="687">
        <f t="shared" si="274"/>
        <v>-104.83252223803669</v>
      </c>
      <c r="AA538" s="170">
        <f t="shared" si="275"/>
        <v>79895.5</v>
      </c>
      <c r="AB538" s="170">
        <f t="shared" si="276"/>
        <v>6383290920.25</v>
      </c>
      <c r="AD538" s="686">
        <f t="shared" si="277"/>
        <v>16.87870040598176</v>
      </c>
      <c r="AE538" s="687">
        <f t="shared" si="278"/>
        <v>-16.362056273393755</v>
      </c>
      <c r="AG538" s="686">
        <f t="shared" si="279"/>
        <v>50.515286586980508</v>
      </c>
      <c r="AH538" s="687">
        <f t="shared" si="280"/>
        <v>11.771868288897814</v>
      </c>
      <c r="AJ538" s="170">
        <f t="shared" si="281"/>
        <v>0</v>
      </c>
      <c r="AK538" s="170">
        <f t="shared" si="293"/>
        <v>0</v>
      </c>
      <c r="AM538" s="170" t="str">
        <f t="shared" si="285"/>
        <v>0.525242453721438-0.880116624233152i</v>
      </c>
      <c r="AN538" s="170" t="str">
        <f t="shared" si="286"/>
        <v>11.4902628197225i</v>
      </c>
      <c r="AO538" s="170" t="str">
        <f t="shared" si="287"/>
        <v>-0.076596735691935-0.0457119616811448i</v>
      </c>
      <c r="AP538" s="170" t="str">
        <f t="shared" si="288"/>
        <v>0.0791262577130937+0.146686104038859i</v>
      </c>
      <c r="AQ538" s="170" t="str">
        <f t="shared" si="289"/>
        <v>0.920873742286906-0.146686104038859i</v>
      </c>
      <c r="AR538" s="170" t="str">
        <f t="shared" si="290"/>
        <v>0.882191536621305+0.140524410221175i</v>
      </c>
    </row>
    <row r="539" spans="7:44">
      <c r="G539" s="688">
        <v>80358</v>
      </c>
      <c r="H539" s="676">
        <f t="shared" si="282"/>
        <v>80.358000000000004</v>
      </c>
      <c r="I539" s="677">
        <f t="shared" si="262"/>
        <v>72.724672181457962</v>
      </c>
      <c r="J539" s="678">
        <f t="shared" si="263"/>
        <v>1.5570454017600395</v>
      </c>
      <c r="K539" s="678">
        <f t="shared" si="264"/>
        <v>1.0061503503795974</v>
      </c>
      <c r="L539" s="679">
        <f t="shared" si="265"/>
        <v>0.11062542741881609</v>
      </c>
      <c r="M539" s="678">
        <f t="shared" si="266"/>
        <v>1.4294943477568185</v>
      </c>
      <c r="N539" s="679">
        <f t="shared" si="267"/>
        <v>-0.79603147445143896</v>
      </c>
      <c r="O539" s="677">
        <f t="shared" si="268"/>
        <v>3332367.7486269902</v>
      </c>
      <c r="P539" s="680">
        <f t="shared" si="269"/>
        <v>1.5707960267079688</v>
      </c>
      <c r="Q539" s="689">
        <f t="shared" si="291"/>
        <v>134.40921922901674</v>
      </c>
      <c r="R539" s="690">
        <f t="shared" si="292"/>
        <v>1.5633562923130266</v>
      </c>
      <c r="S539" s="677">
        <f t="shared" si="270"/>
        <v>1.0404080052482652</v>
      </c>
      <c r="T539" s="680">
        <f t="shared" si="271"/>
        <v>0.27961637080626972</v>
      </c>
      <c r="U539" s="681">
        <f t="shared" si="283"/>
        <v>7.5604094298224442E-2</v>
      </c>
      <c r="V539" s="682">
        <f t="shared" si="284"/>
        <v>-2.4831794202238324</v>
      </c>
      <c r="W539" s="683">
        <f t="shared" si="272"/>
        <v>-34.76533571577508</v>
      </c>
      <c r="X539" s="684">
        <f t="shared" si="273"/>
        <v>-287.20580797105794</v>
      </c>
      <c r="Y539" s="687">
        <f t="shared" si="274"/>
        <v>-107.20580797105794</v>
      </c>
      <c r="AA539" s="170">
        <f t="shared" si="275"/>
        <v>80358</v>
      </c>
      <c r="AB539" s="170">
        <f t="shared" si="276"/>
        <v>6457408164</v>
      </c>
      <c r="AD539" s="686">
        <f t="shared" si="277"/>
        <v>16.874899113195088</v>
      </c>
      <c r="AE539" s="687">
        <f t="shared" si="278"/>
        <v>-16.447103330286357</v>
      </c>
      <c r="AG539" s="686">
        <f t="shared" si="279"/>
        <v>50.947767069786551</v>
      </c>
      <c r="AH539" s="687">
        <f t="shared" si="280"/>
        <v>13.792696789512355</v>
      </c>
      <c r="AJ539" s="170">
        <f t="shared" si="281"/>
        <v>0</v>
      </c>
      <c r="AK539" s="170">
        <f t="shared" si="293"/>
        <v>0</v>
      </c>
      <c r="AM539" s="170" t="str">
        <f t="shared" si="285"/>
        <v>0.467794516113467-0.846615215384829i</v>
      </c>
      <c r="AN539" s="170" t="str">
        <f t="shared" si="286"/>
        <v>11.5567777868248i</v>
      </c>
      <c r="AO539" s="170" t="str">
        <f t="shared" si="287"/>
        <v>-0.0732570298574058-0.0404779363887027i</v>
      </c>
      <c r="AP539" s="170" t="str">
        <f t="shared" si="288"/>
        <v>0.0887009139810888+0.141102535897471i</v>
      </c>
      <c r="AQ539" s="170" t="str">
        <f t="shared" si="289"/>
        <v>0.911299086018911-0.141102535897471i</v>
      </c>
      <c r="AR539" s="170" t="str">
        <f t="shared" si="290"/>
        <v>0.892678278140819+0.138219351603348i</v>
      </c>
    </row>
    <row r="540" spans="7:44">
      <c r="G540" s="688">
        <v>80820.5</v>
      </c>
      <c r="H540" s="676">
        <f t="shared" si="282"/>
        <v>80.820499999999996</v>
      </c>
      <c r="I540" s="677">
        <f t="shared" si="262"/>
        <v>73.143159693276289</v>
      </c>
      <c r="J540" s="678">
        <f t="shared" si="263"/>
        <v>1.5571240823920356</v>
      </c>
      <c r="K540" s="678">
        <f t="shared" si="264"/>
        <v>1.006221131232262</v>
      </c>
      <c r="L540" s="679">
        <f t="shared" si="265"/>
        <v>0.11125690508950409</v>
      </c>
      <c r="M540" s="678">
        <f t="shared" si="266"/>
        <v>1.4337014484482375</v>
      </c>
      <c r="N540" s="679">
        <f t="shared" si="267"/>
        <v>-0.79890013208785715</v>
      </c>
      <c r="O540" s="677">
        <f t="shared" si="268"/>
        <v>3351547.1717552394</v>
      </c>
      <c r="P540" s="680">
        <f t="shared" si="269"/>
        <v>1.5707960284252336</v>
      </c>
      <c r="Q540" s="689">
        <f t="shared" si="291"/>
        <v>135.18276800766094</v>
      </c>
      <c r="R540" s="690">
        <f t="shared" si="292"/>
        <v>1.5633988667842835</v>
      </c>
      <c r="S540" s="677">
        <f t="shared" si="270"/>
        <v>1.0408653207476226</v>
      </c>
      <c r="T540" s="680">
        <f t="shared" si="271"/>
        <v>0.28114244896773194</v>
      </c>
      <c r="U540" s="681">
        <f t="shared" si="283"/>
        <v>7.1381165183889123E-2</v>
      </c>
      <c r="V540" s="682">
        <f t="shared" si="284"/>
        <v>-2.5216219328042682</v>
      </c>
      <c r="W540" s="683">
        <f t="shared" si="272"/>
        <v>-35.292091440443485</v>
      </c>
      <c r="X540" s="684">
        <f t="shared" si="273"/>
        <v>-289.62608933548432</v>
      </c>
      <c r="Y540" s="687">
        <f t="shared" si="274"/>
        <v>-109.62608933548432</v>
      </c>
      <c r="AA540" s="170">
        <f t="shared" si="275"/>
        <v>80820.5</v>
      </c>
      <c r="AB540" s="170">
        <f t="shared" si="276"/>
        <v>6531953220.25</v>
      </c>
      <c r="AD540" s="686">
        <f t="shared" si="277"/>
        <v>16.871079291031982</v>
      </c>
      <c r="AE540" s="687">
        <f t="shared" si="278"/>
        <v>-16.532101929116347</v>
      </c>
      <c r="AG540" s="686">
        <f t="shared" si="279"/>
        <v>51.423298458231741</v>
      </c>
      <c r="AH540" s="687">
        <f t="shared" si="280"/>
        <v>15.862601478424747</v>
      </c>
      <c r="AJ540" s="170">
        <f t="shared" si="281"/>
        <v>0</v>
      </c>
      <c r="AK540" s="170">
        <f t="shared" si="293"/>
        <v>0</v>
      </c>
      <c r="AM540" s="170" t="str">
        <f t="shared" si="285"/>
        <v>0.412700315763456-0.80936955767786i</v>
      </c>
      <c r="AN540" s="170" t="str">
        <f t="shared" si="286"/>
        <v>11.6232927539271i</v>
      </c>
      <c r="AO540" s="170" t="str">
        <f t="shared" si="287"/>
        <v>-0.0696334141118835-0.0355063168846039i</v>
      </c>
      <c r="AP540" s="170" t="str">
        <f t="shared" si="288"/>
        <v>0.0978832807060907+0.134894926279643i</v>
      </c>
      <c r="AQ540" s="170" t="str">
        <f t="shared" si="289"/>
        <v>0.902116719293909-0.134894926279643i</v>
      </c>
      <c r="AR540" s="170" t="str">
        <f t="shared" si="290"/>
        <v>0.90318881812+0.135055238896644i</v>
      </c>
    </row>
    <row r="541" spans="7:44">
      <c r="G541" s="688">
        <v>81283</v>
      </c>
      <c r="H541" s="676">
        <f t="shared" si="282"/>
        <v>81.283000000000001</v>
      </c>
      <c r="I541" s="677">
        <f t="shared" si="262"/>
        <v>73.561647652745791</v>
      </c>
      <c r="J541" s="678">
        <f t="shared" si="263"/>
        <v>1.5572018678053781</v>
      </c>
      <c r="K541" s="678">
        <f t="shared" si="264"/>
        <v>1.0062923132731991</v>
      </c>
      <c r="L541" s="679">
        <f t="shared" si="265"/>
        <v>0.11188829367433888</v>
      </c>
      <c r="M541" s="678">
        <f t="shared" si="266"/>
        <v>1.437920278255385</v>
      </c>
      <c r="N541" s="679">
        <f t="shared" si="267"/>
        <v>-0.80175197990807379</v>
      </c>
      <c r="O541" s="677">
        <f t="shared" si="268"/>
        <v>3370726.5948834885</v>
      </c>
      <c r="P541" s="680">
        <f t="shared" si="269"/>
        <v>1.570796030122956</v>
      </c>
      <c r="Q541" s="689">
        <f t="shared" si="291"/>
        <v>135.95631702854723</v>
      </c>
      <c r="R541" s="690">
        <f t="shared" si="292"/>
        <v>1.5634409567847023</v>
      </c>
      <c r="S541" s="677">
        <f t="shared" si="270"/>
        <v>1.0413250582009264</v>
      </c>
      <c r="T541" s="680">
        <f t="shared" si="271"/>
        <v>0.28266718317270528</v>
      </c>
      <c r="U541" s="681">
        <f t="shared" si="283"/>
        <v>6.7015889248103824E-2</v>
      </c>
      <c r="V541" s="682">
        <f t="shared" si="284"/>
        <v>-2.5609020833668383</v>
      </c>
      <c r="W541" s="683">
        <f t="shared" si="272"/>
        <v>-35.867465195696951</v>
      </c>
      <c r="X541" s="684">
        <f t="shared" si="273"/>
        <v>-292.09330525555049</v>
      </c>
      <c r="Y541" s="687">
        <f t="shared" si="274"/>
        <v>-112.09330525555049</v>
      </c>
      <c r="AA541" s="170">
        <f t="shared" si="275"/>
        <v>81283</v>
      </c>
      <c r="AB541" s="170">
        <f t="shared" si="276"/>
        <v>6606926089</v>
      </c>
      <c r="AD541" s="686">
        <f t="shared" si="277"/>
        <v>16.86724099027148</v>
      </c>
      <c r="AE541" s="687">
        <f t="shared" si="278"/>
        <v>-16.617051281926255</v>
      </c>
      <c r="AG541" s="686">
        <f t="shared" si="279"/>
        <v>51.947996929058853</v>
      </c>
      <c r="AH541" s="687">
        <f t="shared" si="280"/>
        <v>17.981508608059212</v>
      </c>
      <c r="AJ541" s="170">
        <f t="shared" si="281"/>
        <v>0</v>
      </c>
      <c r="AK541" s="170">
        <f t="shared" si="293"/>
        <v>0</v>
      </c>
      <c r="AM541" s="170" t="str">
        <f t="shared" si="285"/>
        <v>0.360203512828971-0.768544374127878i</v>
      </c>
      <c r="AN541" s="170" t="str">
        <f t="shared" si="286"/>
        <v>11.6898077210294i</v>
      </c>
      <c r="AO541" s="170" t="str">
        <f t="shared" si="287"/>
        <v>-0.0657448259602511-0.0308134677169225i</v>
      </c>
      <c r="AP541" s="170" t="str">
        <f t="shared" si="288"/>
        <v>0.106632747861838+0.128090729021313i</v>
      </c>
      <c r="AQ541" s="170" t="str">
        <f t="shared" si="289"/>
        <v>0.893367252138162-0.128090729021313i</v>
      </c>
      <c r="AR541" s="170" t="str">
        <f t="shared" si="290"/>
        <v>0.913644812272652+0.130998119519659i</v>
      </c>
    </row>
    <row r="542" spans="7:44">
      <c r="G542" s="688">
        <v>81756.25</v>
      </c>
      <c r="H542" s="676">
        <f t="shared" si="282"/>
        <v>81.756249999999994</v>
      </c>
      <c r="I542" s="677">
        <f t="shared" si="262"/>
        <v>73.989863085107416</v>
      </c>
      <c r="J542" s="678">
        <f t="shared" si="263"/>
        <v>1.5572805503765248</v>
      </c>
      <c r="K542" s="678">
        <f t="shared" si="264"/>
        <v>1.0063655650108403</v>
      </c>
      <c r="L542" s="679">
        <f t="shared" si="265"/>
        <v>0.11253426505639365</v>
      </c>
      <c r="M542" s="678">
        <f t="shared" si="266"/>
        <v>1.442249201195279</v>
      </c>
      <c r="N542" s="679">
        <f t="shared" si="267"/>
        <v>-0.80465281920405762</v>
      </c>
      <c r="O542" s="677">
        <f t="shared" si="268"/>
        <v>3390351.8100087726</v>
      </c>
      <c r="P542" s="680">
        <f t="shared" si="269"/>
        <v>1.5707960318402558</v>
      </c>
      <c r="Q542" s="689">
        <f t="shared" si="291"/>
        <v>136.74784608395143</v>
      </c>
      <c r="R542" s="690">
        <f t="shared" si="292"/>
        <v>1.5634835321767699</v>
      </c>
      <c r="S542" s="677">
        <f t="shared" si="270"/>
        <v>1.0417979851481154</v>
      </c>
      <c r="T542" s="680">
        <f t="shared" si="271"/>
        <v>0.2842259604350641</v>
      </c>
      <c r="U542" s="681">
        <f t="shared" si="283"/>
        <v>6.2404454202694859E-2</v>
      </c>
      <c r="V542" s="682">
        <f t="shared" si="284"/>
        <v>-2.6019541539871414</v>
      </c>
      <c r="W542" s="683">
        <f t="shared" si="272"/>
        <v>-36.514328979196051</v>
      </c>
      <c r="X542" s="684">
        <f t="shared" si="273"/>
        <v>-294.66599030583365</v>
      </c>
      <c r="Y542" s="687">
        <f t="shared" si="274"/>
        <v>-114.66599030583365</v>
      </c>
      <c r="AA542" s="170">
        <f t="shared" si="275"/>
        <v>81756.25</v>
      </c>
      <c r="AB542" s="170">
        <f t="shared" si="276"/>
        <v>6684084414.0625</v>
      </c>
      <c r="AD542" s="686">
        <f t="shared" si="277"/>
        <v>16.863294400262458</v>
      </c>
      <c r="AE542" s="687">
        <f t="shared" si="278"/>
        <v>-16.703923348477083</v>
      </c>
      <c r="AG542" s="686">
        <f t="shared" si="279"/>
        <v>52.543567558095752</v>
      </c>
      <c r="AH542" s="687">
        <f t="shared" si="280"/>
        <v>20.199916403334932</v>
      </c>
      <c r="AJ542" s="170">
        <f t="shared" si="281"/>
        <v>0</v>
      </c>
      <c r="AK542" s="170">
        <f t="shared" si="293"/>
        <v>0</v>
      </c>
      <c r="AM542" s="170" t="str">
        <f t="shared" si="285"/>
        <v>0.309417288489437-0.723253426236419i</v>
      </c>
      <c r="AN542" s="170" t="str">
        <f t="shared" si="286"/>
        <v>11.7578687116914i</v>
      </c>
      <c r="AO542" s="170" t="str">
        <f t="shared" si="287"/>
        <v>-0.0615122896819943-0.0263157631775365i</v>
      </c>
      <c r="AP542" s="170" t="str">
        <f t="shared" si="288"/>
        <v>0.115097118585094+0.12054223770607i</v>
      </c>
      <c r="AQ542" s="170" t="str">
        <f t="shared" si="289"/>
        <v>0.884902881414906-0.12054223770607i</v>
      </c>
      <c r="AR542" s="170" t="str">
        <f t="shared" si="290"/>
        <v>0.924196730109405+0.12589487984251i</v>
      </c>
    </row>
    <row r="543" spans="7:44">
      <c r="G543" s="688">
        <v>82229.5</v>
      </c>
      <c r="H543" s="676">
        <f t="shared" si="282"/>
        <v>82.229500000000002</v>
      </c>
      <c r="I543" s="677">
        <f t="shared" si="262"/>
        <v>74.418078970264759</v>
      </c>
      <c r="J543" s="678">
        <f t="shared" si="263"/>
        <v>1.557358327438968</v>
      </c>
      <c r="K543" s="678">
        <f t="shared" si="264"/>
        <v>1.0064392366224937</v>
      </c>
      <c r="L543" s="679">
        <f t="shared" si="265"/>
        <v>0.1131801421373831</v>
      </c>
      <c r="M543" s="678">
        <f t="shared" si="266"/>
        <v>1.4465901877773424</v>
      </c>
      <c r="N543" s="679">
        <f t="shared" si="267"/>
        <v>-0.80753627273014028</v>
      </c>
      <c r="O543" s="677">
        <f t="shared" si="268"/>
        <v>3409977.0251340568</v>
      </c>
      <c r="P543" s="680">
        <f t="shared" si="269"/>
        <v>1.5707960335377888</v>
      </c>
      <c r="Q543" s="689">
        <f t="shared" si="291"/>
        <v>137.53937538438046</v>
      </c>
      <c r="R543" s="690">
        <f t="shared" si="292"/>
        <v>1.5635256175322207</v>
      </c>
      <c r="S543" s="677">
        <f t="shared" si="270"/>
        <v>1.0422734411412795</v>
      </c>
      <c r="T543" s="680">
        <f t="shared" si="271"/>
        <v>0.28578331933742179</v>
      </c>
      <c r="U543" s="681">
        <f t="shared" si="283"/>
        <v>5.7651102289684217E-2</v>
      </c>
      <c r="V543" s="682">
        <f t="shared" si="284"/>
        <v>-2.6438588983915281</v>
      </c>
      <c r="W543" s="683">
        <f t="shared" si="272"/>
        <v>-37.229838918567111</v>
      </c>
      <c r="X543" s="684">
        <f t="shared" si="273"/>
        <v>-297.28643416514348</v>
      </c>
      <c r="Y543" s="687">
        <f t="shared" si="274"/>
        <v>-117.28643416514348</v>
      </c>
      <c r="AA543" s="170">
        <f t="shared" si="275"/>
        <v>82229.5</v>
      </c>
      <c r="AB543" s="170">
        <f t="shared" si="276"/>
        <v>6761690670.25</v>
      </c>
      <c r="AD543" s="686">
        <f t="shared" si="277"/>
        <v>16.85932857079063</v>
      </c>
      <c r="AE543" s="687">
        <f t="shared" si="278"/>
        <v>-16.790742224883346</v>
      </c>
      <c r="AG543" s="686">
        <f t="shared" si="279"/>
        <v>53.208342397084692</v>
      </c>
      <c r="AH543" s="687">
        <f t="shared" si="280"/>
        <v>22.468221417810017</v>
      </c>
      <c r="AJ543" s="170">
        <f t="shared" si="281"/>
        <v>0</v>
      </c>
      <c r="AK543" s="170">
        <f t="shared" si="293"/>
        <v>0</v>
      </c>
      <c r="AM543" s="170" t="str">
        <f t="shared" si="285"/>
        <v>0.261828814676829-0.67461344572917i</v>
      </c>
      <c r="AN543" s="170" t="str">
        <f t="shared" si="286"/>
        <v>11.8259297023533i</v>
      </c>
      <c r="AO543" s="170" t="str">
        <f t="shared" si="287"/>
        <v>-0.0570452778520175-0.0221402309388603i</v>
      </c>
      <c r="AP543" s="170" t="str">
        <f t="shared" si="288"/>
        <v>0.123028530887195+0.112435574288195i</v>
      </c>
      <c r="AQ543" s="170" t="str">
        <f t="shared" si="289"/>
        <v>0.876971469112805-0.112435574288195i</v>
      </c>
      <c r="AR543" s="170" t="str">
        <f t="shared" si="290"/>
        <v>0.934499008169819+0.119811118555109i</v>
      </c>
    </row>
    <row r="544" spans="7:44">
      <c r="G544" s="688">
        <v>82702.75</v>
      </c>
      <c r="H544" s="676">
        <f t="shared" si="282"/>
        <v>82.702749999999995</v>
      </c>
      <c r="I544" s="677">
        <f t="shared" si="262"/>
        <v>74.846295300446116</v>
      </c>
      <c r="J544" s="678">
        <f t="shared" si="263"/>
        <v>1.5574352145337549</v>
      </c>
      <c r="K544" s="678">
        <f t="shared" si="264"/>
        <v>1.0065133280159619</v>
      </c>
      <c r="L544" s="679">
        <f t="shared" si="265"/>
        <v>0.11382592439920919</v>
      </c>
      <c r="M544" s="678">
        <f t="shared" si="266"/>
        <v>1.4509431297241953</v>
      </c>
      <c r="N544" s="679">
        <f t="shared" si="267"/>
        <v>-0.81040244879909085</v>
      </c>
      <c r="O544" s="677">
        <f t="shared" si="268"/>
        <v>3429602.240259341</v>
      </c>
      <c r="P544" s="680">
        <f t="shared" si="269"/>
        <v>1.5707960352158943</v>
      </c>
      <c r="Q544" s="689">
        <f t="shared" si="291"/>
        <v>138.33090492562829</v>
      </c>
      <c r="R544" s="690">
        <f t="shared" si="292"/>
        <v>1.563567221262874</v>
      </c>
      <c r="S544" s="677">
        <f t="shared" si="270"/>
        <v>1.0427514227209651</v>
      </c>
      <c r="T544" s="680">
        <f t="shared" si="271"/>
        <v>0.28733925427078899</v>
      </c>
      <c r="U544" s="681">
        <f t="shared" si="283"/>
        <v>5.2762244815452997E-2</v>
      </c>
      <c r="V544" s="682">
        <f t="shared" si="284"/>
        <v>-2.686591511745152</v>
      </c>
      <c r="W544" s="683">
        <f t="shared" si="272"/>
        <v>-38.026611104804445</v>
      </c>
      <c r="X544" s="684">
        <f t="shared" si="273"/>
        <v>-299.95322194380213</v>
      </c>
      <c r="Y544" s="687">
        <f t="shared" si="274"/>
        <v>-119.95322194380213</v>
      </c>
      <c r="AA544" s="170">
        <f t="shared" si="275"/>
        <v>82702.75</v>
      </c>
      <c r="AB544" s="170">
        <f t="shared" si="276"/>
        <v>6839744857.5625</v>
      </c>
      <c r="AD544" s="686">
        <f t="shared" si="277"/>
        <v>16.855343556812709</v>
      </c>
      <c r="AE544" s="687">
        <f t="shared" si="278"/>
        <v>-16.877507107831338</v>
      </c>
      <c r="AG544" s="686">
        <f t="shared" si="279"/>
        <v>53.954929253724714</v>
      </c>
      <c r="AH544" s="687">
        <f t="shared" si="280"/>
        <v>24.784995313148819</v>
      </c>
      <c r="AJ544" s="170">
        <f t="shared" si="281"/>
        <v>0</v>
      </c>
      <c r="AK544" s="170">
        <f t="shared" si="293"/>
        <v>0</v>
      </c>
      <c r="AM544" s="170" t="str">
        <f t="shared" si="285"/>
        <v>0.217658450320747-0.622849660548567i</v>
      </c>
      <c r="AN544" s="170" t="str">
        <f t="shared" si="286"/>
        <v>11.8939906930153i</v>
      </c>
      <c r="AO544" s="170" t="str">
        <f t="shared" si="287"/>
        <v>-0.052366751969491-0.0182998672134968i</v>
      </c>
      <c r="AP544" s="170" t="str">
        <f t="shared" si="288"/>
        <v>0.130390258279875+0.103808276758095i</v>
      </c>
      <c r="AQ544" s="170" t="str">
        <f t="shared" si="289"/>
        <v>0.869609741720125-0.103808276758095i</v>
      </c>
      <c r="AR544" s="170" t="str">
        <f t="shared" si="290"/>
        <v>0.944442635561054+0.112741334176567i</v>
      </c>
    </row>
    <row r="545" spans="7:44">
      <c r="G545" s="688">
        <v>83176</v>
      </c>
      <c r="H545" s="676">
        <f t="shared" si="282"/>
        <v>83.176000000000002</v>
      </c>
      <c r="I545" s="677">
        <f t="shared" si="262"/>
        <v>75.274512068056609</v>
      </c>
      <c r="J545" s="678">
        <f t="shared" si="263"/>
        <v>1.5575112268483393</v>
      </c>
      <c r="K545" s="678">
        <f t="shared" si="264"/>
        <v>1.0065878390985492</v>
      </c>
      <c r="L545" s="679">
        <f t="shared" si="265"/>
        <v>0.11447161132424227</v>
      </c>
      <c r="M545" s="678">
        <f t="shared" si="266"/>
        <v>1.455307919757495</v>
      </c>
      <c r="N545" s="679">
        <f t="shared" si="267"/>
        <v>-0.81325145556507406</v>
      </c>
      <c r="O545" s="677">
        <f t="shared" si="268"/>
        <v>3449227.4553846251</v>
      </c>
      <c r="P545" s="680">
        <f t="shared" si="269"/>
        <v>1.5707960368749034</v>
      </c>
      <c r="Q545" s="689">
        <f t="shared" si="291"/>
        <v>139.12243470358453</v>
      </c>
      <c r="R545" s="690">
        <f t="shared" si="292"/>
        <v>1.563608351589121</v>
      </c>
      <c r="S545" s="677">
        <f t="shared" si="270"/>
        <v>1.0432319264156995</v>
      </c>
      <c r="T545" s="680">
        <f t="shared" si="271"/>
        <v>0.28889375966400732</v>
      </c>
      <c r="U545" s="681">
        <f t="shared" si="283"/>
        <v>4.7746385780129526E-2</v>
      </c>
      <c r="V545" s="682">
        <f t="shared" si="284"/>
        <v>-2.7301180338149411</v>
      </c>
      <c r="W545" s="683">
        <f t="shared" si="272"/>
        <v>-38.921090264441006</v>
      </c>
      <c r="X545" s="684">
        <f t="shared" si="273"/>
        <v>-302.66441417021468</v>
      </c>
      <c r="Y545" s="687">
        <f t="shared" si="274"/>
        <v>-122.66441417021468</v>
      </c>
      <c r="AA545" s="170">
        <f t="shared" si="275"/>
        <v>83176</v>
      </c>
      <c r="AB545" s="170">
        <f t="shared" si="276"/>
        <v>6918246976</v>
      </c>
      <c r="AD545" s="686">
        <f t="shared" si="277"/>
        <v>16.851339413465414</v>
      </c>
      <c r="AE545" s="687">
        <f t="shared" si="278"/>
        <v>-16.964217207142415</v>
      </c>
      <c r="AG545" s="686">
        <f t="shared" si="279"/>
        <v>54.799764716628935</v>
      </c>
      <c r="AH545" s="687">
        <f t="shared" si="280"/>
        <v>27.148285214710636</v>
      </c>
      <c r="AJ545" s="170">
        <f t="shared" si="281"/>
        <v>0</v>
      </c>
      <c r="AK545" s="170">
        <f t="shared" si="293"/>
        <v>0</v>
      </c>
      <c r="AM545" s="170" t="str">
        <f t="shared" si="285"/>
        <v>0.177110726759132-0.568201763447735i</v>
      </c>
      <c r="AN545" s="170" t="str">
        <f t="shared" si="286"/>
        <v>11.9620516836773i</v>
      </c>
      <c r="AO545" s="170" t="str">
        <f t="shared" si="287"/>
        <v>-0.0475003601784357-0.0148060492834023i</v>
      </c>
      <c r="AP545" s="170" t="str">
        <f t="shared" si="288"/>
        <v>0.137148212206811+0.0947002939079558i</v>
      </c>
      <c r="AQ545" s="170" t="str">
        <f t="shared" si="289"/>
        <v>0.862851787793189-0.0947002939079558i</v>
      </c>
      <c r="AR545" s="170" t="str">
        <f t="shared" si="290"/>
        <v>0.953912842066516+0.104694488421138i</v>
      </c>
    </row>
    <row r="546" spans="7:44">
      <c r="G546" s="688">
        <v>83660.5</v>
      </c>
      <c r="H546" s="676">
        <f t="shared" si="282"/>
        <v>83.660499999999999</v>
      </c>
      <c r="I546" s="677">
        <f t="shared" si="262"/>
        <v>75.712908760488062</v>
      </c>
      <c r="J546" s="678">
        <f t="shared" si="263"/>
        <v>1.5575881553888735</v>
      </c>
      <c r="K546" s="678">
        <f t="shared" si="264"/>
        <v>1.0066645561185379</v>
      </c>
      <c r="L546" s="679">
        <f t="shared" si="265"/>
        <v>0.11513254808057723</v>
      </c>
      <c r="M546" s="678">
        <f t="shared" si="266"/>
        <v>1.4597886316041353</v>
      </c>
      <c r="N546" s="679">
        <f t="shared" si="267"/>
        <v>-0.81615051469526589</v>
      </c>
      <c r="O546" s="677">
        <f t="shared" si="268"/>
        <v>3469319.1970184343</v>
      </c>
      <c r="P546" s="680">
        <f t="shared" si="269"/>
        <v>1.5707960385539066</v>
      </c>
      <c r="Q546" s="689">
        <f t="shared" si="291"/>
        <v>139.93278080286237</v>
      </c>
      <c r="R546" s="690">
        <f t="shared" si="292"/>
        <v>1.5636499776261676</v>
      </c>
      <c r="S546" s="677">
        <f t="shared" si="270"/>
        <v>1.0437264616669624</v>
      </c>
      <c r="T546" s="680">
        <f t="shared" si="271"/>
        <v>0.2904837317387412</v>
      </c>
      <c r="U546" s="681">
        <f t="shared" si="283"/>
        <v>4.2490910049592184E-2</v>
      </c>
      <c r="V546" s="682">
        <f t="shared" si="284"/>
        <v>-2.7754562211508587</v>
      </c>
      <c r="W546" s="683">
        <f t="shared" si="272"/>
        <v>-39.961174741380219</v>
      </c>
      <c r="X546" s="684">
        <f t="shared" si="273"/>
        <v>-305.48345739469505</v>
      </c>
      <c r="Y546" s="687">
        <f t="shared" si="274"/>
        <v>-125.48345739469505</v>
      </c>
      <c r="AA546" s="170">
        <f t="shared" si="275"/>
        <v>83660.5</v>
      </c>
      <c r="AB546" s="170">
        <f t="shared" si="276"/>
        <v>6999079260.25</v>
      </c>
      <c r="AD546" s="686">
        <f t="shared" si="277"/>
        <v>16.847220325333176</v>
      </c>
      <c r="AE546" s="687">
        <f t="shared" si="278"/>
        <v>-17.052930996628866</v>
      </c>
      <c r="AG546" s="686">
        <f t="shared" si="279"/>
        <v>55.789578128873536</v>
      </c>
      <c r="AH546" s="687">
        <f t="shared" si="280"/>
        <v>29.613329355896401</v>
      </c>
      <c r="AJ546" s="170">
        <f t="shared" si="281"/>
        <v>0</v>
      </c>
      <c r="AK546" s="170">
        <f t="shared" si="293"/>
        <v>0</v>
      </c>
      <c r="AM546" s="170" t="str">
        <f t="shared" si="285"/>
        <v>0.139547887974203-0.509531316908338i</v>
      </c>
      <c r="AN546" s="170" t="str">
        <f t="shared" si="286"/>
        <v>12.0317306059715i</v>
      </c>
      <c r="AO546" s="170" t="str">
        <f t="shared" si="287"/>
        <v>-0.0423489632202579-0.0115983221819265i</v>
      </c>
      <c r="AP546" s="170" t="str">
        <f t="shared" si="288"/>
        <v>0.143408685337633+0.0849218861513897i</v>
      </c>
      <c r="AQ546" s="170" t="str">
        <f t="shared" si="289"/>
        <v>0.856591314662367-0.0849218861513897i</v>
      </c>
      <c r="AR546" s="170" t="str">
        <f t="shared" si="290"/>
        <v>0.962994187373676+0.0954705953058039i</v>
      </c>
    </row>
    <row r="547" spans="7:44">
      <c r="G547" s="688">
        <v>84145</v>
      </c>
      <c r="H547" s="676">
        <f t="shared" si="282"/>
        <v>84.144999999999996</v>
      </c>
      <c r="I547" s="677">
        <f t="shared" si="262"/>
        <v>76.151305895829566</v>
      </c>
      <c r="J547" s="678">
        <f t="shared" si="263"/>
        <v>1.5576641981866244</v>
      </c>
      <c r="K547" s="678">
        <f t="shared" si="264"/>
        <v>1.006741712820117</v>
      </c>
      <c r="L547" s="679">
        <f t="shared" si="265"/>
        <v>0.11579338381714521</v>
      </c>
      <c r="M547" s="678">
        <f t="shared" si="266"/>
        <v>1.4642815371628088</v>
      </c>
      <c r="N547" s="679">
        <f t="shared" si="267"/>
        <v>-0.81903180735157766</v>
      </c>
      <c r="O547" s="677">
        <f t="shared" si="268"/>
        <v>3489410.9386522435</v>
      </c>
      <c r="P547" s="680">
        <f t="shared" si="269"/>
        <v>1.5707960402135746</v>
      </c>
      <c r="Q547" s="689">
        <f t="shared" si="291"/>
        <v>140.74312714181349</v>
      </c>
      <c r="R547" s="690">
        <f t="shared" si="292"/>
        <v>1.5636911243289486</v>
      </c>
      <c r="S547" s="677">
        <f t="shared" si="270"/>
        <v>1.0442236329673289</v>
      </c>
      <c r="T547" s="680">
        <f t="shared" si="271"/>
        <v>0.29207219380450711</v>
      </c>
      <c r="U547" s="681">
        <f t="shared" si="283"/>
        <v>3.7127458993227454E-2</v>
      </c>
      <c r="V547" s="682">
        <f t="shared" si="284"/>
        <v>-2.8215236473437981</v>
      </c>
      <c r="W547" s="683">
        <f t="shared" si="272"/>
        <v>-41.160120454795091</v>
      </c>
      <c r="X547" s="684">
        <f t="shared" si="273"/>
        <v>-308.34316096828076</v>
      </c>
      <c r="Y547" s="687">
        <f t="shared" si="274"/>
        <v>-128.34316096828076</v>
      </c>
      <c r="AA547" s="170">
        <f t="shared" si="275"/>
        <v>84145</v>
      </c>
      <c r="AB547" s="170">
        <f t="shared" si="276"/>
        <v>7080381025</v>
      </c>
      <c r="AD547" s="686">
        <f t="shared" si="277"/>
        <v>16.843081305058792</v>
      </c>
      <c r="AE547" s="687">
        <f t="shared" si="278"/>
        <v>-17.141585731696921</v>
      </c>
      <c r="AG547" s="686">
        <f t="shared" si="279"/>
        <v>56.938803660067634</v>
      </c>
      <c r="AH547" s="687">
        <f t="shared" si="280"/>
        <v>32.1212187111825</v>
      </c>
      <c r="AJ547" s="170">
        <f t="shared" si="281"/>
        <v>0</v>
      </c>
      <c r="AK547" s="170">
        <f t="shared" si="293"/>
        <v>0</v>
      </c>
      <c r="AM547" s="170" t="str">
        <f t="shared" si="285"/>
        <v>0.106160985187057-0.448388019017266i</v>
      </c>
      <c r="AN547" s="170" t="str">
        <f t="shared" si="286"/>
        <v>12.1014095282657i</v>
      </c>
      <c r="AO547" s="170" t="str">
        <f t="shared" si="287"/>
        <v>-0.0370525448271088-0.00877261321824478i</v>
      </c>
      <c r="AP547" s="170" t="str">
        <f t="shared" si="288"/>
        <v>0.14897316913549+0.0747313365028777i</v>
      </c>
      <c r="AQ547" s="170" t="str">
        <f t="shared" si="289"/>
        <v>0.85102683086451-0.0747313365028777i</v>
      </c>
      <c r="AR547" s="170" t="str">
        <f t="shared" si="290"/>
        <v>0.971327503497517+0.0852953160649875i</v>
      </c>
    </row>
    <row r="548" spans="7:44">
      <c r="G548" s="688">
        <v>84629.5</v>
      </c>
      <c r="H548" s="676">
        <f t="shared" si="282"/>
        <v>84.629499999999993</v>
      </c>
      <c r="I548" s="677">
        <f t="shared" si="262"/>
        <v>76.589703466475484</v>
      </c>
      <c r="J548" s="678">
        <f t="shared" si="263"/>
        <v>1.5577393704506139</v>
      </c>
      <c r="K548" s="678">
        <f t="shared" si="264"/>
        <v>1.0068193091022033</v>
      </c>
      <c r="L548" s="679">
        <f t="shared" si="265"/>
        <v>0.11645411798005852</v>
      </c>
      <c r="M548" s="678">
        <f t="shared" si="266"/>
        <v>1.4687865245346243</v>
      </c>
      <c r="N548" s="679">
        <f t="shared" si="267"/>
        <v>-0.82189544895140465</v>
      </c>
      <c r="O548" s="677">
        <f t="shared" si="268"/>
        <v>3509502.6802860526</v>
      </c>
      <c r="P548" s="680">
        <f t="shared" si="269"/>
        <v>1.5707960418542395</v>
      </c>
      <c r="Q548" s="689">
        <f t="shared" si="291"/>
        <v>141.55347371632172</v>
      </c>
      <c r="R548" s="690">
        <f t="shared" si="292"/>
        <v>1.5637317999294111</v>
      </c>
      <c r="S548" s="677">
        <f t="shared" si="270"/>
        <v>1.0447234365534066</v>
      </c>
      <c r="T548" s="680">
        <f t="shared" si="271"/>
        <v>0.29365914000678017</v>
      </c>
      <c r="U548" s="681">
        <f t="shared" si="283"/>
        <v>3.1672379330713742E-2</v>
      </c>
      <c r="V548" s="682">
        <f t="shared" si="284"/>
        <v>-2.8682524738036701</v>
      </c>
      <c r="W548" s="683">
        <f t="shared" si="272"/>
        <v>-42.567079427955377</v>
      </c>
      <c r="X548" s="684">
        <f t="shared" si="273"/>
        <v>-311.23964473506862</v>
      </c>
      <c r="Y548" s="687">
        <f t="shared" si="274"/>
        <v>-131.23964473506862</v>
      </c>
      <c r="AA548" s="170">
        <f t="shared" si="275"/>
        <v>84629.5</v>
      </c>
      <c r="AB548" s="170">
        <f t="shared" si="276"/>
        <v>7162152270.25</v>
      </c>
      <c r="AD548" s="686">
        <f t="shared" si="277"/>
        <v>16.838922412369833</v>
      </c>
      <c r="AE548" s="687">
        <f t="shared" si="278"/>
        <v>-17.230180605270231</v>
      </c>
      <c r="AG548" s="686">
        <f t="shared" si="279"/>
        <v>58.296585055453392</v>
      </c>
      <c r="AH548" s="687">
        <f t="shared" si="280"/>
        <v>34.668058899586427</v>
      </c>
      <c r="AJ548" s="170">
        <f t="shared" si="281"/>
        <v>0</v>
      </c>
      <c r="AK548" s="170">
        <f t="shared" si="293"/>
        <v>0</v>
      </c>
      <c r="AM548" s="170" t="str">
        <f t="shared" si="285"/>
        <v>0.077112051318824-0.385068609703583i</v>
      </c>
      <c r="AN548" s="170" t="str">
        <f t="shared" si="286"/>
        <v>12.1710884505599i</v>
      </c>
      <c r="AO548" s="170" t="str">
        <f t="shared" si="287"/>
        <v>-0.0316379764445693-0.00633567421944721i</v>
      </c>
      <c r="AP548" s="170" t="str">
        <f t="shared" si="288"/>
        <v>0.153814658113529+0.0641781016172638i</v>
      </c>
      <c r="AQ548" s="170" t="str">
        <f t="shared" si="289"/>
        <v>0.846185341886471-0.0641781016172638i</v>
      </c>
      <c r="AR548" s="170" t="str">
        <f t="shared" si="290"/>
        <v>0.978787607590809+0.0742351910772159i</v>
      </c>
    </row>
    <row r="549" spans="7:44">
      <c r="G549" s="688">
        <v>85114</v>
      </c>
      <c r="H549" s="676">
        <f t="shared" si="282"/>
        <v>85.114000000000004</v>
      </c>
      <c r="I549" s="677">
        <f t="shared" si="262"/>
        <v>77.028101464993341</v>
      </c>
      <c r="J549" s="678">
        <f t="shared" si="263"/>
        <v>1.5578136870436621</v>
      </c>
      <c r="K549" s="678">
        <f t="shared" si="264"/>
        <v>1.0068973448631675</v>
      </c>
      <c r="L549" s="679">
        <f t="shared" si="265"/>
        <v>0.11711475001595442</v>
      </c>
      <c r="M549" s="678">
        <f t="shared" si="266"/>
        <v>1.47330348289025</v>
      </c>
      <c r="N549" s="679">
        <f t="shared" si="267"/>
        <v>-0.82474155466037791</v>
      </c>
      <c r="O549" s="677">
        <f t="shared" si="268"/>
        <v>3529594.4219198618</v>
      </c>
      <c r="P549" s="680">
        <f t="shared" si="269"/>
        <v>1.5707960434762258</v>
      </c>
      <c r="Q549" s="689">
        <f t="shared" si="291"/>
        <v>142.36382052236459</v>
      </c>
      <c r="R549" s="690">
        <f t="shared" si="292"/>
        <v>1.5637720124720813</v>
      </c>
      <c r="S549" s="677">
        <f t="shared" si="270"/>
        <v>1.0452258686490958</v>
      </c>
      <c r="T549" s="680">
        <f t="shared" si="271"/>
        <v>0.29524456453274384</v>
      </c>
      <c r="U549" s="681">
        <f t="shared" si="283"/>
        <v>2.6144334974737851E-2</v>
      </c>
      <c r="V549" s="682">
        <f t="shared" si="284"/>
        <v>-2.9155646364430963</v>
      </c>
      <c r="W549" s="683">
        <f t="shared" si="272"/>
        <v>-44.259552150759973</v>
      </c>
      <c r="X549" s="684">
        <f t="shared" si="273"/>
        <v>-314.16844264015339</v>
      </c>
      <c r="Y549" s="687">
        <f t="shared" si="274"/>
        <v>-134.16844264015339</v>
      </c>
      <c r="AA549" s="170">
        <f t="shared" si="275"/>
        <v>85114</v>
      </c>
      <c r="AB549" s="170">
        <f t="shared" si="276"/>
        <v>7244392996</v>
      </c>
      <c r="AD549" s="686">
        <f t="shared" si="277"/>
        <v>16.834743707177008</v>
      </c>
      <c r="AE549" s="687">
        <f t="shared" si="278"/>
        <v>-17.318714823400136</v>
      </c>
      <c r="AG549" s="686">
        <f t="shared" si="279"/>
        <v>59.940414673775592</v>
      </c>
      <c r="AH549" s="687">
        <f t="shared" si="280"/>
        <v>37.249369696577915</v>
      </c>
      <c r="AJ549" s="170">
        <f t="shared" si="281"/>
        <v>0</v>
      </c>
      <c r="AK549" s="170">
        <f t="shared" si="293"/>
        <v>0</v>
      </c>
      <c r="AM549" s="170" t="str">
        <f t="shared" si="285"/>
        <v>0.05254206631129-0.319880389974628i</v>
      </c>
      <c r="AN549" s="170" t="str">
        <f t="shared" si="286"/>
        <v>12.240767372854i</v>
      </c>
      <c r="AO549" s="170" t="str">
        <f t="shared" si="287"/>
        <v>-0.0261323804489592-0.00429238337032783i</v>
      </c>
      <c r="AP549" s="170" t="str">
        <f t="shared" si="288"/>
        <v>0.157909655614785+0.0533133983291047i</v>
      </c>
      <c r="AQ549" s="170" t="str">
        <f t="shared" si="289"/>
        <v>0.842090344385215-0.0533133983291047i</v>
      </c>
      <c r="AR549" s="170" t="str">
        <f t="shared" si="290"/>
        <v>0.985255867907271+0.0623773195976695i</v>
      </c>
    </row>
    <row r="550" spans="7:44">
      <c r="G550" s="688">
        <v>85609.5</v>
      </c>
      <c r="H550" s="676">
        <f t="shared" si="282"/>
        <v>85.609499999999997</v>
      </c>
      <c r="I550" s="677">
        <f t="shared" si="262"/>
        <v>77.476453207027404</v>
      </c>
      <c r="J550" s="678">
        <f t="shared" si="263"/>
        <v>1.557888821011794</v>
      </c>
      <c r="K550" s="678">
        <f t="shared" si="264"/>
        <v>1.0069776067863125</v>
      </c>
      <c r="L550" s="679">
        <f t="shared" si="265"/>
        <v>0.1177902747141247</v>
      </c>
      <c r="M550" s="678">
        <f t="shared" si="266"/>
        <v>1.4779352608111305</v>
      </c>
      <c r="N550" s="679">
        <f t="shared" si="267"/>
        <v>-0.82763425996455886</v>
      </c>
      <c r="O550" s="677">
        <f t="shared" si="268"/>
        <v>3550142.322806451</v>
      </c>
      <c r="P550" s="680">
        <f t="shared" si="269"/>
        <v>1.5707960451160485</v>
      </c>
      <c r="Q550" s="689">
        <f t="shared" si="291"/>
        <v>143.19256553049107</v>
      </c>
      <c r="R550" s="690">
        <f t="shared" si="292"/>
        <v>1.5638126672387951</v>
      </c>
      <c r="S550" s="677">
        <f t="shared" si="270"/>
        <v>1.0457424226262815</v>
      </c>
      <c r="T550" s="680">
        <f t="shared" si="271"/>
        <v>0.2968644043448681</v>
      </c>
      <c r="U550" s="681">
        <f t="shared" si="283"/>
        <v>2.0436969240587934E-2</v>
      </c>
      <c r="V550" s="682">
        <f t="shared" si="284"/>
        <v>-2.9644630055625791</v>
      </c>
      <c r="W550" s="683">
        <f t="shared" si="272"/>
        <v>-46.425522814141232</v>
      </c>
      <c r="X550" s="684">
        <f t="shared" si="273"/>
        <v>-317.19193350176926</v>
      </c>
      <c r="Y550" s="687">
        <f t="shared" si="274"/>
        <v>-137.19193350176926</v>
      </c>
      <c r="AA550" s="170">
        <f t="shared" si="275"/>
        <v>85609.5</v>
      </c>
      <c r="AB550" s="170">
        <f t="shared" si="276"/>
        <v>7328986490.25</v>
      </c>
      <c r="AD550" s="686">
        <f t="shared" si="277"/>
        <v>16.830449699704694</v>
      </c>
      <c r="AE550" s="687">
        <f t="shared" si="278"/>
        <v>-17.409195555630632</v>
      </c>
      <c r="AG550" s="686">
        <f t="shared" si="279"/>
        <v>62.057182338301743</v>
      </c>
      <c r="AH550" s="687">
        <f t="shared" si="280"/>
        <v>39.919699924833715</v>
      </c>
      <c r="AJ550" s="170">
        <f t="shared" si="281"/>
        <v>0</v>
      </c>
      <c r="AK550" s="170">
        <f t="shared" si="293"/>
        <v>0</v>
      </c>
      <c r="AM550" s="170" t="str">
        <f t="shared" si="285"/>
        <v>0.0321710222795299-0.251608962250057i</v>
      </c>
      <c r="AN550" s="170" t="str">
        <f t="shared" si="286"/>
        <v>12.3120282727442i</v>
      </c>
      <c r="AO550" s="170" t="str">
        <f t="shared" si="287"/>
        <v>-0.0204360286279603-0.00261297501653311i</v>
      </c>
      <c r="AP550" s="170" t="str">
        <f t="shared" si="288"/>
        <v>0.161304829620078+0.0419348270416762i</v>
      </c>
      <c r="AQ550" s="170" t="str">
        <f t="shared" si="289"/>
        <v>0.838695170379922-0.0419348270416762i</v>
      </c>
      <c r="AR550" s="170" t="str">
        <f t="shared" si="290"/>
        <v>0.990732647379608+0.0495367133133552i</v>
      </c>
    </row>
    <row r="551" spans="7:44">
      <c r="G551" s="688">
        <v>86105</v>
      </c>
      <c r="H551" s="676">
        <f t="shared" si="282"/>
        <v>86.105000000000004</v>
      </c>
      <c r="I551" s="677">
        <f t="shared" si="262"/>
        <v>77.924805381391934</v>
      </c>
      <c r="J551" s="678">
        <f t="shared" si="263"/>
        <v>1.5579630903910024</v>
      </c>
      <c r="K551" s="678">
        <f t="shared" si="264"/>
        <v>1.0070583281538232</v>
      </c>
      <c r="L551" s="679">
        <f t="shared" si="265"/>
        <v>0.11846569142629028</v>
      </c>
      <c r="M551" s="678">
        <f t="shared" si="266"/>
        <v>1.4825793283834867</v>
      </c>
      <c r="N551" s="679">
        <f t="shared" si="267"/>
        <v>-0.83050886683644243</v>
      </c>
      <c r="O551" s="677">
        <f t="shared" si="268"/>
        <v>3570690.2236930402</v>
      </c>
      <c r="P551" s="680">
        <f t="shared" si="269"/>
        <v>1.5707960467369981</v>
      </c>
      <c r="Q551" s="689">
        <f t="shared" si="291"/>
        <v>144.02131077256391</v>
      </c>
      <c r="R551" s="690">
        <f t="shared" si="292"/>
        <v>1.5638528541241992</v>
      </c>
      <c r="S551" s="677">
        <f t="shared" si="270"/>
        <v>1.046261717793554</v>
      </c>
      <c r="T551" s="680">
        <f t="shared" si="271"/>
        <v>0.29848264043669909</v>
      </c>
      <c r="U551" s="681">
        <f t="shared" si="283"/>
        <v>1.4699170363926586E-2</v>
      </c>
      <c r="V551" s="682">
        <f t="shared" si="284"/>
        <v>-3.0137770798780896</v>
      </c>
      <c r="W551" s="683">
        <f t="shared" si="272"/>
        <v>-49.314483835617722</v>
      </c>
      <c r="X551" s="684">
        <f t="shared" si="273"/>
        <v>-320.23809712286328</v>
      </c>
      <c r="Y551" s="687">
        <f t="shared" si="274"/>
        <v>-140.23809712286328</v>
      </c>
      <c r="AA551" s="170">
        <f t="shared" si="275"/>
        <v>86105</v>
      </c>
      <c r="AB551" s="170">
        <f t="shared" si="276"/>
        <v>7414071025</v>
      </c>
      <c r="AD551" s="686">
        <f t="shared" si="277"/>
        <v>16.82613509719468</v>
      </c>
      <c r="AE551" s="687">
        <f t="shared" si="278"/>
        <v>-17.499611207999756</v>
      </c>
      <c r="AG551" s="686">
        <f t="shared" si="279"/>
        <v>64.897482633870766</v>
      </c>
      <c r="AH551" s="687">
        <f t="shared" si="280"/>
        <v>42.614928620312469</v>
      </c>
      <c r="AJ551" s="170">
        <f t="shared" si="281"/>
        <v>0</v>
      </c>
      <c r="AK551" s="170">
        <f t="shared" si="293"/>
        <v>0</v>
      </c>
      <c r="AM551" s="170" t="str">
        <f t="shared" si="285"/>
        <v>0.016712646469878-0.182060375666228i</v>
      </c>
      <c r="AN551" s="170" t="str">
        <f t="shared" si="286"/>
        <v>12.3832891726343i</v>
      </c>
      <c r="AO551" s="170" t="str">
        <f t="shared" si="287"/>
        <v>-0.0147021016087197-0.00134961287238701i</v>
      </c>
      <c r="AP551" s="170" t="str">
        <f t="shared" si="288"/>
        <v>0.163881225588354+0.0303433959443713i</v>
      </c>
      <c r="AQ551" s="170" t="str">
        <f t="shared" si="289"/>
        <v>0.836118774411646-0.0303433959443713i</v>
      </c>
      <c r="AR551" s="170" t="str">
        <f t="shared" si="290"/>
        <v>0.994959556766706+0.0361078505871998i</v>
      </c>
    </row>
    <row r="552" spans="7:44">
      <c r="G552" s="688">
        <v>86600.5</v>
      </c>
      <c r="H552" s="676">
        <f t="shared" si="282"/>
        <v>86.600499999999997</v>
      </c>
      <c r="I552" s="677">
        <f t="shared" si="262"/>
        <v>78.373157980667216</v>
      </c>
      <c r="J552" s="678">
        <f t="shared" si="263"/>
        <v>1.558036510018731</v>
      </c>
      <c r="K552" s="678">
        <f t="shared" si="264"/>
        <v>1.0071395088552271</v>
      </c>
      <c r="L552" s="679">
        <f t="shared" si="265"/>
        <v>0.11914099956225688</v>
      </c>
      <c r="M552" s="678">
        <f t="shared" si="266"/>
        <v>1.4872355704796869</v>
      </c>
      <c r="N552" s="679">
        <f t="shared" si="267"/>
        <v>-0.83336549753322298</v>
      </c>
      <c r="O552" s="677">
        <f t="shared" si="268"/>
        <v>3591238.1245796294</v>
      </c>
      <c r="P552" s="680">
        <f t="shared" si="269"/>
        <v>1.5707960483393988</v>
      </c>
      <c r="Q552" s="689">
        <f t="shared" si="291"/>
        <v>144.85005624456761</v>
      </c>
      <c r="R552" s="690">
        <f t="shared" si="292"/>
        <v>1.5638925811589748</v>
      </c>
      <c r="S552" s="677">
        <f t="shared" si="270"/>
        <v>1.0467837500713124</v>
      </c>
      <c r="T552" s="680">
        <f t="shared" si="271"/>
        <v>0.30009926672600529</v>
      </c>
      <c r="U552" s="681">
        <f t="shared" si="283"/>
        <v>8.9566070245520064E-3</v>
      </c>
      <c r="V552" s="682">
        <f t="shared" si="284"/>
        <v>-3.063396383283691</v>
      </c>
      <c r="W552" s="683">
        <f t="shared" si="272"/>
        <v>-53.643700822167006</v>
      </c>
      <c r="X552" s="684">
        <f t="shared" si="273"/>
        <v>-323.30061076898909</v>
      </c>
      <c r="Y552" s="687">
        <f t="shared" si="274"/>
        <v>-143.30061076898909</v>
      </c>
      <c r="AA552" s="170">
        <f t="shared" si="275"/>
        <v>86600.5</v>
      </c>
      <c r="AB552" s="170">
        <f t="shared" si="276"/>
        <v>7499646600.25</v>
      </c>
      <c r="AD552" s="686">
        <f t="shared" si="277"/>
        <v>16.821799964302858</v>
      </c>
      <c r="AE552" s="687">
        <f t="shared" si="278"/>
        <v>-17.589960971915708</v>
      </c>
      <c r="AG552" s="686">
        <f t="shared" si="279"/>
        <v>69.178572926865414</v>
      </c>
      <c r="AH552" s="687">
        <f t="shared" si="280"/>
        <v>45.32871807963992</v>
      </c>
      <c r="AJ552" s="170">
        <f t="shared" si="281"/>
        <v>0</v>
      </c>
      <c r="AK552" s="170">
        <f t="shared" si="293"/>
        <v>0</v>
      </c>
      <c r="AM552" s="170" t="str">
        <f t="shared" si="285"/>
        <v>0.00624540509207605-0.111587656572709i</v>
      </c>
      <c r="AN552" s="170" t="str">
        <f t="shared" si="286"/>
        <v>12.4545500725245i</v>
      </c>
      <c r="AO552" s="170" t="str">
        <f t="shared" si="287"/>
        <v>-0.00895958954140609-0.000501455697372304i</v>
      </c>
      <c r="AP552" s="170" t="str">
        <f t="shared" si="288"/>
        <v>0.165625765817987+0.0185979427621182i</v>
      </c>
      <c r="AQ552" s="170" t="str">
        <f t="shared" si="289"/>
        <v>0.834374234182013-0.0185979427621182i</v>
      </c>
      <c r="AR552" s="170" t="str">
        <f t="shared" si="290"/>
        <v>0.997857210584017+0.0222419275751031i</v>
      </c>
    </row>
    <row r="553" spans="7:44">
      <c r="G553" s="688">
        <v>87096</v>
      </c>
      <c r="H553" s="676">
        <f t="shared" si="282"/>
        <v>87.096000000000004</v>
      </c>
      <c r="I553" s="677">
        <f t="shared" si="262"/>
        <v>78.821510997602303</v>
      </c>
      <c r="J553" s="678">
        <f t="shared" si="263"/>
        <v>1.5581090943948661</v>
      </c>
      <c r="K553" s="678">
        <f t="shared" si="264"/>
        <v>1.0072211487794591</v>
      </c>
      <c r="L553" s="679">
        <f t="shared" si="265"/>
        <v>0.11981619853241611</v>
      </c>
      <c r="M553" s="678">
        <f t="shared" si="266"/>
        <v>1.4919038731094212</v>
      </c>
      <c r="N553" s="679">
        <f t="shared" si="267"/>
        <v>-0.83620427396140418</v>
      </c>
      <c r="O553" s="677">
        <f t="shared" si="268"/>
        <v>3611786.0254662186</v>
      </c>
      <c r="P553" s="680">
        <f t="shared" si="269"/>
        <v>1.5707960499235667</v>
      </c>
      <c r="Q553" s="689">
        <f t="shared" si="291"/>
        <v>145.67880194257802</v>
      </c>
      <c r="R553" s="690">
        <f t="shared" si="292"/>
        <v>1.5639318561910669</v>
      </c>
      <c r="S553" s="677">
        <f t="shared" si="270"/>
        <v>1.0473085153666077</v>
      </c>
      <c r="T553" s="680">
        <f t="shared" si="271"/>
        <v>0.30171427717630767</v>
      </c>
      <c r="U553" s="681">
        <f t="shared" si="283"/>
        <v>3.2359293549877074E-3</v>
      </c>
      <c r="V553" s="682">
        <f t="shared" si="284"/>
        <v>-3.1132046395827975</v>
      </c>
      <c r="W553" s="683">
        <f t="shared" si="272"/>
        <v>-62.512568758133213</v>
      </c>
      <c r="X553" s="684">
        <f t="shared" si="273"/>
        <v>-326.37281935860864</v>
      </c>
      <c r="Y553" s="687">
        <f t="shared" si="274"/>
        <v>-146.37281935860864</v>
      </c>
      <c r="AA553" s="170">
        <f t="shared" si="275"/>
        <v>87096</v>
      </c>
      <c r="AB553" s="170">
        <f t="shared" si="276"/>
        <v>7585713216</v>
      </c>
      <c r="AD553" s="686">
        <f t="shared" si="277"/>
        <v>16.817444365869981</v>
      </c>
      <c r="AE553" s="687">
        <f t="shared" si="278"/>
        <v>-17.680244051877747</v>
      </c>
      <c r="AG553" s="686">
        <f t="shared" si="279"/>
        <v>77.99984010873338</v>
      </c>
      <c r="AH553" s="687">
        <f t="shared" si="280"/>
        <v>48.054398318193726</v>
      </c>
      <c r="AJ553" s="170">
        <f t="shared" si="281"/>
        <v>0</v>
      </c>
      <c r="AK553" s="170">
        <f t="shared" si="293"/>
        <v>0</v>
      </c>
      <c r="AM553" s="170" t="str">
        <f t="shared" si="285"/>
        <v>0.000822429520885959-0.0405485221858416i</v>
      </c>
      <c r="AN553" s="170" t="str">
        <f t="shared" si="286"/>
        <v>12.5258109724146i</v>
      </c>
      <c r="AO553" s="170" t="str">
        <f t="shared" si="287"/>
        <v>-0.00323719735793083-0.0000656587843052384i</v>
      </c>
      <c r="AP553" s="170" t="str">
        <f t="shared" si="288"/>
        <v>0.166529595079852+0.0067580870309736i</v>
      </c>
      <c r="AQ553" s="170" t="str">
        <f t="shared" si="289"/>
        <v>0.833470404920148-0.0067580870309736i</v>
      </c>
      <c r="AR553" s="170" t="str">
        <f t="shared" si="290"/>
        <v>0.999369902680895+0.00810326166182249i</v>
      </c>
    </row>
    <row r="554" spans="7:44">
      <c r="G554" s="688">
        <v>87603.25</v>
      </c>
      <c r="H554" s="676">
        <f t="shared" si="282"/>
        <v>87.603250000000003</v>
      </c>
      <c r="I554" s="677">
        <f t="shared" si="262"/>
        <v>79.280496423524539</v>
      </c>
      <c r="J554" s="678">
        <f t="shared" si="263"/>
        <v>1.5581825495924193</v>
      </c>
      <c r="K554" s="678">
        <f t="shared" si="264"/>
        <v>1.0073052002355503</v>
      </c>
      <c r="L554" s="679">
        <f t="shared" si="265"/>
        <v>0.12050729508537095</v>
      </c>
      <c r="M554" s="678">
        <f t="shared" si="266"/>
        <v>1.4966952522582193</v>
      </c>
      <c r="N554" s="679">
        <f t="shared" si="267"/>
        <v>-0.83909200001090756</v>
      </c>
      <c r="O554" s="677">
        <f t="shared" si="268"/>
        <v>3632821.1873728232</v>
      </c>
      <c r="P554" s="680">
        <f t="shared" si="269"/>
        <v>1.5707960515267376</v>
      </c>
      <c r="Q554" s="689">
        <f t="shared" si="291"/>
        <v>146.52720026615648</v>
      </c>
      <c r="R554" s="690">
        <f t="shared" si="292"/>
        <v>1.5639716023680577</v>
      </c>
      <c r="S554" s="677">
        <f t="shared" si="270"/>
        <v>1.0478485513548494</v>
      </c>
      <c r="T554" s="680">
        <f t="shared" si="271"/>
        <v>0.30336590502582578</v>
      </c>
      <c r="U554" s="681">
        <f t="shared" si="283"/>
        <v>2.5695105090439798E-3</v>
      </c>
      <c r="V554" s="682">
        <f t="shared" si="284"/>
        <v>-2.2671865627538937E-2</v>
      </c>
      <c r="W554" s="683">
        <f t="shared" si="272"/>
        <v>-64.541877953122054</v>
      </c>
      <c r="X554" s="684">
        <f t="shared" si="273"/>
        <v>-149.52075514290502</v>
      </c>
      <c r="Y554" s="687">
        <f t="shared" si="274"/>
        <v>30.479244857094983</v>
      </c>
      <c r="AA554" s="170">
        <f t="shared" si="275"/>
        <v>87603.25</v>
      </c>
      <c r="AB554" s="170">
        <f t="shared" si="276"/>
        <v>7674329410.5625</v>
      </c>
      <c r="AD554" s="686">
        <f t="shared" si="277"/>
        <v>16.81296434992786</v>
      </c>
      <c r="AE554" s="687">
        <f t="shared" si="278"/>
        <v>-17.772598160748505</v>
      </c>
      <c r="AG554" s="686">
        <f t="shared" si="279"/>
        <v>79.980956270546784</v>
      </c>
      <c r="AH554" s="687">
        <f t="shared" si="280"/>
        <v>-129.15015255089645</v>
      </c>
      <c r="AJ554" s="170">
        <f t="shared" si="281"/>
        <v>0</v>
      </c>
      <c r="AK554" s="170">
        <f t="shared" si="293"/>
        <v>0</v>
      </c>
      <c r="AM554" s="170" t="str">
        <f t="shared" si="285"/>
        <v>0.000524545739042037+0.0323854339148315i</v>
      </c>
      <c r="AN554" s="170" t="str">
        <f t="shared" si="286"/>
        <v>12.5987617120095i</v>
      </c>
      <c r="AO554" s="170" t="str">
        <f t="shared" si="287"/>
        <v>0.00257052515597313-0.0000416347059363798i</v>
      </c>
      <c r="AP554" s="170" t="str">
        <f t="shared" si="288"/>
        <v>0.166579242376826-0.00539757231913858i</v>
      </c>
      <c r="AQ554" s="170" t="str">
        <f t="shared" si="289"/>
        <v>0.833420757623174+0.00539757231913858i</v>
      </c>
      <c r="AR554" s="170" t="str">
        <f t="shared" si="290"/>
        <v>0.999453222898016-0.00647286619734916i</v>
      </c>
    </row>
    <row r="555" spans="7:44">
      <c r="G555" s="688">
        <v>88110.5</v>
      </c>
      <c r="H555" s="676">
        <f t="shared" si="282"/>
        <v>88.110500000000002</v>
      </c>
      <c r="I555" s="677">
        <f t="shared" si="262"/>
        <v>79.73948227229333</v>
      </c>
      <c r="J555" s="678">
        <f t="shared" si="263"/>
        <v>1.5582551591641982</v>
      </c>
      <c r="K555" s="678">
        <f t="shared" si="264"/>
        <v>1.0073897327147405</v>
      </c>
      <c r="L555" s="679">
        <f t="shared" si="265"/>
        <v>0.12119827598517656</v>
      </c>
      <c r="M555" s="678">
        <f t="shared" si="266"/>
        <v>1.501499032576374</v>
      </c>
      <c r="N555" s="679">
        <f t="shared" si="267"/>
        <v>-0.84196127232342977</v>
      </c>
      <c r="O555" s="677">
        <f t="shared" si="268"/>
        <v>3653856.349279427</v>
      </c>
      <c r="P555" s="680">
        <f t="shared" si="269"/>
        <v>1.5707960531114498</v>
      </c>
      <c r="Q555" s="689">
        <f t="shared" si="291"/>
        <v>147.3755988185475</v>
      </c>
      <c r="R555" s="690">
        <f t="shared" si="292"/>
        <v>1.5640108909306976</v>
      </c>
      <c r="S555" s="677">
        <f t="shared" si="270"/>
        <v>1.0483914427931689</v>
      </c>
      <c r="T555" s="680">
        <f t="shared" si="271"/>
        <v>0.3050158268382212</v>
      </c>
      <c r="U555" s="681">
        <f t="shared" si="283"/>
        <v>8.2949540782393839E-3</v>
      </c>
      <c r="V555" s="682">
        <f t="shared" si="284"/>
        <v>-7.3673964438338055E-2</v>
      </c>
      <c r="W555" s="683">
        <f t="shared" si="272"/>
        <v>-54.38868613797419</v>
      </c>
      <c r="X555" s="684">
        <f t="shared" si="273"/>
        <v>-152.66420985953008</v>
      </c>
      <c r="Y555" s="687">
        <f t="shared" si="274"/>
        <v>27.335790140469925</v>
      </c>
      <c r="AA555" s="170">
        <f t="shared" si="275"/>
        <v>88110.5</v>
      </c>
      <c r="AB555" s="170">
        <f t="shared" si="276"/>
        <v>7763460210.25</v>
      </c>
      <c r="AD555" s="686">
        <f t="shared" si="277"/>
        <v>16.80846302441363</v>
      </c>
      <c r="AE555" s="687">
        <f t="shared" si="278"/>
        <v>-17.864880739205706</v>
      </c>
      <c r="AG555" s="686">
        <f t="shared" si="279"/>
        <v>69.780105898424523</v>
      </c>
      <c r="AH555" s="687">
        <f t="shared" si="280"/>
        <v>-126.35691466605016</v>
      </c>
      <c r="AJ555" s="170">
        <f t="shared" si="281"/>
        <v>0</v>
      </c>
      <c r="AK555" s="170">
        <f t="shared" si="293"/>
        <v>0</v>
      </c>
      <c r="AM555" s="170" t="str">
        <f t="shared" si="285"/>
        <v>0.00554332234924804+0.10514711729681i</v>
      </c>
      <c r="AN555" s="170" t="str">
        <f t="shared" si="286"/>
        <v>12.6717124516044i</v>
      </c>
      <c r="AO555" s="170" t="str">
        <f t="shared" si="287"/>
        <v>0.00829778277390575-0.000437456450374723i</v>
      </c>
      <c r="AP555" s="170" t="str">
        <f t="shared" si="288"/>
        <v>0.165742779608459-0.0175245195494683i</v>
      </c>
      <c r="AQ555" s="170" t="str">
        <f t="shared" si="289"/>
        <v>0.834257220391541+0.0175245195494683i</v>
      </c>
      <c r="AR555" s="170" t="str">
        <f t="shared" si="290"/>
        <v>0.99805260788709-0.020965227523121i</v>
      </c>
    </row>
    <row r="556" spans="7:44">
      <c r="G556" s="688">
        <v>88617.75</v>
      </c>
      <c r="H556" s="676">
        <f t="shared" si="282"/>
        <v>88.617750000000001</v>
      </c>
      <c r="I556" s="677">
        <f t="shared" si="262"/>
        <v>80.198468536648619</v>
      </c>
      <c r="J556" s="678">
        <f t="shared" si="263"/>
        <v>1.5583269376283091</v>
      </c>
      <c r="K556" s="678">
        <f t="shared" si="264"/>
        <v>1.0074747460959483</v>
      </c>
      <c r="L556" s="679">
        <f t="shared" si="265"/>
        <v>0.12188914060120407</v>
      </c>
      <c r="M556" s="678">
        <f t="shared" si="266"/>
        <v>1.5063150954184084</v>
      </c>
      <c r="N556" s="679">
        <f t="shared" si="267"/>
        <v>-0.84481222043224669</v>
      </c>
      <c r="O556" s="677">
        <f t="shared" si="268"/>
        <v>3674891.5111860312</v>
      </c>
      <c r="P556" s="680">
        <f t="shared" si="269"/>
        <v>1.57079605467802</v>
      </c>
      <c r="Q556" s="689">
        <f t="shared" si="291"/>
        <v>148.223997595822</v>
      </c>
      <c r="R556" s="690">
        <f t="shared" si="292"/>
        <v>1.56404972973669</v>
      </c>
      <c r="S556" s="677">
        <f t="shared" si="270"/>
        <v>1.0489371852479377</v>
      </c>
      <c r="T556" s="680">
        <f t="shared" si="271"/>
        <v>0.3066640362864651</v>
      </c>
      <c r="U556" s="681">
        <f t="shared" si="283"/>
        <v>1.3912646481878206E-2</v>
      </c>
      <c r="V556" s="682">
        <f t="shared" si="284"/>
        <v>-0.12448936135662163</v>
      </c>
      <c r="W556" s="683">
        <f t="shared" si="272"/>
        <v>-49.922598294462432</v>
      </c>
      <c r="X556" s="684">
        <f t="shared" si="273"/>
        <v>-155.7958041466255</v>
      </c>
      <c r="Y556" s="687">
        <f t="shared" si="274"/>
        <v>24.2041958533745</v>
      </c>
      <c r="AA556" s="170">
        <f t="shared" si="275"/>
        <v>88617.75</v>
      </c>
      <c r="AB556" s="170">
        <f t="shared" si="276"/>
        <v>7853105615.0625</v>
      </c>
      <c r="AD556" s="686">
        <f t="shared" si="277"/>
        <v>16.80394045946813</v>
      </c>
      <c r="AE556" s="687">
        <f t="shared" si="278"/>
        <v>-17.957090974542194</v>
      </c>
      <c r="AG556" s="686">
        <f t="shared" si="279"/>
        <v>65.266885752846392</v>
      </c>
      <c r="AH556" s="687">
        <f t="shared" si="280"/>
        <v>-123.57328315575585</v>
      </c>
      <c r="AJ556" s="170">
        <f t="shared" si="281"/>
        <v>0</v>
      </c>
      <c r="AK556" s="170">
        <f t="shared" si="293"/>
        <v>0</v>
      </c>
      <c r="AM556" s="170" t="str">
        <f t="shared" si="285"/>
        <v>0.015852062216817+0.177349475773422i</v>
      </c>
      <c r="AN556" s="170" t="str">
        <f t="shared" si="286"/>
        <v>12.7446631911993i</v>
      </c>
      <c r="AO556" s="170" t="str">
        <f t="shared" si="287"/>
        <v>0.0139155874982941-0.00124381962700776i</v>
      </c>
      <c r="AP556" s="170" t="str">
        <f t="shared" si="288"/>
        <v>0.164024656297197-0.029558245962237i</v>
      </c>
      <c r="AQ556" s="170" t="str">
        <f t="shared" si="289"/>
        <v>0.835975343702803+0.029558245962237i</v>
      </c>
      <c r="AR556" s="170" t="str">
        <f t="shared" si="290"/>
        <v>0.995196702655125-0.0351879623477809i</v>
      </c>
    </row>
    <row r="557" spans="7:44">
      <c r="G557" s="688">
        <v>89125</v>
      </c>
      <c r="H557" s="676">
        <f t="shared" si="282"/>
        <v>89.125</v>
      </c>
      <c r="I557" s="677">
        <f t="shared" si="262"/>
        <v>80.657455209495666</v>
      </c>
      <c r="J557" s="678">
        <f t="shared" si="263"/>
        <v>1.5583978991724285</v>
      </c>
      <c r="K557" s="678">
        <f t="shared" si="264"/>
        <v>1.0075602402574453</v>
      </c>
      <c r="L557" s="679">
        <f t="shared" si="265"/>
        <v>0.12257988830348085</v>
      </c>
      <c r="M557" s="678">
        <f t="shared" si="266"/>
        <v>1.5111433233499194</v>
      </c>
      <c r="N557" s="679">
        <f t="shared" si="267"/>
        <v>-0.84764497341297818</v>
      </c>
      <c r="O557" s="677">
        <f t="shared" si="268"/>
        <v>3695926.6730926358</v>
      </c>
      <c r="P557" s="680">
        <f t="shared" si="269"/>
        <v>1.5707960562267582</v>
      </c>
      <c r="Q557" s="689">
        <f t="shared" si="291"/>
        <v>149.0723965941404</v>
      </c>
      <c r="R557" s="690">
        <f t="shared" si="292"/>
        <v>1.5640881264648656</v>
      </c>
      <c r="S557" s="677">
        <f t="shared" si="270"/>
        <v>1.0494857742714896</v>
      </c>
      <c r="T557" s="680">
        <f t="shared" si="271"/>
        <v>0.30831052709386875</v>
      </c>
      <c r="U557" s="681">
        <f t="shared" si="283"/>
        <v>1.9396470871632501E-2</v>
      </c>
      <c r="V557" s="682">
        <f t="shared" si="284"/>
        <v>-0.17499292753574586</v>
      </c>
      <c r="W557" s="683">
        <f t="shared" si="272"/>
        <v>-47.061917848144091</v>
      </c>
      <c r="X557" s="684">
        <f t="shared" si="273"/>
        <v>-158.90837609427751</v>
      </c>
      <c r="Y557" s="687">
        <f t="shared" si="274"/>
        <v>21.091623905722486</v>
      </c>
      <c r="AA557" s="170">
        <f t="shared" si="275"/>
        <v>89125</v>
      </c>
      <c r="AB557" s="170">
        <f t="shared" si="276"/>
        <v>7943265625</v>
      </c>
      <c r="AD557" s="686">
        <f t="shared" si="277"/>
        <v>16.799396725418557</v>
      </c>
      <c r="AE557" s="687">
        <f t="shared" si="278"/>
        <v>-18.049228067183392</v>
      </c>
      <c r="AG557" s="686">
        <f t="shared" si="279"/>
        <v>62.359591187112542</v>
      </c>
      <c r="AH557" s="687">
        <f t="shared" si="280"/>
        <v>-120.80643561930677</v>
      </c>
      <c r="AJ557" s="170">
        <f t="shared" si="281"/>
        <v>0</v>
      </c>
      <c r="AK557" s="170">
        <f t="shared" si="293"/>
        <v>0</v>
      </c>
      <c r="AM557" s="170" t="str">
        <f t="shared" si="285"/>
        <v>0.031395928508374+0.24860843245925i</v>
      </c>
      <c r="AN557" s="170" t="str">
        <f t="shared" si="286"/>
        <v>12.8176139307942i</v>
      </c>
      <c r="AO557" s="170" t="str">
        <f t="shared" si="287"/>
        <v>0.0193958433918789-0.0024494362740124i</v>
      </c>
      <c r="AP557" s="170" t="str">
        <f t="shared" si="288"/>
        <v>0.161434011915271-0.0414347387432083i</v>
      </c>
      <c r="AQ557" s="170" t="str">
        <f t="shared" si="289"/>
        <v>0.838565988084729+0.0414347387432083i</v>
      </c>
      <c r="AR557" s="170" t="str">
        <f t="shared" si="290"/>
        <v>0.990943115999024-0.0489639094647512i</v>
      </c>
    </row>
    <row r="558" spans="7:44">
      <c r="G558" s="688">
        <v>89644</v>
      </c>
      <c r="H558" s="676">
        <f t="shared" si="282"/>
        <v>89.644000000000005</v>
      </c>
      <c r="I558" s="677">
        <f t="shared" si="262"/>
        <v>81.127074320391998</v>
      </c>
      <c r="J558" s="678">
        <f t="shared" si="263"/>
        <v>1.5584696734153254</v>
      </c>
      <c r="K558" s="678">
        <f t="shared" si="264"/>
        <v>1.0076482123028925</v>
      </c>
      <c r="L558" s="679">
        <f t="shared" si="265"/>
        <v>0.12328651490480284</v>
      </c>
      <c r="M558" s="678">
        <f t="shared" si="266"/>
        <v>1.5160958627528496</v>
      </c>
      <c r="N558" s="679">
        <f t="shared" si="267"/>
        <v>-0.85052464653273074</v>
      </c>
      <c r="O558" s="677">
        <f t="shared" si="268"/>
        <v>3717449.096019255</v>
      </c>
      <c r="P558" s="680">
        <f t="shared" si="269"/>
        <v>1.5707960577932307</v>
      </c>
      <c r="Q558" s="689">
        <f t="shared" si="291"/>
        <v>149.94044823375134</v>
      </c>
      <c r="R558" s="690">
        <f t="shared" si="292"/>
        <v>1.564126962889288</v>
      </c>
      <c r="S558" s="677">
        <f t="shared" si="270"/>
        <v>1.0500500124635279</v>
      </c>
      <c r="T558" s="680">
        <f t="shared" si="271"/>
        <v>0.30999337210040045</v>
      </c>
      <c r="U558" s="681">
        <f t="shared" si="283"/>
        <v>2.4843861967381677E-2</v>
      </c>
      <c r="V558" s="682">
        <f t="shared" si="284"/>
        <v>-0.226219638256421</v>
      </c>
      <c r="W558" s="683">
        <f t="shared" si="272"/>
        <v>-44.937908395145158</v>
      </c>
      <c r="X558" s="684">
        <f t="shared" si="273"/>
        <v>-162.06626401889602</v>
      </c>
      <c r="Y558" s="687">
        <f t="shared" si="274"/>
        <v>17.933735981103979</v>
      </c>
      <c r="AA558" s="170">
        <f t="shared" si="275"/>
        <v>89644</v>
      </c>
      <c r="AB558" s="170">
        <f t="shared" si="276"/>
        <v>8036046736</v>
      </c>
      <c r="AD558" s="686">
        <f t="shared" si="277"/>
        <v>16.794725902980879</v>
      </c>
      <c r="AE558" s="687">
        <f t="shared" si="278"/>
        <v>-18.143422910281437</v>
      </c>
      <c r="AG558" s="686">
        <f t="shared" si="279"/>
        <v>60.188415899805385</v>
      </c>
      <c r="AH558" s="687">
        <f t="shared" si="280"/>
        <v>-117.99998004885508</v>
      </c>
      <c r="AJ558" s="170">
        <f t="shared" si="281"/>
        <v>0</v>
      </c>
      <c r="AK558" s="170">
        <f t="shared" si="293"/>
        <v>0</v>
      </c>
      <c r="AM558" s="170" t="str">
        <f t="shared" si="285"/>
        <v>0.052631879408623+0.320146285449576i</v>
      </c>
      <c r="AN558" s="170" t="str">
        <f t="shared" si="286"/>
        <v>12.8922545100939i</v>
      </c>
      <c r="AO558" s="170" t="str">
        <f t="shared" si="287"/>
        <v>0.0248324515466957-0.00408244185432542i</v>
      </c>
      <c r="AP558" s="170" t="str">
        <f t="shared" si="288"/>
        <v>0.157894686765229-0.053357714241596i</v>
      </c>
      <c r="AQ558" s="170" t="str">
        <f t="shared" si="289"/>
        <v>0.842105313234771+0.053357714241596i</v>
      </c>
      <c r="AR558" s="170" t="str">
        <f t="shared" si="290"/>
        <v>0.985231952851998-0.0624265447275601i</v>
      </c>
    </row>
    <row r="559" spans="7:44">
      <c r="G559" s="688">
        <v>90163</v>
      </c>
      <c r="H559" s="676">
        <f t="shared" si="282"/>
        <v>90.162999999999997</v>
      </c>
      <c r="I559" s="677">
        <f t="shared" si="262"/>
        <v>81.596693844407199</v>
      </c>
      <c r="J559" s="678">
        <f t="shared" si="263"/>
        <v>1.558540621483302</v>
      </c>
      <c r="K559" s="678">
        <f t="shared" si="264"/>
        <v>1.0077366874004161</v>
      </c>
      <c r="L559" s="679">
        <f t="shared" si="265"/>
        <v>0.12399301778108114</v>
      </c>
      <c r="M559" s="678">
        <f t="shared" si="266"/>
        <v>1.5210608924764049</v>
      </c>
      <c r="N559" s="679">
        <f t="shared" si="267"/>
        <v>-0.8533855436550587</v>
      </c>
      <c r="O559" s="677">
        <f t="shared" si="268"/>
        <v>3738971.5189458737</v>
      </c>
      <c r="P559" s="680">
        <f t="shared" si="269"/>
        <v>1.5707960593416692</v>
      </c>
      <c r="Q559" s="689">
        <f t="shared" si="291"/>
        <v>150.8085000969092</v>
      </c>
      <c r="R559" s="690">
        <f t="shared" si="292"/>
        <v>1.5641653522298096</v>
      </c>
      <c r="S559" s="677">
        <f t="shared" si="270"/>
        <v>1.0506172211638891</v>
      </c>
      <c r="T559" s="680">
        <f t="shared" si="271"/>
        <v>0.31167440478983965</v>
      </c>
      <c r="U559" s="681">
        <f t="shared" si="283"/>
        <v>3.0103444256122151E-2</v>
      </c>
      <c r="V559" s="682">
        <f t="shared" si="284"/>
        <v>-0.27687716013746383</v>
      </c>
      <c r="W559" s="683">
        <f t="shared" si="272"/>
        <v>-43.295633208472125</v>
      </c>
      <c r="X559" s="684">
        <f t="shared" si="273"/>
        <v>-165.19034556926394</v>
      </c>
      <c r="Y559" s="687">
        <f t="shared" si="274"/>
        <v>14.80965443073606</v>
      </c>
      <c r="AA559" s="170">
        <f t="shared" si="275"/>
        <v>90163</v>
      </c>
      <c r="AB559" s="170">
        <f t="shared" si="276"/>
        <v>8129366569</v>
      </c>
      <c r="AD559" s="686">
        <f t="shared" si="277"/>
        <v>16.79003306888416</v>
      </c>
      <c r="AE559" s="687">
        <f t="shared" si="278"/>
        <v>-18.237539530246185</v>
      </c>
      <c r="AG559" s="686">
        <f t="shared" si="279"/>
        <v>58.499500713497923</v>
      </c>
      <c r="AH559" s="687">
        <f t="shared" si="280"/>
        <v>-115.22502056387445</v>
      </c>
      <c r="AJ559" s="170">
        <f t="shared" si="281"/>
        <v>0</v>
      </c>
      <c r="AK559" s="170">
        <f t="shared" si="293"/>
        <v>0</v>
      </c>
      <c r="AM559" s="170" t="str">
        <f t="shared" si="285"/>
        <v>0.079143372866193+0.389901362223509i</v>
      </c>
      <c r="AN559" s="170" t="str">
        <f t="shared" si="286"/>
        <v>12.9668950893935i</v>
      </c>
      <c r="AO559" s="170" t="str">
        <f t="shared" si="287"/>
        <v>0.0300689840964654-0.00610349450046293i</v>
      </c>
      <c r="AP559" s="170" t="str">
        <f t="shared" si="288"/>
        <v>0.153476104522301-0.0649835603705848i</v>
      </c>
      <c r="AQ559" s="170" t="str">
        <f t="shared" si="289"/>
        <v>0.846523895477699+0.0649835603705848i</v>
      </c>
      <c r="AR559" s="170" t="str">
        <f t="shared" si="290"/>
        <v>0.978259422972753-0.0750962620316464i</v>
      </c>
    </row>
    <row r="560" spans="7:44">
      <c r="G560" s="688">
        <v>90682</v>
      </c>
      <c r="H560" s="676">
        <f t="shared" si="282"/>
        <v>90.682000000000002</v>
      </c>
      <c r="I560" s="677">
        <f t="shared" si="262"/>
        <v>82.066313774449071</v>
      </c>
      <c r="J560" s="678">
        <f t="shared" si="263"/>
        <v>1.5586107575588581</v>
      </c>
      <c r="K560" s="678">
        <f t="shared" si="264"/>
        <v>1.0078256654175302</v>
      </c>
      <c r="L560" s="679">
        <f t="shared" si="265"/>
        <v>0.12469939625969716</v>
      </c>
      <c r="M560" s="678">
        <f t="shared" si="266"/>
        <v>1.5260382906072405</v>
      </c>
      <c r="N560" s="679">
        <f t="shared" si="267"/>
        <v>-0.8562278014416248</v>
      </c>
      <c r="O560" s="677">
        <f t="shared" si="268"/>
        <v>3760493.9418724934</v>
      </c>
      <c r="P560" s="680">
        <f t="shared" si="269"/>
        <v>1.5707960608723834</v>
      </c>
      <c r="Q560" s="689">
        <f t="shared" si="291"/>
        <v>151.67655217977588</v>
      </c>
      <c r="R560" s="690">
        <f t="shared" si="292"/>
        <v>1.5642033021623629</v>
      </c>
      <c r="S560" s="677">
        <f t="shared" si="270"/>
        <v>1.0511873955640167</v>
      </c>
      <c r="T560" s="680">
        <f t="shared" si="271"/>
        <v>0.31335361860285538</v>
      </c>
      <c r="U560" s="681">
        <f t="shared" si="283"/>
        <v>3.5155899327713923E-2</v>
      </c>
      <c r="V560" s="682">
        <f t="shared" si="284"/>
        <v>-0.32685831624306916</v>
      </c>
      <c r="W560" s="683">
        <f t="shared" si="272"/>
        <v>-41.973411280039834</v>
      </c>
      <c r="X560" s="684">
        <f t="shared" si="273"/>
        <v>-168.27448782496083</v>
      </c>
      <c r="Y560" s="687">
        <f t="shared" si="274"/>
        <v>11.725512175039171</v>
      </c>
      <c r="AA560" s="170">
        <f t="shared" si="275"/>
        <v>90682</v>
      </c>
      <c r="AB560" s="170">
        <f t="shared" si="276"/>
        <v>8223225124</v>
      </c>
      <c r="AD560" s="686">
        <f t="shared" si="277"/>
        <v>16.785318299035797</v>
      </c>
      <c r="AE560" s="687">
        <f t="shared" si="278"/>
        <v>-18.331577111474861</v>
      </c>
      <c r="AG560" s="686">
        <f t="shared" si="279"/>
        <v>57.131156438050013</v>
      </c>
      <c r="AH560" s="687">
        <f t="shared" si="280"/>
        <v>-112.48770663172672</v>
      </c>
      <c r="AJ560" s="170">
        <f t="shared" si="281"/>
        <v>0</v>
      </c>
      <c r="AK560" s="170">
        <f t="shared" si="293"/>
        <v>0</v>
      </c>
      <c r="AM560" s="170" t="str">
        <f t="shared" si="285"/>
        <v>0.110782776182784+0.457485222566591i</v>
      </c>
      <c r="AN560" s="170" t="str">
        <f t="shared" si="286"/>
        <v>13.0415356686932i</v>
      </c>
      <c r="AO560" s="170" t="str">
        <f t="shared" si="287"/>
        <v>0.0350790914650339-0.00849461129403059i</v>
      </c>
      <c r="AP560" s="170" t="str">
        <f t="shared" si="288"/>
        <v>0.148202870636203-0.0762475370944318i</v>
      </c>
      <c r="AQ560" s="170" t="str">
        <f t="shared" si="289"/>
        <v>0.851797129363797+0.0762475370944318i</v>
      </c>
      <c r="AR560" s="170" t="str">
        <f t="shared" si="290"/>
        <v>0.970158788337584-0.0868425305172235i</v>
      </c>
    </row>
    <row r="561" spans="7:44">
      <c r="G561" s="688">
        <v>91201</v>
      </c>
      <c r="H561" s="676">
        <f t="shared" si="282"/>
        <v>91.200999999999993</v>
      </c>
      <c r="I561" s="677">
        <f t="shared" si="262"/>
        <v>82.535934103586925</v>
      </c>
      <c r="J561" s="678">
        <f t="shared" si="263"/>
        <v>1.5586800955017392</v>
      </c>
      <c r="K561" s="678">
        <f t="shared" si="264"/>
        <v>1.0079151462210427</v>
      </c>
      <c r="L561" s="679">
        <f t="shared" si="265"/>
        <v>0.1254056496687658</v>
      </c>
      <c r="M561" s="678">
        <f t="shared" si="266"/>
        <v>1.5310279365156474</v>
      </c>
      <c r="N561" s="679">
        <f t="shared" si="267"/>
        <v>-0.85905155598380523</v>
      </c>
      <c r="O561" s="677">
        <f t="shared" si="268"/>
        <v>3782016.3647991125</v>
      </c>
      <c r="P561" s="680">
        <f t="shared" si="269"/>
        <v>1.5707960623856758</v>
      </c>
      <c r="Q561" s="689">
        <f t="shared" si="291"/>
        <v>152.54460447860063</v>
      </c>
      <c r="R561" s="690">
        <f t="shared" si="292"/>
        <v>1.5642408201881672</v>
      </c>
      <c r="S561" s="677">
        <f t="shared" si="270"/>
        <v>1.0517605308406659</v>
      </c>
      <c r="T561" s="680">
        <f t="shared" si="271"/>
        <v>0.31503100703533343</v>
      </c>
      <c r="U561" s="681">
        <f t="shared" si="283"/>
        <v>3.9985486549058279E-2</v>
      </c>
      <c r="V561" s="682">
        <f t="shared" si="284"/>
        <v>-0.37606852331683394</v>
      </c>
      <c r="W561" s="683">
        <f t="shared" si="272"/>
        <v>-40.880502502352165</v>
      </c>
      <c r="X561" s="684">
        <f t="shared" si="273"/>
        <v>-171.31327939220947</v>
      </c>
      <c r="Y561" s="687">
        <f t="shared" si="274"/>
        <v>8.6867206077905337</v>
      </c>
      <c r="AA561" s="170">
        <f t="shared" si="275"/>
        <v>91201</v>
      </c>
      <c r="AB561" s="170">
        <f t="shared" si="276"/>
        <v>8317622401</v>
      </c>
      <c r="AD561" s="686">
        <f t="shared" si="277"/>
        <v>16.780581669529482</v>
      </c>
      <c r="AE561" s="687">
        <f t="shared" si="278"/>
        <v>-18.425534851538302</v>
      </c>
      <c r="AG561" s="686">
        <f t="shared" si="279"/>
        <v>55.9926349338823</v>
      </c>
      <c r="AH561" s="687">
        <f t="shared" si="280"/>
        <v>-109.79346610388525</v>
      </c>
      <c r="AJ561" s="170">
        <f t="shared" si="281"/>
        <v>0</v>
      </c>
      <c r="AK561" s="170">
        <f t="shared" si="293"/>
        <v>0</v>
      </c>
      <c r="AM561" s="170" t="str">
        <f t="shared" si="285"/>
        <v>0.147373901227154+0.522521516964993i</v>
      </c>
      <c r="AN561" s="170" t="str">
        <f t="shared" si="286"/>
        <v>13.1161762479928i</v>
      </c>
      <c r="AO561" s="170" t="str">
        <f t="shared" si="287"/>
        <v>0.0398379456851958-0.0112360415444789i</v>
      </c>
      <c r="AP561" s="170" t="str">
        <f t="shared" si="288"/>
        <v>0.142104349795474-0.0870869194941655i</v>
      </c>
      <c r="AQ561" s="170" t="str">
        <f t="shared" si="289"/>
        <v>0.857895650204526+0.0870869194941655i</v>
      </c>
      <c r="AR561" s="170" t="str">
        <f t="shared" si="290"/>
        <v>0.961076916166237-0.0975610821734744i</v>
      </c>
    </row>
    <row r="562" spans="7:44">
      <c r="G562" s="688">
        <v>91732</v>
      </c>
      <c r="H562" s="676">
        <f t="shared" si="282"/>
        <v>91.731999999999999</v>
      </c>
      <c r="I562" s="677">
        <f t="shared" si="262"/>
        <v>83.016413112211239</v>
      </c>
      <c r="J562" s="678">
        <f t="shared" si="263"/>
        <v>1.5587502247328837</v>
      </c>
      <c r="K562" s="678">
        <f t="shared" si="264"/>
        <v>1.0080072161636897</v>
      </c>
      <c r="L562" s="679">
        <f t="shared" si="265"/>
        <v>0.12612810249582165</v>
      </c>
      <c r="M562" s="678">
        <f t="shared" si="266"/>
        <v>1.536145501316216</v>
      </c>
      <c r="N562" s="679">
        <f t="shared" si="267"/>
        <v>-0.86192159104570476</v>
      </c>
      <c r="O562" s="677">
        <f t="shared" si="268"/>
        <v>3804036.4160014917</v>
      </c>
      <c r="P562" s="680">
        <f t="shared" si="269"/>
        <v>1.5707960639162355</v>
      </c>
      <c r="Q562" s="689">
        <f t="shared" si="291"/>
        <v>153.43272757049152</v>
      </c>
      <c r="R562" s="690">
        <f t="shared" si="292"/>
        <v>1.5642787663263102</v>
      </c>
      <c r="S562" s="677">
        <f t="shared" si="270"/>
        <v>1.0523499771118248</v>
      </c>
      <c r="T562" s="680">
        <f t="shared" si="271"/>
        <v>0.31674528311354128</v>
      </c>
      <c r="U562" s="681">
        <f t="shared" si="283"/>
        <v>4.4683501352376281E-2</v>
      </c>
      <c r="V562" s="682">
        <f t="shared" si="284"/>
        <v>-0.42553422242196665</v>
      </c>
      <c r="W562" s="683">
        <f t="shared" si="272"/>
        <v>-39.941114687675217</v>
      </c>
      <c r="X562" s="684">
        <f t="shared" si="273"/>
        <v>-174.37056741060172</v>
      </c>
      <c r="Y562" s="687">
        <f t="shared" si="274"/>
        <v>5.6294325893982773</v>
      </c>
      <c r="AA562" s="170">
        <f t="shared" si="275"/>
        <v>91732</v>
      </c>
      <c r="AB562" s="170">
        <f t="shared" si="276"/>
        <v>8414759824</v>
      </c>
      <c r="AD562" s="686">
        <f t="shared" si="277"/>
        <v>16.77571297848932</v>
      </c>
      <c r="AE562" s="687">
        <f t="shared" si="278"/>
        <v>-18.521581569979794</v>
      </c>
      <c r="AG562" s="686">
        <f t="shared" si="279"/>
        <v>55.007098971773544</v>
      </c>
      <c r="AH562" s="687">
        <f t="shared" si="280"/>
        <v>-107.08635581858265</v>
      </c>
      <c r="AJ562" s="170">
        <f t="shared" si="281"/>
        <v>0</v>
      </c>
      <c r="AK562" s="170">
        <f t="shared" si="293"/>
        <v>0</v>
      </c>
      <c r="AM562" s="170" t="str">
        <f t="shared" si="285"/>
        <v>0.189723175216073+0.586047325066907i</v>
      </c>
      <c r="AN562" s="170" t="str">
        <f t="shared" si="286"/>
        <v>13.1925426210335i</v>
      </c>
      <c r="AO562" s="170" t="str">
        <f t="shared" si="287"/>
        <v>0.04442262131733-0.0143810924600379i</v>
      </c>
      <c r="AP562" s="170" t="str">
        <f t="shared" si="288"/>
        <v>0.135046137463988-0.0976745541778178i</v>
      </c>
      <c r="AQ562" s="170" t="str">
        <f t="shared" si="289"/>
        <v>0.864953862536012+0.0976745541778178i</v>
      </c>
      <c r="AR562" s="170" t="str">
        <f t="shared" si="290"/>
        <v>0.950930913660791-0.107383476817361i</v>
      </c>
    </row>
    <row r="563" spans="7:44">
      <c r="G563" s="688">
        <v>92263</v>
      </c>
      <c r="H563" s="676">
        <f t="shared" si="282"/>
        <v>92.263000000000005</v>
      </c>
      <c r="I563" s="677">
        <f t="shared" si="262"/>
        <v>83.496892524420417</v>
      </c>
      <c r="J563" s="678">
        <f t="shared" si="263"/>
        <v>1.5588195468528496</v>
      </c>
      <c r="K563" s="678">
        <f t="shared" si="264"/>
        <v>1.0080998121274343</v>
      </c>
      <c r="L563" s="679">
        <f t="shared" si="265"/>
        <v>0.12685042298238133</v>
      </c>
      <c r="M563" s="678">
        <f t="shared" si="266"/>
        <v>1.5412756354150774</v>
      </c>
      <c r="N563" s="679">
        <f t="shared" si="267"/>
        <v>-0.86477254364472711</v>
      </c>
      <c r="O563" s="677">
        <f t="shared" si="268"/>
        <v>3826056.4672038709</v>
      </c>
      <c r="P563" s="680">
        <f t="shared" si="269"/>
        <v>1.5707960654291775</v>
      </c>
      <c r="Q563" s="689">
        <f t="shared" si="291"/>
        <v>154.32085088076877</v>
      </c>
      <c r="R563" s="690">
        <f t="shared" si="292"/>
        <v>1.5643162757011058</v>
      </c>
      <c r="S563" s="677">
        <f t="shared" si="270"/>
        <v>1.0529425125007472</v>
      </c>
      <c r="T563" s="680">
        <f t="shared" si="271"/>
        <v>0.31845763482755807</v>
      </c>
      <c r="U563" s="681">
        <f t="shared" si="283"/>
        <v>4.912653339526718E-2</v>
      </c>
      <c r="V563" s="682">
        <f t="shared" si="284"/>
        <v>-0.47403654681777879</v>
      </c>
      <c r="W563" s="683">
        <f t="shared" si="272"/>
        <v>-39.142997555592814</v>
      </c>
      <c r="X563" s="684">
        <f t="shared" si="273"/>
        <v>-177.37144088363863</v>
      </c>
      <c r="Y563" s="687">
        <f t="shared" si="274"/>
        <v>2.6285591163613731</v>
      </c>
      <c r="AA563" s="170">
        <f t="shared" si="275"/>
        <v>92263</v>
      </c>
      <c r="AB563" s="170">
        <f t="shared" si="276"/>
        <v>8512461169</v>
      </c>
      <c r="AD563" s="686">
        <f t="shared" si="277"/>
        <v>16.770821566979933</v>
      </c>
      <c r="AE563" s="687">
        <f t="shared" si="278"/>
        <v>-18.617543054161828</v>
      </c>
      <c r="AG563" s="686">
        <f t="shared" si="279"/>
        <v>54.163350608623674</v>
      </c>
      <c r="AH563" s="687">
        <f t="shared" si="280"/>
        <v>-104.43331083217772</v>
      </c>
      <c r="AJ563" s="170">
        <f t="shared" si="281"/>
        <v>0</v>
      </c>
      <c r="AK563" s="170">
        <f t="shared" si="293"/>
        <v>0</v>
      </c>
      <c r="AM563" s="170" t="str">
        <f t="shared" si="285"/>
        <v>0.236795544148633+0.646157069580314i</v>
      </c>
      <c r="AN563" s="170" t="str">
        <f t="shared" si="286"/>
        <v>13.2689089940742i</v>
      </c>
      <c r="AO563" s="170" t="str">
        <f t="shared" si="287"/>
        <v>0.0486970759893585-0.0178458940561266i</v>
      </c>
      <c r="AP563" s="170" t="str">
        <f t="shared" si="288"/>
        <v>0.127200742641894-0.107692844930052i</v>
      </c>
      <c r="AQ563" s="170" t="str">
        <f t="shared" si="289"/>
        <v>0.872799257358106+0.107692844930052i</v>
      </c>
      <c r="AR563" s="170" t="str">
        <f t="shared" si="290"/>
        <v>0.940088012052622-0.11599546132639i</v>
      </c>
    </row>
    <row r="564" spans="7:44">
      <c r="G564" s="688">
        <v>92794</v>
      </c>
      <c r="H564" s="676">
        <f t="shared" si="282"/>
        <v>92.793999999999997</v>
      </c>
      <c r="I564" s="677">
        <f t="shared" si="262"/>
        <v>83.977372333287107</v>
      </c>
      <c r="J564" s="678">
        <f t="shared" si="263"/>
        <v>1.5588880757147194</v>
      </c>
      <c r="K564" s="678">
        <f t="shared" si="264"/>
        <v>1.0081929339673414</v>
      </c>
      <c r="L564" s="679">
        <f t="shared" si="265"/>
        <v>0.1275726104112761</v>
      </c>
      <c r="M564" s="678">
        <f t="shared" si="266"/>
        <v>1.5464182137189368</v>
      </c>
      <c r="N564" s="679">
        <f t="shared" si="267"/>
        <v>-0.86760455757992438</v>
      </c>
      <c r="O564" s="677">
        <f t="shared" si="268"/>
        <v>3848076.51840625</v>
      </c>
      <c r="P564" s="680">
        <f t="shared" si="269"/>
        <v>1.5707960669248042</v>
      </c>
      <c r="Q564" s="689">
        <f t="shared" si="291"/>
        <v>155.20897440568345</v>
      </c>
      <c r="R564" s="690">
        <f t="shared" si="292"/>
        <v>1.5643533558100775</v>
      </c>
      <c r="S564" s="677">
        <f t="shared" si="270"/>
        <v>1.0535381317952488</v>
      </c>
      <c r="T564" s="680">
        <f t="shared" si="271"/>
        <v>0.32016805539107124</v>
      </c>
      <c r="U564" s="681">
        <f t="shared" si="283"/>
        <v>5.3309257541044971E-2</v>
      </c>
      <c r="V564" s="682">
        <f t="shared" si="284"/>
        <v>-0.52151923391019894</v>
      </c>
      <c r="W564" s="683">
        <f t="shared" si="272"/>
        <v>-38.458285512099543</v>
      </c>
      <c r="X564" s="684">
        <f t="shared" si="273"/>
        <v>-180.31268445763823</v>
      </c>
      <c r="Y564" s="687">
        <f t="shared" si="274"/>
        <v>-0.31268445763822683</v>
      </c>
      <c r="AA564" s="170">
        <f t="shared" si="275"/>
        <v>92794</v>
      </c>
      <c r="AB564" s="170">
        <f t="shared" si="276"/>
        <v>8610726436</v>
      </c>
      <c r="AD564" s="686">
        <f t="shared" si="277"/>
        <v>16.765907517072804</v>
      </c>
      <c r="AE564" s="687">
        <f t="shared" si="278"/>
        <v>-18.713418485698213</v>
      </c>
      <c r="AG564" s="686">
        <f t="shared" si="279"/>
        <v>53.433516115182769</v>
      </c>
      <c r="AH564" s="687">
        <f t="shared" si="280"/>
        <v>-101.83756382775162</v>
      </c>
      <c r="AJ564" s="170">
        <f t="shared" si="281"/>
        <v>0</v>
      </c>
      <c r="AK564" s="170">
        <f t="shared" si="293"/>
        <v>0</v>
      </c>
      <c r="AM564" s="170" t="str">
        <f t="shared" si="285"/>
        <v>0.288316623689885+0.702500371447472i</v>
      </c>
      <c r="AN564" s="170" t="str">
        <f t="shared" si="286"/>
        <v>13.3452753671149i</v>
      </c>
      <c r="AO564" s="170" t="str">
        <f t="shared" si="287"/>
        <v>0.0526403803685128-0.0216043967440603i</v>
      </c>
      <c r="AP564" s="170" t="str">
        <f t="shared" si="288"/>
        <v>0.118613896051686-0.117083395241245i</v>
      </c>
      <c r="AQ564" s="170" t="str">
        <f t="shared" si="289"/>
        <v>0.881386103948314+0.117083395241245i</v>
      </c>
      <c r="AR564" s="170" t="str">
        <f t="shared" si="290"/>
        <v>0.928713728281983-0.123370400358373i</v>
      </c>
    </row>
    <row r="565" spans="7:44">
      <c r="G565" s="688">
        <v>93325</v>
      </c>
      <c r="H565" s="676">
        <f t="shared" si="282"/>
        <v>93.325000000000003</v>
      </c>
      <c r="I565" s="677">
        <f t="shared" si="262"/>
        <v>84.457852532041557</v>
      </c>
      <c r="J565" s="678">
        <f t="shared" si="263"/>
        <v>1.5589558248563646</v>
      </c>
      <c r="K565" s="678">
        <f t="shared" si="264"/>
        <v>1.0082865815377069</v>
      </c>
      <c r="L565" s="679">
        <f t="shared" si="265"/>
        <v>0.12829466406615647</v>
      </c>
      <c r="M565" s="678">
        <f t="shared" si="266"/>
        <v>1.5515731124915126</v>
      </c>
      <c r="N565" s="679">
        <f t="shared" si="267"/>
        <v>-0.87041777596141368</v>
      </c>
      <c r="O565" s="677">
        <f t="shared" si="268"/>
        <v>3870096.5696086292</v>
      </c>
      <c r="P565" s="680">
        <f t="shared" si="269"/>
        <v>1.5707960684034115</v>
      </c>
      <c r="Q565" s="689">
        <f t="shared" si="291"/>
        <v>156.09709814157193</v>
      </c>
      <c r="R565" s="690">
        <f t="shared" si="292"/>
        <v>1.5643900139801226</v>
      </c>
      <c r="S565" s="677">
        <f t="shared" si="270"/>
        <v>1.0541368297678291</v>
      </c>
      <c r="T565" s="680">
        <f t="shared" si="271"/>
        <v>0.32187653807826327</v>
      </c>
      <c r="U565" s="681">
        <f t="shared" si="283"/>
        <v>5.722976515623366E-2</v>
      </c>
      <c r="V565" s="682">
        <f t="shared" si="284"/>
        <v>-0.5679408936260002</v>
      </c>
      <c r="W565" s="683">
        <f t="shared" si="272"/>
        <v>-37.866678045834504</v>
      </c>
      <c r="X565" s="684">
        <f t="shared" si="273"/>
        <v>-183.19193486725638</v>
      </c>
      <c r="Y565" s="687">
        <f t="shared" si="274"/>
        <v>-3.1919348672563785</v>
      </c>
      <c r="AA565" s="170">
        <f t="shared" si="275"/>
        <v>93325</v>
      </c>
      <c r="AB565" s="170">
        <f t="shared" si="276"/>
        <v>8709555625</v>
      </c>
      <c r="AD565" s="686">
        <f t="shared" si="277"/>
        <v>16.760970911024216</v>
      </c>
      <c r="AE565" s="687">
        <f t="shared" si="278"/>
        <v>-18.809207059444638</v>
      </c>
      <c r="AG565" s="686">
        <f t="shared" si="279"/>
        <v>52.797286995637911</v>
      </c>
      <c r="AH565" s="687">
        <f t="shared" si="280"/>
        <v>-99.301495298129069</v>
      </c>
      <c r="AJ565" s="170">
        <f t="shared" si="281"/>
        <v>0</v>
      </c>
      <c r="AK565" s="170">
        <f t="shared" si="293"/>
        <v>0</v>
      </c>
      <c r="AM565" s="170" t="str">
        <f t="shared" si="285"/>
        <v>0.343986098018339+0.754748806164539i</v>
      </c>
      <c r="AN565" s="170" t="str">
        <f t="shared" si="286"/>
        <v>13.4216417401556i</v>
      </c>
      <c r="AO565" s="170" t="str">
        <f t="shared" si="287"/>
        <v>0.0562337172140753-0.0256292117371292i</v>
      </c>
      <c r="AP565" s="170" t="str">
        <f t="shared" si="288"/>
        <v>0.109335650330277-0.12579146769409i</v>
      </c>
      <c r="AQ565" s="170" t="str">
        <f t="shared" si="289"/>
        <v>0.890664349669723+0.12579146769409i</v>
      </c>
      <c r="AR565" s="170" t="str">
        <f t="shared" si="290"/>
        <v>0.91696633787717-0.129506184356i</v>
      </c>
    </row>
    <row r="566" spans="7:44">
      <c r="G566" s="688">
        <v>93868.5</v>
      </c>
      <c r="H566" s="676">
        <f t="shared" si="282"/>
        <v>93.868499999999997</v>
      </c>
      <c r="I566" s="677">
        <f t="shared" si="262"/>
        <v>84.94964386679618</v>
      </c>
      <c r="J566" s="678">
        <f t="shared" si="263"/>
        <v>1.5590243751853572</v>
      </c>
      <c r="K566" s="678">
        <f t="shared" si="264"/>
        <v>1.0083829779049074</v>
      </c>
      <c r="L566" s="679">
        <f t="shared" si="265"/>
        <v>0.12903357593608236</v>
      </c>
      <c r="M566" s="678">
        <f t="shared" si="266"/>
        <v>1.5568619912986199</v>
      </c>
      <c r="N566" s="679">
        <f t="shared" si="267"/>
        <v>-0.87327790306241393</v>
      </c>
      <c r="O566" s="677">
        <f t="shared" si="268"/>
        <v>3892634.9835982588</v>
      </c>
      <c r="P566" s="680">
        <f t="shared" si="269"/>
        <v>1.570796069899502</v>
      </c>
      <c r="Q566" s="689">
        <f t="shared" si="291"/>
        <v>157.00612895981132</v>
      </c>
      <c r="R566" s="690">
        <f t="shared" si="292"/>
        <v>1.5644271056197727</v>
      </c>
      <c r="S566" s="677">
        <f t="shared" si="270"/>
        <v>1.0547528041534375</v>
      </c>
      <c r="T566" s="680">
        <f t="shared" si="271"/>
        <v>0.3236232254870276</v>
      </c>
      <c r="U566" s="681">
        <f t="shared" si="283"/>
        <v>6.0972203140845949E-2</v>
      </c>
      <c r="V566" s="682">
        <f t="shared" si="284"/>
        <v>-0.6143280921492813</v>
      </c>
      <c r="W566" s="683">
        <f t="shared" si="272"/>
        <v>-37.341598422100283</v>
      </c>
      <c r="X566" s="684">
        <f t="shared" si="273"/>
        <v>-186.0731426020464</v>
      </c>
      <c r="Y566" s="687">
        <f t="shared" si="274"/>
        <v>-6.0731426020464028</v>
      </c>
      <c r="AA566" s="170">
        <f t="shared" si="275"/>
        <v>93868.5</v>
      </c>
      <c r="AB566" s="170">
        <f t="shared" si="276"/>
        <v>8811295292.25</v>
      </c>
      <c r="AD566" s="686">
        <f t="shared" si="277"/>
        <v>16.755894822027933</v>
      </c>
      <c r="AE566" s="687">
        <f t="shared" si="278"/>
        <v>-18.907159767519897</v>
      </c>
      <c r="AG566" s="686">
        <f t="shared" si="279"/>
        <v>52.227045743420476</v>
      </c>
      <c r="AH566" s="687">
        <f t="shared" si="280"/>
        <v>-96.769168921130913</v>
      </c>
      <c r="AJ566" s="170">
        <f t="shared" si="281"/>
        <v>0</v>
      </c>
      <c r="AK566" s="170">
        <f t="shared" si="293"/>
        <v>0</v>
      </c>
      <c r="AM566" s="170" t="str">
        <f t="shared" si="285"/>
        <v>0.404923265036754+0.803668886734756i</v>
      </c>
      <c r="AN566" s="170" t="str">
        <f t="shared" si="286"/>
        <v>13.4998058150099i</v>
      </c>
      <c r="AO566" s="170" t="str">
        <f t="shared" si="287"/>
        <v>0.0595318849580183-0.0299947473752945i</v>
      </c>
      <c r="AP566" s="170" t="str">
        <f t="shared" si="288"/>
        <v>0.0991794558272077-0.133944814455793i</v>
      </c>
      <c r="AQ566" s="170" t="str">
        <f t="shared" si="289"/>
        <v>0.900820544172792+0.133944814455793i</v>
      </c>
      <c r="AR566" s="170" t="str">
        <f t="shared" si="290"/>
        <v>0.904709964945901-0.134523140235733i</v>
      </c>
    </row>
    <row r="567" spans="7:44">
      <c r="G567" s="688">
        <v>94412</v>
      </c>
      <c r="H567" s="676">
        <f t="shared" si="282"/>
        <v>94.412000000000006</v>
      </c>
      <c r="I567" s="677">
        <f t="shared" si="262"/>
        <v>85.441435596146306</v>
      </c>
      <c r="J567" s="678">
        <f t="shared" si="263"/>
        <v>1.5590921363779984</v>
      </c>
      <c r="K567" s="678">
        <f t="shared" si="264"/>
        <v>1.0084799247344594</v>
      </c>
      <c r="L567" s="679">
        <f t="shared" si="265"/>
        <v>0.1297723461436851</v>
      </c>
      <c r="M567" s="678">
        <f t="shared" si="266"/>
        <v>1.5621635194495673</v>
      </c>
      <c r="N567" s="679">
        <f t="shared" si="267"/>
        <v>-0.8761186403931821</v>
      </c>
      <c r="O567" s="677">
        <f t="shared" si="268"/>
        <v>3915173.3975878879</v>
      </c>
      <c r="P567" s="680">
        <f t="shared" si="269"/>
        <v>1.5707960713783675</v>
      </c>
      <c r="Q567" s="689">
        <f t="shared" si="291"/>
        <v>157.91515999157127</v>
      </c>
      <c r="R567" s="690">
        <f t="shared" si="292"/>
        <v>1.5644637702269897</v>
      </c>
      <c r="S567" s="677">
        <f t="shared" si="270"/>
        <v>1.0553719927401144</v>
      </c>
      <c r="T567" s="680">
        <f t="shared" si="271"/>
        <v>0.32536786864427064</v>
      </c>
      <c r="U567" s="681">
        <f t="shared" si="283"/>
        <v>6.4445143044354766E-2</v>
      </c>
      <c r="V567" s="682">
        <f t="shared" si="284"/>
        <v>-0.65955982263127122</v>
      </c>
      <c r="W567" s="683">
        <f t="shared" si="272"/>
        <v>-36.885308828719808</v>
      </c>
      <c r="X567" s="684">
        <f t="shared" si="273"/>
        <v>-188.88690618428674</v>
      </c>
      <c r="Y567" s="687">
        <f t="shared" si="274"/>
        <v>-8.8869061842867438</v>
      </c>
      <c r="AA567" s="170">
        <f t="shared" si="275"/>
        <v>94412</v>
      </c>
      <c r="AB567" s="170">
        <f t="shared" si="276"/>
        <v>8913625744</v>
      </c>
      <c r="AD567" s="686">
        <f t="shared" si="277"/>
        <v>16.750795277375698</v>
      </c>
      <c r="AE567" s="687">
        <f t="shared" si="278"/>
        <v>-19.005019814779846</v>
      </c>
      <c r="AG567" s="686">
        <f t="shared" si="279"/>
        <v>51.726102717376889</v>
      </c>
      <c r="AH567" s="687">
        <f t="shared" si="280"/>
        <v>-94.301897936806142</v>
      </c>
      <c r="AJ567" s="170">
        <f t="shared" si="281"/>
        <v>0</v>
      </c>
      <c r="AK567" s="170">
        <f t="shared" si="293"/>
        <v>0</v>
      </c>
      <c r="AM567" s="170" t="str">
        <f t="shared" si="285"/>
        <v>0.469494275639405+0.84768135311604i</v>
      </c>
      <c r="AN567" s="170" t="str">
        <f t="shared" si="286"/>
        <v>13.5779698898641i</v>
      </c>
      <c r="AO567" s="170" t="str">
        <f t="shared" si="287"/>
        <v>0.0624306402202903-0.034577648900951i</v>
      </c>
      <c r="AP567" s="170" t="str">
        <f t="shared" si="288"/>
        <v>0.0884176207267658-0.14128022551934i</v>
      </c>
      <c r="AQ567" s="170" t="str">
        <f t="shared" si="289"/>
        <v>0.911582379273234+0.14128022551934i</v>
      </c>
      <c r="AR567" s="170" t="str">
        <f t="shared" si="290"/>
        <v>0.892361222433073-0.138301263403721i</v>
      </c>
    </row>
    <row r="568" spans="7:44">
      <c r="G568" s="688">
        <v>94955.5</v>
      </c>
      <c r="H568" s="676">
        <f t="shared" si="282"/>
        <v>94.955500000000001</v>
      </c>
      <c r="I568" s="677">
        <f t="shared" si="262"/>
        <v>85.933227713317223</v>
      </c>
      <c r="J568" s="678">
        <f t="shared" si="263"/>
        <v>1.5591591219822394</v>
      </c>
      <c r="K568" s="678">
        <f t="shared" si="264"/>
        <v>1.008577421867628</v>
      </c>
      <c r="L568" s="679">
        <f t="shared" si="265"/>
        <v>0.13051097392351804</v>
      </c>
      <c r="M568" s="678">
        <f t="shared" si="266"/>
        <v>1.5674775685963944</v>
      </c>
      <c r="N568" s="679">
        <f t="shared" si="267"/>
        <v>-0.87894013907733892</v>
      </c>
      <c r="O568" s="677">
        <f t="shared" si="268"/>
        <v>3937711.8115775175</v>
      </c>
      <c r="P568" s="680">
        <f t="shared" si="269"/>
        <v>1.5707960728403036</v>
      </c>
      <c r="Q568" s="689">
        <f t="shared" si="291"/>
        <v>158.8241912331855</v>
      </c>
      <c r="R568" s="690">
        <f t="shared" si="292"/>
        <v>1.564500015134042</v>
      </c>
      <c r="S568" s="677">
        <f t="shared" si="270"/>
        <v>1.055994389873862</v>
      </c>
      <c r="T568" s="680">
        <f t="shared" si="271"/>
        <v>0.32711046053472109</v>
      </c>
      <c r="U568" s="681">
        <f t="shared" si="283"/>
        <v>6.7654968872558383E-2</v>
      </c>
      <c r="V568" s="682">
        <f t="shared" si="284"/>
        <v>-0.70363354877342699</v>
      </c>
      <c r="W568" s="683">
        <f t="shared" si="272"/>
        <v>-36.487756817457878</v>
      </c>
      <c r="X568" s="684">
        <f t="shared" si="273"/>
        <v>-191.63308895158147</v>
      </c>
      <c r="Y568" s="687">
        <f t="shared" si="274"/>
        <v>-11.63308895158147</v>
      </c>
      <c r="AA568" s="170">
        <f t="shared" si="275"/>
        <v>94955.5</v>
      </c>
      <c r="AB568" s="170">
        <f t="shared" si="276"/>
        <v>9016546980.25</v>
      </c>
      <c r="AD568" s="686">
        <f t="shared" si="277"/>
        <v>16.745672365841056</v>
      </c>
      <c r="AE568" s="687">
        <f t="shared" si="278"/>
        <v>-19.102786379187918</v>
      </c>
      <c r="AG568" s="686">
        <f t="shared" si="279"/>
        <v>51.28439737759485</v>
      </c>
      <c r="AH568" s="687">
        <f t="shared" si="280"/>
        <v>-91.899837143199946</v>
      </c>
      <c r="AJ568" s="170">
        <f t="shared" si="281"/>
        <v>0</v>
      </c>
      <c r="AK568" s="170">
        <f t="shared" si="293"/>
        <v>0</v>
      </c>
      <c r="AM568" s="170" t="str">
        <f t="shared" si="285"/>
        <v>0.537304826136149+0.886517442627668i</v>
      </c>
      <c r="AN568" s="170" t="str">
        <f t="shared" si="286"/>
        <v>13.6561339647184i</v>
      </c>
      <c r="AO568" s="170" t="str">
        <f t="shared" si="287"/>
        <v>0.0649171606633363-0.0393453101386025i</v>
      </c>
      <c r="AP568" s="170" t="str">
        <f t="shared" si="288"/>
        <v>0.0771158623106418-0.147752907104611i</v>
      </c>
      <c r="AQ568" s="170" t="str">
        <f t="shared" si="289"/>
        <v>0.922884137689358+0.147752907104611i</v>
      </c>
      <c r="AR568" s="170" t="str">
        <f t="shared" si="290"/>
        <v>0.88004803400733-0.140894886049118i</v>
      </c>
    </row>
    <row r="569" spans="7:44">
      <c r="G569" s="688">
        <v>95499</v>
      </c>
      <c r="H569" s="676">
        <f t="shared" si="282"/>
        <v>95.498999999999995</v>
      </c>
      <c r="I569" s="677">
        <f t="shared" si="262"/>
        <v>86.425020211688334</v>
      </c>
      <c r="J569" s="678">
        <f t="shared" si="263"/>
        <v>1.5592253452376867</v>
      </c>
      <c r="K569" s="678">
        <f t="shared" si="264"/>
        <v>1.0086754691448383</v>
      </c>
      <c r="L569" s="679">
        <f t="shared" si="265"/>
        <v>0.13124945851105144</v>
      </c>
      <c r="M569" s="678">
        <f t="shared" si="266"/>
        <v>1.5728040118246525</v>
      </c>
      <c r="N569" s="679">
        <f t="shared" si="267"/>
        <v>-0.88174254942380703</v>
      </c>
      <c r="O569" s="677">
        <f t="shared" si="268"/>
        <v>3960250.2255671467</v>
      </c>
      <c r="P569" s="680">
        <f t="shared" si="269"/>
        <v>1.5707960742855998</v>
      </c>
      <c r="Q569" s="689">
        <f t="shared" si="291"/>
        <v>159.73322268107123</v>
      </c>
      <c r="R569" s="690">
        <f t="shared" si="292"/>
        <v>1.5645358475062934</v>
      </c>
      <c r="S569" s="677">
        <f t="shared" si="270"/>
        <v>1.0566199898847406</v>
      </c>
      <c r="T569" s="680">
        <f t="shared" si="271"/>
        <v>0.32885099420942532</v>
      </c>
      <c r="U569" s="681">
        <f t="shared" si="283"/>
        <v>7.0609940284892717E-2</v>
      </c>
      <c r="V569" s="682">
        <f t="shared" si="284"/>
        <v>-0.74655795570589023</v>
      </c>
      <c r="W569" s="683">
        <f t="shared" si="272"/>
        <v>-36.140837581406757</v>
      </c>
      <c r="X569" s="684">
        <f t="shared" si="273"/>
        <v>-194.31219713100342</v>
      </c>
      <c r="Y569" s="687">
        <f t="shared" si="274"/>
        <v>-14.312197131003416</v>
      </c>
      <c r="AA569" s="170">
        <f t="shared" si="275"/>
        <v>95499</v>
      </c>
      <c r="AB569" s="170">
        <f t="shared" si="276"/>
        <v>9120059001</v>
      </c>
      <c r="AD569" s="686">
        <f t="shared" si="277"/>
        <v>16.740526176379525</v>
      </c>
      <c r="AE569" s="687">
        <f t="shared" si="278"/>
        <v>-19.200458652069898</v>
      </c>
      <c r="AG569" s="686">
        <f t="shared" si="279"/>
        <v>50.893816977248783</v>
      </c>
      <c r="AH569" s="687">
        <f t="shared" si="280"/>
        <v>-89.562498333454954</v>
      </c>
      <c r="AJ569" s="170">
        <f t="shared" si="281"/>
        <v>0</v>
      </c>
      <c r="AK569" s="170">
        <f t="shared" si="293"/>
        <v>0</v>
      </c>
      <c r="AM569" s="170" t="str">
        <f t="shared" si="285"/>
        <v>0.607940830545397+0.919940002199364i</v>
      </c>
      <c r="AN569" s="170" t="str">
        <f t="shared" si="286"/>
        <v>13.7342980395727i</v>
      </c>
      <c r="AO569" s="170" t="str">
        <f t="shared" si="287"/>
        <v>0.0669812173544462-0.0442644268235431i</v>
      </c>
      <c r="AP569" s="170" t="str">
        <f t="shared" si="288"/>
        <v>0.0653431949091005-0.153323333699894i</v>
      </c>
      <c r="AQ569" s="170" t="str">
        <f t="shared" si="289"/>
        <v>0.9346568050909+0.153323333699894i</v>
      </c>
      <c r="AR569" s="170" t="str">
        <f t="shared" si="290"/>
        <v>0.867881610603313-0.142369371377542i</v>
      </c>
    </row>
    <row r="570" spans="7:44">
      <c r="G570" s="688">
        <v>96611.5</v>
      </c>
      <c r="H570" s="676">
        <f t="shared" si="282"/>
        <v>96.611500000000007</v>
      </c>
      <c r="I570" s="677">
        <f t="shared" si="262"/>
        <v>87.431680351168453</v>
      </c>
      <c r="J570" s="678">
        <f t="shared" si="263"/>
        <v>1.559358575627263</v>
      </c>
      <c r="K570" s="678">
        <f t="shared" si="264"/>
        <v>1.0088778787847377</v>
      </c>
      <c r="L570" s="679">
        <f t="shared" si="265"/>
        <v>0.13276062625554283</v>
      </c>
      <c r="M570" s="678">
        <f t="shared" si="266"/>
        <v>1.5837449282903697</v>
      </c>
      <c r="N570" s="679">
        <f t="shared" si="267"/>
        <v>-0.88741995684405173</v>
      </c>
      <c r="O570" s="677">
        <f t="shared" si="268"/>
        <v>4006384.5136323948</v>
      </c>
      <c r="P570" s="680">
        <f t="shared" si="269"/>
        <v>1.5707960771932927</v>
      </c>
      <c r="Q570" s="689">
        <f t="shared" si="291"/>
        <v>161.59393625496804</v>
      </c>
      <c r="R570" s="690">
        <f t="shared" si="292"/>
        <v>1.564607936277898</v>
      </c>
      <c r="S570" s="677">
        <f t="shared" si="270"/>
        <v>1.0579105057894926</v>
      </c>
      <c r="T570" s="680">
        <f t="shared" si="271"/>
        <v>0.33240727692077876</v>
      </c>
      <c r="U570" s="681">
        <f t="shared" si="283"/>
        <v>7.5905609571982655E-2</v>
      </c>
      <c r="V570" s="682">
        <f t="shared" si="284"/>
        <v>-0.83092274330381877</v>
      </c>
      <c r="W570" s="683">
        <f t="shared" si="272"/>
        <v>-35.561914382041302</v>
      </c>
      <c r="X570" s="684">
        <f t="shared" si="273"/>
        <v>-199.59191466915277</v>
      </c>
      <c r="Y570" s="687">
        <f t="shared" si="274"/>
        <v>-19.591914669152771</v>
      </c>
      <c r="AA570" s="170">
        <f t="shared" si="275"/>
        <v>96611.5</v>
      </c>
      <c r="AB570" s="170">
        <f t="shared" si="276"/>
        <v>9333781932.25</v>
      </c>
      <c r="AD570" s="686">
        <f t="shared" si="277"/>
        <v>16.729920133247411</v>
      </c>
      <c r="AE570" s="687">
        <f t="shared" si="278"/>
        <v>-19.400088426649205</v>
      </c>
      <c r="AG570" s="686">
        <f t="shared" si="279"/>
        <v>50.227025096670829</v>
      </c>
      <c r="AH570" s="687">
        <f t="shared" si="280"/>
        <v>-84.975093548220372</v>
      </c>
      <c r="AJ570" s="170">
        <f t="shared" si="281"/>
        <v>0</v>
      </c>
      <c r="AK570" s="170">
        <f t="shared" si="293"/>
        <v>0</v>
      </c>
      <c r="AM570" s="170" t="str">
        <f t="shared" si="285"/>
        <v>0.759507277169056+0.970650941515723i</v>
      </c>
      <c r="AN570" s="170" t="str">
        <f t="shared" si="286"/>
        <v>13.8942935009809i</v>
      </c>
      <c r="AO570" s="170" t="str">
        <f t="shared" si="287"/>
        <v>0.0698596831459763-0.0546632527314495i</v>
      </c>
      <c r="AP570" s="170" t="str">
        <f t="shared" si="288"/>
        <v>0.040082120471824-0.161775156919287i</v>
      </c>
      <c r="AQ570" s="170" t="str">
        <f t="shared" si="289"/>
        <v>0.959917879528176+0.161775156919287i</v>
      </c>
      <c r="AR570" s="170" t="str">
        <f t="shared" si="290"/>
        <v>0.84381613660605-0.142208506395951i</v>
      </c>
    </row>
    <row r="571" spans="7:44">
      <c r="G571" s="688">
        <v>97724</v>
      </c>
      <c r="H571" s="676">
        <f t="shared" si="282"/>
        <v>97.724000000000004</v>
      </c>
      <c r="I571" s="677">
        <f t="shared" si="262"/>
        <v>88.43834200725999</v>
      </c>
      <c r="J571" s="678">
        <f t="shared" si="263"/>
        <v>1.5594887729924449</v>
      </c>
      <c r="K571" s="678">
        <f t="shared" si="264"/>
        <v>1.0090825913990236</v>
      </c>
      <c r="L571" s="679">
        <f t="shared" si="265"/>
        <v>0.13427118430713908</v>
      </c>
      <c r="M571" s="678">
        <f t="shared" si="266"/>
        <v>1.594736192128033</v>
      </c>
      <c r="N571" s="679">
        <f t="shared" si="267"/>
        <v>-0.89301928286486787</v>
      </c>
      <c r="O571" s="677">
        <f t="shared" si="268"/>
        <v>4052518.8016976435</v>
      </c>
      <c r="P571" s="680">
        <f t="shared" si="269"/>
        <v>1.5707960800347829</v>
      </c>
      <c r="Q571" s="689">
        <f t="shared" si="291"/>
        <v>163.45465064951546</v>
      </c>
      <c r="R571" s="690">
        <f t="shared" si="292"/>
        <v>1.5646783837797666</v>
      </c>
      <c r="S571" s="677">
        <f t="shared" si="270"/>
        <v>1.0592143685425572</v>
      </c>
      <c r="T571" s="680">
        <f t="shared" si="271"/>
        <v>0.33595484904153367</v>
      </c>
      <c r="U571" s="681">
        <f t="shared" si="283"/>
        <v>8.0268900782671362E-2</v>
      </c>
      <c r="V571" s="682">
        <f t="shared" si="284"/>
        <v>-0.91081165446388712</v>
      </c>
      <c r="W571" s="683">
        <f t="shared" si="272"/>
        <v>-35.124748732173359</v>
      </c>
      <c r="X571" s="684">
        <f t="shared" si="273"/>
        <v>-204.61016575013628</v>
      </c>
      <c r="Y571" s="687">
        <f t="shared" si="274"/>
        <v>-24.610165750136275</v>
      </c>
      <c r="AA571" s="170">
        <f t="shared" si="275"/>
        <v>97724</v>
      </c>
      <c r="AB571" s="170">
        <f t="shared" si="276"/>
        <v>9549980176</v>
      </c>
      <c r="AD571" s="686">
        <f t="shared" si="277"/>
        <v>16.719217698820167</v>
      </c>
      <c r="AE571" s="687">
        <f t="shared" si="278"/>
        <v>-19.599313155185463</v>
      </c>
      <c r="AG571" s="686">
        <f t="shared" si="279"/>
        <v>49.703955444148342</v>
      </c>
      <c r="AH571" s="687">
        <f t="shared" si="280"/>
        <v>-80.639525011471989</v>
      </c>
      <c r="AJ571" s="170">
        <f t="shared" si="281"/>
        <v>0</v>
      </c>
      <c r="AK571" s="170">
        <f t="shared" si="293"/>
        <v>0</v>
      </c>
      <c r="AM571" s="170" t="str">
        <f t="shared" si="285"/>
        <v>0.917216866804387+0.996567585695179i</v>
      </c>
      <c r="AN571" s="170" t="str">
        <f t="shared" si="286"/>
        <v>14.0542889623891i</v>
      </c>
      <c r="AO571" s="170" t="str">
        <f t="shared" si="287"/>
        <v>0.0709084314661602-0.0652624169930592i</v>
      </c>
      <c r="AP571" s="170" t="str">
        <f t="shared" si="288"/>
        <v>0.0137971888659354-0.166094597615863i</v>
      </c>
      <c r="AQ571" s="170" t="str">
        <f t="shared" si="289"/>
        <v>0.986202811134065+0.166094597615863i</v>
      </c>
      <c r="AR571" s="170" t="str">
        <f t="shared" si="290"/>
        <v>0.821356304890653-0.138331429823434i</v>
      </c>
    </row>
    <row r="572" spans="7:44">
      <c r="G572" s="688">
        <v>98862</v>
      </c>
      <c r="H572" s="676">
        <f t="shared" si="282"/>
        <v>98.861999999999995</v>
      </c>
      <c r="I572" s="677">
        <f t="shared" si="262"/>
        <v>89.46807922158844</v>
      </c>
      <c r="J572" s="678">
        <f t="shared" si="263"/>
        <v>1.559618923285224</v>
      </c>
      <c r="K572" s="678">
        <f t="shared" si="264"/>
        <v>1.0092943776016883</v>
      </c>
      <c r="L572" s="679">
        <f t="shared" si="265"/>
        <v>0.13581572877267373</v>
      </c>
      <c r="M572" s="678">
        <f t="shared" si="266"/>
        <v>1.6060304044896068</v>
      </c>
      <c r="N572" s="679">
        <f t="shared" si="267"/>
        <v>-0.89866747564728211</v>
      </c>
      <c r="O572" s="677">
        <f t="shared" si="268"/>
        <v>4099710.5498488825</v>
      </c>
      <c r="P572" s="680">
        <f t="shared" si="269"/>
        <v>1.5707960828752374</v>
      </c>
      <c r="Q572" s="689">
        <f t="shared" si="291"/>
        <v>165.35801594701385</v>
      </c>
      <c r="R572" s="690">
        <f t="shared" si="292"/>
        <v>1.5647488056649559</v>
      </c>
      <c r="S572" s="677">
        <f t="shared" si="270"/>
        <v>1.0605618755103059</v>
      </c>
      <c r="T572" s="680">
        <f t="shared" si="271"/>
        <v>0.33957466451243362</v>
      </c>
      <c r="U572" s="681">
        <f t="shared" si="283"/>
        <v>8.3871659970760307E-2</v>
      </c>
      <c r="V572" s="682">
        <f t="shared" si="284"/>
        <v>-0.98826415378313481</v>
      </c>
      <c r="W572" s="683">
        <f t="shared" si="272"/>
        <v>-34.791866334406087</v>
      </c>
      <c r="X572" s="684">
        <f t="shared" si="273"/>
        <v>-209.49381130612932</v>
      </c>
      <c r="Y572" s="687">
        <f t="shared" si="274"/>
        <v>-29.493811306129317</v>
      </c>
      <c r="AA572" s="170">
        <f t="shared" si="275"/>
        <v>98862</v>
      </c>
      <c r="AB572" s="170">
        <f t="shared" si="276"/>
        <v>9773695044</v>
      </c>
      <c r="AD572" s="686">
        <f t="shared" si="277"/>
        <v>16.708171021647793</v>
      </c>
      <c r="AE572" s="687">
        <f t="shared" si="278"/>
        <v>-19.80267859045593</v>
      </c>
      <c r="AG572" s="686">
        <f t="shared" si="279"/>
        <v>49.285167604588338</v>
      </c>
      <c r="AH572" s="687">
        <f t="shared" si="280"/>
        <v>-76.444402474587378</v>
      </c>
      <c r="AJ572" s="170">
        <f t="shared" si="281"/>
        <v>0</v>
      </c>
      <c r="AK572" s="170">
        <f t="shared" si="293"/>
        <v>0</v>
      </c>
      <c r="AM572" s="170" t="str">
        <f t="shared" si="285"/>
        <v>1.08069695361929+0.996738682743158i</v>
      </c>
      <c r="AN572" s="170" t="str">
        <f t="shared" si="286"/>
        <v>14.2179517354971i</v>
      </c>
      <c r="AO572" s="170" t="str">
        <f t="shared" si="287"/>
        <v>0.0701042387318464-0.0760093277656288i</v>
      </c>
      <c r="AP572" s="170" t="str">
        <f t="shared" si="288"/>
        <v>-0.013449492269881-0.166123113790526i</v>
      </c>
      <c r="AQ572" s="170" t="str">
        <f t="shared" si="289"/>
        <v>1.01344949226988+0.166123113790526i</v>
      </c>
      <c r="AR572" s="170" t="str">
        <f t="shared" si="290"/>
        <v>0.800438065218925-0.131206601616435i</v>
      </c>
    </row>
    <row r="573" spans="7:44">
      <c r="G573" s="688">
        <v>100000</v>
      </c>
      <c r="H573" s="676">
        <f t="shared" si="282"/>
        <v>100</v>
      </c>
      <c r="I573" s="677">
        <f t="shared" si="262"/>
        <v>90.49781791693681</v>
      </c>
      <c r="J573" s="678">
        <f t="shared" si="263"/>
        <v>1.559746111723229</v>
      </c>
      <c r="K573" s="678">
        <f t="shared" si="264"/>
        <v>1.0095085705811724</v>
      </c>
      <c r="L573" s="679">
        <f t="shared" si="265"/>
        <v>0.1373596214910808</v>
      </c>
      <c r="M573" s="678">
        <f t="shared" si="266"/>
        <v>1.6173751360555411</v>
      </c>
      <c r="N573" s="679">
        <f t="shared" si="267"/>
        <v>-0.90423660795188499</v>
      </c>
      <c r="O573" s="677">
        <f t="shared" si="268"/>
        <v>4146902.298000121</v>
      </c>
      <c r="P573" s="680">
        <f t="shared" si="269"/>
        <v>1.5707960856510432</v>
      </c>
      <c r="Q573" s="689">
        <f t="shared" si="291"/>
        <v>167.26138204589896</v>
      </c>
      <c r="R573" s="690">
        <f t="shared" si="292"/>
        <v>1.564817624805994</v>
      </c>
      <c r="S573" s="677">
        <f t="shared" si="270"/>
        <v>1.0619232437144996</v>
      </c>
      <c r="T573" s="680">
        <f t="shared" si="271"/>
        <v>0.34318524610416329</v>
      </c>
      <c r="U573" s="681">
        <f t="shared" si="283"/>
        <v>8.6707849951584731E-2</v>
      </c>
      <c r="V573" s="682">
        <f t="shared" si="284"/>
        <v>-1.0618296990929139</v>
      </c>
      <c r="W573" s="683">
        <f t="shared" si="272"/>
        <v>-34.550565424529502</v>
      </c>
      <c r="X573" s="684">
        <f t="shared" si="273"/>
        <v>-214.1496513753012</v>
      </c>
      <c r="Y573" s="687">
        <f t="shared" si="274"/>
        <v>-34.149651375301204</v>
      </c>
      <c r="AA573" s="170">
        <f t="shared" si="275"/>
        <v>100000</v>
      </c>
      <c r="AB573" s="170">
        <f t="shared" si="276"/>
        <v>10000000000</v>
      </c>
      <c r="AD573" s="686">
        <f t="shared" si="277"/>
        <v>16.697025115334945</v>
      </c>
      <c r="AE573" s="687">
        <f t="shared" si="278"/>
        <v>-20.005606790192314</v>
      </c>
      <c r="AG573" s="686">
        <f t="shared" si="279"/>
        <v>48.959887268075839</v>
      </c>
      <c r="AH573" s="687">
        <f t="shared" si="280"/>
        <v>-72.467323806732693</v>
      </c>
      <c r="AJ573" s="170">
        <f t="shared" si="281"/>
        <v>0</v>
      </c>
      <c r="AK573" s="170">
        <f t="shared" si="293"/>
        <v>0</v>
      </c>
      <c r="AM573" s="170" t="str">
        <f t="shared" si="285"/>
        <v>1.24202035236857+0.97027117294053i</v>
      </c>
      <c r="AN573" s="170" t="str">
        <f t="shared" si="286"/>
        <v>14.381614508605i</v>
      </c>
      <c r="AO573" s="170" t="str">
        <f t="shared" si="287"/>
        <v>0.0674660812497779-0.0863616773781155i</v>
      </c>
      <c r="AP573" s="170" t="str">
        <f t="shared" si="288"/>
        <v>-0.0403367253947622-0.161711862156755i</v>
      </c>
      <c r="AQ573" s="170" t="str">
        <f t="shared" si="289"/>
        <v>1.04033672539476+0.161711862156755i</v>
      </c>
      <c r="AR573" s="170" t="str">
        <f t="shared" si="290"/>
        <v>0.7818120183546-0.121526304184522i</v>
      </c>
    </row>
    <row r="574" spans="7:44">
      <c r="G574" s="688">
        <v>101165</v>
      </c>
      <c r="H574" s="676">
        <f t="shared" si="282"/>
        <v>101.16500000000001</v>
      </c>
      <c r="I574" s="677">
        <f t="shared" si="262"/>
        <v>91.551989504424782</v>
      </c>
      <c r="J574" s="678">
        <f t="shared" si="263"/>
        <v>1.559873354056541</v>
      </c>
      <c r="K574" s="678">
        <f t="shared" si="264"/>
        <v>1.0097303369770765</v>
      </c>
      <c r="L574" s="679">
        <f t="shared" si="265"/>
        <v>0.13893946197889623</v>
      </c>
      <c r="M574" s="678">
        <f t="shared" si="266"/>
        <v>1.62904026019641</v>
      </c>
      <c r="N574" s="679">
        <f t="shared" si="267"/>
        <v>-0.90985734393054118</v>
      </c>
      <c r="O574" s="677">
        <f t="shared" si="268"/>
        <v>4195213.7097718194</v>
      </c>
      <c r="P574" s="680">
        <f t="shared" si="269"/>
        <v>1.5707960884280172</v>
      </c>
      <c r="Q574" s="689">
        <f t="shared" si="291"/>
        <v>169.20990789630386</v>
      </c>
      <c r="R574" s="690">
        <f t="shared" si="292"/>
        <v>1.5648864729718062</v>
      </c>
      <c r="S574" s="677">
        <f t="shared" si="270"/>
        <v>1.0633312143694624</v>
      </c>
      <c r="T574" s="680">
        <f t="shared" si="271"/>
        <v>0.34687186560033167</v>
      </c>
      <c r="U574" s="681">
        <f t="shared" si="283"/>
        <v>8.8918002825046999E-2</v>
      </c>
      <c r="V574" s="682">
        <f t="shared" si="284"/>
        <v>-1.1335944968847218</v>
      </c>
      <c r="W574" s="683">
        <f t="shared" si="272"/>
        <v>-34.379716641497915</v>
      </c>
      <c r="X574" s="684">
        <f t="shared" si="273"/>
        <v>-218.70757130492427</v>
      </c>
      <c r="Y574" s="687">
        <f t="shared" si="274"/>
        <v>-38.707571304924272</v>
      </c>
      <c r="AA574" s="170">
        <f t="shared" si="275"/>
        <v>101165</v>
      </c>
      <c r="AB574" s="170">
        <f t="shared" si="276"/>
        <v>10234357225</v>
      </c>
      <c r="AD574" s="686">
        <f t="shared" si="277"/>
        <v>16.685512840317319</v>
      </c>
      <c r="AE574" s="687">
        <f t="shared" si="278"/>
        <v>-20.212889978010899</v>
      </c>
      <c r="AG574" s="686">
        <f t="shared" si="279"/>
        <v>48.70499704130404</v>
      </c>
      <c r="AH574" s="687">
        <f t="shared" si="280"/>
        <v>-68.594320476979576</v>
      </c>
      <c r="AJ574" s="170">
        <f t="shared" si="281"/>
        <v>0</v>
      </c>
      <c r="AK574" s="170">
        <f t="shared" si="293"/>
        <v>0</v>
      </c>
      <c r="AM574" s="170" t="str">
        <f t="shared" si="285"/>
        <v>1.40043670190094+0.916324422773234i</v>
      </c>
      <c r="AN574" s="170" t="str">
        <f t="shared" si="286"/>
        <v>14.5491603176302i</v>
      </c>
      <c r="AO574" s="170" t="str">
        <f t="shared" si="287"/>
        <v>0.0629812582148031-0.0962555000651093i</v>
      </c>
      <c r="AP574" s="170" t="str">
        <f t="shared" si="288"/>
        <v>-0.0667394503168227-0.152720737128872i</v>
      </c>
      <c r="AQ574" s="170" t="str">
        <f t="shared" si="289"/>
        <v>1.06673945031682+0.152720737128872i</v>
      </c>
      <c r="AR574" s="170" t="str">
        <f t="shared" si="290"/>
        <v>0.765200302942064-0.109550607022024i</v>
      </c>
    </row>
    <row r="575" spans="7:44">
      <c r="G575" s="688">
        <v>102330</v>
      </c>
      <c r="H575" s="676">
        <f t="shared" si="282"/>
        <v>102.33</v>
      </c>
      <c r="I575" s="677">
        <f t="shared" si="262"/>
        <v>92.606162540448622</v>
      </c>
      <c r="J575" s="678">
        <f t="shared" si="263"/>
        <v>1.5599976994909499</v>
      </c>
      <c r="K575" s="678">
        <f t="shared" si="264"/>
        <v>1.0099546224444222</v>
      </c>
      <c r="L575" s="679">
        <f t="shared" si="265"/>
        <v>0.1405186047211264</v>
      </c>
      <c r="M575" s="678">
        <f t="shared" si="266"/>
        <v>1.6407561173309881</v>
      </c>
      <c r="N575" s="679">
        <f t="shared" si="267"/>
        <v>-0.91539798288818985</v>
      </c>
      <c r="O575" s="677">
        <f t="shared" si="268"/>
        <v>4243525.1215435173</v>
      </c>
      <c r="P575" s="680">
        <f t="shared" si="269"/>
        <v>1.5707960911417613</v>
      </c>
      <c r="Q575" s="689">
        <f t="shared" si="291"/>
        <v>171.15843453051355</v>
      </c>
      <c r="R575" s="690">
        <f t="shared" si="292"/>
        <v>1.5649537535554143</v>
      </c>
      <c r="S575" s="677">
        <f t="shared" si="270"/>
        <v>1.0647535985974186</v>
      </c>
      <c r="T575" s="680">
        <f t="shared" si="271"/>
        <v>0.35054868518730964</v>
      </c>
      <c r="U575" s="681">
        <f t="shared" si="283"/>
        <v>9.0517661459411508E-2</v>
      </c>
      <c r="V575" s="682">
        <f t="shared" si="284"/>
        <v>-1.2022677332873506</v>
      </c>
      <c r="W575" s="683">
        <f t="shared" si="272"/>
        <v>-34.271727244770823</v>
      </c>
      <c r="X575" s="684">
        <f t="shared" si="273"/>
        <v>-223.08317090995979</v>
      </c>
      <c r="Y575" s="687">
        <f t="shared" si="274"/>
        <v>-43.08317090995979</v>
      </c>
      <c r="AA575" s="170">
        <f t="shared" si="275"/>
        <v>102330</v>
      </c>
      <c r="AB575" s="170">
        <f t="shared" si="276"/>
        <v>10471428900</v>
      </c>
      <c r="AD575" s="686">
        <f t="shared" si="277"/>
        <v>16.673898333069921</v>
      </c>
      <c r="AE575" s="687">
        <f t="shared" si="278"/>
        <v>-20.41970148461424</v>
      </c>
      <c r="AG575" s="686">
        <f t="shared" si="279"/>
        <v>48.514855911646592</v>
      </c>
      <c r="AH575" s="687">
        <f t="shared" si="280"/>
        <v>-64.893735343670116</v>
      </c>
      <c r="AJ575" s="170">
        <f t="shared" si="281"/>
        <v>0</v>
      </c>
      <c r="AK575" s="170">
        <f t="shared" si="293"/>
        <v>0</v>
      </c>
      <c r="AM575" s="170" t="str">
        <f t="shared" si="285"/>
        <v>1.54763842450248+0.836715098470465i</v>
      </c>
      <c r="AN575" s="170" t="str">
        <f t="shared" si="286"/>
        <v>14.7167061266555i</v>
      </c>
      <c r="AO575" s="170" t="str">
        <f t="shared" si="287"/>
        <v>0.0568547806329415-0.105162011878414i</v>
      </c>
      <c r="AP575" s="170" t="str">
        <f t="shared" si="288"/>
        <v>-0.0912730707504137-0.139452516411744i</v>
      </c>
      <c r="AQ575" s="170" t="str">
        <f t="shared" si="289"/>
        <v>1.09127307075041+0.139452516411744i</v>
      </c>
      <c r="AR575" s="170" t="str">
        <f t="shared" si="290"/>
        <v>0.751063788342637-0.0959775679226609i</v>
      </c>
    </row>
    <row r="576" spans="7:44">
      <c r="G576" s="688">
        <v>103520</v>
      </c>
      <c r="H576" s="676">
        <f t="shared" si="282"/>
        <v>103.52</v>
      </c>
      <c r="I576" s="677">
        <f t="shared" si="262"/>
        <v>93.682958760093456</v>
      </c>
      <c r="J576" s="678">
        <f t="shared" si="263"/>
        <v>1.5601218241497805</v>
      </c>
      <c r="K576" s="678">
        <f t="shared" si="264"/>
        <v>1.0101863198973022</v>
      </c>
      <c r="L576" s="679">
        <f t="shared" si="265"/>
        <v>0.14213090657764113</v>
      </c>
      <c r="M576" s="678">
        <f t="shared" si="266"/>
        <v>1.6527746435730397</v>
      </c>
      <c r="N576" s="679">
        <f t="shared" si="267"/>
        <v>-0.92097624727082805</v>
      </c>
      <c r="O576" s="677">
        <f t="shared" si="268"/>
        <v>4292873.258889717</v>
      </c>
      <c r="P576" s="680">
        <f t="shared" si="269"/>
        <v>1.5707960938506795</v>
      </c>
      <c r="Q576" s="689">
        <f t="shared" si="291"/>
        <v>173.14877582269398</v>
      </c>
      <c r="R576" s="690">
        <f t="shared" si="292"/>
        <v>1.5650209145547505</v>
      </c>
      <c r="S576" s="677">
        <f t="shared" si="270"/>
        <v>1.0662213269556908</v>
      </c>
      <c r="T576" s="680">
        <f t="shared" si="271"/>
        <v>0.35429422649644632</v>
      </c>
      <c r="U576" s="681">
        <f t="shared" si="283"/>
        <v>9.1603010431815679E-2</v>
      </c>
      <c r="V576" s="682">
        <f t="shared" si="284"/>
        <v>-1.2697344801072181</v>
      </c>
      <c r="W576" s="683">
        <f t="shared" si="272"/>
        <v>-34.21519677223182</v>
      </c>
      <c r="X576" s="684">
        <f t="shared" si="273"/>
        <v>-227.39383132108512</v>
      </c>
      <c r="Y576" s="687">
        <f t="shared" si="274"/>
        <v>-47.393831321085116</v>
      </c>
      <c r="AA576" s="170">
        <f t="shared" si="275"/>
        <v>103520</v>
      </c>
      <c r="AB576" s="170">
        <f t="shared" si="276"/>
        <v>10716390400</v>
      </c>
      <c r="AD576" s="686">
        <f t="shared" si="277"/>
        <v>16.661929971497315</v>
      </c>
      <c r="AE576" s="687">
        <f t="shared" si="278"/>
        <v>-20.630457307260244</v>
      </c>
      <c r="AG576" s="686">
        <f t="shared" si="279"/>
        <v>48.376297899276317</v>
      </c>
      <c r="AH576" s="687">
        <f t="shared" si="280"/>
        <v>-61.26252022280319</v>
      </c>
      <c r="AJ576" s="170">
        <f t="shared" si="281"/>
        <v>0</v>
      </c>
      <c r="AK576" s="170">
        <f t="shared" si="293"/>
        <v>0</v>
      </c>
      <c r="AM576" s="170" t="str">
        <f t="shared" si="285"/>
        <v>1.682136441961+0.731224913791087i</v>
      </c>
      <c r="AN576" s="170" t="str">
        <f t="shared" si="286"/>
        <v>14.8878473393079i</v>
      </c>
      <c r="AO576" s="170" t="str">
        <f t="shared" si="287"/>
        <v>0.049115556945594-0.112987217266778i</v>
      </c>
      <c r="AP576" s="170" t="str">
        <f t="shared" si="288"/>
        <v>-0.1136894069935-0.121870818965181i</v>
      </c>
      <c r="AQ576" s="170" t="str">
        <f t="shared" si="289"/>
        <v>1.1136894069935+0.121870818965181i</v>
      </c>
      <c r="AR576" s="170" t="str">
        <f t="shared" si="290"/>
        <v>0.739113575240213-0.0808810572832659i</v>
      </c>
    </row>
    <row r="577" spans="7:44">
      <c r="G577" s="688">
        <v>104710</v>
      </c>
      <c r="H577" s="676">
        <f t="shared" si="282"/>
        <v>104.71</v>
      </c>
      <c r="I577" s="677">
        <f t="shared" si="262"/>
        <v>94.759756390301931</v>
      </c>
      <c r="J577" s="678">
        <f t="shared" si="263"/>
        <v>1.5602431278420599</v>
      </c>
      <c r="K577" s="678">
        <f t="shared" si="264"/>
        <v>1.0104206421386688</v>
      </c>
      <c r="L577" s="679">
        <f t="shared" si="265"/>
        <v>0.14374246481804442</v>
      </c>
      <c r="M577" s="678">
        <f t="shared" si="266"/>
        <v>1.664843855793998</v>
      </c>
      <c r="N577" s="679">
        <f t="shared" si="267"/>
        <v>-0.92647380190000617</v>
      </c>
      <c r="O577" s="677">
        <f t="shared" si="268"/>
        <v>4342221.3962359158</v>
      </c>
      <c r="P577" s="680">
        <f t="shared" si="269"/>
        <v>1.5707960964980259</v>
      </c>
      <c r="Q577" s="689">
        <f t="shared" si="291"/>
        <v>175.13911787812802</v>
      </c>
      <c r="R577" s="690">
        <f t="shared" si="292"/>
        <v>1.5650865490723085</v>
      </c>
      <c r="S577" s="677">
        <f t="shared" si="270"/>
        <v>1.0677039721711485</v>
      </c>
      <c r="T577" s="680">
        <f t="shared" si="271"/>
        <v>0.35802941774803027</v>
      </c>
      <c r="U577" s="681">
        <f t="shared" si="283"/>
        <v>9.2203016596827031E-2</v>
      </c>
      <c r="V577" s="682">
        <f t="shared" si="284"/>
        <v>-1.334996734945302</v>
      </c>
      <c r="W577" s="683">
        <f t="shared" si="272"/>
        <v>-34.204617116011519</v>
      </c>
      <c r="X577" s="684">
        <f t="shared" si="273"/>
        <v>-231.572934736702</v>
      </c>
      <c r="Y577" s="687">
        <f t="shared" si="274"/>
        <v>-51.572934736701995</v>
      </c>
      <c r="AA577" s="170">
        <f t="shared" si="275"/>
        <v>104710</v>
      </c>
      <c r="AB577" s="170">
        <f t="shared" si="276"/>
        <v>10964184100</v>
      </c>
      <c r="AD577" s="686">
        <f t="shared" si="277"/>
        <v>16.649856832973281</v>
      </c>
      <c r="AE577" s="687">
        <f t="shared" si="278"/>
        <v>-20.840707572725758</v>
      </c>
      <c r="AG577" s="686">
        <f t="shared" si="279"/>
        <v>48.285535352265512</v>
      </c>
      <c r="AH577" s="687">
        <f t="shared" si="280"/>
        <v>-57.752869836950218</v>
      </c>
      <c r="AJ577" s="170">
        <f t="shared" si="281"/>
        <v>0</v>
      </c>
      <c r="AK577" s="170">
        <f t="shared" si="293"/>
        <v>0</v>
      </c>
      <c r="AM577" s="170" t="str">
        <f t="shared" si="285"/>
        <v>1.79670386796151+0.604369875800549i</v>
      </c>
      <c r="AN577" s="170" t="str">
        <f t="shared" si="286"/>
        <v>15.0589885519603i</v>
      </c>
      <c r="AO577" s="170" t="str">
        <f t="shared" si="287"/>
        <v>0.0401334972608021-0.119311058758168i</v>
      </c>
      <c r="AP577" s="170" t="str">
        <f t="shared" si="288"/>
        <v>-0.132783977993585-0.100728312633425i</v>
      </c>
      <c r="AQ577" s="170" t="str">
        <f t="shared" si="289"/>
        <v>1.13278397799359+0.100728312633425i</v>
      </c>
      <c r="AR577" s="170" t="str">
        <f t="shared" si="290"/>
        <v>0.729587633866308-0.0648756803638179i</v>
      </c>
    </row>
    <row r="578" spans="7:44">
      <c r="G578" s="688">
        <v>105930</v>
      </c>
      <c r="H578" s="676">
        <f t="shared" si="282"/>
        <v>105.93</v>
      </c>
      <c r="I578" s="677">
        <f t="shared" si="262"/>
        <v>95.863701593847594</v>
      </c>
      <c r="J578" s="678">
        <f t="shared" si="263"/>
        <v>1.5603646605832464</v>
      </c>
      <c r="K578" s="678">
        <f t="shared" si="264"/>
        <v>1.0106635946313645</v>
      </c>
      <c r="L578" s="679">
        <f t="shared" si="265"/>
        <v>0.14539387038639978</v>
      </c>
      <c r="M578" s="678">
        <f t="shared" si="266"/>
        <v>1.6772688071809867</v>
      </c>
      <c r="N578" s="679">
        <f t="shared" si="267"/>
        <v>-0.9320276428588723</v>
      </c>
      <c r="O578" s="677">
        <f t="shared" si="268"/>
        <v>4392813.6042715143</v>
      </c>
      <c r="P578" s="680">
        <f t="shared" si="269"/>
        <v>1.570796099150364</v>
      </c>
      <c r="Q578" s="689">
        <f t="shared" si="291"/>
        <v>177.17963738946673</v>
      </c>
      <c r="R578" s="690">
        <f t="shared" si="292"/>
        <v>1.5651523074035445</v>
      </c>
      <c r="S578" s="677">
        <f t="shared" si="270"/>
        <v>1.069239415712862</v>
      </c>
      <c r="T578" s="680">
        <f t="shared" si="271"/>
        <v>0.36184796495427057</v>
      </c>
      <c r="U578" s="681">
        <f t="shared" si="283"/>
        <v>9.2373106330445237E-2</v>
      </c>
      <c r="V578" s="682">
        <f t="shared" si="284"/>
        <v>-1.4001266324601211</v>
      </c>
      <c r="W578" s="683">
        <f t="shared" si="272"/>
        <v>-34.235027702600306</v>
      </c>
      <c r="X578" s="684">
        <f t="shared" si="273"/>
        <v>-235.75017849594454</v>
      </c>
      <c r="Y578" s="687">
        <f t="shared" si="274"/>
        <v>-55.750178495944539</v>
      </c>
      <c r="AA578" s="170">
        <f t="shared" si="275"/>
        <v>105930</v>
      </c>
      <c r="AB578" s="170">
        <f t="shared" si="276"/>
        <v>11221164900</v>
      </c>
      <c r="AD578" s="686">
        <f t="shared" si="277"/>
        <v>16.637371560741688</v>
      </c>
      <c r="AE578" s="687">
        <f t="shared" si="278"/>
        <v>-21.055726688880622</v>
      </c>
      <c r="AG578" s="686">
        <f t="shared" si="279"/>
        <v>48.235593305743016</v>
      </c>
      <c r="AH578" s="687">
        <f t="shared" si="280"/>
        <v>-54.251757976072291</v>
      </c>
      <c r="AJ578" s="170">
        <f t="shared" si="281"/>
        <v>0</v>
      </c>
      <c r="AK578" s="170">
        <f t="shared" si="293"/>
        <v>0</v>
      </c>
      <c r="AM578" s="170" t="str">
        <f t="shared" si="285"/>
        <v>1.88996905568908+0.4560209204805i</v>
      </c>
      <c r="AN578" s="170" t="str">
        <f t="shared" si="286"/>
        <v>15.2344442489653i</v>
      </c>
      <c r="AO578" s="170" t="str">
        <f t="shared" si="287"/>
        <v>0.0299335448689881-0.124058943326235i</v>
      </c>
      <c r="AP578" s="170" t="str">
        <f t="shared" si="288"/>
        <v>-0.14832817594818-0.07600348674675i</v>
      </c>
      <c r="AQ578" s="170" t="str">
        <f t="shared" si="289"/>
        <v>1.14832817594818+0.07600348674675i</v>
      </c>
      <c r="AR578" s="170" t="str">
        <f t="shared" si="290"/>
        <v>0.722238538809162-0.0478022296779831i</v>
      </c>
    </row>
    <row r="579" spans="7:44">
      <c r="G579" s="688">
        <v>107150</v>
      </c>
      <c r="H579" s="676">
        <f t="shared" si="282"/>
        <v>107.15</v>
      </c>
      <c r="I579" s="677">
        <f t="shared" si="262"/>
        <v>96.967648181080278</v>
      </c>
      <c r="J579" s="678">
        <f t="shared" si="263"/>
        <v>1.5604834261010563</v>
      </c>
      <c r="K579" s="678">
        <f t="shared" si="264"/>
        <v>1.010909302016338</v>
      </c>
      <c r="L579" s="679">
        <f t="shared" si="265"/>
        <v>0.14704447768692391</v>
      </c>
      <c r="M579" s="678">
        <f t="shared" si="266"/>
        <v>1.6897447324123975</v>
      </c>
      <c r="N579" s="679">
        <f t="shared" si="267"/>
        <v>-0.93749963897071653</v>
      </c>
      <c r="O579" s="677">
        <f t="shared" si="268"/>
        <v>4443405.8123071129</v>
      </c>
      <c r="P579" s="680">
        <f t="shared" si="269"/>
        <v>1.5707961017423036</v>
      </c>
      <c r="Q579" s="689">
        <f t="shared" si="291"/>
        <v>179.22015764951203</v>
      </c>
      <c r="R579" s="690">
        <f t="shared" si="292"/>
        <v>1.5652165683453745</v>
      </c>
      <c r="S579" s="677">
        <f t="shared" si="270"/>
        <v>1.0707904053131572</v>
      </c>
      <c r="T579" s="680">
        <f t="shared" si="271"/>
        <v>0.36565550557357329</v>
      </c>
      <c r="U579" s="681">
        <f t="shared" si="283"/>
        <v>9.2139332655688064E-2</v>
      </c>
      <c r="V579" s="682">
        <f t="shared" si="284"/>
        <v>-1.4639583263817595</v>
      </c>
      <c r="W579" s="683">
        <f t="shared" si="272"/>
        <v>-34.302604107191343</v>
      </c>
      <c r="X579" s="684">
        <f t="shared" si="273"/>
        <v>-239.84769365076014</v>
      </c>
      <c r="Y579" s="687">
        <f t="shared" si="274"/>
        <v>-59.847693650760135</v>
      </c>
      <c r="AA579" s="170">
        <f t="shared" si="275"/>
        <v>107150</v>
      </c>
      <c r="AB579" s="170">
        <f t="shared" si="276"/>
        <v>11481122500</v>
      </c>
      <c r="AD579" s="686">
        <f t="shared" si="277"/>
        <v>16.624778204871554</v>
      </c>
      <c r="AE579" s="687">
        <f t="shared" si="278"/>
        <v>-21.270200964689174</v>
      </c>
      <c r="AG579" s="686">
        <f t="shared" si="279"/>
        <v>48.224629694126328</v>
      </c>
      <c r="AH579" s="687">
        <f t="shared" si="280"/>
        <v>-50.820225524959795</v>
      </c>
      <c r="AJ579" s="170">
        <f t="shared" si="281"/>
        <v>0</v>
      </c>
      <c r="AK579" s="170">
        <f t="shared" si="293"/>
        <v>0</v>
      </c>
      <c r="AM579" s="170" t="str">
        <f t="shared" si="285"/>
        <v>1.95590702465679+0.293669474429691i</v>
      </c>
      <c r="AN579" s="170" t="str">
        <f t="shared" si="286"/>
        <v>15.4098999459702i</v>
      </c>
      <c r="AO579" s="170" t="str">
        <f t="shared" si="287"/>
        <v>0.0190571954042108-0.126925355227129i</v>
      </c>
      <c r="AP579" s="170" t="str">
        <f t="shared" si="288"/>
        <v>-0.159317837442798-0.0489449124049485i</v>
      </c>
      <c r="AQ579" s="170" t="str">
        <f t="shared" si="289"/>
        <v>1.1593178374428+0.0489449124049485i</v>
      </c>
      <c r="AR579" s="170" t="str">
        <f t="shared" si="290"/>
        <v>0.717247556223945-0.0302812720362171i</v>
      </c>
    </row>
    <row r="580" spans="7:44">
      <c r="G580" s="688">
        <v>108400</v>
      </c>
      <c r="H580" s="676">
        <f t="shared" si="282"/>
        <v>108.4</v>
      </c>
      <c r="I580" s="677">
        <f t="shared" si="262"/>
        <v>98.098742382162854</v>
      </c>
      <c r="J580" s="678">
        <f t="shared" si="263"/>
        <v>1.5606023396398261</v>
      </c>
      <c r="K580" s="678">
        <f t="shared" si="264"/>
        <v>1.0111639066260809</v>
      </c>
      <c r="L580" s="679">
        <f t="shared" si="265"/>
        <v>0.14873483694510584</v>
      </c>
      <c r="M580" s="678">
        <f t="shared" si="266"/>
        <v>1.7025791403453376</v>
      </c>
      <c r="N580" s="679">
        <f t="shared" si="267"/>
        <v>-0.94302284654563662</v>
      </c>
      <c r="O580" s="677">
        <f t="shared" si="268"/>
        <v>4495242.0910321111</v>
      </c>
      <c r="P580" s="680">
        <f t="shared" si="269"/>
        <v>1.5707961043374672</v>
      </c>
      <c r="Q580" s="689">
        <f t="shared" si="291"/>
        <v>181.31085538737921</v>
      </c>
      <c r="R580" s="690">
        <f t="shared" si="292"/>
        <v>1.5652809092659616</v>
      </c>
      <c r="S580" s="677">
        <f t="shared" si="270"/>
        <v>1.0723955876426625</v>
      </c>
      <c r="T580" s="680">
        <f t="shared" si="271"/>
        <v>0.3695451931050156</v>
      </c>
      <c r="U580" s="681">
        <f t="shared" si="283"/>
        <v>9.151728900336023E-2</v>
      </c>
      <c r="V580" s="682">
        <f t="shared" si="284"/>
        <v>-1.5285246388066782</v>
      </c>
      <c r="W580" s="683">
        <f t="shared" si="272"/>
        <v>-34.407276549921001</v>
      </c>
      <c r="X580" s="684">
        <f t="shared" si="273"/>
        <v>-243.99266649679743</v>
      </c>
      <c r="Y580" s="687">
        <f t="shared" si="274"/>
        <v>-63.992666496797426</v>
      </c>
      <c r="AA580" s="170">
        <f t="shared" si="275"/>
        <v>108400</v>
      </c>
      <c r="AB580" s="170">
        <f t="shared" si="276"/>
        <v>11750560000</v>
      </c>
      <c r="AD580" s="686">
        <f t="shared" si="277"/>
        <v>16.611764158003478</v>
      </c>
      <c r="AE580" s="687">
        <f t="shared" si="278"/>
        <v>-21.489377329608214</v>
      </c>
      <c r="AG580" s="686">
        <f t="shared" si="279"/>
        <v>48.250647930364167</v>
      </c>
      <c r="AH580" s="687">
        <f t="shared" si="280"/>
        <v>-47.347267596281824</v>
      </c>
      <c r="AJ580" s="170">
        <f t="shared" si="281"/>
        <v>0</v>
      </c>
      <c r="AK580" s="170">
        <f t="shared" si="293"/>
        <v>0</v>
      </c>
      <c r="AM580" s="170" t="str">
        <f t="shared" si="285"/>
        <v>1.99301152144985+0.118017448997379i</v>
      </c>
      <c r="AN580" s="170" t="str">
        <f t="shared" si="286"/>
        <v>15.5896701273278i</v>
      </c>
      <c r="AO580" s="170" t="str">
        <f t="shared" si="287"/>
        <v>0.00757023388137644-0.127841801986318i</v>
      </c>
      <c r="AP580" s="170" t="str">
        <f t="shared" si="288"/>
        <v>-0.165501920241642-0.0196695748328965i</v>
      </c>
      <c r="AQ580" s="170" t="str">
        <f t="shared" si="289"/>
        <v>1.16550192024164+0.0196695748328965i</v>
      </c>
      <c r="AR580" s="170" t="str">
        <f t="shared" si="290"/>
        <v>0.714510033484099-0.0120584173465429i</v>
      </c>
    </row>
    <row r="581" spans="7:44">
      <c r="G581" s="688">
        <v>109650</v>
      </c>
      <c r="H581" s="676">
        <f t="shared" si="282"/>
        <v>109.65</v>
      </c>
      <c r="I581" s="677">
        <f t="shared" si="262"/>
        <v>99.229837938780108</v>
      </c>
      <c r="J581" s="678">
        <f t="shared" si="263"/>
        <v>1.5607185422501468</v>
      </c>
      <c r="K581" s="678">
        <f t="shared" si="264"/>
        <v>1.0114213989896221</v>
      </c>
      <c r="L581" s="679">
        <f t="shared" si="265"/>
        <v>0.15042434034964994</v>
      </c>
      <c r="M581" s="678">
        <f t="shared" si="266"/>
        <v>1.7154647087716632</v>
      </c>
      <c r="N581" s="679">
        <f t="shared" si="267"/>
        <v>-0.9484632438011491</v>
      </c>
      <c r="O581" s="677">
        <f t="shared" si="268"/>
        <v>4547078.3697571103</v>
      </c>
      <c r="P581" s="680">
        <f t="shared" si="269"/>
        <v>1.5707961068734617</v>
      </c>
      <c r="Q581" s="689">
        <f t="shared" si="291"/>
        <v>183.40155385871611</v>
      </c>
      <c r="R581" s="690">
        <f t="shared" si="292"/>
        <v>1.5653437832694146</v>
      </c>
      <c r="S581" s="677">
        <f t="shared" si="270"/>
        <v>1.0740169463211671</v>
      </c>
      <c r="T581" s="680">
        <f t="shared" si="271"/>
        <v>0.37342319525348455</v>
      </c>
      <c r="U581" s="681">
        <f t="shared" si="283"/>
        <v>9.0533061535747958E-2</v>
      </c>
      <c r="V581" s="682">
        <f t="shared" si="284"/>
        <v>-1.5927558000690594</v>
      </c>
      <c r="W581" s="683">
        <f t="shared" si="272"/>
        <v>-34.546196319941089</v>
      </c>
      <c r="X581" s="684">
        <f t="shared" si="273"/>
        <v>-248.11300014757879</v>
      </c>
      <c r="Y581" s="687">
        <f t="shared" si="274"/>
        <v>-68.113000147578788</v>
      </c>
      <c r="AA581" s="170">
        <f t="shared" si="275"/>
        <v>109650</v>
      </c>
      <c r="AB581" s="170">
        <f t="shared" si="276"/>
        <v>12023122500</v>
      </c>
      <c r="AD581" s="686">
        <f t="shared" si="277"/>
        <v>16.598638853178652</v>
      </c>
      <c r="AE581" s="687">
        <f t="shared" si="278"/>
        <v>-21.707968216170766</v>
      </c>
      <c r="AG581" s="686">
        <f t="shared" si="279"/>
        <v>48.312691048107155</v>
      </c>
      <c r="AH581" s="687">
        <f t="shared" si="280"/>
        <v>-43.88866144497301</v>
      </c>
      <c r="AJ581" s="170">
        <f t="shared" si="281"/>
        <v>0</v>
      </c>
      <c r="AK581" s="170">
        <f t="shared" si="293"/>
        <v>0</v>
      </c>
      <c r="AM581" s="170" t="str">
        <f t="shared" si="285"/>
        <v>1.99811088182554-0.0614383233937561i</v>
      </c>
      <c r="AN581" s="170" t="str">
        <f t="shared" si="286"/>
        <v>15.7694403086854i</v>
      </c>
      <c r="AO581" s="170" t="str">
        <f t="shared" si="287"/>
        <v>-0.00389603703055444-0.126707786878462i</v>
      </c>
      <c r="AP581" s="170" t="str">
        <f t="shared" si="288"/>
        <v>-0.166351813637591+0.010239720565626i</v>
      </c>
      <c r="AQ581" s="170" t="str">
        <f t="shared" si="289"/>
        <v>1.16635181363759-0.010239720565626i</v>
      </c>
      <c r="AR581" s="170" t="str">
        <f t="shared" si="290"/>
        <v>0.714137699458151+0.00626960956576575i</v>
      </c>
    </row>
    <row r="582" spans="7:44">
      <c r="G582" s="688">
        <v>110925</v>
      </c>
      <c r="H582" s="676">
        <f t="shared" si="282"/>
        <v>110.925</v>
      </c>
      <c r="I582" s="677">
        <f t="shared" si="262"/>
        <v>100.38355675548161</v>
      </c>
      <c r="J582" s="678">
        <f t="shared" si="263"/>
        <v>1.5608343711459174</v>
      </c>
      <c r="K582" s="678">
        <f t="shared" si="264"/>
        <v>1.0116870138775818</v>
      </c>
      <c r="L582" s="679">
        <f t="shared" si="265"/>
        <v>0.15214674280095106</v>
      </c>
      <c r="M582" s="678">
        <f t="shared" si="266"/>
        <v>1.7286595076120876</v>
      </c>
      <c r="N582" s="679">
        <f t="shared" si="267"/>
        <v>-0.95392872813122964</v>
      </c>
      <c r="O582" s="677">
        <f t="shared" si="268"/>
        <v>4599951.3740566093</v>
      </c>
      <c r="P582" s="680">
        <f t="shared" si="269"/>
        <v>1.5707961094012943</v>
      </c>
      <c r="Q582" s="689">
        <f t="shared" si="291"/>
        <v>185.53406702938577</v>
      </c>
      <c r="R582" s="690">
        <f t="shared" si="292"/>
        <v>1.5654064549626556</v>
      </c>
      <c r="S582" s="677">
        <f t="shared" si="270"/>
        <v>1.0756873211860836</v>
      </c>
      <c r="T582" s="680">
        <f t="shared" si="271"/>
        <v>0.37736665328180602</v>
      </c>
      <c r="U582" s="681">
        <f t="shared" si="283"/>
        <v>8.9170343577523889E-2</v>
      </c>
      <c r="V582" s="682">
        <f t="shared" si="284"/>
        <v>-1.658454384009685</v>
      </c>
      <c r="W582" s="683">
        <f t="shared" si="272"/>
        <v>-34.723004703383751</v>
      </c>
      <c r="X582" s="684">
        <f t="shared" si="273"/>
        <v>-252.32070385609623</v>
      </c>
      <c r="Y582" s="687">
        <f t="shared" si="274"/>
        <v>-72.32070385609623</v>
      </c>
      <c r="AA582" s="170">
        <f t="shared" si="275"/>
        <v>110925</v>
      </c>
      <c r="AB582" s="170">
        <f t="shared" si="276"/>
        <v>12304355625</v>
      </c>
      <c r="AD582" s="686">
        <f t="shared" si="277"/>
        <v>16.585137585230591</v>
      </c>
      <c r="AE582" s="687">
        <f t="shared" si="278"/>
        <v>-21.930321039451137</v>
      </c>
      <c r="AG582" s="686">
        <f t="shared" si="279"/>
        <v>48.412854614749968</v>
      </c>
      <c r="AH582" s="687">
        <f t="shared" si="280"/>
        <v>-40.345509162039818</v>
      </c>
      <c r="AJ582" s="170">
        <f t="shared" si="281"/>
        <v>0</v>
      </c>
      <c r="AK582" s="170">
        <f t="shared" si="293"/>
        <v>0</v>
      </c>
      <c r="AM582" s="170" t="str">
        <f t="shared" si="285"/>
        <v>1.97017548508564-0.242403647123627i</v>
      </c>
      <c r="AN582" s="170" t="str">
        <f t="shared" si="286"/>
        <v>15.9528058936701i</v>
      </c>
      <c r="AO582" s="170" t="str">
        <f t="shared" si="287"/>
        <v>-0.015195047738894-0.123500248057765i</v>
      </c>
      <c r="AP582" s="170" t="str">
        <f t="shared" si="288"/>
        <v>-0.161695914180941+0.0404006078539378i</v>
      </c>
      <c r="AQ582" s="170" t="str">
        <f t="shared" si="289"/>
        <v>1.16169591418094-0.0404006078539378i</v>
      </c>
      <c r="AR582" s="170" t="str">
        <f t="shared" si="290"/>
        <v>0.716188916710062+0.0249070924844736i</v>
      </c>
    </row>
    <row r="583" spans="7:44">
      <c r="G583" s="688">
        <v>112200</v>
      </c>
      <c r="H583" s="676">
        <f t="shared" si="282"/>
        <v>112.2</v>
      </c>
      <c r="I583" s="677">
        <f t="shared" si="262"/>
        <v>101.53727688835673</v>
      </c>
      <c r="J583" s="678">
        <f t="shared" si="263"/>
        <v>1.5609475678250782</v>
      </c>
      <c r="K583" s="678">
        <f t="shared" si="264"/>
        <v>1.0119556285265037</v>
      </c>
      <c r="L583" s="679">
        <f t="shared" si="265"/>
        <v>0.15386823596418936</v>
      </c>
      <c r="M583" s="678">
        <f t="shared" si="266"/>
        <v>1.7419051609429146</v>
      </c>
      <c r="N583" s="679">
        <f t="shared" si="267"/>
        <v>-0.95931125083596314</v>
      </c>
      <c r="O583" s="677">
        <f t="shared" si="268"/>
        <v>4652824.3783561075</v>
      </c>
      <c r="P583" s="680">
        <f t="shared" si="269"/>
        <v>1.570796111871676</v>
      </c>
      <c r="Q583" s="689">
        <f t="shared" si="291"/>
        <v>187.66658091222362</v>
      </c>
      <c r="R583" s="690">
        <f t="shared" si="292"/>
        <v>1.5654677023401435</v>
      </c>
      <c r="S583" s="677">
        <f t="shared" si="270"/>
        <v>1.0773743718935926</v>
      </c>
      <c r="T583" s="680">
        <f t="shared" si="271"/>
        <v>0.38129782223449715</v>
      </c>
      <c r="U583" s="681">
        <f t="shared" si="283"/>
        <v>8.7448406253325353E-2</v>
      </c>
      <c r="V583" s="682">
        <f t="shared" si="284"/>
        <v>-1.7248772776777104</v>
      </c>
      <c r="W583" s="683">
        <f t="shared" si="272"/>
        <v>-34.936642010117332</v>
      </c>
      <c r="X583" s="684">
        <f t="shared" si="273"/>
        <v>-256.5644328793889</v>
      </c>
      <c r="Y583" s="687">
        <f t="shared" si="274"/>
        <v>-76.564432879388903</v>
      </c>
      <c r="AA583" s="170">
        <f t="shared" si="275"/>
        <v>112200</v>
      </c>
      <c r="AB583" s="170">
        <f t="shared" si="276"/>
        <v>12588840000</v>
      </c>
      <c r="AD583" s="686">
        <f t="shared" si="277"/>
        <v>16.571522918652445</v>
      </c>
      <c r="AE583" s="687">
        <f t="shared" si="278"/>
        <v>-22.152051354552704</v>
      </c>
      <c r="AG583" s="686">
        <f t="shared" si="279"/>
        <v>48.551573619779219</v>
      </c>
      <c r="AH583" s="687">
        <f t="shared" si="280"/>
        <v>-36.756004921085314</v>
      </c>
      <c r="AJ583" s="170">
        <f t="shared" si="281"/>
        <v>0</v>
      </c>
      <c r="AK583" s="170">
        <f t="shared" si="293"/>
        <v>0</v>
      </c>
      <c r="AM583" s="170" t="str">
        <f t="shared" si="285"/>
        <v>1.90971123479514-0.415241459018131i</v>
      </c>
      <c r="AN583" s="170" t="str">
        <f t="shared" si="286"/>
        <v>16.1361714786548i</v>
      </c>
      <c r="AO583" s="170" t="str">
        <f t="shared" si="287"/>
        <v>-0.0257335799614809-0.118349711226194i</v>
      </c>
      <c r="AP583" s="170" t="str">
        <f t="shared" si="288"/>
        <v>-0.151618539132523+0.0692069098363552i</v>
      </c>
      <c r="AQ583" s="170" t="str">
        <f t="shared" si="289"/>
        <v>1.15161853913252-0.0692069098363552i</v>
      </c>
      <c r="AR583" s="170" t="str">
        <f t="shared" si="290"/>
        <v>0.720726924077645+0.043312330911977i</v>
      </c>
    </row>
    <row r="584" spans="7:44">
      <c r="G584" s="688">
        <v>113510</v>
      </c>
      <c r="H584" s="676">
        <f t="shared" si="282"/>
        <v>113.51</v>
      </c>
      <c r="I584" s="677">
        <f t="shared" si="262"/>
        <v>102.72266909422945</v>
      </c>
      <c r="J584" s="678">
        <f t="shared" si="263"/>
        <v>1.5610612234884391</v>
      </c>
      <c r="K584" s="678">
        <f t="shared" si="264"/>
        <v>1.0122347388113542</v>
      </c>
      <c r="L584" s="679">
        <f t="shared" si="265"/>
        <v>0.15563602877131638</v>
      </c>
      <c r="M584" s="678">
        <f t="shared" si="266"/>
        <v>1.755566178186863</v>
      </c>
      <c r="N584" s="679">
        <f t="shared" si="267"/>
        <v>-0.96475676992125992</v>
      </c>
      <c r="O584" s="677">
        <f t="shared" si="268"/>
        <v>4707148.7984599061</v>
      </c>
      <c r="P584" s="680">
        <f t="shared" si="269"/>
        <v>1.5707961143520692</v>
      </c>
      <c r="Q584" s="689">
        <f t="shared" si="291"/>
        <v>189.85763510838291</v>
      </c>
      <c r="R584" s="690">
        <f t="shared" si="292"/>
        <v>1.5655291979632411</v>
      </c>
      <c r="S584" s="677">
        <f t="shared" si="270"/>
        <v>1.079125020363592</v>
      </c>
      <c r="T584" s="680">
        <f t="shared" si="271"/>
        <v>0.38532403908834245</v>
      </c>
      <c r="U584" s="681">
        <f t="shared" si="283"/>
        <v>8.5296595669172456E-2</v>
      </c>
      <c r="V584" s="682">
        <f t="shared" si="284"/>
        <v>-1.7944605989048166</v>
      </c>
      <c r="W584" s="683">
        <f t="shared" si="272"/>
        <v>-35.197717617220022</v>
      </c>
      <c r="X584" s="684">
        <f t="shared" si="273"/>
        <v>-260.9956556346242</v>
      </c>
      <c r="Y584" s="687">
        <f t="shared" si="274"/>
        <v>-80.9956556346242</v>
      </c>
      <c r="AA584" s="170">
        <f t="shared" si="275"/>
        <v>113510</v>
      </c>
      <c r="AB584" s="170">
        <f t="shared" si="276"/>
        <v>12884520100</v>
      </c>
      <c r="AD584" s="686">
        <f t="shared" si="277"/>
        <v>16.55741765704898</v>
      </c>
      <c r="AE584" s="687">
        <f t="shared" si="278"/>
        <v>-22.379213290396105</v>
      </c>
      <c r="AG584" s="686">
        <f t="shared" si="279"/>
        <v>48.737411305620135</v>
      </c>
      <c r="AH584" s="687">
        <f t="shared" si="280"/>
        <v>-32.986404469733486</v>
      </c>
      <c r="AJ584" s="170">
        <f t="shared" si="281"/>
        <v>0</v>
      </c>
      <c r="AK584" s="170">
        <f t="shared" si="293"/>
        <v>0</v>
      </c>
      <c r="AM584" s="170" t="str">
        <f t="shared" si="285"/>
        <v>1.81584501169512-0.578270625998058i</v>
      </c>
      <c r="AN584" s="170" t="str">
        <f t="shared" si="286"/>
        <v>16.3245706287175i</v>
      </c>
      <c r="AO584" s="170" t="str">
        <f t="shared" si="287"/>
        <v>-0.0354233283772125-0.111233860479048i</v>
      </c>
      <c r="AP584" s="170" t="str">
        <f t="shared" si="288"/>
        <v>-0.135974168615854+0.096378437666343i</v>
      </c>
      <c r="AQ584" s="170" t="str">
        <f t="shared" si="289"/>
        <v>1.13597416861585-0.096378437666343i</v>
      </c>
      <c r="AR584" s="170" t="str">
        <f t="shared" si="290"/>
        <v>0.728050680469788+0.061769350980132i</v>
      </c>
    </row>
    <row r="585" spans="7:44">
      <c r="G585" s="688">
        <v>114820</v>
      </c>
      <c r="H585" s="676">
        <f t="shared" si="282"/>
        <v>114.82</v>
      </c>
      <c r="I585" s="677">
        <f t="shared" si="262"/>
        <v>103.90806259675806</v>
      </c>
      <c r="J585" s="678">
        <f t="shared" si="263"/>
        <v>1.5611722859630064</v>
      </c>
      <c r="K585" s="678">
        <f t="shared" si="264"/>
        <v>1.0125170106725223</v>
      </c>
      <c r="L585" s="679">
        <f t="shared" si="265"/>
        <v>0.15740284143851271</v>
      </c>
      <c r="M585" s="678">
        <f t="shared" si="266"/>
        <v>1.7692784496131893</v>
      </c>
      <c r="N585" s="679">
        <f t="shared" si="267"/>
        <v>-0.9701180381610649</v>
      </c>
      <c r="O585" s="677">
        <f t="shared" si="268"/>
        <v>4761473.2185637057</v>
      </c>
      <c r="P585" s="680">
        <f t="shared" si="269"/>
        <v>1.5707961167758637</v>
      </c>
      <c r="Q585" s="689">
        <f t="shared" si="291"/>
        <v>192.04869000614624</v>
      </c>
      <c r="R585" s="690">
        <f t="shared" si="292"/>
        <v>1.5655892903977537</v>
      </c>
      <c r="S585" s="677">
        <f t="shared" si="270"/>
        <v>1.0808931050759634</v>
      </c>
      <c r="T585" s="680">
        <f t="shared" si="271"/>
        <v>0.38933714894857702</v>
      </c>
      <c r="U585" s="681">
        <f t="shared" si="283"/>
        <v>8.2736338460473929E-2</v>
      </c>
      <c r="V585" s="682">
        <f t="shared" si="284"/>
        <v>-1.8660149566423809</v>
      </c>
      <c r="W585" s="683">
        <f t="shared" si="272"/>
        <v>-35.506305641964829</v>
      </c>
      <c r="X585" s="684">
        <f t="shared" si="273"/>
        <v>-265.53422024266342</v>
      </c>
      <c r="Y585" s="687">
        <f t="shared" si="274"/>
        <v>-85.534220242663423</v>
      </c>
      <c r="AA585" s="170">
        <f t="shared" si="275"/>
        <v>114820</v>
      </c>
      <c r="AB585" s="170">
        <f t="shared" si="276"/>
        <v>13183632400</v>
      </c>
      <c r="AD585" s="686">
        <f t="shared" si="277"/>
        <v>16.543195235307721</v>
      </c>
      <c r="AE585" s="687">
        <f t="shared" si="278"/>
        <v>-22.605704644363637</v>
      </c>
      <c r="AG585" s="686">
        <f t="shared" si="279"/>
        <v>48.972461743878661</v>
      </c>
      <c r="AH585" s="687">
        <f t="shared" si="280"/>
        <v>-29.098952306172468</v>
      </c>
      <c r="AJ585" s="170">
        <f t="shared" si="281"/>
        <v>0</v>
      </c>
      <c r="AK585" s="170">
        <f t="shared" si="293"/>
        <v>0</v>
      </c>
      <c r="AM585" s="170" t="str">
        <f t="shared" si="285"/>
        <v>1.69310654180049-0.720835155714097i</v>
      </c>
      <c r="AN585" s="170" t="str">
        <f t="shared" si="286"/>
        <v>16.5129697787802i</v>
      </c>
      <c r="AO585" s="170" t="str">
        <f t="shared" si="287"/>
        <v>-0.0436526660782967-0.10253192275421i</v>
      </c>
      <c r="AP585" s="170" t="str">
        <f t="shared" si="288"/>
        <v>-0.115517756966748+0.120139192619016i</v>
      </c>
      <c r="AQ585" s="170" t="str">
        <f t="shared" si="289"/>
        <v>1.11551775696675-0.120139192619016i</v>
      </c>
      <c r="AR585" s="170" t="str">
        <f t="shared" si="290"/>
        <v>0.738176421929957+0.0795002309799202i</v>
      </c>
    </row>
    <row r="586" spans="7:44">
      <c r="G586" s="688">
        <v>116155</v>
      </c>
      <c r="H586" s="676">
        <f t="shared" si="282"/>
        <v>116.155</v>
      </c>
      <c r="I586" s="677">
        <f t="shared" si="262"/>
        <v>105.11607940128569</v>
      </c>
      <c r="J586" s="678">
        <f t="shared" si="263"/>
        <v>1.5612828908857674</v>
      </c>
      <c r="K586" s="678">
        <f t="shared" si="264"/>
        <v>1.0128079193194321</v>
      </c>
      <c r="L586" s="679">
        <f t="shared" si="265"/>
        <v>0.1592023529616966</v>
      </c>
      <c r="M586" s="678">
        <f t="shared" si="266"/>
        <v>1.7833039121859906</v>
      </c>
      <c r="N586" s="679">
        <f t="shared" si="267"/>
        <v>-0.9754966395954433</v>
      </c>
      <c r="O586" s="677">
        <f t="shared" si="268"/>
        <v>4816834.3642420033</v>
      </c>
      <c r="P586" s="680">
        <f t="shared" si="269"/>
        <v>1.5707961191896678</v>
      </c>
      <c r="Q586" s="689">
        <f t="shared" si="291"/>
        <v>194.28155962591521</v>
      </c>
      <c r="R586" s="690">
        <f t="shared" si="292"/>
        <v>1.5656491351749813</v>
      </c>
      <c r="S586" s="677">
        <f t="shared" si="270"/>
        <v>1.082712781964694</v>
      </c>
      <c r="T586" s="680">
        <f t="shared" si="271"/>
        <v>0.39341329328555108</v>
      </c>
      <c r="U586" s="681">
        <f t="shared" si="283"/>
        <v>7.9672766182403557E-2</v>
      </c>
      <c r="V586" s="682">
        <f t="shared" si="284"/>
        <v>-1.9416334235893136</v>
      </c>
      <c r="W586" s="683">
        <f t="shared" si="272"/>
        <v>-35.877966146503006</v>
      </c>
      <c r="X586" s="684">
        <f t="shared" si="273"/>
        <v>-270.30836035143881</v>
      </c>
      <c r="Y586" s="687">
        <f t="shared" si="274"/>
        <v>-90.308360351438807</v>
      </c>
      <c r="AA586" s="170">
        <f t="shared" si="275"/>
        <v>116155</v>
      </c>
      <c r="AB586" s="170">
        <f t="shared" si="276"/>
        <v>13491984025</v>
      </c>
      <c r="AD586" s="686">
        <f t="shared" si="277"/>
        <v>16.528582197222232</v>
      </c>
      <c r="AE586" s="687">
        <f t="shared" si="278"/>
        <v>-22.835821796961085</v>
      </c>
      <c r="AG586" s="686">
        <f t="shared" si="279"/>
        <v>49.270870326673311</v>
      </c>
      <c r="AH586" s="687">
        <f t="shared" si="280"/>
        <v>-24.977737233831412</v>
      </c>
      <c r="AJ586" s="170">
        <f t="shared" si="281"/>
        <v>0</v>
      </c>
      <c r="AK586" s="170">
        <f t="shared" si="293"/>
        <v>0</v>
      </c>
      <c r="AM586" s="170" t="str">
        <f t="shared" si="285"/>
        <v>1.54282338964296-0.839846871552507i</v>
      </c>
      <c r="AN586" s="170" t="str">
        <f t="shared" si="286"/>
        <v>16.7049643324701i</v>
      </c>
      <c r="AO586" s="170" t="str">
        <f t="shared" si="287"/>
        <v>-0.0502752867253995-0.0923571795148412i</v>
      </c>
      <c r="AP586" s="170" t="str">
        <f t="shared" si="288"/>
        <v>-0.0904705649404925+0.139974478592085i</v>
      </c>
      <c r="AQ586" s="170" t="str">
        <f t="shared" si="289"/>
        <v>1.09047056494049-0.139974478592085i</v>
      </c>
      <c r="AR586" s="170" t="str">
        <f t="shared" si="290"/>
        <v>0.751508042804502+0.0964647280094709i</v>
      </c>
    </row>
    <row r="587" spans="7:44">
      <c r="G587" s="688">
        <v>117490</v>
      </c>
      <c r="H587" s="676">
        <f t="shared" si="282"/>
        <v>117.49</v>
      </c>
      <c r="I587" s="677">
        <f t="shared" si="262"/>
        <v>106.3240974625249</v>
      </c>
      <c r="J587" s="678">
        <f t="shared" si="263"/>
        <v>1.561390982499155</v>
      </c>
      <c r="K587" s="678">
        <f t="shared" si="264"/>
        <v>1.0131021057934917</v>
      </c>
      <c r="L587" s="679">
        <f t="shared" si="265"/>
        <v>0.16100082521495712</v>
      </c>
      <c r="M587" s="678">
        <f t="shared" si="266"/>
        <v>1.7973801585853635</v>
      </c>
      <c r="N587" s="679">
        <f t="shared" si="267"/>
        <v>-0.98079114679131996</v>
      </c>
      <c r="O587" s="677">
        <f t="shared" si="268"/>
        <v>4872195.5099203028</v>
      </c>
      <c r="P587" s="680">
        <f t="shared" si="269"/>
        <v>1.5707961215486175</v>
      </c>
      <c r="Q587" s="689">
        <f t="shared" si="291"/>
        <v>196.51442992567181</v>
      </c>
      <c r="R587" s="690">
        <f t="shared" si="292"/>
        <v>1.5657076199950239</v>
      </c>
      <c r="S587" s="677">
        <f t="shared" si="270"/>
        <v>1.0845503875357856</v>
      </c>
      <c r="T587" s="680">
        <f t="shared" si="271"/>
        <v>0.3974756921170095</v>
      </c>
      <c r="U587" s="681">
        <f t="shared" si="283"/>
        <v>7.6102801985311178E-2</v>
      </c>
      <c r="V587" s="682">
        <f t="shared" si="284"/>
        <v>-2.0206877157038328</v>
      </c>
      <c r="W587" s="683">
        <f t="shared" si="272"/>
        <v>-36.319319924402876</v>
      </c>
      <c r="X587" s="684">
        <f t="shared" si="273"/>
        <v>-275.2737463977042</v>
      </c>
      <c r="Y587" s="687">
        <f t="shared" si="274"/>
        <v>-95.273746397704201</v>
      </c>
      <c r="AA587" s="170">
        <f t="shared" si="275"/>
        <v>117490</v>
      </c>
      <c r="AB587" s="170">
        <f t="shared" si="276"/>
        <v>13803900100</v>
      </c>
      <c r="AD587" s="686">
        <f t="shared" si="277"/>
        <v>16.513850197365489</v>
      </c>
      <c r="AE587" s="687">
        <f t="shared" si="278"/>
        <v>-23.065229306768508</v>
      </c>
      <c r="AG587" s="686">
        <f t="shared" si="279"/>
        <v>49.640618497530198</v>
      </c>
      <c r="AH587" s="687">
        <f t="shared" si="280"/>
        <v>-20.654761178825432</v>
      </c>
      <c r="AJ587" s="170">
        <f t="shared" si="281"/>
        <v>0</v>
      </c>
      <c r="AK587" s="170">
        <f t="shared" si="293"/>
        <v>0</v>
      </c>
      <c r="AM587" s="170" t="str">
        <f t="shared" si="285"/>
        <v>1.37259212152588-0.927995210643266i</v>
      </c>
      <c r="AN587" s="170" t="str">
        <f t="shared" si="286"/>
        <v>16.89695888616i</v>
      </c>
      <c r="AO587" s="170" t="str">
        <f t="shared" si="287"/>
        <v>-0.0549208420814334-0.0812330864254008i</v>
      </c>
      <c r="AP587" s="170" t="str">
        <f t="shared" si="288"/>
        <v>-0.0620986869209808+0.154665868440544i</v>
      </c>
      <c r="AQ587" s="170" t="str">
        <f t="shared" si="289"/>
        <v>1.06209868692098-0.154665868440544i</v>
      </c>
      <c r="AR587" s="170" t="str">
        <f t="shared" si="290"/>
        <v>0.768009800351337+0.111839798132644i</v>
      </c>
    </row>
    <row r="588" spans="7:44">
      <c r="G588" s="688">
        <v>118860</v>
      </c>
      <c r="H588" s="676">
        <f t="shared" si="282"/>
        <v>118.86</v>
      </c>
      <c r="I588" s="677">
        <f t="shared" si="262"/>
        <v>107.5637876714238</v>
      </c>
      <c r="J588" s="678">
        <f t="shared" si="263"/>
        <v>1.5614993837686344</v>
      </c>
      <c r="K588" s="678">
        <f t="shared" si="264"/>
        <v>1.0134074098845132</v>
      </c>
      <c r="L588" s="679">
        <f t="shared" si="265"/>
        <v>0.16284535668220043</v>
      </c>
      <c r="M588" s="678">
        <f t="shared" si="266"/>
        <v>1.8118770022135302</v>
      </c>
      <c r="N588" s="679">
        <f t="shared" si="267"/>
        <v>-0.98613877905679992</v>
      </c>
      <c r="O588" s="677">
        <f t="shared" si="268"/>
        <v>4929008.0714029018</v>
      </c>
      <c r="P588" s="680">
        <f t="shared" si="269"/>
        <v>1.57079612391432</v>
      </c>
      <c r="Q588" s="689">
        <f t="shared" si="291"/>
        <v>198.80584057914217</v>
      </c>
      <c r="R588" s="690">
        <f t="shared" si="292"/>
        <v>1.5657662722753343</v>
      </c>
      <c r="S588" s="677">
        <f t="shared" si="270"/>
        <v>1.0864547145224213</v>
      </c>
      <c r="T588" s="680">
        <f t="shared" si="271"/>
        <v>0.40163023790642588</v>
      </c>
      <c r="U588" s="681">
        <f t="shared" si="283"/>
        <v>7.1849539432999501E-2</v>
      </c>
      <c r="V588" s="682">
        <f t="shared" si="284"/>
        <v>-2.1061650166254813</v>
      </c>
      <c r="W588" s="683">
        <f t="shared" si="272"/>
        <v>-36.862388671959764</v>
      </c>
      <c r="X588" s="684">
        <f t="shared" si="273"/>
        <v>-280.61283636391966</v>
      </c>
      <c r="Y588" s="687">
        <f t="shared" si="274"/>
        <v>-100.61283636391966</v>
      </c>
      <c r="AA588" s="170">
        <f t="shared" si="275"/>
        <v>118860</v>
      </c>
      <c r="AB588" s="170">
        <f t="shared" si="276"/>
        <v>14127699600</v>
      </c>
      <c r="AD588" s="686">
        <f t="shared" si="277"/>
        <v>16.498609720813519</v>
      </c>
      <c r="AE588" s="687">
        <f t="shared" si="278"/>
        <v>-23.299906853988237</v>
      </c>
      <c r="AG588" s="686">
        <f t="shared" si="279"/>
        <v>50.111856567383867</v>
      </c>
      <c r="AH588" s="687">
        <f t="shared" si="280"/>
        <v>-15.964196412668414</v>
      </c>
      <c r="AJ588" s="170">
        <f t="shared" si="281"/>
        <v>0</v>
      </c>
      <c r="AK588" s="170">
        <f t="shared" si="293"/>
        <v>0</v>
      </c>
      <c r="AM588" s="170" t="str">
        <f t="shared" si="285"/>
        <v>1.18372299905988-0.982978056528447i</v>
      </c>
      <c r="AN588" s="170" t="str">
        <f t="shared" si="286"/>
        <v>17.0939870049279i</v>
      </c>
      <c r="AO588" s="170" t="str">
        <f t="shared" si="287"/>
        <v>-0.0575043175266877-0.0692479173359985i</v>
      </c>
      <c r="AP588" s="170" t="str">
        <f t="shared" si="288"/>
        <v>-0.0306204998433137+0.163829676088074i</v>
      </c>
      <c r="AQ588" s="170" t="str">
        <f t="shared" si="289"/>
        <v>1.03062049984331-0.163829676088074i</v>
      </c>
      <c r="AR588" s="170" t="str">
        <f t="shared" si="290"/>
        <v>0.788330646022808+0.125314753983503i</v>
      </c>
    </row>
    <row r="589" spans="7:44">
      <c r="G589" s="688">
        <v>120230</v>
      </c>
      <c r="H589" s="676">
        <f t="shared" si="282"/>
        <v>120.23</v>
      </c>
      <c r="I589" s="677">
        <f t="shared" ref="I589:I613" si="294">SQRT(1+(G589/pole1)^2)</f>
        <v>108.80347911548421</v>
      </c>
      <c r="J589" s="678">
        <f t="shared" ref="J589:J613" si="295">ATAN(G589/pole1)</f>
        <v>1.5616053148218862</v>
      </c>
      <c r="K589" s="678">
        <f t="shared" ref="K589:K613" si="296">SQRT(1+(G589/Zero1)^2)</f>
        <v>1.013716159804172</v>
      </c>
      <c r="L589" s="679">
        <f t="shared" ref="L589:L613" si="297">ATAN(G589/Zero1)</f>
        <v>0.16468877083152622</v>
      </c>
      <c r="M589" s="678">
        <f t="shared" ref="M589:M613" si="298">SQRT(1+(G589/z_RHP)^2)</f>
        <v>1.8264248370083949</v>
      </c>
      <c r="N589" s="679">
        <f t="shared" ref="N589:N613" si="299">-ATAN(G589/z_RHP)</f>
        <v>-0.99140136993333927</v>
      </c>
      <c r="O589" s="677">
        <f t="shared" ref="O589:O613" si="300">SQRT(1+(G589/Pole2)^2)</f>
        <v>4985820.6328855008</v>
      </c>
      <c r="P589" s="680">
        <f t="shared" ref="P589:P613" si="301">ATAN(G589/Pole2)</f>
        <v>1.570796126226109</v>
      </c>
      <c r="Q589" s="689">
        <f t="shared" si="291"/>
        <v>201.09725190093684</v>
      </c>
      <c r="R589" s="690">
        <f t="shared" si="292"/>
        <v>1.5658235879239557</v>
      </c>
      <c r="S589" s="677">
        <f t="shared" ref="S589:S613" si="302">SQRT(1+(G589/pole4)^2)</f>
        <v>1.0883777281792233</v>
      </c>
      <c r="T589" s="680">
        <f t="shared" ref="T589:T613" si="303">ATAN(G589/pole4)</f>
        <v>0.40577017392154596</v>
      </c>
      <c r="U589" s="681">
        <f t="shared" si="283"/>
        <v>6.692325805629061E-2</v>
      </c>
      <c r="V589" s="682">
        <f t="shared" si="284"/>
        <v>-2.1968538971471649</v>
      </c>
      <c r="W589" s="683">
        <f t="shared" ref="W589:W613" si="304">20*LOG10(((K589*Q589*M589*U589)/(I589*O589*S589))*Adc)</f>
        <v>-37.522115961830245</v>
      </c>
      <c r="X589" s="684">
        <f t="shared" ref="X589:X613" si="305">((L589+R589+N589+V589)-(J589+P589+T589))*radconv</f>
        <v>-286.24481731997349</v>
      </c>
      <c r="Y589" s="687">
        <f t="shared" ref="Y589:Y613" si="306">IF(X589&gt;0,X589,X589+180)</f>
        <v>-106.24481731997349</v>
      </c>
      <c r="AA589" s="170">
        <f t="shared" ref="AA589:AA613" si="307">IF(W589&lt;0,G589,1000000000)</f>
        <v>120230</v>
      </c>
      <c r="AB589" s="170">
        <f t="shared" ref="AB589:AB613" si="308">G589^2</f>
        <v>14455252900</v>
      </c>
      <c r="AD589" s="686">
        <f t="shared" ref="AD589:AD613" si="309">20*LOG10((Q589/(O589*S589))*Aea)</f>
        <v>16.483246885515076</v>
      </c>
      <c r="AE589" s="687">
        <f t="shared" ref="AE589:AE613" si="310">(R589-(P589+T589))*radconv</f>
        <v>-23.533823903065812</v>
      </c>
      <c r="AG589" s="686">
        <f t="shared" ref="AG589:AG613" si="311">20*LOG10((K589*M589/(I589*U589))*Acs*Am)</f>
        <v>50.701368625442996</v>
      </c>
      <c r="AH589" s="687">
        <f t="shared" ref="AH589:AH613" si="312">(L589+N589-(J589+V589))*radconv</f>
        <v>-10.970080102452551</v>
      </c>
      <c r="AJ589" s="170">
        <f t="shared" ref="AJ589:AJ613" si="313">SUM((W590&lt;0)*(W589&gt;0))*G589</f>
        <v>0</v>
      </c>
      <c r="AK589" s="170">
        <f t="shared" si="293"/>
        <v>0</v>
      </c>
      <c r="AM589" s="170" t="str">
        <f t="shared" si="285"/>
        <v>0.987744777838394-0.999924901945026i</v>
      </c>
      <c r="AN589" s="170" t="str">
        <f t="shared" si="286"/>
        <v>17.2910151236958i</v>
      </c>
      <c r="AO589" s="170" t="str">
        <f t="shared" si="287"/>
        <v>-0.0578291612604466-0.0571247419987955i</v>
      </c>
      <c r="AP589" s="170" t="str">
        <f t="shared" si="288"/>
        <v>0.00204253702693427+0.166654150324171i</v>
      </c>
      <c r="AQ589" s="170" t="str">
        <f t="shared" si="289"/>
        <v>0.997957462973066-0.166654150324171i</v>
      </c>
      <c r="AR589" s="170" t="str">
        <f t="shared" si="290"/>
        <v>0.812058700460139+0.135609941064379i</v>
      </c>
    </row>
    <row r="590" spans="7:44">
      <c r="G590" s="688">
        <v>126030</v>
      </c>
      <c r="H590" s="676">
        <f t="shared" ref="H590:H613" si="314">G590/1000</f>
        <v>126.03</v>
      </c>
      <c r="I590" s="677">
        <f t="shared" si="294"/>
        <v>114.05182061319539</v>
      </c>
      <c r="J590" s="678">
        <f t="shared" si="295"/>
        <v>1.5620282702406536</v>
      </c>
      <c r="K590" s="678">
        <f t="shared" si="296"/>
        <v>1.0150613773969317</v>
      </c>
      <c r="L590" s="679">
        <f t="shared" si="297"/>
        <v>0.17248036391531474</v>
      </c>
      <c r="M590" s="678">
        <f t="shared" si="298"/>
        <v>1.8885519076428028</v>
      </c>
      <c r="N590" s="679">
        <f t="shared" si="299"/>
        <v>-1.0127779336177372</v>
      </c>
      <c r="O590" s="677">
        <f t="shared" si="300"/>
        <v>5226340.9661694961</v>
      </c>
      <c r="P590" s="680">
        <f t="shared" si="301"/>
        <v>1.5707961354564428</v>
      </c>
      <c r="Q590" s="689">
        <f t="shared" si="291"/>
        <v>210.79812425312522</v>
      </c>
      <c r="R590" s="690">
        <f t="shared" si="292"/>
        <v>1.5660524337725727</v>
      </c>
      <c r="S590" s="677">
        <f t="shared" si="302"/>
        <v>1.0967236913087481</v>
      </c>
      <c r="T590" s="680">
        <f t="shared" si="303"/>
        <v>0.42313362473688609</v>
      </c>
      <c r="U590" s="681">
        <f t="shared" ref="U590:U613" si="315">IMABS(IMPRODUCT(AO590, AR590))</f>
        <v>3.6921344741500703E-2</v>
      </c>
      <c r="V590" s="682">
        <f t="shared" ref="V590:V613" si="316">IMARGUMENT(IMPRODUCT(AO590, AR590))</f>
        <v>-2.6538523786789305</v>
      </c>
      <c r="W590" s="683">
        <f t="shared" si="304"/>
        <v>-42.861596192273517</v>
      </c>
      <c r="X590" s="684">
        <f t="shared" si="305"/>
        <v>-314.21323770530756</v>
      </c>
      <c r="Y590" s="687">
        <f t="shared" si="306"/>
        <v>-134.21323770530756</v>
      </c>
      <c r="AA590" s="170">
        <f t="shared" si="307"/>
        <v>126030</v>
      </c>
      <c r="AB590" s="170">
        <f t="shared" si="308"/>
        <v>15883560900</v>
      </c>
      <c r="AD590" s="686">
        <f t="shared" si="309"/>
        <v>16.416885647171124</v>
      </c>
      <c r="AE590" s="687">
        <f t="shared" si="310"/>
        <v>-24.515564981263907</v>
      </c>
      <c r="AG590" s="686">
        <f t="shared" si="311"/>
        <v>55.760232247013839</v>
      </c>
      <c r="AH590" s="687">
        <f t="shared" si="312"/>
        <v>14.411409121565715</v>
      </c>
      <c r="AJ590" s="170">
        <f t="shared" si="313"/>
        <v>0</v>
      </c>
      <c r="AK590" s="170">
        <f t="shared" si="293"/>
        <v>0</v>
      </c>
      <c r="AM590" s="170" t="str">
        <f t="shared" ref="AM590:AM613" si="317">IMSUB(1,IMEXP(COMPLEX(0,-2*Pi*G590*Tsw)))</f>
        <v>0.251107573951665-0.662691583021423i</v>
      </c>
      <c r="AN590" s="170" t="str">
        <f t="shared" ref="AN590:AN613" si="318">COMPLEX(0, 2*Pi*G590*Tsw)</f>
        <v>18.1251487651949i</v>
      </c>
      <c r="AO590" s="170" t="str">
        <f t="shared" ref="AO590:AO613" si="319">IMDIV(AM590, AN590)</f>
        <v>-0.0365619941445097-0.0138540972658861i</v>
      </c>
      <c r="AP590" s="170" t="str">
        <f t="shared" ref="AP590:AP613" si="320">IMDIV(IMEXP(COMPLEX(0,-2*Pi*G590*Tsw)),6)</f>
        <v>0.124815404341389+0.110448597170237i</v>
      </c>
      <c r="AQ590" s="170" t="str">
        <f t="shared" ref="AQ590:AQ613" si="321">IMSUB(1, AP590)</f>
        <v>0.875184595658611-0.110448597170237i</v>
      </c>
      <c r="AR590" s="170" t="str">
        <f t="shared" ref="AR590:AR613" si="322">IMDIV(0.833, AQ590)</f>
        <v>0.936877989811485+0.118234324744347i</v>
      </c>
    </row>
    <row r="591" spans="7:44">
      <c r="G591" s="688">
        <v>131830</v>
      </c>
      <c r="H591" s="676">
        <f t="shared" si="314"/>
        <v>131.83000000000001</v>
      </c>
      <c r="I591" s="677">
        <f t="shared" si="294"/>
        <v>119.30018071862466</v>
      </c>
      <c r="J591" s="678">
        <f t="shared" si="295"/>
        <v>1.5624140116583498</v>
      </c>
      <c r="K591" s="678">
        <f t="shared" si="296"/>
        <v>1.0164680529862331</v>
      </c>
      <c r="L591" s="679">
        <f t="shared" si="297"/>
        <v>0.18025086232330789</v>
      </c>
      <c r="M591" s="678">
        <f t="shared" si="298"/>
        <v>1.9514867976398285</v>
      </c>
      <c r="N591" s="679">
        <f t="shared" si="299"/>
        <v>-1.0327843809742363</v>
      </c>
      <c r="O591" s="677">
        <f t="shared" si="300"/>
        <v>5466861.2994534913</v>
      </c>
      <c r="P591" s="680">
        <f t="shared" si="301"/>
        <v>1.5707961438745799</v>
      </c>
      <c r="Q591" s="689">
        <f t="shared" si="291"/>
        <v>220.49900667352497</v>
      </c>
      <c r="R591" s="690">
        <f t="shared" si="292"/>
        <v>1.5662611434257026</v>
      </c>
      <c r="S591" s="677">
        <f t="shared" si="302"/>
        <v>1.1053952544509345</v>
      </c>
      <c r="T591" s="680">
        <f t="shared" si="303"/>
        <v>0.44022973950623456</v>
      </c>
      <c r="U591" s="681">
        <f t="shared" si="315"/>
        <v>5.7739364185253805E-3</v>
      </c>
      <c r="V591" s="682">
        <f t="shared" si="316"/>
        <v>-7.6734730569626611E-2</v>
      </c>
      <c r="W591" s="683">
        <f t="shared" si="304"/>
        <v>-59.140137433078912</v>
      </c>
      <c r="X591" s="684">
        <f t="shared" si="305"/>
        <v>-168.24602010388676</v>
      </c>
      <c r="Y591" s="687">
        <f t="shared" si="306"/>
        <v>11.753979896113236</v>
      </c>
      <c r="AA591" s="170">
        <f t="shared" si="307"/>
        <v>131830</v>
      </c>
      <c r="AB591" s="170">
        <f t="shared" si="308"/>
        <v>17379148900</v>
      </c>
      <c r="AD591" s="686">
        <f t="shared" si="309"/>
        <v>16.348469823725935</v>
      </c>
      <c r="AE591" s="687">
        <f t="shared" si="310"/>
        <v>-25.483142504780215</v>
      </c>
      <c r="AG591" s="686">
        <f t="shared" si="311"/>
        <v>71.782327358487578</v>
      </c>
      <c r="AH591" s="687">
        <f t="shared" si="312"/>
        <v>-133.96972518163273</v>
      </c>
      <c r="AJ591" s="170">
        <f t="shared" si="313"/>
        <v>0</v>
      </c>
      <c r="AK591" s="170">
        <f t="shared" si="293"/>
        <v>0</v>
      </c>
      <c r="AM591" s="170" t="str">
        <f t="shared" si="317"/>
        <v>0.00601391322787803+0.109506434986458i</v>
      </c>
      <c r="AN591" s="170" t="str">
        <f t="shared" si="318"/>
        <v>18.959282406694i</v>
      </c>
      <c r="AO591" s="170" t="str">
        <f t="shared" si="319"/>
        <v>0.00577587445755828-0.000317201521601613i</v>
      </c>
      <c r="AP591" s="170" t="str">
        <f t="shared" si="320"/>
        <v>0.165664347795354-0.018251072497743i</v>
      </c>
      <c r="AQ591" s="170" t="str">
        <f t="shared" si="321"/>
        <v>0.834335652204646+0.018251072497743i</v>
      </c>
      <c r="AR591" s="170" t="str">
        <f t="shared" si="322"/>
        <v>0.997921622789631-0.0218295117036801i</v>
      </c>
    </row>
    <row r="592" spans="7:44">
      <c r="G592" s="688">
        <v>144540</v>
      </c>
      <c r="H592" s="676">
        <f t="shared" si="314"/>
        <v>144.54</v>
      </c>
      <c r="I592" s="677">
        <f t="shared" si="294"/>
        <v>130.80138259086658</v>
      </c>
      <c r="J592" s="678">
        <f t="shared" si="295"/>
        <v>1.5631510731904694</v>
      </c>
      <c r="K592" s="678">
        <f t="shared" si="296"/>
        <v>1.0197642580474269</v>
      </c>
      <c r="L592" s="679">
        <f t="shared" si="297"/>
        <v>0.19720108374770487</v>
      </c>
      <c r="M592" s="678">
        <f t="shared" si="298"/>
        <v>2.0918682333652434</v>
      </c>
      <c r="N592" s="679">
        <f t="shared" si="299"/>
        <v>-1.0723726586512139</v>
      </c>
      <c r="O592" s="677">
        <f t="shared" si="300"/>
        <v>5993932.581529283</v>
      </c>
      <c r="P592" s="680">
        <f t="shared" si="301"/>
        <v>1.5707961599595199</v>
      </c>
      <c r="Q592" s="689">
        <f t="shared" si="291"/>
        <v>241.75734898664658</v>
      </c>
      <c r="R592" s="690">
        <f t="shared" si="292"/>
        <v>1.5666599360881874</v>
      </c>
      <c r="S592" s="677">
        <f t="shared" si="302"/>
        <v>1.1254993063484928</v>
      </c>
      <c r="T592" s="680">
        <f t="shared" si="303"/>
        <v>0.47674230267649309</v>
      </c>
      <c r="U592" s="681">
        <f t="shared" si="315"/>
        <v>6.1670211661572646E-2</v>
      </c>
      <c r="V592" s="682">
        <f t="shared" si="316"/>
        <v>-1.1145762573260289</v>
      </c>
      <c r="W592" s="683">
        <f t="shared" si="304"/>
        <v>-38.892565793677619</v>
      </c>
      <c r="X592" s="684">
        <f t="shared" si="305"/>
        <v>-231.11842261096766</v>
      </c>
      <c r="Y592" s="687">
        <f t="shared" si="306"/>
        <v>-51.118422610967656</v>
      </c>
      <c r="AA592" s="170">
        <f t="shared" si="307"/>
        <v>144540</v>
      </c>
      <c r="AB592" s="170">
        <f t="shared" si="308"/>
        <v>20891811600</v>
      </c>
      <c r="AD592" s="686">
        <f t="shared" si="309"/>
        <v>16.191902087248419</v>
      </c>
      <c r="AE592" s="687">
        <f t="shared" si="310"/>
        <v>-27.552310061143217</v>
      </c>
      <c r="AG592" s="686">
        <f t="shared" si="311"/>
        <v>51.042329062772993</v>
      </c>
      <c r="AH592" s="687">
        <f t="shared" si="312"/>
        <v>-75.845081423344581</v>
      </c>
      <c r="AJ592" s="170">
        <f t="shared" si="313"/>
        <v>0</v>
      </c>
      <c r="AK592" s="170">
        <f t="shared" si="293"/>
        <v>0</v>
      </c>
      <c r="AM592" s="170" t="str">
        <f t="shared" si="317"/>
        <v>1.35866128100989+0.93346777421845i</v>
      </c>
      <c r="AN592" s="170" t="str">
        <f t="shared" si="318"/>
        <v>20.7871856107376i</v>
      </c>
      <c r="AO592" s="170" t="str">
        <f t="shared" si="319"/>
        <v>0.0449059238561024-0.0653605209696148i</v>
      </c>
      <c r="AP592" s="170" t="str">
        <f t="shared" si="320"/>
        <v>-0.0597768801683145-0.155577962369742i</v>
      </c>
      <c r="AQ592" s="170" t="str">
        <f t="shared" si="321"/>
        <v>1.05977688016831+0.155577962369742i</v>
      </c>
      <c r="AR592" s="170" t="str">
        <f t="shared" si="322"/>
        <v>0.769432471655966-0.112954659005524i</v>
      </c>
    </row>
    <row r="593" spans="7:44">
      <c r="G593" s="688">
        <v>158490</v>
      </c>
      <c r="H593" s="676">
        <f t="shared" si="314"/>
        <v>158.49</v>
      </c>
      <c r="I593" s="677">
        <f t="shared" si="294"/>
        <v>143.4247209762477</v>
      </c>
      <c r="J593" s="678">
        <f t="shared" si="295"/>
        <v>1.5638239715723885</v>
      </c>
      <c r="K593" s="678">
        <f t="shared" si="296"/>
        <v>1.0237169619270394</v>
      </c>
      <c r="L593" s="679">
        <f t="shared" si="297"/>
        <v>0.21567341764358447</v>
      </c>
      <c r="M593" s="678">
        <f t="shared" si="298"/>
        <v>2.2492216449118709</v>
      </c>
      <c r="N593" s="679">
        <f t="shared" si="299"/>
        <v>-1.11007063628661</v>
      </c>
      <c r="O593" s="677">
        <f t="shared" si="300"/>
        <v>6572425.452100276</v>
      </c>
      <c r="P593" s="680">
        <f t="shared" si="301"/>
        <v>1.5707961746440648</v>
      </c>
      <c r="Q593" s="689">
        <f t="shared" si="291"/>
        <v>265.08971272866847</v>
      </c>
      <c r="R593" s="690">
        <f t="shared" si="292"/>
        <v>1.5670240100141377</v>
      </c>
      <c r="S593" s="677">
        <f t="shared" si="302"/>
        <v>1.149227072943535</v>
      </c>
      <c r="T593" s="680">
        <f t="shared" si="303"/>
        <v>0.51528958650016687</v>
      </c>
      <c r="U593" s="681">
        <f t="shared" si="315"/>
        <v>5.9958550361888421E-2</v>
      </c>
      <c r="V593" s="682">
        <f t="shared" si="316"/>
        <v>-1.8649593564895806</v>
      </c>
      <c r="W593" s="683">
        <f t="shared" si="304"/>
        <v>-39.454949663892506</v>
      </c>
      <c r="X593" s="684">
        <f t="shared" si="305"/>
        <v>-277.44004736270182</v>
      </c>
      <c r="Y593" s="687">
        <f t="shared" si="306"/>
        <v>-97.440047362701819</v>
      </c>
      <c r="AA593" s="170">
        <f t="shared" si="307"/>
        <v>158490</v>
      </c>
      <c r="AB593" s="170">
        <f t="shared" si="308"/>
        <v>25119080100</v>
      </c>
      <c r="AD593" s="686">
        <f t="shared" si="309"/>
        <v>16.010677249021114</v>
      </c>
      <c r="AE593" s="687">
        <f t="shared" si="310"/>
        <v>-29.740047680407237</v>
      </c>
      <c r="AG593" s="686">
        <f t="shared" si="311"/>
        <v>51.150142621780688</v>
      </c>
      <c r="AH593" s="687">
        <f t="shared" si="312"/>
        <v>-33.991399257523092</v>
      </c>
      <c r="AJ593" s="170">
        <f t="shared" si="313"/>
        <v>0</v>
      </c>
      <c r="AK593" s="170">
        <f t="shared" si="293"/>
        <v>0</v>
      </c>
      <c r="AM593" s="170" t="str">
        <f t="shared" si="317"/>
        <v>1.69507489291021-0.718937336105071i</v>
      </c>
      <c r="AN593" s="170" t="str">
        <f t="shared" si="318"/>
        <v>22.793420834688i</v>
      </c>
      <c r="AO593" s="170" t="str">
        <f t="shared" si="319"/>
        <v>-0.0315414408973208-0.0743668493291965i</v>
      </c>
      <c r="AP593" s="170" t="str">
        <f t="shared" si="320"/>
        <v>-0.115845815485035+0.119822889350845i</v>
      </c>
      <c r="AQ593" s="170" t="str">
        <f t="shared" si="321"/>
        <v>1.11584581548504-0.119822889350845i</v>
      </c>
      <c r="AR593" s="170" t="str">
        <f t="shared" si="322"/>
        <v>0.738008845505132+0.0792496158588605i</v>
      </c>
    </row>
    <row r="594" spans="7:44">
      <c r="G594" s="688">
        <v>173780</v>
      </c>
      <c r="H594" s="676">
        <f t="shared" si="314"/>
        <v>173.78</v>
      </c>
      <c r="I594" s="677">
        <f t="shared" si="294"/>
        <v>157.26068581279762</v>
      </c>
      <c r="J594" s="678">
        <f t="shared" si="295"/>
        <v>1.5644374155758893</v>
      </c>
      <c r="K594" s="678">
        <f t="shared" si="296"/>
        <v>1.0284472936274351</v>
      </c>
      <c r="L594" s="679">
        <f t="shared" si="297"/>
        <v>0.23574942143863667</v>
      </c>
      <c r="M594" s="678">
        <f t="shared" si="298"/>
        <v>2.4248592473055859</v>
      </c>
      <c r="N594" s="679">
        <f t="shared" si="299"/>
        <v>-1.1457147824831959</v>
      </c>
      <c r="O594" s="677">
        <f t="shared" si="300"/>
        <v>7206486.8134644702</v>
      </c>
      <c r="P594" s="680">
        <f t="shared" si="301"/>
        <v>1.5707961880310266</v>
      </c>
      <c r="Q594" s="689">
        <f t="shared" si="291"/>
        <v>290.66335501790604</v>
      </c>
      <c r="R594" s="690">
        <f t="shared" si="292"/>
        <v>1.5673559138378477</v>
      </c>
      <c r="S594" s="677">
        <f t="shared" si="302"/>
        <v>1.1771108758207478</v>
      </c>
      <c r="T594" s="680">
        <f t="shared" si="303"/>
        <v>0.55568811052682232</v>
      </c>
      <c r="U594" s="681">
        <f t="shared" si="315"/>
        <v>5.5965250626423589E-3</v>
      </c>
      <c r="V594" s="682">
        <f t="shared" si="316"/>
        <v>-3.0434868797551609</v>
      </c>
      <c r="W594" s="683">
        <f t="shared" si="304"/>
        <v>-60.368638577208358</v>
      </c>
      <c r="X594" s="684">
        <f t="shared" si="305"/>
        <v>-348.18748617749975</v>
      </c>
      <c r="Y594" s="687">
        <f t="shared" si="306"/>
        <v>-168.18748617749975</v>
      </c>
      <c r="AA594" s="170">
        <f t="shared" si="307"/>
        <v>173780</v>
      </c>
      <c r="AB594" s="170">
        <f t="shared" si="308"/>
        <v>30199488400</v>
      </c>
      <c r="AD594" s="686">
        <f t="shared" si="309"/>
        <v>15.802436372114714</v>
      </c>
      <c r="AE594" s="687">
        <f t="shared" si="310"/>
        <v>-32.035696687029187</v>
      </c>
      <c r="AG594" s="686">
        <f t="shared" si="311"/>
        <v>71.642001434909005</v>
      </c>
      <c r="AH594" s="687">
        <f t="shared" si="312"/>
        <v>32.606117334864592</v>
      </c>
      <c r="AJ594" s="170">
        <f t="shared" si="313"/>
        <v>0</v>
      </c>
      <c r="AK594" s="170">
        <f t="shared" si="293"/>
        <v>0</v>
      </c>
      <c r="AM594" s="170" t="str">
        <f t="shared" si="317"/>
        <v>0.00983591737410505-0.13991100556289i</v>
      </c>
      <c r="AN594" s="170" t="str">
        <f t="shared" si="318"/>
        <v>24.9923696930537i</v>
      </c>
      <c r="AO594" s="170" t="str">
        <f t="shared" si="319"/>
        <v>-0.00559814884627673-0.000393556813335664i</v>
      </c>
      <c r="AP594" s="170" t="str">
        <f t="shared" si="320"/>
        <v>0.165027347104316+0.0233185009271483i</v>
      </c>
      <c r="AQ594" s="170" t="str">
        <f t="shared" si="321"/>
        <v>0.834972652895684-0.0233185009271483i</v>
      </c>
      <c r="AR594" s="170" t="str">
        <f t="shared" si="322"/>
        <v>0.996859981046013+0.0278395709268368i</v>
      </c>
    </row>
    <row r="595" spans="7:44">
      <c r="G595" s="688">
        <v>190550</v>
      </c>
      <c r="H595" s="676">
        <f t="shared" si="314"/>
        <v>190.55</v>
      </c>
      <c r="I595" s="677">
        <f t="shared" si="294"/>
        <v>172.43596349270456</v>
      </c>
      <c r="J595" s="678">
        <f t="shared" si="295"/>
        <v>1.5649970400042836</v>
      </c>
      <c r="K595" s="678">
        <f t="shared" si="296"/>
        <v>1.0341074393413461</v>
      </c>
      <c r="L595" s="679">
        <f t="shared" si="297"/>
        <v>0.25754770527911591</v>
      </c>
      <c r="M595" s="678">
        <f t="shared" si="298"/>
        <v>2.6205397638073591</v>
      </c>
      <c r="N595" s="679">
        <f t="shared" si="299"/>
        <v>-1.1792688229554333</v>
      </c>
      <c r="O595" s="677">
        <f t="shared" si="300"/>
        <v>7901922.3288390636</v>
      </c>
      <c r="P595" s="680">
        <f t="shared" si="301"/>
        <v>1.5707962002434122</v>
      </c>
      <c r="Q595" s="689">
        <f t="shared" si="291"/>
        <v>318.71243607936583</v>
      </c>
      <c r="R595" s="690">
        <f t="shared" si="292"/>
        <v>1.5676586969832389</v>
      </c>
      <c r="S595" s="677">
        <f t="shared" si="302"/>
        <v>1.2097936668877796</v>
      </c>
      <c r="T595" s="680">
        <f t="shared" si="303"/>
        <v>0.59777973891748715</v>
      </c>
      <c r="U595" s="681">
        <f t="shared" si="315"/>
        <v>4.9454677785850845E-2</v>
      </c>
      <c r="V595" s="682">
        <f t="shared" si="316"/>
        <v>-1.2502536836334328</v>
      </c>
      <c r="W595" s="683">
        <f t="shared" si="304"/>
        <v>-41.759144254321953</v>
      </c>
      <c r="X595" s="684">
        <f t="shared" si="305"/>
        <v>-248.54273676394831</v>
      </c>
      <c r="Y595" s="687">
        <f t="shared" si="306"/>
        <v>-68.542736763948312</v>
      </c>
      <c r="AA595" s="170">
        <f t="shared" si="307"/>
        <v>190550</v>
      </c>
      <c r="AB595" s="170">
        <f t="shared" si="308"/>
        <v>36309302500</v>
      </c>
      <c r="AD595" s="686">
        <f t="shared" si="309"/>
        <v>15.564549035106205</v>
      </c>
      <c r="AE595" s="687">
        <f t="shared" si="310"/>
        <v>-34.430021852762764</v>
      </c>
      <c r="AG595" s="686">
        <f t="shared" si="311"/>
        <v>52.637826148786004</v>
      </c>
      <c r="AH595" s="687">
        <f t="shared" si="312"/>
        <v>-70.844195961717134</v>
      </c>
      <c r="AJ595" s="170">
        <f t="shared" si="313"/>
        <v>0</v>
      </c>
      <c r="AK595" s="170">
        <f t="shared" si="293"/>
        <v>0</v>
      </c>
      <c r="AM595" s="170" t="str">
        <f t="shared" si="317"/>
        <v>1.64469856189857+0.76443689359287i</v>
      </c>
      <c r="AN595" s="170" t="str">
        <f t="shared" si="318"/>
        <v>27.4041664461468i</v>
      </c>
      <c r="AO595" s="170" t="str">
        <f t="shared" si="319"/>
        <v>0.0278949149975096-0.0600163688660498i</v>
      </c>
      <c r="AP595" s="170" t="str">
        <f t="shared" si="320"/>
        <v>-0.107449760316428-0.127406148932145i</v>
      </c>
      <c r="AQ595" s="170" t="str">
        <f t="shared" si="321"/>
        <v>1.10744976031643+0.127406148932145i</v>
      </c>
      <c r="AR595" s="170" t="str">
        <f t="shared" si="322"/>
        <v>0.742353345895555-0.0854037666868255i</v>
      </c>
    </row>
    <row r="596" spans="7:44">
      <c r="G596" s="688">
        <v>208930</v>
      </c>
      <c r="H596" s="676">
        <f t="shared" si="314"/>
        <v>208.93</v>
      </c>
      <c r="I596" s="677">
        <f t="shared" si="294"/>
        <v>189.06819181619591</v>
      </c>
      <c r="J596" s="678">
        <f t="shared" si="295"/>
        <v>1.5655072051669958</v>
      </c>
      <c r="K596" s="678">
        <f t="shared" si="296"/>
        <v>1.0408687754095256</v>
      </c>
      <c r="L596" s="679">
        <f t="shared" si="297"/>
        <v>0.28115394151503298</v>
      </c>
      <c r="M596" s="678">
        <f t="shared" si="298"/>
        <v>2.837903386734141</v>
      </c>
      <c r="N596" s="679">
        <f t="shared" si="299"/>
        <v>-1.2106909926530429</v>
      </c>
      <c r="O596" s="677">
        <f t="shared" si="300"/>
        <v>8664122.9712114576</v>
      </c>
      <c r="P596" s="680">
        <f t="shared" si="301"/>
        <v>1.5707962113764056</v>
      </c>
      <c r="Q596" s="689">
        <f t="shared" si="291"/>
        <v>349.45439064367145</v>
      </c>
      <c r="R596" s="690">
        <f t="shared" si="292"/>
        <v>1.5679347191242672</v>
      </c>
      <c r="S596" s="677">
        <f t="shared" si="302"/>
        <v>1.2479381944994037</v>
      </c>
      <c r="T596" s="680">
        <f t="shared" si="303"/>
        <v>0.64129496955506293</v>
      </c>
      <c r="U596" s="681">
        <f t="shared" si="315"/>
        <v>3.5753106830423362E-2</v>
      </c>
      <c r="V596" s="682">
        <f t="shared" si="316"/>
        <v>-2.290038615772108</v>
      </c>
      <c r="W596" s="683">
        <f t="shared" si="304"/>
        <v>-44.897727700773729</v>
      </c>
      <c r="X596" s="684">
        <f t="shared" si="305"/>
        <v>-311.07250015344175</v>
      </c>
      <c r="Y596" s="687">
        <f t="shared" si="306"/>
        <v>-131.07250015344175</v>
      </c>
      <c r="AA596" s="170">
        <f t="shared" si="307"/>
        <v>208930</v>
      </c>
      <c r="AB596" s="170">
        <f t="shared" si="308"/>
        <v>43651744900</v>
      </c>
      <c r="AD596" s="686">
        <f t="shared" si="309"/>
        <v>15.294906438130651</v>
      </c>
      <c r="AE596" s="687">
        <f t="shared" si="310"/>
        <v>-36.907446649805543</v>
      </c>
      <c r="AG596" s="686">
        <f t="shared" si="311"/>
        <v>55.404628901513476</v>
      </c>
      <c r="AH596" s="687">
        <f t="shared" si="312"/>
        <v>-11.745957992332833</v>
      </c>
      <c r="AJ596" s="170">
        <f t="shared" si="313"/>
        <v>0</v>
      </c>
      <c r="AK596" s="170">
        <f t="shared" si="293"/>
        <v>0</v>
      </c>
      <c r="AM596" s="170" t="str">
        <f t="shared" si="317"/>
        <v>0.799001630339087-0.979591575807824i</v>
      </c>
      <c r="AN596" s="170" t="str">
        <f t="shared" si="318"/>
        <v>30.0475071928284i</v>
      </c>
      <c r="AO596" s="170" t="str">
        <f t="shared" si="319"/>
        <v>-0.0326014257862172-0.0265912784448817i</v>
      </c>
      <c r="AP596" s="170" t="str">
        <f t="shared" si="320"/>
        <v>0.0334997282768188+0.163265262634637i</v>
      </c>
      <c r="AQ596" s="170" t="str">
        <f t="shared" si="321"/>
        <v>0.966500271723181-0.163265262634637i</v>
      </c>
      <c r="AR596" s="170" t="str">
        <f t="shared" si="322"/>
        <v>0.837960962024651+0.141551865576414i</v>
      </c>
    </row>
    <row r="597" spans="7:44">
      <c r="G597" s="688">
        <v>229090</v>
      </c>
      <c r="H597" s="676">
        <f t="shared" si="314"/>
        <v>229.09</v>
      </c>
      <c r="I597" s="677">
        <f t="shared" si="294"/>
        <v>207.31120531525724</v>
      </c>
      <c r="J597" s="678">
        <f t="shared" si="295"/>
        <v>1.5659726421490101</v>
      </c>
      <c r="K597" s="678">
        <f t="shared" si="296"/>
        <v>1.0489426586565112</v>
      </c>
      <c r="L597" s="679">
        <f t="shared" si="297"/>
        <v>0.30668051453334366</v>
      </c>
      <c r="M597" s="678">
        <f t="shared" si="298"/>
        <v>3.0790608098692882</v>
      </c>
      <c r="N597" s="679">
        <f t="shared" si="299"/>
        <v>-1.2400231824884975</v>
      </c>
      <c r="O597" s="677">
        <f t="shared" si="300"/>
        <v>9500138.4744882528</v>
      </c>
      <c r="P597" s="680">
        <f t="shared" si="301"/>
        <v>1.5707962215332731</v>
      </c>
      <c r="Q597" s="689">
        <f t="shared" si="291"/>
        <v>383.17355669829544</v>
      </c>
      <c r="R597" s="690">
        <f t="shared" si="292"/>
        <v>1.5681865403999746</v>
      </c>
      <c r="S597" s="677">
        <f t="shared" si="302"/>
        <v>1.2923227956814747</v>
      </c>
      <c r="T597" s="680">
        <f t="shared" si="303"/>
        <v>0.68597711959672758</v>
      </c>
      <c r="U597" s="681">
        <f t="shared" si="315"/>
        <v>3.4784645687313182E-2</v>
      </c>
      <c r="V597" s="682">
        <f t="shared" si="316"/>
        <v>-0.93156060396725182</v>
      </c>
      <c r="W597" s="683">
        <f t="shared" si="304"/>
        <v>-45.464373873565563</v>
      </c>
      <c r="X597" s="684">
        <f t="shared" si="305"/>
        <v>-236.02782768932801</v>
      </c>
      <c r="Y597" s="687">
        <f t="shared" si="306"/>
        <v>-56.027827689328006</v>
      </c>
      <c r="AA597" s="170">
        <f t="shared" si="307"/>
        <v>229090</v>
      </c>
      <c r="AB597" s="170">
        <f t="shared" si="308"/>
        <v>52482228100</v>
      </c>
      <c r="AD597" s="686">
        <f t="shared" si="309"/>
        <v>14.991341892819978</v>
      </c>
      <c r="AE597" s="687">
        <f t="shared" si="310"/>
        <v>-39.453117555328078</v>
      </c>
      <c r="AG597" s="686">
        <f t="shared" si="311"/>
        <v>55.618595375504995</v>
      </c>
      <c r="AH597" s="687">
        <f t="shared" si="312"/>
        <v>-89.825728076058539</v>
      </c>
      <c r="AJ597" s="170">
        <f t="shared" si="313"/>
        <v>0</v>
      </c>
      <c r="AK597" s="170">
        <f t="shared" si="293"/>
        <v>0</v>
      </c>
      <c r="AM597" s="170" t="str">
        <f t="shared" si="317"/>
        <v>0.960128386921507+0.999204811072544i</v>
      </c>
      <c r="AN597" s="170" t="str">
        <f t="shared" si="318"/>
        <v>32.9468406777632i</v>
      </c>
      <c r="AO597" s="170" t="str">
        <f t="shared" si="319"/>
        <v>0.0303277883559542-0.0291417437050201i</v>
      </c>
      <c r="AP597" s="170" t="str">
        <f t="shared" si="320"/>
        <v>0.00664526884641557-0.166534135178757i</v>
      </c>
      <c r="AQ597" s="170" t="str">
        <f t="shared" si="321"/>
        <v>0.993354731153584+0.166534135178757i</v>
      </c>
      <c r="AR597" s="170" t="str">
        <f t="shared" si="322"/>
        <v>0.815648002612285-0.136741921556637i</v>
      </c>
    </row>
    <row r="598" spans="7:44">
      <c r="G598" s="688">
        <v>251190</v>
      </c>
      <c r="H598" s="676">
        <f t="shared" si="314"/>
        <v>251.19</v>
      </c>
      <c r="I598" s="677">
        <f t="shared" si="294"/>
        <v>227.30978981864624</v>
      </c>
      <c r="J598" s="678">
        <f t="shared" si="295"/>
        <v>1.5663970300182797</v>
      </c>
      <c r="K598" s="678">
        <f t="shared" si="296"/>
        <v>1.0585659253294368</v>
      </c>
      <c r="L598" s="679">
        <f t="shared" si="297"/>
        <v>0.33419617662260215</v>
      </c>
      <c r="M598" s="678">
        <f t="shared" si="298"/>
        <v>3.3460072599554049</v>
      </c>
      <c r="N598" s="679">
        <f t="shared" si="299"/>
        <v>-1.2672946505262337</v>
      </c>
      <c r="O598" s="677">
        <f t="shared" si="300"/>
        <v>10416603.882346248</v>
      </c>
      <c r="P598" s="680">
        <f t="shared" si="301"/>
        <v>1.570796230794318</v>
      </c>
      <c r="Q598" s="689">
        <f t="shared" si="291"/>
        <v>420.13754667609544</v>
      </c>
      <c r="R598" s="690">
        <f t="shared" si="292"/>
        <v>1.5684161516543558</v>
      </c>
      <c r="S598" s="677">
        <f t="shared" si="302"/>
        <v>1.3437340496093981</v>
      </c>
      <c r="T598" s="680">
        <f t="shared" si="303"/>
        <v>0.73146763319804031</v>
      </c>
      <c r="U598" s="681">
        <f t="shared" si="315"/>
        <v>3.2200295586997135E-2</v>
      </c>
      <c r="V598" s="682">
        <f t="shared" si="316"/>
        <v>-2.1895623631522358</v>
      </c>
      <c r="W598" s="683">
        <f t="shared" si="304"/>
        <v>-46.472191474167168</v>
      </c>
      <c r="X598" s="684">
        <f t="shared" si="305"/>
        <v>-310.70960275329992</v>
      </c>
      <c r="Y598" s="687">
        <f t="shared" si="306"/>
        <v>-130.70960275329992</v>
      </c>
      <c r="AA598" s="170">
        <f t="shared" si="307"/>
        <v>251190</v>
      </c>
      <c r="AB598" s="170">
        <f t="shared" si="308"/>
        <v>63096416100</v>
      </c>
      <c r="AD598" s="686">
        <f t="shared" si="309"/>
        <v>14.652490575255561</v>
      </c>
      <c r="AE598" s="687">
        <f t="shared" si="310"/>
        <v>-42.046376770343052</v>
      </c>
      <c r="AG598" s="686">
        <f t="shared" si="311"/>
        <v>56.290738118848864</v>
      </c>
      <c r="AH598" s="687">
        <f t="shared" si="312"/>
        <v>-17.757860917627738</v>
      </c>
      <c r="AJ598" s="170">
        <f t="shared" si="313"/>
        <v>0</v>
      </c>
      <c r="AK598" s="170">
        <f t="shared" si="293"/>
        <v>0</v>
      </c>
      <c r="AM598" s="170" t="str">
        <f t="shared" si="317"/>
        <v>1.00313802696756-0.999995076381254i</v>
      </c>
      <c r="AN598" s="170" t="str">
        <f t="shared" si="318"/>
        <v>36.1251774841649i</v>
      </c>
      <c r="AO598" s="170" t="str">
        <f t="shared" si="319"/>
        <v>-0.0276813886054841-0.0277683902703945i</v>
      </c>
      <c r="AP598" s="170" t="str">
        <f t="shared" si="320"/>
        <v>-0.000523004494593617+0.166665846063542i</v>
      </c>
      <c r="AQ598" s="170" t="str">
        <f t="shared" si="321"/>
        <v>1.00052300449459-0.166665846063542i</v>
      </c>
      <c r="AR598" s="170" t="str">
        <f t="shared" si="322"/>
        <v>0.810085918953172+0.134943079229541i</v>
      </c>
    </row>
    <row r="599" spans="7:44">
      <c r="G599" s="688">
        <v>275420</v>
      </c>
      <c r="H599" s="676">
        <f t="shared" si="314"/>
        <v>275.42</v>
      </c>
      <c r="I599" s="677">
        <f t="shared" si="294"/>
        <v>249.2358788405902</v>
      </c>
      <c r="J599" s="678">
        <f t="shared" si="295"/>
        <v>1.5667840526082335</v>
      </c>
      <c r="K599" s="678">
        <f t="shared" si="296"/>
        <v>1.0700199060122879</v>
      </c>
      <c r="L599" s="679">
        <f t="shared" si="297"/>
        <v>0.36377013820853704</v>
      </c>
      <c r="M599" s="678">
        <f t="shared" si="298"/>
        <v>3.6411011005611691</v>
      </c>
      <c r="N599" s="679">
        <f t="shared" si="299"/>
        <v>-1.2925787578440149</v>
      </c>
      <c r="O599" s="677">
        <f t="shared" si="300"/>
        <v>11421398.309151644</v>
      </c>
      <c r="P599" s="680">
        <f t="shared" si="301"/>
        <v>1.5707962392399428</v>
      </c>
      <c r="Q599" s="689">
        <f t="shared" ref="Q599:Q613" si="323">SQRT(1+(G599/Zero2)^2)</f>
        <v>460.66415052649029</v>
      </c>
      <c r="R599" s="690">
        <f t="shared" ref="R599:R613" si="324">ATAN(G599/Zero2)</f>
        <v>1.5686255462289704</v>
      </c>
      <c r="S599" s="677">
        <f t="shared" si="302"/>
        <v>1.4030463500387873</v>
      </c>
      <c r="T599" s="680">
        <f t="shared" si="303"/>
        <v>0.77740688709416295</v>
      </c>
      <c r="U599" s="681">
        <f t="shared" si="315"/>
        <v>3.2180642400234064E-2</v>
      </c>
      <c r="V599" s="682">
        <f t="shared" si="316"/>
        <v>-1.1031376094777936</v>
      </c>
      <c r="W599" s="683">
        <f t="shared" si="304"/>
        <v>-46.824924819760597</v>
      </c>
      <c r="X599" s="684">
        <f t="shared" si="305"/>
        <v>-250.85856217826179</v>
      </c>
      <c r="Y599" s="687">
        <f t="shared" si="306"/>
        <v>-70.858562178261792</v>
      </c>
      <c r="AA599" s="170">
        <f t="shared" si="307"/>
        <v>275420</v>
      </c>
      <c r="AB599" s="170">
        <f t="shared" si="308"/>
        <v>75856176400</v>
      </c>
      <c r="AD599" s="686">
        <f t="shared" si="309"/>
        <v>14.27731251306226</v>
      </c>
      <c r="AE599" s="687">
        <f t="shared" si="310"/>
        <v>-44.666505194085019</v>
      </c>
      <c r="AG599" s="686">
        <f t="shared" si="311"/>
        <v>56.323788795653698</v>
      </c>
      <c r="AH599" s="687">
        <f t="shared" si="312"/>
        <v>-79.781798349275221</v>
      </c>
      <c r="AJ599" s="170">
        <f t="shared" si="313"/>
        <v>0</v>
      </c>
      <c r="AK599" s="170">
        <f t="shared" ref="AK599:AK613" si="325">IF(AJ599&gt;0,Y599,0)</f>
        <v>0</v>
      </c>
      <c r="AM599" s="170" t="str">
        <f t="shared" si="317"/>
        <v>1.33342535016574+0.942776503667149i</v>
      </c>
      <c r="AN599" s="170" t="str">
        <f t="shared" si="318"/>
        <v>39.6098426795999i</v>
      </c>
      <c r="AO599" s="170" t="str">
        <f t="shared" si="319"/>
        <v>0.0238015715258749-0.0336639900580188i</v>
      </c>
      <c r="AP599" s="170" t="str">
        <f t="shared" si="320"/>
        <v>-0.0555708916942898-0.157129417277858i</v>
      </c>
      <c r="AQ599" s="170" t="str">
        <f t="shared" si="321"/>
        <v>1.05557089169429+0.157129417277858i</v>
      </c>
      <c r="AR599" s="170" t="str">
        <f t="shared" si="322"/>
        <v>0.772039205192744-0.114923660155958i</v>
      </c>
    </row>
    <row r="600" spans="7:44">
      <c r="G600" s="688">
        <v>302000</v>
      </c>
      <c r="H600" s="676">
        <f t="shared" si="314"/>
        <v>302</v>
      </c>
      <c r="I600" s="677">
        <f t="shared" si="294"/>
        <v>273.28855368875185</v>
      </c>
      <c r="J600" s="678">
        <f t="shared" si="295"/>
        <v>1.5671371825751264</v>
      </c>
      <c r="K600" s="678">
        <f t="shared" si="296"/>
        <v>1.0836367178175665</v>
      </c>
      <c r="L600" s="679">
        <f t="shared" si="297"/>
        <v>0.3954625039901315</v>
      </c>
      <c r="M600" s="678">
        <f t="shared" si="298"/>
        <v>3.9670739364418317</v>
      </c>
      <c r="N600" s="679">
        <f t="shared" si="299"/>
        <v>-1.3159724683229881</v>
      </c>
      <c r="O600" s="677">
        <f t="shared" si="300"/>
        <v>12523644.939960042</v>
      </c>
      <c r="P600" s="680">
        <f t="shared" si="301"/>
        <v>1.5707962469459384</v>
      </c>
      <c r="Q600" s="689">
        <f t="shared" si="323"/>
        <v>505.12133577386692</v>
      </c>
      <c r="R600" s="690">
        <f t="shared" si="324"/>
        <v>1.5688166031475359</v>
      </c>
      <c r="S600" s="677">
        <f t="shared" si="302"/>
        <v>1.4712245135686373</v>
      </c>
      <c r="T600" s="680">
        <f t="shared" si="303"/>
        <v>0.82343471273572555</v>
      </c>
      <c r="U600" s="681">
        <f t="shared" si="315"/>
        <v>1.2075533623112726E-2</v>
      </c>
      <c r="V600" s="682">
        <f t="shared" si="316"/>
        <v>-2.7655138659411249</v>
      </c>
      <c r="W600" s="683">
        <f t="shared" si="304"/>
        <v>-55.696463882529379</v>
      </c>
      <c r="X600" s="684">
        <f t="shared" si="305"/>
        <v>-348.27671451579897</v>
      </c>
      <c r="Y600" s="687">
        <f t="shared" si="306"/>
        <v>-168.27671451579897</v>
      </c>
      <c r="AA600" s="170">
        <f t="shared" si="307"/>
        <v>302000</v>
      </c>
      <c r="AB600" s="170">
        <f t="shared" si="308"/>
        <v>91204000000</v>
      </c>
      <c r="AD600" s="686">
        <f t="shared" si="309"/>
        <v>13.865170385089874</v>
      </c>
      <c r="AE600" s="687">
        <f t="shared" si="310"/>
        <v>-47.292759032951992</v>
      </c>
      <c r="AG600" s="686">
        <f t="shared" si="311"/>
        <v>64.89192697540139</v>
      </c>
      <c r="AH600" s="687">
        <f t="shared" si="312"/>
        <v>15.920590285938424</v>
      </c>
      <c r="AJ600" s="170">
        <f t="shared" si="313"/>
        <v>0</v>
      </c>
      <c r="AK600" s="170">
        <f t="shared" si="325"/>
        <v>0</v>
      </c>
      <c r="AM600" s="170" t="str">
        <f t="shared" si="317"/>
        <v>0.147382105252583-0.522534903672935i</v>
      </c>
      <c r="AN600" s="170" t="str">
        <f t="shared" si="318"/>
        <v>43.4324758159871i</v>
      </c>
      <c r="AO600" s="170" t="str">
        <f t="shared" si="319"/>
        <v>-0.0120309720746013-0.00339336182162411i</v>
      </c>
      <c r="AP600" s="170" t="str">
        <f t="shared" si="320"/>
        <v>0.142102982457903+0.0870891506121558i</v>
      </c>
      <c r="AQ600" s="170" t="str">
        <f t="shared" si="321"/>
        <v>0.857897017542097-0.0870891506121558i</v>
      </c>
      <c r="AR600" s="170" t="str">
        <f t="shared" si="322"/>
        <v>0.961074913345622+0.0975632228186577i</v>
      </c>
    </row>
    <row r="601" spans="7:44">
      <c r="G601" s="688">
        <v>331130</v>
      </c>
      <c r="H601" s="676">
        <f t="shared" si="314"/>
        <v>331.13</v>
      </c>
      <c r="I601" s="677">
        <f t="shared" si="294"/>
        <v>299.64879761832537</v>
      </c>
      <c r="J601" s="678">
        <f t="shared" si="295"/>
        <v>1.5674590804446598</v>
      </c>
      <c r="K601" s="678">
        <f t="shared" si="296"/>
        <v>1.0997766796597566</v>
      </c>
      <c r="L601" s="679">
        <f t="shared" si="297"/>
        <v>0.42925633906719085</v>
      </c>
      <c r="M601" s="678">
        <f t="shared" si="298"/>
        <v>4.3264184624295892</v>
      </c>
      <c r="N601" s="679">
        <f t="shared" si="299"/>
        <v>-1.337549063754524</v>
      </c>
      <c r="O601" s="677">
        <f t="shared" si="300"/>
        <v>13731637.579367438</v>
      </c>
      <c r="P601" s="680">
        <f t="shared" si="301"/>
        <v>1.5707962539703704</v>
      </c>
      <c r="Q601" s="689">
        <f t="shared" si="323"/>
        <v>553.84361848379797</v>
      </c>
      <c r="R601" s="690">
        <f t="shared" si="324"/>
        <v>1.5689907619929009</v>
      </c>
      <c r="S601" s="677">
        <f t="shared" si="302"/>
        <v>1.5491883598783174</v>
      </c>
      <c r="T601" s="680">
        <f t="shared" si="303"/>
        <v>0.86911948694393992</v>
      </c>
      <c r="U601" s="681">
        <f t="shared" si="315"/>
        <v>2.9503653967448716E-2</v>
      </c>
      <c r="V601" s="682">
        <f t="shared" si="316"/>
        <v>-1.7504459112385276</v>
      </c>
      <c r="W601" s="683">
        <f t="shared" si="304"/>
        <v>-48.303824201324403</v>
      </c>
      <c r="X601" s="684">
        <f t="shared" si="305"/>
        <v>-292.04361843428273</v>
      </c>
      <c r="Y601" s="687">
        <f t="shared" si="306"/>
        <v>-112.04361843428273</v>
      </c>
      <c r="AA601" s="170">
        <f t="shared" si="307"/>
        <v>331130</v>
      </c>
      <c r="AB601" s="170">
        <f t="shared" si="308"/>
        <v>109647076900</v>
      </c>
      <c r="AD601" s="686">
        <f t="shared" si="309"/>
        <v>13.416662068848066</v>
      </c>
      <c r="AE601" s="687">
        <f t="shared" si="310"/>
        <v>-49.900325621736378</v>
      </c>
      <c r="AG601" s="686">
        <f t="shared" si="311"/>
        <v>57.214296001433446</v>
      </c>
      <c r="AH601" s="687">
        <f t="shared" si="312"/>
        <v>-41.556966623544824</v>
      </c>
      <c r="AJ601" s="170">
        <f t="shared" si="313"/>
        <v>0</v>
      </c>
      <c r="AK601" s="170">
        <f t="shared" si="325"/>
        <v>0</v>
      </c>
      <c r="AM601" s="170" t="str">
        <f t="shared" si="317"/>
        <v>1.87856338741418-0.477625768039499i</v>
      </c>
      <c r="AN601" s="170" t="str">
        <f t="shared" si="318"/>
        <v>47.6218401223437i</v>
      </c>
      <c r="AO601" s="170" t="str">
        <f t="shared" si="319"/>
        <v>-0.0100295529700752-0.0394475178319029i</v>
      </c>
      <c r="AP601" s="170" t="str">
        <f t="shared" si="320"/>
        <v>-0.146427231235697+0.0796042946732498i</v>
      </c>
      <c r="AQ601" s="170" t="str">
        <f t="shared" si="321"/>
        <v>1.1464272312357-0.0796042946732498i</v>
      </c>
      <c r="AR601" s="170" t="str">
        <f t="shared" si="322"/>
        <v>0.723118711261473+0.0502110848439574i</v>
      </c>
    </row>
    <row r="602" spans="7:44">
      <c r="G602" s="688">
        <v>363080</v>
      </c>
      <c r="H602" s="676">
        <f t="shared" si="314"/>
        <v>363.08</v>
      </c>
      <c r="I602" s="677">
        <f t="shared" si="294"/>
        <v>328.56093831948283</v>
      </c>
      <c r="J602" s="678">
        <f t="shared" si="295"/>
        <v>1.5677527466632684</v>
      </c>
      <c r="K602" s="678">
        <f t="shared" si="296"/>
        <v>1.118878598516412</v>
      </c>
      <c r="L602" s="679">
        <f t="shared" si="297"/>
        <v>0.46515508046044324</v>
      </c>
      <c r="M602" s="678">
        <f t="shared" si="298"/>
        <v>4.7224961214086205</v>
      </c>
      <c r="N602" s="679">
        <f t="shared" si="299"/>
        <v>-1.3574286292904194</v>
      </c>
      <c r="O602" s="677">
        <f t="shared" si="300"/>
        <v>15056572.863578435</v>
      </c>
      <c r="P602" s="680">
        <f t="shared" si="301"/>
        <v>1.5707962603787202</v>
      </c>
      <c r="Q602" s="689">
        <f t="shared" si="323"/>
        <v>607.28259550480095</v>
      </c>
      <c r="R602" s="690">
        <f t="shared" si="324"/>
        <v>1.5691496462225758</v>
      </c>
      <c r="S602" s="677">
        <f t="shared" si="302"/>
        <v>1.6380418491081394</v>
      </c>
      <c r="T602" s="680">
        <f t="shared" si="303"/>
        <v>0.91412351128504743</v>
      </c>
      <c r="U602" s="681">
        <f t="shared" si="315"/>
        <v>2.4619706478381902E-2</v>
      </c>
      <c r="V602" s="682">
        <f t="shared" si="316"/>
        <v>-1.1203505538798793</v>
      </c>
      <c r="W602" s="683">
        <f t="shared" si="304"/>
        <v>-50.249737510380115</v>
      </c>
      <c r="X602" s="684">
        <f t="shared" si="305"/>
        <v>-257.61024602173569</v>
      </c>
      <c r="Y602" s="687">
        <f t="shared" si="306"/>
        <v>-77.610246021735691</v>
      </c>
      <c r="AA602" s="170">
        <f t="shared" si="307"/>
        <v>363080</v>
      </c>
      <c r="AB602" s="170">
        <f t="shared" si="308"/>
        <v>131827086400</v>
      </c>
      <c r="AD602" s="686">
        <f t="shared" si="309"/>
        <v>12.932244329517514</v>
      </c>
      <c r="AE602" s="687">
        <f t="shared" si="310"/>
        <v>-52.469763251901711</v>
      </c>
      <c r="AG602" s="686">
        <f t="shared" si="311"/>
        <v>58.896517828722963</v>
      </c>
      <c r="AH602" s="687">
        <f t="shared" si="312"/>
        <v>-76.75776599821296</v>
      </c>
      <c r="AJ602" s="170">
        <f t="shared" si="313"/>
        <v>0</v>
      </c>
      <c r="AK602" s="170">
        <f t="shared" si="325"/>
        <v>0</v>
      </c>
      <c r="AM602" s="170" t="str">
        <f t="shared" si="317"/>
        <v>1.37137284628261+0.928483822715266i</v>
      </c>
      <c r="AN602" s="170" t="str">
        <f t="shared" si="318"/>
        <v>52.216765957843i</v>
      </c>
      <c r="AO602" s="170" t="str">
        <f t="shared" si="319"/>
        <v>0.017781335279647-0.0262630751086688i</v>
      </c>
      <c r="AP602" s="170" t="str">
        <f t="shared" si="320"/>
        <v>-0.0618954743804347-0.154747303785878i</v>
      </c>
      <c r="AQ602" s="170" t="str">
        <f t="shared" si="321"/>
        <v>1.06189547438043+0.154747303785878i</v>
      </c>
      <c r="AR602" s="170" t="str">
        <f t="shared" si="322"/>
        <v>0.768133859294432-0.111938177099594i</v>
      </c>
    </row>
    <row r="603" spans="7:44">
      <c r="G603" s="688">
        <v>398110</v>
      </c>
      <c r="H603" s="676">
        <f t="shared" si="314"/>
        <v>398.11</v>
      </c>
      <c r="I603" s="677">
        <f t="shared" si="294"/>
        <v>360.26025456789995</v>
      </c>
      <c r="J603" s="678">
        <f t="shared" si="295"/>
        <v>1.5680205521390032</v>
      </c>
      <c r="K603" s="678">
        <f t="shared" si="296"/>
        <v>1.1414195672330325</v>
      </c>
      <c r="L603" s="679">
        <f t="shared" si="297"/>
        <v>0.5030794627182118</v>
      </c>
      <c r="M603" s="678">
        <f t="shared" si="298"/>
        <v>5.1585550375813529</v>
      </c>
      <c r="N603" s="679">
        <f t="shared" si="299"/>
        <v>-1.3757084612729686</v>
      </c>
      <c r="O603" s="677">
        <f t="shared" si="300"/>
        <v>16509232.738567831</v>
      </c>
      <c r="P603" s="680">
        <f t="shared" si="301"/>
        <v>1.5707962662227297</v>
      </c>
      <c r="Q603" s="689">
        <f t="shared" si="323"/>
        <v>665.87313801644154</v>
      </c>
      <c r="R603" s="690">
        <f t="shared" si="324"/>
        <v>1.5692945386631909</v>
      </c>
      <c r="S603" s="677">
        <f t="shared" si="302"/>
        <v>1.7388605044906418</v>
      </c>
      <c r="T603" s="680">
        <f t="shared" si="303"/>
        <v>0.95808307576114426</v>
      </c>
      <c r="U603" s="681">
        <f t="shared" si="315"/>
        <v>1.1433122338189992E-2</v>
      </c>
      <c r="V603" s="682">
        <f t="shared" si="316"/>
        <v>-0.47619735460969248</v>
      </c>
      <c r="W603" s="683">
        <f t="shared" si="304"/>
        <v>-57.290527230378203</v>
      </c>
      <c r="X603" s="684">
        <f t="shared" si="305"/>
        <v>-222.10317672863937</v>
      </c>
      <c r="Y603" s="687">
        <f t="shared" si="306"/>
        <v>-42.103176728639369</v>
      </c>
      <c r="AA603" s="170">
        <f t="shared" si="307"/>
        <v>398110</v>
      </c>
      <c r="AB603" s="170">
        <f t="shared" si="308"/>
        <v>158491572100</v>
      </c>
      <c r="AD603" s="686">
        <f t="shared" si="309"/>
        <v>12.41344734358548</v>
      </c>
      <c r="AE603" s="687">
        <f t="shared" si="310"/>
        <v>-54.980159377990311</v>
      </c>
      <c r="AG603" s="686">
        <f t="shared" si="311"/>
        <v>65.699245905035099</v>
      </c>
      <c r="AH603" s="687">
        <f t="shared" si="312"/>
        <v>-112.55482001943572</v>
      </c>
      <c r="AJ603" s="170">
        <f t="shared" si="313"/>
        <v>0</v>
      </c>
      <c r="AK603" s="170">
        <f t="shared" si="325"/>
        <v>0</v>
      </c>
      <c r="AM603" s="170" t="str">
        <f t="shared" si="317"/>
        <v>0.239022430889555+0.648778189607787i</v>
      </c>
      <c r="AN603" s="170" t="str">
        <f t="shared" si="318"/>
        <v>57.2546455202073i</v>
      </c>
      <c r="AO603" s="170" t="str">
        <f t="shared" si="319"/>
        <v>0.0113314506397356-0.00417472553917385i</v>
      </c>
      <c r="AP603" s="170" t="str">
        <f t="shared" si="320"/>
        <v>0.126829594851741-0.108129698267964i</v>
      </c>
      <c r="AQ603" s="170" t="str">
        <f t="shared" si="321"/>
        <v>0.873170405148259+0.108129698267964i</v>
      </c>
      <c r="AR603" s="170" t="str">
        <f t="shared" si="322"/>
        <v>0.939585948062382-0.116354315791949i</v>
      </c>
    </row>
    <row r="604" spans="7:44">
      <c r="G604" s="688">
        <v>436520</v>
      </c>
      <c r="H604" s="676">
        <f t="shared" si="314"/>
        <v>436.52</v>
      </c>
      <c r="I604" s="677">
        <f t="shared" si="294"/>
        <v>395.01822209259757</v>
      </c>
      <c r="J604" s="678">
        <f t="shared" si="295"/>
        <v>1.5682647953055087</v>
      </c>
      <c r="K604" s="678">
        <f t="shared" si="296"/>
        <v>1.1679443007179133</v>
      </c>
      <c r="L604" s="679">
        <f t="shared" si="297"/>
        <v>0.54291716583645155</v>
      </c>
      <c r="M604" s="678">
        <f t="shared" si="298"/>
        <v>5.6383483499639864</v>
      </c>
      <c r="N604" s="679">
        <f t="shared" si="299"/>
        <v>-1.3924962033393233</v>
      </c>
      <c r="O604" s="677">
        <f t="shared" si="300"/>
        <v>18102057.911229629</v>
      </c>
      <c r="P604" s="680">
        <f t="shared" si="301"/>
        <v>1.5707962715525587</v>
      </c>
      <c r="Q604" s="689">
        <f t="shared" si="323"/>
        <v>730.11702057497666</v>
      </c>
      <c r="R604" s="690">
        <f t="shared" si="324"/>
        <v>1.5694266829097745</v>
      </c>
      <c r="S604" s="677">
        <f t="shared" si="302"/>
        <v>1.8528241393330016</v>
      </c>
      <c r="T604" s="680">
        <f t="shared" si="303"/>
        <v>1.0006958592316286</v>
      </c>
      <c r="U604" s="681">
        <f t="shared" si="315"/>
        <v>8.4716368746849192E-4</v>
      </c>
      <c r="V604" s="682">
        <f t="shared" si="316"/>
        <v>-3.1043405016137133</v>
      </c>
      <c r="W604" s="683">
        <f t="shared" si="304"/>
        <v>-80.273870877246338</v>
      </c>
      <c r="X604" s="684">
        <f t="shared" si="305"/>
        <v>-373.81197744187841</v>
      </c>
      <c r="Y604" s="687">
        <f t="shared" si="306"/>
        <v>-193.81197744187841</v>
      </c>
      <c r="AA604" s="170">
        <f t="shared" si="307"/>
        <v>436520</v>
      </c>
      <c r="AB604" s="170">
        <f t="shared" si="308"/>
        <v>190549710400</v>
      </c>
      <c r="AD604" s="686">
        <f t="shared" si="309"/>
        <v>11.862056556116618</v>
      </c>
      <c r="AE604" s="687">
        <f t="shared" si="310"/>
        <v>-57.414121024695632</v>
      </c>
      <c r="AG604" s="686">
        <f t="shared" si="311"/>
        <v>88.475193788094444</v>
      </c>
      <c r="AH604" s="687">
        <f t="shared" si="312"/>
        <v>39.333361817280768</v>
      </c>
      <c r="AJ604" s="170">
        <f t="shared" si="313"/>
        <v>0</v>
      </c>
      <c r="AK604" s="170">
        <f t="shared" si="325"/>
        <v>0</v>
      </c>
      <c r="AM604" s="170" t="str">
        <f t="shared" si="317"/>
        <v>0.00141635104661797-0.0532042859452956i</v>
      </c>
      <c r="AN604" s="170" t="str">
        <f t="shared" si="318"/>
        <v>62.7786236529625i</v>
      </c>
      <c r="AO604" s="170" t="str">
        <f t="shared" si="319"/>
        <v>-0.000847490480826827-0.0000225610401153026i</v>
      </c>
      <c r="AP604" s="170" t="str">
        <f t="shared" si="320"/>
        <v>0.166430608158897+0.0088673809908826i</v>
      </c>
      <c r="AQ604" s="170" t="str">
        <f t="shared" si="321"/>
        <v>0.833569391841103-0.0088673809908826i</v>
      </c>
      <c r="AR604" s="170" t="str">
        <f t="shared" si="322"/>
        <v>0.999203849660479+0.0106293744818608i</v>
      </c>
    </row>
    <row r="605" spans="7:44">
      <c r="G605" s="688">
        <v>478630</v>
      </c>
      <c r="H605" s="676">
        <f t="shared" si="314"/>
        <v>478.63</v>
      </c>
      <c r="I605" s="677">
        <f t="shared" si="294"/>
        <v>433.12441520879202</v>
      </c>
      <c r="J605" s="678">
        <f t="shared" si="295"/>
        <v>1.5684875193176029</v>
      </c>
      <c r="K605" s="678">
        <f t="shared" si="296"/>
        <v>1.1990532126286451</v>
      </c>
      <c r="L605" s="679">
        <f t="shared" si="297"/>
        <v>0.58449408754562537</v>
      </c>
      <c r="M605" s="678">
        <f t="shared" si="298"/>
        <v>6.1658875690532682</v>
      </c>
      <c r="N605" s="679">
        <f t="shared" si="299"/>
        <v>-1.4078941372545997</v>
      </c>
      <c r="O605" s="677">
        <f t="shared" si="300"/>
        <v>19848318.468917426</v>
      </c>
      <c r="P605" s="680">
        <f t="shared" si="301"/>
        <v>1.570796276412795</v>
      </c>
      <c r="Q605" s="689">
        <f t="shared" si="323"/>
        <v>800.54946948426687</v>
      </c>
      <c r="R605" s="690">
        <f t="shared" si="324"/>
        <v>1.5695471844268383</v>
      </c>
      <c r="S605" s="677">
        <f t="shared" si="302"/>
        <v>1.9811615378374985</v>
      </c>
      <c r="T605" s="680">
        <f t="shared" si="303"/>
        <v>1.041698889038235</v>
      </c>
      <c r="U605" s="681">
        <f t="shared" si="315"/>
        <v>4.0198917046279162E-3</v>
      </c>
      <c r="V605" s="682">
        <f t="shared" si="316"/>
        <v>-2.9465858623314016</v>
      </c>
      <c r="W605" s="683">
        <f t="shared" si="304"/>
        <v>-67.125355836434736</v>
      </c>
      <c r="X605" s="684">
        <f t="shared" si="305"/>
        <v>-365.62851464170268</v>
      </c>
      <c r="Y605" s="687">
        <f t="shared" si="306"/>
        <v>-185.62851464170268</v>
      </c>
      <c r="AA605" s="170">
        <f t="shared" si="307"/>
        <v>478630</v>
      </c>
      <c r="AB605" s="170">
        <f t="shared" si="308"/>
        <v>229086676900</v>
      </c>
      <c r="AD605" s="686">
        <f t="shared" si="309"/>
        <v>11.280341430090981</v>
      </c>
      <c r="AE605" s="687">
        <f t="shared" si="310"/>
        <v>-59.756517632658216</v>
      </c>
      <c r="AG605" s="686">
        <f t="shared" si="311"/>
        <v>75.15554310076925</v>
      </c>
      <c r="AH605" s="687">
        <f t="shared" si="312"/>
        <v>31.781871145792369</v>
      </c>
      <c r="AJ605" s="170">
        <f t="shared" si="313"/>
        <v>0</v>
      </c>
      <c r="AK605" s="170">
        <f t="shared" si="325"/>
        <v>0</v>
      </c>
      <c r="AM605" s="170" t="str">
        <f t="shared" si="317"/>
        <v>0.039032174998613-0.276660151290539i</v>
      </c>
      <c r="AN605" s="170" t="str">
        <f t="shared" si="318"/>
        <v>68.834721522536i</v>
      </c>
      <c r="AO605" s="170" t="str">
        <f t="shared" si="319"/>
        <v>-0.00401919474897509-0.000567041954049805i</v>
      </c>
      <c r="AP605" s="170" t="str">
        <f t="shared" si="320"/>
        <v>0.160161304166898+0.0461100252150898i</v>
      </c>
      <c r="AQ605" s="170" t="str">
        <f t="shared" si="321"/>
        <v>0.839838695833102-0.0461100252150898i</v>
      </c>
      <c r="AR605" s="170" t="str">
        <f t="shared" si="322"/>
        <v>0.988876276328304+0.0542926996128356i</v>
      </c>
    </row>
    <row r="606" spans="7:44">
      <c r="G606" s="688">
        <v>524810</v>
      </c>
      <c r="H606" s="676">
        <f t="shared" si="314"/>
        <v>524.80999999999995</v>
      </c>
      <c r="I606" s="677">
        <f t="shared" si="294"/>
        <v>474.91365442208689</v>
      </c>
      <c r="J606" s="678">
        <f t="shared" si="295"/>
        <v>1.5686906793163549</v>
      </c>
      <c r="K606" s="678">
        <f t="shared" si="296"/>
        <v>1.2354233414167757</v>
      </c>
      <c r="L606" s="679">
        <f t="shared" si="297"/>
        <v>0.62759998796289207</v>
      </c>
      <c r="M606" s="678">
        <f t="shared" si="298"/>
        <v>6.7458191921125268</v>
      </c>
      <c r="N606" s="679">
        <f t="shared" si="299"/>
        <v>-1.4220079906823817</v>
      </c>
      <c r="O606" s="677">
        <f t="shared" si="300"/>
        <v>21763357.950133823</v>
      </c>
      <c r="P606" s="680">
        <f t="shared" si="301"/>
        <v>1.5707962808461049</v>
      </c>
      <c r="Q606" s="689">
        <f t="shared" si="323"/>
        <v>877.78934026833122</v>
      </c>
      <c r="R606" s="690">
        <f t="shared" si="324"/>
        <v>1.5696571010485458</v>
      </c>
      <c r="S606" s="677">
        <f t="shared" si="302"/>
        <v>2.1252435422366363</v>
      </c>
      <c r="T606" s="680">
        <f t="shared" si="303"/>
        <v>1.0809001168666685</v>
      </c>
      <c r="U606" s="681">
        <f t="shared" si="315"/>
        <v>1.0310525398483754E-3</v>
      </c>
      <c r="V606" s="682">
        <f t="shared" si="316"/>
        <v>-5.4522721904446125E-2</v>
      </c>
      <c r="W606" s="683">
        <f t="shared" si="304"/>
        <v>-79.313515462502977</v>
      </c>
      <c r="X606" s="684">
        <f t="shared" si="305"/>
        <v>-200.5157881015584</v>
      </c>
      <c r="Y606" s="687">
        <f t="shared" si="306"/>
        <v>-20.5157881015584</v>
      </c>
      <c r="AA606" s="170">
        <f t="shared" si="307"/>
        <v>524810</v>
      </c>
      <c r="AB606" s="170">
        <f t="shared" si="308"/>
        <v>275425536100</v>
      </c>
      <c r="AD606" s="686">
        <f t="shared" si="309"/>
        <v>10.670563946336991</v>
      </c>
      <c r="AE606" s="687">
        <f t="shared" si="310"/>
        <v>-61.996285037005322</v>
      </c>
      <c r="AG606" s="686">
        <f t="shared" si="311"/>
        <v>87.214503238463905</v>
      </c>
      <c r="AH606" s="687">
        <f t="shared" si="312"/>
        <v>-132.27165935203331</v>
      </c>
      <c r="AJ606" s="170">
        <f t="shared" si="313"/>
        <v>0</v>
      </c>
      <c r="AK606" s="170">
        <f t="shared" si="325"/>
        <v>0</v>
      </c>
      <c r="AM606" s="170" t="str">
        <f t="shared" si="317"/>
        <v>0.00303480486742802+0.0778485689930961i</v>
      </c>
      <c r="AN606" s="170" t="str">
        <f t="shared" si="318"/>
        <v>75.4761511026098i</v>
      </c>
      <c r="AO606" s="170" t="str">
        <f t="shared" si="319"/>
        <v>0.00103143268245437-0.0000402087920898643i</v>
      </c>
      <c r="AP606" s="170" t="str">
        <f t="shared" si="320"/>
        <v>0.166160865855429-0.0129747614988494i</v>
      </c>
      <c r="AQ606" s="170" t="str">
        <f t="shared" si="321"/>
        <v>0.833839134144571+0.0129747614988494i</v>
      </c>
      <c r="AR606" s="170" t="str">
        <f t="shared" si="322"/>
        <v>0.998751830069777-0.0155408474621293i</v>
      </c>
    </row>
    <row r="607" spans="7:44">
      <c r="G607" s="688">
        <v>575440</v>
      </c>
      <c r="H607" s="676">
        <f t="shared" si="314"/>
        <v>575.44000000000005</v>
      </c>
      <c r="I607" s="677">
        <f t="shared" si="294"/>
        <v>520.72980961063126</v>
      </c>
      <c r="J607" s="678">
        <f t="shared" si="295"/>
        <v>1.5688759439088216</v>
      </c>
      <c r="K607" s="678">
        <f t="shared" si="296"/>
        <v>1.27777569190532</v>
      </c>
      <c r="L607" s="679">
        <f t="shared" si="297"/>
        <v>0.67194884425064771</v>
      </c>
      <c r="M607" s="678">
        <f t="shared" si="298"/>
        <v>7.3829239974137071</v>
      </c>
      <c r="N607" s="679">
        <f t="shared" si="299"/>
        <v>-1.4349310243288242</v>
      </c>
      <c r="O607" s="677">
        <f t="shared" si="300"/>
        <v>23862934.583611224</v>
      </c>
      <c r="P607" s="680">
        <f t="shared" si="301"/>
        <v>1.5707962848889023</v>
      </c>
      <c r="Q607" s="689">
        <f t="shared" si="323"/>
        <v>962.47221436797486</v>
      </c>
      <c r="R607" s="690">
        <f t="shared" si="324"/>
        <v>1.5697573355752137</v>
      </c>
      <c r="S607" s="677">
        <f t="shared" si="302"/>
        <v>2.2864635101165511</v>
      </c>
      <c r="T607" s="680">
        <f t="shared" si="303"/>
        <v>1.1181391523660571</v>
      </c>
      <c r="U607" s="681">
        <f t="shared" si="315"/>
        <v>1.106380234863571E-2</v>
      </c>
      <c r="V607" s="682">
        <f t="shared" si="316"/>
        <v>-0.6960425093860606</v>
      </c>
      <c r="W607" s="683">
        <f t="shared" si="304"/>
        <v>-59.059460819075575</v>
      </c>
      <c r="X607" s="684">
        <f t="shared" si="305"/>
        <v>-237.61010909848693</v>
      </c>
      <c r="Y607" s="687">
        <f t="shared" si="306"/>
        <v>-57.61010909848693</v>
      </c>
      <c r="AA607" s="170">
        <f t="shared" si="307"/>
        <v>575440</v>
      </c>
      <c r="AB607" s="170">
        <f t="shared" si="308"/>
        <v>331131193600</v>
      </c>
      <c r="AD607" s="686">
        <f t="shared" si="309"/>
        <v>10.035451605702674</v>
      </c>
      <c r="AE607" s="687">
        <f t="shared" si="310"/>
        <v>-64.124181822985278</v>
      </c>
      <c r="AG607" s="686">
        <f t="shared" si="311"/>
        <v>66.878725733245915</v>
      </c>
      <c r="AH607" s="687">
        <f t="shared" si="312"/>
        <v>-93.725330885329356</v>
      </c>
      <c r="AJ607" s="170">
        <f t="shared" si="313"/>
        <v>0</v>
      </c>
      <c r="AK607" s="170">
        <f t="shared" si="325"/>
        <v>0</v>
      </c>
      <c r="AM607" s="170" t="str">
        <f t="shared" si="317"/>
        <v>0.525282711056272+0.880138338886517i</v>
      </c>
      <c r="AN607" s="170" t="str">
        <f t="shared" si="318"/>
        <v>82.7575625283165i</v>
      </c>
      <c r="AO607" s="170" t="str">
        <f t="shared" si="319"/>
        <v>0.0106351409103593-0.00634724724857067i</v>
      </c>
      <c r="AP607" s="170" t="str">
        <f t="shared" si="320"/>
        <v>0.079119548157288-0.146689723147753i</v>
      </c>
      <c r="AQ607" s="170" t="str">
        <f t="shared" si="321"/>
        <v>0.920880451842712+0.146689723147753i</v>
      </c>
      <c r="AR607" s="170" t="str">
        <f t="shared" si="322"/>
        <v>0.882184349860279-0.140525708616505i</v>
      </c>
    </row>
    <row r="608" spans="7:44">
      <c r="G608" s="688">
        <v>630960</v>
      </c>
      <c r="H608" s="676">
        <f t="shared" si="314"/>
        <v>630.96</v>
      </c>
      <c r="I608" s="677">
        <f t="shared" si="294"/>
        <v>570.97104605727679</v>
      </c>
      <c r="J608" s="678">
        <f t="shared" si="295"/>
        <v>1.5690449236052935</v>
      </c>
      <c r="K608" s="678">
        <f t="shared" si="296"/>
        <v>1.3269106345203403</v>
      </c>
      <c r="L608" s="679">
        <f t="shared" si="297"/>
        <v>0.71722860485826179</v>
      </c>
      <c r="M608" s="678">
        <f t="shared" si="298"/>
        <v>8.0827453240953133</v>
      </c>
      <c r="N608" s="679">
        <f t="shared" si="299"/>
        <v>-1.4467581672099477</v>
      </c>
      <c r="O608" s="677">
        <f t="shared" si="300"/>
        <v>26165294.739460818</v>
      </c>
      <c r="P608" s="680">
        <f t="shared" si="301"/>
        <v>1.5707962885763322</v>
      </c>
      <c r="Q608" s="689">
        <f t="shared" si="323"/>
        <v>1055.3340282753343</v>
      </c>
      <c r="R608" s="690">
        <f t="shared" si="324"/>
        <v>1.5698487593680397</v>
      </c>
      <c r="S608" s="677">
        <f t="shared" si="302"/>
        <v>2.4663969625969373</v>
      </c>
      <c r="T608" s="680">
        <f t="shared" si="303"/>
        <v>1.1533255592971106</v>
      </c>
      <c r="U608" s="681">
        <f t="shared" si="315"/>
        <v>1.560268738673406E-2</v>
      </c>
      <c r="V608" s="682">
        <f t="shared" si="316"/>
        <v>-1.4401085188086495</v>
      </c>
      <c r="W608" s="683">
        <f t="shared" si="304"/>
        <v>-56.417217592233428</v>
      </c>
      <c r="X608" s="684">
        <f t="shared" si="305"/>
        <v>-280.34573380759139</v>
      </c>
      <c r="Y608" s="687">
        <f t="shared" si="306"/>
        <v>-100.34573380759139</v>
      </c>
      <c r="AA608" s="170">
        <f t="shared" si="307"/>
        <v>630960</v>
      </c>
      <c r="AB608" s="170">
        <f t="shared" si="308"/>
        <v>398110521600</v>
      </c>
      <c r="AD608" s="686">
        <f t="shared" si="309"/>
        <v>9.3774767758846771</v>
      </c>
      <c r="AE608" s="687">
        <f t="shared" si="310"/>
        <v>-66.134976452460364</v>
      </c>
      <c r="AG608" s="686">
        <f t="shared" si="311"/>
        <v>64.207143850609</v>
      </c>
      <c r="AH608" s="687">
        <f t="shared" si="312"/>
        <v>-49.186476829419419</v>
      </c>
      <c r="AJ608" s="170">
        <f t="shared" si="313"/>
        <v>0</v>
      </c>
      <c r="AK608" s="170">
        <f t="shared" si="325"/>
        <v>0</v>
      </c>
      <c r="AM608" s="170" t="str">
        <f t="shared" si="317"/>
        <v>1.93449731296527+0.355970184229928i</v>
      </c>
      <c r="AN608" s="170" t="str">
        <f t="shared" si="318"/>
        <v>90.742234903494i</v>
      </c>
      <c r="AO608" s="170" t="str">
        <f t="shared" si="319"/>
        <v>0.00392287212904232-0.0213185989415253i</v>
      </c>
      <c r="AP608" s="170" t="str">
        <f t="shared" si="320"/>
        <v>-0.155749552160879-0.0593283640383213i</v>
      </c>
      <c r="AQ608" s="170" t="str">
        <f t="shared" si="321"/>
        <v>1.15574955216088+0.0593283640383213i</v>
      </c>
      <c r="AR608" s="170" t="str">
        <f t="shared" si="322"/>
        <v>0.718850142056331-0.0369009036924813i</v>
      </c>
    </row>
    <row r="609" spans="7:44">
      <c r="G609" s="688">
        <v>691830</v>
      </c>
      <c r="H609" s="676">
        <f t="shared" si="314"/>
        <v>691.83</v>
      </c>
      <c r="I609" s="677">
        <f t="shared" si="294"/>
        <v>626.05362760845401</v>
      </c>
      <c r="J609" s="678">
        <f t="shared" si="295"/>
        <v>1.5691990188629032</v>
      </c>
      <c r="K609" s="678">
        <f t="shared" si="296"/>
        <v>1.3836699282104066</v>
      </c>
      <c r="L609" s="679">
        <f t="shared" si="297"/>
        <v>0.76307274262958014</v>
      </c>
      <c r="M609" s="678">
        <f t="shared" si="298"/>
        <v>8.8510864355864207</v>
      </c>
      <c r="N609" s="679">
        <f t="shared" si="299"/>
        <v>-1.4575740966695303</v>
      </c>
      <c r="O609" s="677">
        <f t="shared" si="300"/>
        <v>28689514.168253422</v>
      </c>
      <c r="P609" s="680">
        <f t="shared" si="301"/>
        <v>1.570796291938956</v>
      </c>
      <c r="Q609" s="689">
        <f t="shared" si="323"/>
        <v>1157.1441702179093</v>
      </c>
      <c r="R609" s="690">
        <f t="shared" si="324"/>
        <v>1.5699321301371161</v>
      </c>
      <c r="S609" s="677">
        <f t="shared" si="302"/>
        <v>2.6666793129579713</v>
      </c>
      <c r="T609" s="680">
        <f t="shared" si="303"/>
        <v>1.1864014706681838</v>
      </c>
      <c r="U609" s="681">
        <f t="shared" si="315"/>
        <v>8.9426031209239032E-3</v>
      </c>
      <c r="V609" s="682">
        <f t="shared" si="316"/>
        <v>-2.4689201597394872</v>
      </c>
      <c r="W609" s="683">
        <f t="shared" si="304"/>
        <v>-61.577462275280993</v>
      </c>
      <c r="X609" s="684">
        <f t="shared" si="305"/>
        <v>-339.18449284639928</v>
      </c>
      <c r="Y609" s="687">
        <f t="shared" si="306"/>
        <v>-159.18449284639928</v>
      </c>
      <c r="AA609" s="170">
        <f t="shared" si="307"/>
        <v>691830</v>
      </c>
      <c r="AB609" s="170">
        <f t="shared" si="308"/>
        <v>478628748900</v>
      </c>
      <c r="AD609" s="686">
        <f t="shared" si="309"/>
        <v>8.6993198205122848</v>
      </c>
      <c r="AE609" s="687">
        <f t="shared" si="310"/>
        <v>-68.025309979192954</v>
      </c>
      <c r="AG609" s="686">
        <f t="shared" si="311"/>
        <v>69.394474132355896</v>
      </c>
      <c r="AH609" s="687">
        <f t="shared" si="312"/>
        <v>11.758227671749257</v>
      </c>
      <c r="AJ609" s="170">
        <f t="shared" si="313"/>
        <v>0</v>
      </c>
      <c r="AK609" s="170">
        <f t="shared" si="325"/>
        <v>0</v>
      </c>
      <c r="AM609" s="170" t="str">
        <f t="shared" si="317"/>
        <v>0.48916563316621-0.859679155069797i</v>
      </c>
      <c r="AN609" s="170" t="str">
        <f t="shared" si="318"/>
        <v>99.4963236548819i</v>
      </c>
      <c r="AO609" s="170" t="str">
        <f t="shared" si="319"/>
        <v>-0.008640310752101-0.00491641917205861i</v>
      </c>
      <c r="AP609" s="170" t="str">
        <f t="shared" si="320"/>
        <v>0.085139061138965+0.143279859178299i</v>
      </c>
      <c r="AQ609" s="170" t="str">
        <f t="shared" si="321"/>
        <v>0.914860938861035-0.143279859178299i</v>
      </c>
      <c r="AR609" s="170" t="str">
        <f t="shared" si="322"/>
        <v>0.888722411937316+0.139186204834043i</v>
      </c>
    </row>
    <row r="610" spans="7:44">
      <c r="G610" s="688">
        <v>758580</v>
      </c>
      <c r="H610" s="676">
        <f t="shared" si="314"/>
        <v>758.58</v>
      </c>
      <c r="I610" s="677">
        <f t="shared" si="294"/>
        <v>686.45716274502149</v>
      </c>
      <c r="J610" s="678">
        <f t="shared" si="295"/>
        <v>1.569339571139976</v>
      </c>
      <c r="K610" s="678">
        <f t="shared" si="296"/>
        <v>1.4489761909202112</v>
      </c>
      <c r="L610" s="679">
        <f t="shared" si="297"/>
        <v>0.80911042901167274</v>
      </c>
      <c r="M610" s="678">
        <f t="shared" si="298"/>
        <v>9.6946412050413251</v>
      </c>
      <c r="N610" s="679">
        <f t="shared" si="299"/>
        <v>-1.4674627597273966</v>
      </c>
      <c r="O610" s="677">
        <f t="shared" si="300"/>
        <v>31457571.452168416</v>
      </c>
      <c r="P610" s="680">
        <f t="shared" si="301"/>
        <v>1.5707962950060472</v>
      </c>
      <c r="Q610" s="689">
        <f t="shared" si="323"/>
        <v>1268.7891093140422</v>
      </c>
      <c r="R610" s="690">
        <f t="shared" si="324"/>
        <v>1.5700081736682738</v>
      </c>
      <c r="S610" s="677">
        <f t="shared" si="302"/>
        <v>2.8891729320147093</v>
      </c>
      <c r="T610" s="680">
        <f t="shared" si="303"/>
        <v>1.2173642139182188</v>
      </c>
      <c r="U610" s="681">
        <f t="shared" si="315"/>
        <v>1.2439448523517979E-2</v>
      </c>
      <c r="V610" s="682">
        <f t="shared" si="316"/>
        <v>-1.2543472691017301</v>
      </c>
      <c r="W610" s="683">
        <f t="shared" si="304"/>
        <v>-59.015534301792059</v>
      </c>
      <c r="X610" s="684">
        <f t="shared" si="305"/>
        <v>-269.30113651698792</v>
      </c>
      <c r="Y610" s="687">
        <f t="shared" si="306"/>
        <v>-89.301136516987924</v>
      </c>
      <c r="AA610" s="170">
        <f t="shared" si="307"/>
        <v>758580</v>
      </c>
      <c r="AB610" s="170">
        <f t="shared" si="308"/>
        <v>575443616400</v>
      </c>
      <c r="AD610" s="686">
        <f t="shared" si="309"/>
        <v>8.003264363697566</v>
      </c>
      <c r="AE610" s="687">
        <f t="shared" si="310"/>
        <v>-69.794987693926046</v>
      </c>
      <c r="AG610" s="686">
        <f t="shared" si="311"/>
        <v>66.918970747568324</v>
      </c>
      <c r="AH610" s="687">
        <f t="shared" si="312"/>
        <v>-55.768539532238378</v>
      </c>
      <c r="AJ610" s="170">
        <f t="shared" si="313"/>
        <v>0</v>
      </c>
      <c r="AK610" s="170">
        <f t="shared" si="325"/>
        <v>0</v>
      </c>
      <c r="AM610" s="170" t="str">
        <f t="shared" si="317"/>
        <v>1.65267120406683+0.75764127354702i</v>
      </c>
      <c r="AN610" s="170" t="str">
        <f t="shared" si="318"/>
        <v>109.096051339376i</v>
      </c>
      <c r="AO610" s="170" t="str">
        <f t="shared" si="319"/>
        <v>0.00694471765243042-0.0151487719654096i</v>
      </c>
      <c r="AP610" s="170" t="str">
        <f t="shared" si="320"/>
        <v>-0.108778534011139-0.12627354559117i</v>
      </c>
      <c r="AQ610" s="170" t="str">
        <f t="shared" si="321"/>
        <v>1.10877853401114+0.12627354559117i</v>
      </c>
      <c r="AR610" s="170" t="str">
        <f t="shared" si="322"/>
        <v>0.741657974115315-0.0844639205529245i</v>
      </c>
    </row>
    <row r="611" spans="7:44">
      <c r="G611" s="688">
        <v>831760</v>
      </c>
      <c r="H611" s="676">
        <f t="shared" si="314"/>
        <v>831.76</v>
      </c>
      <c r="I611" s="677">
        <f t="shared" si="294"/>
        <v>752.67935849762739</v>
      </c>
      <c r="J611" s="678">
        <f t="shared" si="295"/>
        <v>1.5694677394184779</v>
      </c>
      <c r="K611" s="678">
        <f t="shared" si="296"/>
        <v>1.5237807526375562</v>
      </c>
      <c r="L611" s="679">
        <f t="shared" si="297"/>
        <v>0.85494184467791867</v>
      </c>
      <c r="M611" s="678">
        <f t="shared" si="298"/>
        <v>10.620363182626514</v>
      </c>
      <c r="N611" s="679">
        <f t="shared" si="299"/>
        <v>-1.4764978970685805</v>
      </c>
      <c r="O611" s="677">
        <f t="shared" si="300"/>
        <v>34492274.553844817</v>
      </c>
      <c r="P611" s="680">
        <f t="shared" si="301"/>
        <v>1.5707962978028973</v>
      </c>
      <c r="Q611" s="689">
        <f t="shared" si="323"/>
        <v>1391.188766409977</v>
      </c>
      <c r="R611" s="690">
        <f t="shared" si="324"/>
        <v>1.5700775170184957</v>
      </c>
      <c r="S611" s="677">
        <f t="shared" si="302"/>
        <v>3.1358069502603563</v>
      </c>
      <c r="T611" s="680">
        <f t="shared" si="303"/>
        <v>1.2462306362497331</v>
      </c>
      <c r="U611" s="681">
        <f t="shared" si="315"/>
        <v>1.9870774900216637E-3</v>
      </c>
      <c r="V611" s="682">
        <f t="shared" si="316"/>
        <v>-0.16723163587101159</v>
      </c>
      <c r="W611" s="683">
        <f t="shared" si="304"/>
        <v>-75.229330908917234</v>
      </c>
      <c r="X611" s="684">
        <f t="shared" si="305"/>
        <v>-206.56302211827861</v>
      </c>
      <c r="Y611" s="687">
        <f t="shared" si="306"/>
        <v>-26.56302211827861</v>
      </c>
      <c r="AA611" s="170">
        <f t="shared" si="307"/>
        <v>831760</v>
      </c>
      <c r="AB611" s="170">
        <f t="shared" si="308"/>
        <v>691824697600</v>
      </c>
      <c r="AD611" s="686">
        <f t="shared" si="309"/>
        <v>7.2917482908201281</v>
      </c>
      <c r="AE611" s="687">
        <f t="shared" si="310"/>
        <v>-71.444938943992042</v>
      </c>
      <c r="AG611" s="686">
        <f t="shared" si="311"/>
        <v>83.280143159176546</v>
      </c>
      <c r="AH611" s="687">
        <f t="shared" si="312"/>
        <v>-115.95474927943414</v>
      </c>
      <c r="AJ611" s="170">
        <f t="shared" si="313"/>
        <v>0</v>
      </c>
      <c r="AK611" s="170">
        <f t="shared" si="325"/>
        <v>0</v>
      </c>
      <c r="AM611" s="170" t="str">
        <f t="shared" si="317"/>
        <v>0.028661074431012+0.237698741423854i</v>
      </c>
      <c r="AN611" s="170" t="str">
        <f t="shared" si="318"/>
        <v>119.620516836773i</v>
      </c>
      <c r="AO611" s="170" t="str">
        <f t="shared" si="319"/>
        <v>0.00198710679162341-0.000239599988270584i</v>
      </c>
      <c r="AP611" s="170" t="str">
        <f t="shared" si="320"/>
        <v>0.161889820928165-0.0396164569039757i</v>
      </c>
      <c r="AQ611" s="170" t="str">
        <f t="shared" si="321"/>
        <v>0.838110179071835+0.0396164569039757i</v>
      </c>
      <c r="AR611" s="170" t="str">
        <f t="shared" si="322"/>
        <v>0.991686971234733-0.0468758465643067i</v>
      </c>
    </row>
    <row r="612" spans="7:44">
      <c r="G612" s="688">
        <v>912010</v>
      </c>
      <c r="H612" s="676">
        <f t="shared" si="314"/>
        <v>912.01</v>
      </c>
      <c r="I612" s="677">
        <f t="shared" si="294"/>
        <v>825.29936497925667</v>
      </c>
      <c r="J612" s="678">
        <f t="shared" si="295"/>
        <v>1.569584644965091</v>
      </c>
      <c r="K612" s="678">
        <f t="shared" si="296"/>
        <v>1.6091283970456143</v>
      </c>
      <c r="L612" s="679">
        <f t="shared" si="297"/>
        <v>0.90019852230715536</v>
      </c>
      <c r="M612" s="678">
        <f t="shared" si="298"/>
        <v>11.636350555012346</v>
      </c>
      <c r="N612" s="679">
        <f t="shared" si="299"/>
        <v>-1.4847525983574463</v>
      </c>
      <c r="O612" s="677">
        <f t="shared" si="300"/>
        <v>37820163.647989817</v>
      </c>
      <c r="P612" s="680">
        <f t="shared" si="301"/>
        <v>1.5707963003539744</v>
      </c>
      <c r="Q612" s="689">
        <f t="shared" si="323"/>
        <v>1525.4135949155789</v>
      </c>
      <c r="R612" s="690">
        <f t="shared" si="324"/>
        <v>1.5701407668372827</v>
      </c>
      <c r="S612" s="677">
        <f t="shared" si="302"/>
        <v>3.4088152521695738</v>
      </c>
      <c r="T612" s="680">
        <f t="shared" si="303"/>
        <v>1.2730598198159555</v>
      </c>
      <c r="U612" s="681">
        <f t="shared" si="315"/>
        <v>5.4600970687700354E-3</v>
      </c>
      <c r="V612" s="682">
        <f t="shared" si="316"/>
        <v>-2.6162496639827335</v>
      </c>
      <c r="W612" s="683">
        <f t="shared" si="304"/>
        <v>-66.70782023780832</v>
      </c>
      <c r="X612" s="684">
        <f t="shared" si="305"/>
        <v>-346.30163554130326</v>
      </c>
      <c r="Y612" s="687">
        <f t="shared" si="306"/>
        <v>-166.30163554130326</v>
      </c>
      <c r="AA612" s="170">
        <f t="shared" si="307"/>
        <v>912010</v>
      </c>
      <c r="AB612" s="170">
        <f t="shared" si="308"/>
        <v>831762240100</v>
      </c>
      <c r="AD612" s="686">
        <f t="shared" si="309"/>
        <v>6.5666649929362242</v>
      </c>
      <c r="AE612" s="687">
        <f t="shared" si="310"/>
        <v>-72.978514130365198</v>
      </c>
      <c r="AG612" s="686">
        <f t="shared" si="311"/>
        <v>74.967314728937112</v>
      </c>
      <c r="AH612" s="687">
        <f t="shared" si="312"/>
        <v>26.477006729094324</v>
      </c>
      <c r="AJ612" s="170">
        <f t="shared" si="313"/>
        <v>0</v>
      </c>
      <c r="AK612" s="170">
        <f t="shared" si="325"/>
        <v>0</v>
      </c>
      <c r="AM612" s="170" t="str">
        <f t="shared" si="317"/>
        <v>0.292702896555395-0.706916407688258i</v>
      </c>
      <c r="AN612" s="170" t="str">
        <f t="shared" si="318"/>
        <v>131.161762479928i</v>
      </c>
      <c r="AO612" s="170" t="str">
        <f t="shared" si="319"/>
        <v>-0.00538965316051192-0.00223161759205689i</v>
      </c>
      <c r="AP612" s="170" t="str">
        <f t="shared" si="320"/>
        <v>0.117882850574101+0.117819401281376i</v>
      </c>
      <c r="AQ612" s="170" t="str">
        <f t="shared" si="321"/>
        <v>0.882117149425899-0.117819401281376i</v>
      </c>
      <c r="AR612" s="170" t="str">
        <f t="shared" si="322"/>
        <v>0.927768158029542+0.123916748447875i</v>
      </c>
    </row>
    <row r="613" spans="7:44">
      <c r="G613" s="688">
        <v>1000000</v>
      </c>
      <c r="H613" s="676">
        <f t="shared" si="314"/>
        <v>1000</v>
      </c>
      <c r="I613" s="677">
        <f t="shared" si="294"/>
        <v>904.92348006486429</v>
      </c>
      <c r="J613" s="678">
        <f t="shared" si="295"/>
        <v>1.5696912607583111</v>
      </c>
      <c r="K613" s="678">
        <f t="shared" si="296"/>
        <v>1.7060936104693043</v>
      </c>
      <c r="L613" s="679">
        <f t="shared" si="297"/>
        <v>0.94451696467950974</v>
      </c>
      <c r="M613" s="678">
        <f t="shared" si="298"/>
        <v>12.751087525112043</v>
      </c>
      <c r="N613" s="679">
        <f t="shared" si="299"/>
        <v>-1.4922910293159888</v>
      </c>
      <c r="O613" s="677">
        <f t="shared" si="300"/>
        <v>41469022.980000019</v>
      </c>
      <c r="P613" s="680">
        <f t="shared" si="301"/>
        <v>1.5707963026805112</v>
      </c>
      <c r="Q613" s="689">
        <f t="shared" si="323"/>
        <v>1672.5842257986344</v>
      </c>
      <c r="R613" s="690">
        <f t="shared" si="324"/>
        <v>1.5701984495435439</v>
      </c>
      <c r="S613" s="677">
        <f t="shared" si="302"/>
        <v>3.7105387148111615</v>
      </c>
      <c r="T613" s="680">
        <f t="shared" si="303"/>
        <v>1.2979197964872413</v>
      </c>
      <c r="U613" s="681">
        <f t="shared" si="315"/>
        <v>4.5024075046025888E-3</v>
      </c>
      <c r="V613" s="682">
        <f t="shared" si="316"/>
        <v>-2.6709663359245588</v>
      </c>
      <c r="W613" s="683">
        <f t="shared" si="304"/>
        <v>-68.616757051431961</v>
      </c>
      <c r="X613" s="684">
        <f t="shared" si="305"/>
        <v>-348.75650602564286</v>
      </c>
      <c r="Y613" s="687">
        <f t="shared" si="306"/>
        <v>-168.75650602564286</v>
      </c>
      <c r="AA613" s="170">
        <f t="shared" si="307"/>
        <v>1000000</v>
      </c>
      <c r="AB613" s="170">
        <f t="shared" si="308"/>
        <v>1000000000000</v>
      </c>
      <c r="AD613" s="686">
        <f t="shared" si="309"/>
        <v>5.8299946210981712</v>
      </c>
      <c r="AE613" s="687">
        <f t="shared" si="310"/>
        <v>-74.399581031728431</v>
      </c>
      <c r="AG613" s="686">
        <f t="shared" si="311"/>
        <v>77.145270845467138</v>
      </c>
      <c r="AH613" s="687">
        <f t="shared" si="312"/>
        <v>31.713271895819574</v>
      </c>
      <c r="AJ613" s="170">
        <f t="shared" si="313"/>
        <v>0</v>
      </c>
      <c r="AK613" s="170">
        <f t="shared" si="325"/>
        <v>0</v>
      </c>
      <c r="AM613" s="170" t="str">
        <f t="shared" si="317"/>
        <v>0.233303700828521-0.642009956960761i</v>
      </c>
      <c r="AN613" s="170" t="str">
        <f t="shared" si="318"/>
        <v>143.81614508605i</v>
      </c>
      <c r="AO613" s="170" t="str">
        <f t="shared" si="319"/>
        <v>-0.00446410211159967-0.00162223581148645i</v>
      </c>
      <c r="AP613" s="170" t="str">
        <f t="shared" si="320"/>
        <v>0.12778271652858+0.10700165949346i</v>
      </c>
      <c r="AQ613" s="170" t="str">
        <f t="shared" si="321"/>
        <v>0.87221728347142-0.10700165949346i</v>
      </c>
      <c r="AR613" s="170" t="str">
        <f t="shared" si="322"/>
        <v>0.940877210910889+0.11542470535135i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10532</v>
      </c>
      <c r="H617" s="698"/>
      <c r="I617" s="699">
        <f t="shared" ref="I617:I626" si="326">SQRT(1+(G617/pole1)^2)</f>
        <v>9.5829669987512158</v>
      </c>
      <c r="J617" s="689">
        <f t="shared" ref="J617:J626" si="327">ATAN(G617/pole1)</f>
        <v>1.4662541912514619</v>
      </c>
      <c r="K617" s="689">
        <f t="shared" ref="K617:K626" si="328">SQRT(1+(G617/Zero1)^2)</f>
        <v>1.0001059677693882</v>
      </c>
      <c r="L617" s="690">
        <f t="shared" ref="L617:L626" si="329">ATAN(G617/Zero1)</f>
        <v>1.4557363263602159E-2</v>
      </c>
      <c r="M617" s="678">
        <v>1</v>
      </c>
      <c r="N617" s="679">
        <v>0</v>
      </c>
      <c r="O617" s="699">
        <f t="shared" ref="O617:O626" si="330">SQRT(1+(G617/Pole2)^2)</f>
        <v>436751.75002650486</v>
      </c>
      <c r="P617" s="700">
        <f t="shared" ref="P617:P626" si="331">ATAN(G617/Pole2)</f>
        <v>1.5707940371646891</v>
      </c>
      <c r="Q617" s="689">
        <f t="shared" ref="Q617:Q626" si="332">SQRT(1+(G617/Zero2)^2)</f>
        <v>17.644014932769981</v>
      </c>
      <c r="R617" s="690">
        <f t="shared" ref="R617:R626" si="333">ATAN(G617/Zero2)</f>
        <v>1.5140894973669119</v>
      </c>
      <c r="S617" s="699">
        <f t="shared" ref="S617:S626" si="334">SQRT(1+(G617/pole4)^2)</f>
        <v>1.0007078874433983</v>
      </c>
      <c r="T617" s="700">
        <f t="shared" ref="T617:T626" si="335">ATAN(G617/pole4)</f>
        <v>3.7615691095567345E-2</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17.226558901635929</v>
      </c>
      <c r="AE617" s="687">
        <f>(R617-(P617+T617))*radconv</f>
        <v>-5.4041511590632316</v>
      </c>
      <c r="AG617" s="686" t="e">
        <f>20*LOG10((K617*M617/(I617*U617))*Acs*Am)</f>
        <v>#DIV/0!</v>
      </c>
      <c r="AH617" s="687" t="e">
        <f>(L617+N617-(J617+V617))*radconv</f>
        <v>#DIV/0!</v>
      </c>
    </row>
    <row r="618" spans="7:44">
      <c r="G618" s="698">
        <f>G617</f>
        <v>10532</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10532</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1105.0664864106564</v>
      </c>
      <c r="H622" s="703"/>
      <c r="I622" s="699">
        <f t="shared" si="326"/>
        <v>1.4142135623730951</v>
      </c>
      <c r="J622" s="689">
        <f t="shared" si="327"/>
        <v>0.78539816339744828</v>
      </c>
      <c r="K622" s="689">
        <f t="shared" si="328"/>
        <v>1.0000011666797628</v>
      </c>
      <c r="L622" s="690">
        <f t="shared" si="329"/>
        <v>1.5275330625518174E-3</v>
      </c>
      <c r="M622" s="678">
        <v>1</v>
      </c>
      <c r="N622" s="679">
        <v>0</v>
      </c>
      <c r="O622" s="699">
        <f t="shared" si="330"/>
        <v>45826.027530302199</v>
      </c>
      <c r="P622" s="700">
        <f t="shared" si="331"/>
        <v>1.5707745051347184</v>
      </c>
      <c r="Q622" s="689">
        <f t="shared" si="332"/>
        <v>2.1014932011565155</v>
      </c>
      <c r="R622" s="690">
        <f t="shared" si="333"/>
        <v>1.0748637051734302</v>
      </c>
      <c r="S622" s="677">
        <f t="shared" si="334"/>
        <v>1.0000077959908376</v>
      </c>
      <c r="T622" s="680">
        <f t="shared" si="335"/>
        <v>3.94865551547141E-3</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18.333697939606651</v>
      </c>
      <c r="AE622" s="687">
        <f>(R622-(P622+T622))*radconv</f>
        <v>-28.639837181251583</v>
      </c>
      <c r="AG622" s="686" t="e">
        <f t="shared" ref="AG622:AG628" si="339">20*LOG10((K622*M622/(I622*U622))*Acs*Am)</f>
        <v>#DIV/0!</v>
      </c>
      <c r="AH622" s="687" t="e">
        <f t="shared" ref="AH622:AH628" si="340">(L622+N622-(J622+V622))*radconv</f>
        <v>#NAME?</v>
      </c>
    </row>
    <row r="623" spans="7:44">
      <c r="G623" s="702">
        <f>Zero1</f>
        <v>723431.56033525639</v>
      </c>
      <c r="H623" s="703"/>
      <c r="I623" s="699">
        <f t="shared" si="326"/>
        <v>654.65056921415066</v>
      </c>
      <c r="J623" s="689">
        <f t="shared" si="327"/>
        <v>1.5692687937323448</v>
      </c>
      <c r="K623" s="689">
        <f t="shared" si="328"/>
        <v>1.4142135623730951</v>
      </c>
      <c r="L623" s="690">
        <f t="shared" si="329"/>
        <v>0.78539816339744828</v>
      </c>
      <c r="M623" s="678">
        <v>1</v>
      </c>
      <c r="N623" s="679">
        <v>0</v>
      </c>
      <c r="O623" s="699">
        <f t="shared" si="330"/>
        <v>30000000.000000026</v>
      </c>
      <c r="P623" s="700">
        <f t="shared" si="331"/>
        <v>1.5707962934615634</v>
      </c>
      <c r="Q623" s="689">
        <f t="shared" si="332"/>
        <v>1210.0004132230699</v>
      </c>
      <c r="R623" s="690">
        <f t="shared" si="333"/>
        <v>1.5699698807020628</v>
      </c>
      <c r="S623" s="677">
        <f t="shared" si="334"/>
        <v>2.7716827018978925</v>
      </c>
      <c r="T623" s="680">
        <f t="shared" si="335"/>
        <v>1.2016797418915088</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8.3638651522757268</v>
      </c>
      <c r="AE623" s="687">
        <f>(R623-(P623+T623))*radconv</f>
        <v>-68.898527578736747</v>
      </c>
      <c r="AG623" s="686" t="e">
        <f t="shared" si="339"/>
        <v>#DIV/0!</v>
      </c>
      <c r="AH623" s="687" t="e">
        <f t="shared" si="340"/>
        <v>#NAME?</v>
      </c>
    </row>
    <row r="624" spans="7:44">
      <c r="G624" s="702">
        <f>Pole2</f>
        <v>2.4114385344508542E-2</v>
      </c>
      <c r="H624" s="703"/>
      <c r="I624" s="699">
        <f t="shared" si="326"/>
        <v>1.0000000002380924</v>
      </c>
      <c r="J624" s="689">
        <f t="shared" si="327"/>
        <v>2.1821660178118644E-5</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1.0000000008133889</v>
      </c>
      <c r="R624" s="690">
        <f t="shared" si="333"/>
        <v>4.03333333114622E-5</v>
      </c>
      <c r="S624" s="677">
        <f t="shared" si="334"/>
        <v>1.0000000000000036</v>
      </c>
      <c r="T624" s="680">
        <f t="shared" si="335"/>
        <v>8.6166666666666439E-8</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102.09515015249127</v>
      </c>
      <c r="AE624" s="687">
        <f>(R624-(P624+T624))*radconv</f>
        <v>-44.997694058631254</v>
      </c>
      <c r="AG624" s="686" t="e">
        <f t="shared" si="339"/>
        <v>#DIV/0!</v>
      </c>
      <c r="AH624" s="687" t="e">
        <f t="shared" si="340"/>
        <v>#NAME?</v>
      </c>
    </row>
    <row r="625" spans="7:34">
      <c r="G625" s="702">
        <f>Zero2</f>
        <v>597.87732259112101</v>
      </c>
      <c r="H625" s="703"/>
      <c r="I625" s="699">
        <f t="shared" si="326"/>
        <v>1.1369769547820625</v>
      </c>
      <c r="J625" s="689">
        <f t="shared" si="327"/>
        <v>0.49593262162146651</v>
      </c>
      <c r="K625" s="689">
        <f t="shared" si="328"/>
        <v>1.0000003415066694</v>
      </c>
      <c r="L625" s="690">
        <f t="shared" si="329"/>
        <v>8.264460928338361E-4</v>
      </c>
      <c r="M625" s="678">
        <v>1</v>
      </c>
      <c r="N625" s="679">
        <v>0</v>
      </c>
      <c r="O625" s="699">
        <f t="shared" si="330"/>
        <v>24793.388449918737</v>
      </c>
      <c r="P625" s="700">
        <f t="shared" si="331"/>
        <v>1.5707559934615851</v>
      </c>
      <c r="Q625" s="689">
        <f t="shared" si="332"/>
        <v>1.4142135623730951</v>
      </c>
      <c r="R625" s="690">
        <f t="shared" si="333"/>
        <v>0.78539816339744828</v>
      </c>
      <c r="S625" s="677">
        <f t="shared" si="334"/>
        <v>1.0000022820221894</v>
      </c>
      <c r="T625" s="680">
        <f t="shared" si="335"/>
        <v>2.1363603862160131E-3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597.87732259112101</v>
      </c>
      <c r="AD625" s="686">
        <f>20*LOG10((Q625/(O625*S625))*Aea)</f>
        <v>20.229012542206405</v>
      </c>
      <c r="AE625" s="687">
        <f>(R625-(P625+T625))*radconv</f>
        <v>-45.120093555433904</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176.4942402057018</v>
      </c>
      <c r="J627" s="689">
        <f>ATAN(G627/pole1)</f>
        <v>1.5651303892020927</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326.21350282208084</v>
      </c>
      <c r="R627" s="690">
        <f>ATAN(G627/Zero2)</f>
        <v>1.5677308449630682</v>
      </c>
      <c r="S627" s="677">
        <f>SQRT(1+(G627/pole4)^2)</f>
        <v>1.2188846996776499</v>
      </c>
      <c r="T627" s="680">
        <f>ATAN(G627/pole4)</f>
        <v>0.60864737062028507</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78666.974249728533</v>
      </c>
      <c r="I628" s="699">
        <f>SQRT(1+(G628/pole1)^2)</f>
        <v>71.194571991876231</v>
      </c>
      <c r="J628" s="689">
        <f>ATAN(G628/pole1)</f>
        <v>1.556749850263115</v>
      </c>
      <c r="K628" s="689">
        <f>SQRT(1+(G628/Zero1)^2)</f>
        <v>1.0058949727257183</v>
      </c>
      <c r="L628" s="690">
        <f>ATAN(G628/Zero1)</f>
        <v>0.10831582282172232</v>
      </c>
      <c r="M628" s="678">
        <v>1</v>
      </c>
      <c r="N628" s="679">
        <v>0</v>
      </c>
      <c r="O628" s="699">
        <f>SQRT(1+(G628/Pole2)^2)</f>
        <v>3262242.5629292144</v>
      </c>
      <c r="P628" s="700">
        <f>ATAN(G628/Pole2)</f>
        <v>1.5707960202572984</v>
      </c>
      <c r="Q628" s="689">
        <f>SQRT(1+(G628/Zero2)^2)</f>
        <v>131.58091670280302</v>
      </c>
      <c r="R628" s="690">
        <f>ATAN(G628/Zero2)</f>
        <v>1.5631963673806648</v>
      </c>
      <c r="S628" s="677">
        <f>SQRT(1+(G628/pole4)^2)</f>
        <v>1.0387566029939344</v>
      </c>
      <c r="T628" s="680">
        <f>ATAN(G628/pole4)</f>
        <v>0.27402526002798233</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1105.0664864106564</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597.87732259112101</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10532</v>
      </c>
    </row>
    <row r="640" spans="7:34">
      <c r="G640" s="172">
        <f>W4*1000</f>
        <v>10532</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19</v>
      </c>
      <c r="C7" s="31" t="s">
        <v>0</v>
      </c>
      <c r="D7" s="79" t="s">
        <v>146</v>
      </c>
      <c r="E7" s="31"/>
      <c r="F7" s="31"/>
      <c r="G7" s="31"/>
      <c r="H7" s="31"/>
      <c r="I7" s="32">
        <v>1</v>
      </c>
    </row>
    <row r="8" spans="1:26" ht="12.5">
      <c r="A8" s="110" t="s">
        <v>143</v>
      </c>
      <c r="B8" s="10">
        <f>'Design Converter'!E7</f>
        <v>72</v>
      </c>
      <c r="C8" s="7" t="s">
        <v>0</v>
      </c>
      <c r="D8" s="7" t="s">
        <v>10</v>
      </c>
      <c r="F8" s="7"/>
      <c r="G8" s="7"/>
      <c r="H8" s="7"/>
      <c r="I8" s="25"/>
    </row>
    <row r="9" spans="1:26" ht="12.5">
      <c r="A9" s="110" t="s">
        <v>144</v>
      </c>
      <c r="B9" s="10">
        <f>'Design Converter'!E8</f>
        <v>85</v>
      </c>
      <c r="C9" s="7" t="s">
        <v>0</v>
      </c>
      <c r="D9" s="77" t="s">
        <v>147</v>
      </c>
      <c r="F9" s="7"/>
      <c r="G9" s="7"/>
      <c r="H9" s="7"/>
      <c r="I9" s="25"/>
    </row>
    <row r="10" spans="1:26" thickBot="1">
      <c r="A10" s="110"/>
      <c r="B10" s="205"/>
      <c r="C10" s="60"/>
      <c r="D10" s="77"/>
      <c r="F10" s="7"/>
      <c r="G10" s="7"/>
      <c r="H10" s="7"/>
      <c r="I10" s="25"/>
    </row>
    <row r="11" spans="1:26">
      <c r="A11" s="24" t="s">
        <v>4</v>
      </c>
      <c r="B11" s="10">
        <f>'Design Converter'!E10</f>
        <v>15</v>
      </c>
      <c r="C11" s="7" t="s">
        <v>0</v>
      </c>
      <c r="D11" s="77" t="s">
        <v>563</v>
      </c>
      <c r="F11" s="7"/>
      <c r="G11" s="7">
        <f>(Vout+Vfwd2)*Nps</f>
        <v>15.7</v>
      </c>
      <c r="H11" s="7"/>
      <c r="I11" s="25">
        <v>1</v>
      </c>
      <c r="K11" t="str">
        <f>'Variable Mgmt'!B73&amp;" Output PSR Flyback Converter, "&amp;"VIN = "&amp;Vin&amp;" V, VOUT = "&amp;Vout&amp;" V, IOUT = "&amp;Iout&amp;" A"</f>
        <v>SINGLE Output PSR Flyback Converter, VIN = 72 V, VOUT = 15 V, IOUT = 10 A</v>
      </c>
      <c r="W11" s="751" t="s">
        <v>788</v>
      </c>
      <c r="X11" s="152"/>
      <c r="Y11" s="152"/>
      <c r="Z11" s="738"/>
    </row>
    <row r="12" spans="1:26" ht="12.5">
      <c r="A12" s="24" t="s">
        <v>5</v>
      </c>
      <c r="B12" s="572">
        <f>'Design Converter'!E11</f>
        <v>10</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72 V, VOUT1 = 15 V, IOUT1 = 10 A, VOUT2 = 8 V, IOUT2 = 0.25 A</v>
      </c>
      <c r="L12" s="76"/>
      <c r="W12" s="24"/>
      <c r="X12" s="7" t="s">
        <v>787</v>
      </c>
      <c r="Y12" s="7">
        <f>'Calculations - Single'!AQ105*1000</f>
        <v>43689.012080254048</v>
      </c>
      <c r="Z12" s="25" t="s">
        <v>8</v>
      </c>
    </row>
    <row r="13" spans="1:26" ht="12.5">
      <c r="A13" s="110" t="s">
        <v>168</v>
      </c>
      <c r="B13" s="153">
        <f>Vout/Iout</f>
        <v>1.5</v>
      </c>
      <c r="C13" s="113" t="s">
        <v>45</v>
      </c>
      <c r="D13" s="111" t="s">
        <v>169</v>
      </c>
      <c r="F13" s="7"/>
      <c r="G13" s="7"/>
      <c r="H13" s="7"/>
      <c r="I13" s="25"/>
      <c r="W13" s="24"/>
      <c r="X13" s="7" t="s">
        <v>789</v>
      </c>
      <c r="Y13" s="7">
        <f>Lmag</f>
        <v>1.2E-5</v>
      </c>
      <c r="Z13" s="25" t="s">
        <v>11</v>
      </c>
    </row>
    <row r="14" spans="1:26" ht="12.5">
      <c r="A14" s="110" t="s">
        <v>152</v>
      </c>
      <c r="B14" s="571">
        <f>Vout*Iout</f>
        <v>150</v>
      </c>
      <c r="C14" s="60" t="s">
        <v>45</v>
      </c>
      <c r="D14" s="111" t="s">
        <v>158</v>
      </c>
      <c r="F14" s="7"/>
      <c r="G14" s="7"/>
      <c r="H14" s="7"/>
      <c r="I14" s="25"/>
      <c r="L14" s="76"/>
      <c r="W14" s="24"/>
      <c r="X14" s="7" t="s">
        <v>791</v>
      </c>
      <c r="Y14" s="7">
        <f>G11/(G11+VIN_nom/Npri_sec)</f>
        <v>0.17901938426453817</v>
      </c>
      <c r="Z14" s="25"/>
    </row>
    <row r="15" spans="1:26" ht="12.5">
      <c r="B15" s="372"/>
      <c r="C15" s="60"/>
      <c r="D15" s="111"/>
      <c r="F15" s="7"/>
      <c r="G15" s="7"/>
      <c r="H15" s="7"/>
      <c r="I15" s="25"/>
      <c r="L15" s="76"/>
      <c r="W15" s="24"/>
      <c r="X15" s="7" t="s">
        <v>790</v>
      </c>
      <c r="Y15" s="7">
        <f>VIN_nom/Lmag*Y14/Y12</f>
        <v>24.585502268033505</v>
      </c>
      <c r="Z15" s="25" t="s">
        <v>1</v>
      </c>
    </row>
    <row r="16" spans="1:26" ht="12.5">
      <c r="A16" s="110" t="s">
        <v>608</v>
      </c>
      <c r="B16" s="573">
        <f>ABS('Design Converter'!E12)</f>
        <v>8</v>
      </c>
      <c r="C16" s="7" t="s">
        <v>0</v>
      </c>
      <c r="D16" s="77" t="s">
        <v>565</v>
      </c>
      <c r="F16" s="7"/>
      <c r="G16" s="7"/>
      <c r="H16" s="7"/>
      <c r="I16" s="25"/>
      <c r="L16" s="76"/>
      <c r="W16" s="24"/>
      <c r="X16" s="7" t="s">
        <v>792</v>
      </c>
      <c r="Y16" s="7">
        <f>0.5*Y15^2*Y13*Y12</f>
        <v>158.44613320287954</v>
      </c>
      <c r="Z16" s="25"/>
    </row>
    <row r="17" spans="1:26">
      <c r="A17" s="110" t="s">
        <v>609</v>
      </c>
      <c r="B17" s="611">
        <f>'Design Converter'!E12</f>
        <v>8</v>
      </c>
      <c r="C17" s="60" t="s">
        <v>0</v>
      </c>
      <c r="D17" s="77"/>
      <c r="F17" s="7"/>
      <c r="G17" s="7"/>
      <c r="H17" s="7"/>
      <c r="I17" s="25"/>
      <c r="L17" s="76"/>
      <c r="P17" s="3" t="s">
        <v>769</v>
      </c>
      <c r="W17" s="24"/>
      <c r="X17" s="7" t="s">
        <v>769</v>
      </c>
      <c r="Y17" s="39" t="str">
        <f>IF((Y16/(G11*Iout))&lt;1.01, "BCM", "DCM")</f>
        <v>BCM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150</v>
      </c>
      <c r="Z19" s="750"/>
    </row>
    <row r="20" spans="1:26">
      <c r="A20" s="110" t="s">
        <v>499</v>
      </c>
      <c r="B20" s="571">
        <f>ABS(Vout2/Iout2)</f>
        <v>32</v>
      </c>
      <c r="C20" s="113" t="s">
        <v>45</v>
      </c>
      <c r="D20" s="111" t="s">
        <v>501</v>
      </c>
      <c r="F20" s="7"/>
      <c r="G20" s="7"/>
      <c r="H20" s="7"/>
      <c r="I20" s="25"/>
      <c r="K20" s="76" t="s">
        <v>530</v>
      </c>
      <c r="L20" s="76" t="s">
        <v>531</v>
      </c>
      <c r="Q20" s="3">
        <v>2</v>
      </c>
    </row>
    <row r="21" spans="1:26" ht="12.5">
      <c r="A21" s="110" t="s">
        <v>500</v>
      </c>
      <c r="B21" s="571">
        <f>ABS(Vout2*Iout2)</f>
        <v>2</v>
      </c>
      <c r="C21" s="60" t="s">
        <v>45</v>
      </c>
      <c r="D21" s="111" t="s">
        <v>502</v>
      </c>
      <c r="F21" s="7"/>
      <c r="G21" s="7"/>
      <c r="H21" s="7"/>
      <c r="I21" s="25"/>
      <c r="K21">
        <v>5</v>
      </c>
      <c r="L21" s="76">
        <v>-5</v>
      </c>
    </row>
    <row r="22" spans="1:26" ht="12.5">
      <c r="A22" s="110" t="s">
        <v>503</v>
      </c>
      <c r="B22" s="571">
        <f>CHOOSE(MODE, Pout, Pout + Pout2)</f>
        <v>150</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1.8470588235294119</v>
      </c>
      <c r="D25" s="111" t="s">
        <v>577</v>
      </c>
      <c r="F25" s="7"/>
      <c r="G25" s="7"/>
      <c r="H25" s="7"/>
      <c r="I25" s="25"/>
      <c r="L25" s="76"/>
    </row>
    <row r="26" spans="1:26" ht="13.5" thickBot="1">
      <c r="A26" s="34" t="s">
        <v>589</v>
      </c>
      <c r="B26" s="610">
        <f>Nsec1sec2</f>
        <v>0.54140127388535031</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100</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150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150</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7.8947368421052628</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2.0833333333333335</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1.7647058823529411</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212.84735764973183</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v>
      </c>
      <c r="S61" s="39">
        <v>14</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1</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1</v>
      </c>
      <c r="S64" s="7"/>
      <c r="T64" s="7"/>
      <c r="U64" s="7"/>
      <c r="V64" s="77" t="s">
        <v>573</v>
      </c>
      <c r="W64" s="743">
        <f>Nsec1sec2</f>
        <v>0.54140127388535031</v>
      </c>
    </row>
    <row r="65" spans="1:23" ht="15.5">
      <c r="A65" s="110" t="s">
        <v>387</v>
      </c>
      <c r="B65" s="518">
        <v>0.1</v>
      </c>
      <c r="C65" s="77" t="s">
        <v>45</v>
      </c>
      <c r="D65" s="111" t="s">
        <v>568</v>
      </c>
      <c r="F65" s="596" t="s">
        <v>569</v>
      </c>
      <c r="G65" s="7"/>
      <c r="H65" s="7"/>
      <c r="I65" s="25"/>
      <c r="P65" s="24"/>
      <c r="Q65" s="77" t="s">
        <v>573</v>
      </c>
      <c r="R65" s="744">
        <f>ABS((Vout2+Vfwd22)/(Vout+Vfwd2))</f>
        <v>0.54140127388535031</v>
      </c>
      <c r="S65" s="7"/>
      <c r="T65" s="7"/>
      <c r="U65" s="7"/>
      <c r="V65" s="39"/>
      <c r="W65" s="745">
        <f>W63*W64</f>
        <v>0.54140127388535031</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1.8470588235294119</v>
      </c>
      <c r="S66" s="7"/>
      <c r="T66" s="7"/>
      <c r="U66" s="7"/>
      <c r="V66" s="377" t="s">
        <v>575</v>
      </c>
      <c r="W66" s="747" t="str">
        <f>CHOOSE(MODE, R61, R61&amp;" : "&amp;ROUND(W65,2))</f>
        <v>1 : 1</v>
      </c>
    </row>
    <row r="67" spans="1:23" ht="13.5" thickBot="1">
      <c r="A67" s="7"/>
      <c r="B67" s="7"/>
      <c r="C67" s="39"/>
      <c r="D67" s="7"/>
      <c r="E67" s="7"/>
      <c r="F67" s="7"/>
      <c r="G67" s="7"/>
      <c r="H67" s="7"/>
      <c r="I67" s="7"/>
      <c r="P67" s="748"/>
      <c r="Q67" s="180"/>
      <c r="R67" s="749">
        <f>ROUND(Nsec1sec2,1)</f>
        <v>0.5</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25V</v>
      </c>
      <c r="S76" s="458">
        <f>IF(Vout&lt;=5, 1, IF(Vout&lt;=8, 2, IF(Vout&lt;=12, 3, IF(Vout&lt;=20, 4, 5))))</f>
        <v>4</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0.46841706518445247</v>
      </c>
      <c r="C83" s="7"/>
      <c r="D83" t="b">
        <f>B83&gt;0.75</f>
        <v>0</v>
      </c>
      <c r="E83" s="77"/>
      <c r="F83" s="7"/>
      <c r="G83" s="7">
        <f>Vfwd2</f>
        <v>0.7</v>
      </c>
      <c r="H83" s="7">
        <f>'Calculations - Single'!DT210</f>
        <v>10000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0.17620137299771166</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0.15728854398932673</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2.3522000000000003</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108.55</v>
      </c>
      <c r="C92" s="77"/>
      <c r="D92" s="77"/>
      <c r="E92" s="77"/>
      <c r="F92" s="7"/>
      <c r="G92" s="7"/>
      <c r="H92" s="7"/>
      <c r="I92" s="25"/>
      <c r="R92" s="76" t="s">
        <v>612</v>
      </c>
      <c r="S92" s="368">
        <v>4</v>
      </c>
      <c r="T92" s="474" t="s">
        <v>617</v>
      </c>
      <c r="U92" s="460">
        <v>100</v>
      </c>
      <c r="W92" s="439" t="s">
        <v>635</v>
      </c>
    </row>
    <row r="93" spans="1:26">
      <c r="A93" s="111"/>
      <c r="B93" s="630"/>
      <c r="C93" s="7"/>
      <c r="D93" s="77">
        <f>Isw_min</f>
        <v>10</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2</v>
      </c>
      <c r="C97" s="7" t="s">
        <v>662</v>
      </c>
      <c r="D97" s="77"/>
      <c r="F97" s="7"/>
      <c r="G97" s="7"/>
      <c r="H97" s="7"/>
      <c r="I97" s="25"/>
    </row>
    <row r="98" spans="1:17" ht="12.5">
      <c r="A98" s="110" t="s">
        <v>826</v>
      </c>
      <c r="B98" s="41">
        <f>Lmag/(Nps)^2</f>
        <v>1.2E-5</v>
      </c>
      <c r="C98" s="7" t="s">
        <v>11</v>
      </c>
      <c r="D98" s="77"/>
      <c r="F98" s="7"/>
      <c r="G98" s="7"/>
      <c r="H98" s="7"/>
      <c r="I98" s="25"/>
    </row>
    <row r="99" spans="1:17" ht="12.5">
      <c r="A99" s="110" t="s">
        <v>827</v>
      </c>
      <c r="B99" s="41">
        <f>Lmag/(Nps/Nsec1sec2)^2</f>
        <v>3.5173840723761612E-6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0.4</v>
      </c>
      <c r="Q104">
        <f>ktr_rcmd</f>
        <v>2.3522000000000003</v>
      </c>
    </row>
    <row r="105" spans="1:17" ht="15.75" customHeight="1">
      <c r="A105" s="77" t="s">
        <v>539</v>
      </c>
      <c r="B105" s="191">
        <v>100</v>
      </c>
      <c r="C105" s="111" t="s">
        <v>102</v>
      </c>
      <c r="D105" s="77"/>
      <c r="E105" s="7"/>
      <c r="F105" s="7"/>
      <c r="H105" s="7"/>
      <c r="I105" s="25"/>
      <c r="K105" s="110" t="s">
        <v>645</v>
      </c>
      <c r="L105" s="848">
        <f>Vfwd2</f>
        <v>0.7</v>
      </c>
      <c r="M105" s="76"/>
      <c r="Q105" t="str">
        <f>Nps</f>
        <v>1</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7.9443832353588961</v>
      </c>
      <c r="C110" s="3" t="s">
        <v>833</v>
      </c>
      <c r="I110" s="25"/>
      <c r="K110" t="s">
        <v>884</v>
      </c>
      <c r="L110">
        <f>MAX('Calculations - Single'!BM316,'Calculations - Single'!BM210,'Calculations - Single'!BM105)</f>
        <v>3.3082563351827972</v>
      </c>
    </row>
    <row r="111" spans="1:17">
      <c r="A111" s="913" t="s">
        <v>846</v>
      </c>
      <c r="B111" s="623">
        <f>(Vout+Vfwd1)*Nps*toff_max/(0.02/RCS/1000)</f>
        <v>0.61599999999999988</v>
      </c>
      <c r="C111" s="3" t="s">
        <v>833</v>
      </c>
      <c r="I111" s="25"/>
      <c r="K111" t="s">
        <v>885</v>
      </c>
      <c r="L111">
        <f>MAX('Calculations - Dual'!BK316,'Calculations - Dual'!BK210,'Calculations - Dual'!BK105)</f>
        <v>110.64068906387303</v>
      </c>
    </row>
    <row r="112" spans="1:17">
      <c r="A112" t="s">
        <v>837</v>
      </c>
      <c r="B112" s="623">
        <f>MIN(350000,('Calculations - Single'!CQ210*VIN_min)^2/(2*Pin*Lmag))</f>
        <v>20096.908614265973</v>
      </c>
      <c r="C112" s="3" t="s">
        <v>8</v>
      </c>
      <c r="D112" s="76" t="s">
        <v>845</v>
      </c>
      <c r="I112" s="25"/>
      <c r="K112" t="s">
        <v>886</v>
      </c>
      <c r="L112">
        <f>CHOOSE(MODE,L110,L111)</f>
        <v>3.3082563351827972</v>
      </c>
    </row>
    <row r="113" spans="1:12">
      <c r="A113" t="s">
        <v>838</v>
      </c>
      <c r="B113" s="623">
        <f>VIN_min/Lmag*'Calculations - Single'!CQ210/B112*1.2</f>
        <v>42.323991797675994</v>
      </c>
      <c r="C113" s="3" t="s">
        <v>1</v>
      </c>
      <c r="I113" s="25"/>
    </row>
    <row r="114" spans="1:12">
      <c r="A114" t="s">
        <v>839</v>
      </c>
      <c r="B114" s="183">
        <f>0.1/B113</f>
        <v>2.3627260981912155E-3</v>
      </c>
      <c r="C114" s="113" t="s">
        <v>45</v>
      </c>
      <c r="D114" t="s">
        <v>841</v>
      </c>
      <c r="I114" s="25"/>
    </row>
    <row r="115" spans="1:12">
      <c r="A115" t="s">
        <v>840</v>
      </c>
      <c r="B115" s="183">
        <f>0.02*Lmag/((Vout+Vfwd1)*0.00000045*Nps)</f>
        <v>3.4632034632034639E-2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41.385828173046455</v>
      </c>
      <c r="C117" s="29" t="s">
        <v>1</v>
      </c>
      <c r="D117" s="29"/>
      <c r="E117" s="29"/>
      <c r="F117" s="29"/>
      <c r="G117" s="29"/>
      <c r="H117" s="29"/>
      <c r="I117" s="30"/>
    </row>
    <row r="118" spans="1:12">
      <c r="A118" s="39" t="s">
        <v>774</v>
      </c>
      <c r="B118" s="727">
        <f>MIN(B114,B115)</f>
        <v>2.3627260981912155E-3</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150</v>
      </c>
      <c r="C125" s="111" t="s">
        <v>149</v>
      </c>
      <c r="D125" s="77" t="s">
        <v>594</v>
      </c>
      <c r="F125" s="7"/>
      <c r="G125" s="7"/>
      <c r="H125" s="7"/>
      <c r="I125" s="25"/>
      <c r="L125" s="5"/>
    </row>
    <row r="126" spans="1:12">
      <c r="A126" s="499" t="s">
        <v>12</v>
      </c>
      <c r="B126" s="192">
        <f>MAX(4.7, CHOOSE(MODE, 'Calculations - Single'!EE212, 'Calculations - Dual'!AW105))</f>
        <v>1485.0523437781055</v>
      </c>
      <c r="C126" s="201" t="s">
        <v>97</v>
      </c>
      <c r="D126" s="77" t="s">
        <v>593</v>
      </c>
      <c r="E126" s="77"/>
      <c r="F126" s="7"/>
      <c r="G126" s="7"/>
      <c r="H126" s="7"/>
      <c r="I126" s="25"/>
    </row>
    <row r="127" spans="1:12" ht="12.5">
      <c r="A127" s="110" t="s">
        <v>14</v>
      </c>
      <c r="B127" s="591">
        <f>'Design Converter'!E34</f>
        <v>110</v>
      </c>
      <c r="C127" s="201" t="s">
        <v>97</v>
      </c>
      <c r="D127" s="77" t="s">
        <v>167</v>
      </c>
      <c r="F127" s="7"/>
      <c r="G127" s="7"/>
      <c r="H127" s="7"/>
      <c r="I127" s="25"/>
    </row>
    <row r="128" spans="1:12" ht="12.5">
      <c r="A128" s="200" t="s">
        <v>181</v>
      </c>
      <c r="B128" s="550">
        <f>(Vripple1_spec-Iout*B130/Cout*1000)/Iout</f>
        <v>-22.309708894855287</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4.1040679784340819</v>
      </c>
      <c r="C130" s="201" t="s">
        <v>247</v>
      </c>
      <c r="D130" s="77"/>
      <c r="F130" s="7"/>
      <c r="G130" s="7"/>
      <c r="H130" s="7"/>
      <c r="I130" s="25"/>
    </row>
    <row r="131" spans="1:9">
      <c r="A131" s="34" t="s">
        <v>437</v>
      </c>
      <c r="B131" s="588">
        <f>Iout*B130/Cout*1000+Iout*CoutEsr</f>
        <v>393.09708894855288</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80</v>
      </c>
      <c r="C135" s="111" t="s">
        <v>149</v>
      </c>
      <c r="D135" s="77" t="s">
        <v>597</v>
      </c>
      <c r="F135" s="7"/>
      <c r="G135" s="7"/>
      <c r="H135" s="7"/>
      <c r="I135" s="25"/>
    </row>
    <row r="136" spans="1:9">
      <c r="A136" s="499" t="s">
        <v>543</v>
      </c>
      <c r="B136" s="192">
        <f>MAX(4.7, 'Calculations - Dual'!AX105)</f>
        <v>12.190572572366374</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-69.436022469884392</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21.418981235843642</v>
      </c>
      <c r="C140" s="201" t="s">
        <v>247</v>
      </c>
      <c r="D140" s="77"/>
      <c r="F140" s="7"/>
      <c r="G140" s="7"/>
      <c r="H140" s="445" t="s">
        <v>561</v>
      </c>
      <c r="I140" s="25"/>
    </row>
    <row r="141" spans="1:9">
      <c r="A141" s="34" t="s">
        <v>437</v>
      </c>
      <c r="B141" s="588">
        <f>Iout2*B140/Cout2*1000+Iout2*CoutEsr2</f>
        <v>99.359005617471098</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3.6</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10.963611249558964</v>
      </c>
      <c r="C150" s="201" t="s">
        <v>97</v>
      </c>
      <c r="E150" s="7"/>
      <c r="F150" s="7"/>
      <c r="G150" s="7"/>
      <c r="H150" s="7"/>
      <c r="I150" s="65"/>
    </row>
    <row r="151" spans="1:9" ht="12.5">
      <c r="A151" s="200" t="s">
        <v>180</v>
      </c>
      <c r="B151" s="597">
        <f>MAX(2.2,Cinmin)</f>
        <v>10.963611249558964</v>
      </c>
      <c r="C151" s="201" t="s">
        <v>97</v>
      </c>
      <c r="E151" s="7"/>
      <c r="F151" s="7"/>
      <c r="G151" s="7"/>
      <c r="H151" s="7"/>
      <c r="I151" s="65"/>
    </row>
    <row r="152" spans="1:9" ht="12.5">
      <c r="A152" s="66" t="s">
        <v>28</v>
      </c>
      <c r="B152" s="553">
        <f>'Design Converter'!E30</f>
        <v>22</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7.4586310184022425E-2</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2.0833333333333335</v>
      </c>
      <c r="C157" s="77" t="s">
        <v>1</v>
      </c>
      <c r="D157" s="77"/>
      <c r="F157" s="7"/>
      <c r="G157" s="7"/>
      <c r="H157" s="7"/>
      <c r="I157" s="65"/>
    </row>
    <row r="158" spans="1:9" ht="12.5">
      <c r="A158" s="200" t="s">
        <v>445</v>
      </c>
      <c r="B158" s="426">
        <f>CHOOSE(MODE, 'Calculations - Single'!AJ105, 'Calculations - Dual'!$AI$105)</f>
        <v>24.416264635436637</v>
      </c>
      <c r="C158" s="77" t="s">
        <v>1</v>
      </c>
      <c r="D158" s="77"/>
      <c r="F158" s="7"/>
      <c r="G158" s="7"/>
      <c r="H158" s="7"/>
      <c r="I158" s="65"/>
    </row>
    <row r="159" spans="1:9" ht="12.5">
      <c r="A159" s="200" t="s">
        <v>442</v>
      </c>
      <c r="B159" s="426">
        <f>CHOOSE(MODE, 'Calculations - Single'!AU105, 'Calculations - Dual'!$AT$105)</f>
        <v>18.7849824345865</v>
      </c>
      <c r="C159" s="201" t="s">
        <v>247</v>
      </c>
      <c r="D159" s="77"/>
      <c r="F159" s="7"/>
      <c r="G159" s="7"/>
      <c r="H159" s="7"/>
      <c r="I159" s="65"/>
    </row>
    <row r="160" spans="1:9" ht="12.5">
      <c r="A160" s="200" t="s">
        <v>440</v>
      </c>
      <c r="B160" s="185">
        <f>B157*B159/Cin+B158*RCinEsr</f>
        <v>1.852129706272456</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18.8</v>
      </c>
      <c r="C178" s="111" t="s">
        <v>0</v>
      </c>
      <c r="E178" s="7"/>
      <c r="F178" s="7"/>
      <c r="G178" s="7"/>
      <c r="H178" s="7"/>
      <c r="I178" s="25"/>
    </row>
    <row r="179" spans="1:9" ht="12.75" customHeight="1">
      <c r="A179" s="110" t="s">
        <v>294</v>
      </c>
      <c r="B179" s="184">
        <f>'Design Converter'!E49</f>
        <v>17.2</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194.66666666666725</v>
      </c>
      <c r="C181" s="17" t="s">
        <v>113</v>
      </c>
      <c r="D181" s="7">
        <f>'Standard Value Calculator'!J16</f>
        <v>196</v>
      </c>
      <c r="E181" s="17" t="s">
        <v>113</v>
      </c>
      <c r="F181" s="37">
        <f>IF(Ruvlo1&lt;0,"N/A",D181)</f>
        <v>196</v>
      </c>
      <c r="G181" s="37" t="str">
        <f>IF(Ruvlo1&lt;0,"N/A",D181&amp;"kΩ")</f>
        <v>196kΩ</v>
      </c>
      <c r="I181" s="25"/>
    </row>
    <row r="182" spans="1:9" ht="12.75" customHeight="1">
      <c r="A182" s="110" t="s">
        <v>127</v>
      </c>
      <c r="B182" s="187">
        <f>D181*Vuvlo_on/(VINuvlo_on-Vuvlo_on+Ruvlo1*Iuvlo1)</f>
        <v>16.99421965317919</v>
      </c>
      <c r="C182" s="17" t="s">
        <v>113</v>
      </c>
      <c r="D182" s="7">
        <f>'Standard Value Calculator'!J17</f>
        <v>16.900000000000002</v>
      </c>
      <c r="E182" s="17" t="s">
        <v>113</v>
      </c>
      <c r="F182" s="37">
        <f>IF(F181="N/A","N/A",D182)</f>
        <v>16.900000000000002</v>
      </c>
      <c r="G182" s="37" t="str">
        <f>IF(G181="N/A","N/A",D182&amp;"kΩ")</f>
        <v>16.9kΩ</v>
      </c>
      <c r="I182" s="25"/>
    </row>
    <row r="183" spans="1:9" ht="12.75" customHeight="1">
      <c r="A183" s="110"/>
      <c r="B183" s="112"/>
      <c r="C183" s="17"/>
      <c r="D183" s="37"/>
      <c r="E183" s="17"/>
      <c r="F183" s="37"/>
      <c r="G183" s="37"/>
      <c r="I183" s="25"/>
    </row>
    <row r="184" spans="1:9" ht="12.75" customHeight="1">
      <c r="A184" s="110" t="s">
        <v>114</v>
      </c>
      <c r="B184" s="590">
        <f>(D181+D182)/D182*Vuvlo_on</f>
        <v>18.896449704142011</v>
      </c>
      <c r="C184" s="3" t="s">
        <v>0</v>
      </c>
      <c r="E184" s="7"/>
      <c r="F184" s="17"/>
      <c r="G184" s="7"/>
      <c r="H184" s="7"/>
      <c r="I184" s="25"/>
    </row>
    <row r="185" spans="1:9" ht="12.75" customHeight="1">
      <c r="A185" s="110" t="s">
        <v>115</v>
      </c>
      <c r="B185" s="590">
        <f>(D181+D182)/D182*Vuvlo_off-Iuvlo2*D181</f>
        <v>17.286568047337276</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154</v>
      </c>
      <c r="C193" s="17" t="s">
        <v>113</v>
      </c>
      <c r="D193" s="77" t="s">
        <v>520</v>
      </c>
      <c r="F193" s="7"/>
      <c r="G193" s="7"/>
      <c r="H193" s="7"/>
      <c r="I193" s="25">
        <v>1</v>
      </c>
    </row>
    <row r="194" spans="1:9">
      <c r="A194" s="34" t="s">
        <v>519</v>
      </c>
      <c r="B194" s="174">
        <f>Rfb/1000</f>
        <v>168</v>
      </c>
      <c r="C194" s="17" t="s">
        <v>113</v>
      </c>
      <c r="D194" s="77" t="s">
        <v>517</v>
      </c>
      <c r="F194" s="7"/>
      <c r="G194" s="7"/>
      <c r="H194" s="7"/>
      <c r="I194" s="25"/>
    </row>
    <row r="195" spans="1:9">
      <c r="A195" s="110" t="s">
        <v>53</v>
      </c>
      <c r="B195" s="36">
        <f>'Standard Value Calculator'!J10/1000</f>
        <v>169</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358400</v>
      </c>
      <c r="C198" s="17" t="s">
        <v>136</v>
      </c>
      <c r="D198" s="77"/>
      <c r="F198" s="7"/>
      <c r="G198" s="7"/>
      <c r="H198" s="7"/>
      <c r="I198" s="25"/>
    </row>
    <row r="199" spans="1:9">
      <c r="A199" s="12" t="s">
        <v>522</v>
      </c>
      <c r="B199" s="167">
        <f>'Standard Value Calculator'!J9/1000</f>
        <v>357</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196MΩ</v>
      </c>
      <c r="B228" s="7" t="str">
        <f>C269</f>
        <v>196kΩ</v>
      </c>
      <c r="C228" s="39"/>
      <c r="D228" s="7"/>
      <c r="E228" s="199"/>
      <c r="F228" s="199"/>
      <c r="G228" s="199"/>
      <c r="H228" s="199"/>
      <c r="I228" s="25"/>
    </row>
    <row r="229" spans="1:9">
      <c r="A229" s="24" t="str">
        <f>"RUV2 = "&amp;'Design Converter'!E51&amp;"kΩ"</f>
        <v>RUV2 = 16.9kΩ</v>
      </c>
      <c r="B229" s="7" t="str">
        <f>C270</f>
        <v>16.9kΩ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72V</v>
      </c>
      <c r="C237" s="39"/>
      <c r="D237" s="7"/>
      <c r="E237" s="7"/>
      <c r="F237" s="7"/>
      <c r="G237" s="7"/>
      <c r="H237" s="7"/>
      <c r="I237" s="25"/>
    </row>
    <row r="238" spans="1:9">
      <c r="A238" s="110" t="s">
        <v>187</v>
      </c>
      <c r="B238" s="7" t="str">
        <f>VIN_min&amp;"V..."&amp;VIN_max&amp;"V"</f>
        <v>19V...85V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15V</v>
      </c>
      <c r="B240" s="7" t="str">
        <f>'Design Converter'!E10&amp;"V"</f>
        <v>15V</v>
      </c>
      <c r="C240" s="39"/>
      <c r="D240" s="7">
        <f>MODE</f>
        <v>1</v>
      </c>
      <c r="E240" s="7"/>
      <c r="F240" s="7"/>
      <c r="G240" s="7"/>
      <c r="H240" s="7"/>
      <c r="I240" s="25"/>
    </row>
    <row r="241" spans="1:9">
      <c r="A241" s="24" t="str">
        <f>"VOUT2 = "&amp;'Design Converter'!E12&amp;"V"</f>
        <v>VOUT2 = 8V</v>
      </c>
      <c r="B241" s="7" t="str">
        <f>IF(MODE_TOP="DUAL", 'Design Converter'!E12&amp;"V", "")</f>
        <v/>
      </c>
      <c r="C241" s="39"/>
      <c r="D241" s="77" t="b">
        <f>MODE=2</f>
        <v>0</v>
      </c>
      <c r="E241" s="7"/>
      <c r="F241" s="7"/>
      <c r="G241" s="7"/>
      <c r="H241" s="7"/>
      <c r="I241" s="25"/>
    </row>
    <row r="242" spans="1:9">
      <c r="A242" s="24" t="str">
        <f>"VOUT2 = "&amp;'Design Converter'!E12&amp;"V"</f>
        <v>VOUT2 = 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110µF</v>
      </c>
      <c r="B245" s="7" t="str">
        <f>'Design Converter'!$E$34&amp;"µF"</f>
        <v>110µF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22µF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5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154kΩ</v>
      </c>
      <c r="B258" s="7" t="str">
        <f>IF(MODE_TC=1, "", 'Design Converter'!E39&amp;"kΩ")</f>
        <v>154kΩ</v>
      </c>
      <c r="C258" s="77" t="str">
        <f>'Design Converter'!E39&amp;"kΩ"</f>
        <v>154kΩ</v>
      </c>
      <c r="D258" s="7"/>
      <c r="E258" s="7"/>
      <c r="F258" s="7"/>
      <c r="G258" s="7"/>
      <c r="H258" s="7"/>
      <c r="I258" s="25"/>
    </row>
    <row r="259" spans="1:9" ht="12.5">
      <c r="A259" s="24" t="str">
        <f>"RFB2 = "&amp;IF(Vout=Vref,"OPEN",'Design Converter'!E40&amp;"kΩ")</f>
        <v>RFB2 = 168kΩ</v>
      </c>
      <c r="B259" s="7" t="str">
        <f>IF(MODE_TC=1, "", IF(Vout=Vref,"OPEN",Rfb2_u/1000&amp;"kΩ"))</f>
        <v>0.169kΩ</v>
      </c>
      <c r="C259" s="77" t="str">
        <f>'Design Converter'!E40&amp;"kΩ"</f>
        <v>168kΩ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357kΩ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196kΩ</v>
      </c>
      <c r="B269" s="7" t="str">
        <f>'Design Converter'!E50&amp;" kΩ"</f>
        <v>196 kΩ</v>
      </c>
      <c r="C269" s="386" t="str">
        <f>IF(MODE_UVLO=1,'Design Converter'!E50&amp;"kΩ", "")</f>
        <v>196kΩ</v>
      </c>
      <c r="F269" s="7">
        <f>IF(MODE_UVLO=1,'Design Converter'!E50, "")</f>
        <v>196</v>
      </c>
      <c r="G269" s="77" t="str">
        <f>IF(MODE_UVLO=1,"kΩ", "")</f>
        <v>kΩ</v>
      </c>
      <c r="H269" s="386" t="str">
        <f>IF(MODE_UVLO=1,'Design Converter'!E50&amp;"k", "")</f>
        <v>196k</v>
      </c>
      <c r="I269" s="25"/>
    </row>
    <row r="270" spans="1:9" ht="12.5">
      <c r="A270" s="24" t="str">
        <f>"RUV2 = "&amp;C270</f>
        <v>RUV2 = 16.9kΩ</v>
      </c>
      <c r="B270" s="7" t="str">
        <f>IF(D182&gt;=1000, D182/1000&amp;" MΩ", D182&amp;" kΩ")</f>
        <v>16.9 kΩ</v>
      </c>
      <c r="C270" s="386" t="str">
        <f>IF(MODE_UVLO=1, IF(D182&lt;1, D182*1000&amp;"Ω", IF(D182&lt;1000, D182&amp;"kΩ", D182/1000&amp;"MΩ")), "")</f>
        <v>16.9kΩ</v>
      </c>
      <c r="F270" s="7">
        <f>IF(MODE_UVLO=1, IF(D182&lt;1, D182*1000, IF(D182&lt;1000, D182, D182/1000)), "")</f>
        <v>16.900000000000002</v>
      </c>
      <c r="G270" s="77" t="str">
        <f>IF(MODE_UVLO=1, IF(D182&lt;1, "Ω", IF(D182&lt;1000,"kΩ", "MΩ")), "")</f>
        <v>kΩ</v>
      </c>
      <c r="H270" s="386" t="str">
        <f>IF(MODE_UVLO=1, IF(D182&lt;1, D182*1000, IF(D182&lt;1000, D182&amp;"k", D182/1000&amp;"M")), "")</f>
        <v>16.9k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20</v>
      </c>
      <c r="C280" s="77" t="s">
        <v>1</v>
      </c>
      <c r="D280" s="7"/>
      <c r="E280" s="7"/>
      <c r="F280" s="7"/>
      <c r="G280" s="7"/>
      <c r="H280" s="7"/>
      <c r="I280" s="25"/>
    </row>
    <row r="281" spans="1:9" ht="12.5">
      <c r="A281" s="110" t="s">
        <v>641</v>
      </c>
      <c r="B281">
        <f>ROUND(VRRM_DIODE,0)</f>
        <v>100</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84.3%</v>
      </c>
      <c r="C286" s="7"/>
      <c r="D286" s="7"/>
      <c r="E286" s="7"/>
      <c r="F286" s="7"/>
      <c r="G286" s="7"/>
      <c r="H286" s="7"/>
      <c r="I286" s="25"/>
    </row>
    <row r="287" spans="1:9" ht="12.5">
      <c r="A287" s="110" t="s">
        <v>492</v>
      </c>
      <c r="B287" s="353" t="str">
        <f>ROUND('Calculations - Single'!$CB$55,1)&amp;"%"</f>
        <v>89.5%</v>
      </c>
      <c r="C287" s="7"/>
      <c r="D287" s="7"/>
      <c r="E287" s="7"/>
      <c r="F287" s="7"/>
      <c r="G287" s="7"/>
      <c r="H287" s="7"/>
      <c r="I287" s="25"/>
    </row>
    <row r="288" spans="1:9" ht="12.5">
      <c r="A288" s="110" t="s">
        <v>307</v>
      </c>
      <c r="B288" s="353" t="str">
        <f>ROUND('Calculations - Single'!$CB$15,1)&amp;"%"</f>
        <v>84.4%</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10A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12.1</v>
      </c>
      <c r="C309" s="3" t="s">
        <v>866</v>
      </c>
      <c r="D309" t="str">
        <f>B309&amp;"kΩ"</f>
        <v>12.1kΩ</v>
      </c>
    </row>
    <row r="310" spans="1:9">
      <c r="A310" t="s">
        <v>865</v>
      </c>
      <c r="B310">
        <f>'Design Converter'!$E$62</f>
        <v>22</v>
      </c>
      <c r="C310" s="3" t="s">
        <v>319</v>
      </c>
      <c r="D310" t="str">
        <f>B310&amp;"nF"</f>
        <v>22nF</v>
      </c>
    </row>
    <row r="311" spans="1:9">
      <c r="A311" t="s">
        <v>750</v>
      </c>
      <c r="B311">
        <f>'Design Converter'!$E$64</f>
        <v>47</v>
      </c>
      <c r="C311" s="3" t="s">
        <v>170</v>
      </c>
      <c r="D311" t="str">
        <f>B311&amp;"pF"</f>
        <v>47pF</v>
      </c>
    </row>
    <row r="313" spans="1:9">
      <c r="A313" t="s">
        <v>771</v>
      </c>
      <c r="B313">
        <f>RCS</f>
        <v>2</v>
      </c>
      <c r="C313" s="3" t="s">
        <v>867</v>
      </c>
      <c r="D313" t="str">
        <f>B313&amp;"mΩ"</f>
        <v>2mΩ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0.01</v>
      </c>
      <c r="J6" s="217"/>
      <c r="K6" s="217"/>
      <c r="L6" s="217"/>
      <c r="M6" s="217"/>
      <c r="N6" s="267"/>
      <c r="O6" s="172"/>
      <c r="P6" s="217"/>
      <c r="Q6" s="443"/>
      <c r="S6" s="268"/>
      <c r="T6" s="268"/>
      <c r="U6" s="268"/>
      <c r="AJ6" s="443"/>
      <c r="AY6" s="216">
        <f>Vout*I6</f>
        <v>0.15</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10</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0.1</v>
      </c>
      <c r="J7" s="217"/>
      <c r="K7" s="217"/>
      <c r="L7" s="217"/>
      <c r="M7" s="217"/>
      <c r="N7" s="267"/>
      <c r="O7" s="172"/>
      <c r="P7" s="217"/>
      <c r="Q7" s="443"/>
      <c r="S7" s="268"/>
      <c r="T7" s="268"/>
      <c r="U7" s="268"/>
      <c r="AJ7" s="443"/>
      <c r="AY7" s="216">
        <f>Vout*I7</f>
        <v>1.5</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72</v>
      </c>
      <c r="C8" s="275" t="s">
        <v>0</v>
      </c>
      <c r="D8" s="194">
        <f>B8</f>
        <v>72</v>
      </c>
      <c r="E8" s="188" t="s">
        <v>3</v>
      </c>
      <c r="F8" s="266"/>
      <c r="G8" s="266"/>
      <c r="H8" s="170">
        <v>2</v>
      </c>
      <c r="I8" s="456">
        <f t="shared" si="0"/>
        <v>0.2</v>
      </c>
      <c r="J8" s="217"/>
      <c r="K8" s="217"/>
      <c r="L8" s="217"/>
      <c r="M8" s="217"/>
      <c r="N8" s="267"/>
      <c r="O8" s="172"/>
      <c r="P8" s="217"/>
      <c r="Q8" s="443"/>
      <c r="S8" s="268"/>
      <c r="T8" s="268"/>
      <c r="U8" s="268"/>
      <c r="AJ8" s="443"/>
      <c r="AY8" s="216">
        <f>Vout*I8</f>
        <v>3</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15</v>
      </c>
      <c r="C9" s="275" t="s">
        <v>0</v>
      </c>
      <c r="D9" s="194">
        <f>B9</f>
        <v>15</v>
      </c>
      <c r="E9" s="188" t="s">
        <v>4</v>
      </c>
      <c r="F9" s="266"/>
      <c r="G9" s="266"/>
      <c r="H9" s="170">
        <v>3</v>
      </c>
      <c r="I9" s="456">
        <f t="shared" si="0"/>
        <v>0.3</v>
      </c>
      <c r="J9" s="217"/>
      <c r="K9" s="217"/>
      <c r="L9" s="217"/>
      <c r="M9" s="217"/>
      <c r="N9" s="267"/>
      <c r="O9" s="172"/>
      <c r="P9" s="217"/>
      <c r="Q9" s="443"/>
      <c r="S9" s="268"/>
      <c r="T9" s="268"/>
      <c r="U9" s="268"/>
      <c r="AJ9" s="443"/>
      <c r="AY9" s="216">
        <f>Vout*I9</f>
        <v>4.5</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10</v>
      </c>
      <c r="C10" s="275" t="s">
        <v>1</v>
      </c>
      <c r="D10" s="194">
        <f>B10</f>
        <v>10</v>
      </c>
      <c r="E10" s="277" t="s">
        <v>241</v>
      </c>
      <c r="F10" s="266"/>
      <c r="G10" s="266"/>
      <c r="H10" s="170">
        <v>4</v>
      </c>
      <c r="I10" s="456">
        <f t="shared" si="0"/>
        <v>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7812.5</v>
      </c>
      <c r="C11" s="278" t="s">
        <v>242</v>
      </c>
      <c r="D11" s="292">
        <f>B11*1000</f>
        <v>7812500</v>
      </c>
      <c r="E11" s="277"/>
      <c r="F11" s="266"/>
      <c r="G11" s="266"/>
      <c r="H11" s="170">
        <v>5</v>
      </c>
      <c r="I11" s="456">
        <f t="shared" si="0"/>
        <v>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14</v>
      </c>
      <c r="H12" s="170">
        <v>6</v>
      </c>
      <c r="I12" s="456">
        <f t="shared" si="0"/>
        <v>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0.70000000000000007</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0.89999999999999991</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17.361111111111111</v>
      </c>
      <c r="C17" s="287" t="s">
        <v>247</v>
      </c>
      <c r="D17" s="288">
        <f>B17/1000000</f>
        <v>1.7361111111111111E-5</v>
      </c>
      <c r="E17" s="277" t="s">
        <v>248</v>
      </c>
      <c r="F17" s="266"/>
      <c r="G17" s="266"/>
      <c r="H17" s="170">
        <v>11</v>
      </c>
      <c r="I17" s="456">
        <f t="shared" si="0"/>
        <v>1.1000000000000001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81741.898148148131</v>
      </c>
      <c r="C19" s="277" t="s">
        <v>30</v>
      </c>
      <c r="D19" s="190">
        <f>B19/1000</f>
        <v>81.741898148148138</v>
      </c>
      <c r="E19" s="275" t="s">
        <v>252</v>
      </c>
      <c r="F19" s="266"/>
      <c r="G19" s="266"/>
      <c r="H19" s="170">
        <v>13</v>
      </c>
      <c r="I19" s="456">
        <f t="shared" si="0"/>
        <v>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1.7000000000000002</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1.7999999999999998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2.2000000000000002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2.3000000000000003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22</v>
      </c>
      <c r="C30" s="306" t="s">
        <v>97</v>
      </c>
      <c r="D30" s="307">
        <f>B30/1000000</f>
        <v>2.1999999999999999E-5</v>
      </c>
      <c r="E30" s="308" t="s">
        <v>60</v>
      </c>
      <c r="F30" s="266"/>
      <c r="G30" s="266"/>
      <c r="H30" s="170">
        <v>24</v>
      </c>
      <c r="I30" s="456">
        <f t="shared" si="0"/>
        <v>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50</v>
      </c>
      <c r="C35" s="287" t="s">
        <v>1</v>
      </c>
      <c r="D35" s="269">
        <f>B35</f>
        <v>50</v>
      </c>
      <c r="E35" s="188" t="s">
        <v>398</v>
      </c>
      <c r="F35" s="266"/>
      <c r="G35" s="266"/>
      <c r="H35" s="170">
        <v>29</v>
      </c>
      <c r="I35" s="456">
        <f t="shared" si="0"/>
        <v>2.9</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10</v>
      </c>
      <c r="C36" s="287" t="s">
        <v>1</v>
      </c>
      <c r="D36" s="269">
        <f>B36</f>
        <v>10</v>
      </c>
      <c r="E36" s="188" t="s">
        <v>408</v>
      </c>
      <c r="F36" s="266"/>
      <c r="G36" s="266"/>
      <c r="H36" s="170">
        <v>30</v>
      </c>
      <c r="I36" s="456">
        <f t="shared" si="0"/>
        <v>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3.3000000000000003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3.4000000000000004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3.5999999999999996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3.9000000000000004</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4.0999999999999996</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4.4000000000000004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4.6000000000000005</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4.6999999999999993</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4.9000000000000004</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5.0999999999999996</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5.3000000000000007</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5.5</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5.6999999999999993</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5000</v>
      </c>
      <c r="H64" s="170">
        <v>58</v>
      </c>
      <c r="I64" s="456">
        <f t="shared" si="2"/>
        <v>5.8</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7500</v>
      </c>
      <c r="H65" s="170">
        <v>59</v>
      </c>
      <c r="I65" s="456">
        <f t="shared" si="2"/>
        <v>5.8999999999999995</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10000</v>
      </c>
      <c r="H66" s="170">
        <v>60</v>
      </c>
      <c r="I66" s="456">
        <f t="shared" si="2"/>
        <v>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6.6000000000000005</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6.8000000000000007</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6.8999999999999995</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7.1999999999999993</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7.8000000000000007</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8.1000000000000014</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8.1999999999999993</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5000</v>
      </c>
      <c r="H89" s="170">
        <v>83</v>
      </c>
      <c r="I89" s="456">
        <f t="shared" si="3"/>
        <v>8.2999999999999989</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7500</v>
      </c>
      <c r="H90" s="170">
        <v>84</v>
      </c>
      <c r="I90" s="456">
        <f t="shared" si="3"/>
        <v>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10000</v>
      </c>
      <c r="H91" s="170">
        <v>85</v>
      </c>
      <c r="I91" s="456">
        <f t="shared" si="3"/>
        <v>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8.6999999999999993</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8.8000000000000007</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9.2000000000000011</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9.3000000000000007</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9.3999999999999986</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9.6999999999999993</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9.8000000000000007</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10</v>
      </c>
      <c r="J106" s="217"/>
      <c r="K106" s="217"/>
      <c r="L106" s="217"/>
      <c r="M106" s="217"/>
      <c r="N106" s="267"/>
      <c r="O106" s="172"/>
      <c r="P106" s="217"/>
      <c r="Q106" s="443"/>
      <c r="S106" s="268"/>
      <c r="T106" s="268"/>
      <c r="U106" s="268"/>
      <c r="AJ106" s="443"/>
      <c r="AY106" s="216">
        <f>Vout*I106</f>
        <v>150</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10</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13.815510557964274</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50</v>
      </c>
      <c r="CQ2">
        <f>Vfwd1</f>
        <v>0.4</v>
      </c>
      <c r="CY2">
        <f>Isw_max</f>
        <v>50</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1.5000000000000002E-8</v>
      </c>
      <c r="I5" s="541">
        <f t="shared" ref="I5:I36" si="1">Vin-F5*(Rdcr_pri+RON/1000)/CG5/Nps</f>
        <v>71.999988589113386</v>
      </c>
      <c r="J5" s="172">
        <f t="shared" ref="J5:J36" si="2">(T5+Vfwd1+F5/CG5*Rdcr_sec)*Nps</f>
        <v>15.400006846531969</v>
      </c>
      <c r="K5" s="172">
        <f t="shared" ref="K5:K36" si="3">(Vout+Vfwd1+F5/CG5*Rdcr_sec)*Nps+VIN_nom</f>
        <v>87.400006846531966</v>
      </c>
      <c r="L5" s="443"/>
      <c r="M5" s="217">
        <f t="shared" ref="M5:M36" si="4">(Vout+Vfwd1+F5/FL5*Rdcr_sec)*Nps/((Vout+Vfwd1+F5/FL5*Rdcr_sec)*Nps+I5)</f>
        <v>0.17620146138999232</v>
      </c>
      <c r="N5" s="172">
        <f t="shared" ref="N5:N36" si="5">M5*I5*(Isw_max+VIN_nom/Lmag*ILIM_delay)*0.5*Efficiency</f>
        <v>318.30436552546558</v>
      </c>
      <c r="O5" s="172">
        <f>T5*F5</f>
        <v>1.5000000000000002E-8</v>
      </c>
      <c r="P5" s="217">
        <f t="shared" ref="P5:P36" si="6">N5/Vout</f>
        <v>21.220291035031039</v>
      </c>
      <c r="Q5" s="217">
        <f t="shared" ref="Q5:Q36" si="7">MIN(Vout,N5/F5)</f>
        <v>15</v>
      </c>
      <c r="R5" s="217">
        <f t="shared" ref="R5:R36" si="8">Isw_max/2*I5*Nps*(Q5+Vfwd1+F5/FL5*Rdcr_sec)/Q5/(I5+Nps*(Q5+Vfwd1+F5/FL5*Rdcr_sec))</f>
        <v>21.144172015774249</v>
      </c>
      <c r="S5" s="172">
        <f t="shared" ref="S5:S36" si="9">(SQRT(Isw_max^2*Nps^2*I5^2+4*Isw_max*F5/Efficiency*(Nps^2*Vfwd1*I5-Nps*I5^2)+4*(F5/Efficiency)^2*Nps^2*Vfwd1^2+8*(F5/Efficiency)^2*Nps*Vfwd1*I5+4*(F5/Efficiency)^2*I5^2)-2*F5/Efficiency*I5-2*F5/Efficiency*Nps*Vfwd1+Isw_max*Nps*I5)/(4*F5/Efficiency*Nps)</f>
        <v>1799999714655.8347</v>
      </c>
      <c r="T5" s="172">
        <f t="shared" ref="T5:T36" si="10">MIN(Vout, S5)</f>
        <v>15</v>
      </c>
      <c r="U5" s="217">
        <f>MIN(2*(Vout+Vfwd1+F5/FL5*Rdcr_sec)*F5/(I5*M5), Isw_max)</f>
        <v>2.4277780382744942E-9</v>
      </c>
      <c r="V5" s="217">
        <f t="shared" ref="V5:V68" si="11">L*U5/I5*1000000</f>
        <v>4.0462973717330532E-10</v>
      </c>
      <c r="W5" s="217">
        <f t="shared" ref="W5:W36" si="12">L*U5/J5*1000000</f>
        <v>1.8917742537143525E-9</v>
      </c>
      <c r="X5" s="197">
        <f t="shared" ref="X5:X36" si="13">IF(1/((350000*L)*(1/I5+1/J5))&gt;Isw_min, 350, 0.001/((Isw_min*L)*(1/I5+1/J5)))</f>
        <v>105.72085956600584</v>
      </c>
      <c r="Y5" s="443">
        <f t="shared" ref="Y5:Y68" si="14">MIN(1/(V5+W5+0.2)*1000, 350)</f>
        <v>350</v>
      </c>
      <c r="AA5" s="217">
        <f t="shared" ref="AA5:AA36" si="15">1/((X5*1000*L)*(1/I5+1/J5))</f>
        <v>10</v>
      </c>
      <c r="AB5" s="173">
        <f t="shared" ref="AB5:AB36" si="16">L*AA5/J5*1000000</f>
        <v>7.7922043279496078</v>
      </c>
      <c r="AC5" s="173">
        <f t="shared" ref="AC5:AC36" si="17">0.5*AB5*AA5*Nps*X5/1000</f>
        <v>4.1189926973239173</v>
      </c>
      <c r="AD5" s="173"/>
      <c r="AE5" s="173">
        <f t="shared" ref="AE5:AE36" si="18">L*Isw_min/J5*1000000</f>
        <v>7.7922043279496078</v>
      </c>
      <c r="AF5" s="545">
        <f>MAX(12, F5/(0.5*AE5/1000000*Isw_min*Nps)/1000)</f>
        <v>12</v>
      </c>
      <c r="AG5" s="528">
        <f t="shared" ref="AG5:AG36" si="19">0.5*AE5/1000000*Isw_min*Nps*X5*1000</f>
        <v>4.1189926973239173</v>
      </c>
      <c r="AI5" s="173">
        <f t="shared" ref="AI5:AI36" si="20">SQRT(F5/Efficiency/(0.5*L/J5*Fsw_DCM*Nps))</f>
        <v>8.5634902893543663E-5</v>
      </c>
      <c r="AJ5" s="173">
        <f t="shared" ref="AJ5:AJ36" si="21">MAX(IF(F5&gt;AC5,U5,AI5),Isw_min)</f>
        <v>10</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1.6666669308076025</v>
      </c>
      <c r="AU5" s="5">
        <f>AS5-AT5</f>
        <v>81.666666402525721</v>
      </c>
      <c r="AV5" s="5">
        <f t="shared" ref="AV5:AV36" si="28">L*AJ5/J5*1000000</f>
        <v>7.7922043279496078</v>
      </c>
      <c r="AW5" s="173">
        <f>AT5/AS5</f>
        <v>2.0000003169691232E-2</v>
      </c>
      <c r="AX5" s="173">
        <f t="shared" ref="AX5:AX36" si="29">0.5*L*AJ5^2*AN5*1000</f>
        <v>7.2000000000000011</v>
      </c>
      <c r="AY5" s="173">
        <f t="shared" ref="AY5:AY36" si="30">AJ5*Nps/2*(1-AW5)</f>
        <v>4.8999999841515436</v>
      </c>
      <c r="AZ5" s="173">
        <f>AX5/AY5</f>
        <v>1.4693877598545977</v>
      </c>
      <c r="BA5" s="460">
        <f t="shared" ref="BA5:BA36" si="31">F5*AT5/Vout_ripple*1000</f>
        <v>1.1111112872050684E-8</v>
      </c>
      <c r="BB5" s="5">
        <f t="shared" ref="BB5:BB36" si="32">H5/Efficiency/I5*AU5/Vinripple1</f>
        <v>4.7260809806383999E-9</v>
      </c>
      <c r="BC5" s="5"/>
      <c r="BD5" s="173">
        <f>AJ5*SQRT(AW5/3)</f>
        <v>0.81649664562877478</v>
      </c>
      <c r="BE5" s="173">
        <f t="shared" ref="BE5:BE36" si="33">AJ5*Nps*SQRT((1-AW5)/3)</f>
        <v>5.7154760572510757</v>
      </c>
      <c r="BF5" s="173"/>
      <c r="BG5" s="528">
        <f t="shared" ref="BG5:BG36" si="34">Rdson*BD5^2</f>
        <v>1.3333335446460821E-2</v>
      </c>
      <c r="BH5" s="528">
        <f t="shared" ref="BH5:BH36" si="35">0.5*K5*AJ5*AN5*1000*Tfall</f>
        <v>0.1966500154046969</v>
      </c>
      <c r="BI5" s="528">
        <f t="shared" ref="BI5:BI36" si="36">Qg*Vdd*AN5*1000*0+Qg*I5*AN5*1000</f>
        <v>2.1599996576734014E-2</v>
      </c>
      <c r="BJ5" s="528">
        <f t="shared" ref="BJ5:BJ36" si="37">0.5*(Coss+Csw)*K5^2*AN5*1000</f>
        <v>9.1665134361286031E-3</v>
      </c>
      <c r="BK5">
        <f t="shared" ref="BK5:BK36" si="38">I5*IQ</f>
        <v>3.239999486510102E-2</v>
      </c>
      <c r="BL5" s="460">
        <f>(BK5+BI5)*1000</f>
        <v>53.999991441835036</v>
      </c>
      <c r="BM5" s="528">
        <f t="shared" ref="BM5:BM36" si="39">(BH5+BI5*0+BJ5+BK5*0+BG5*(1+RdsonTC*(Ta-25)))/(1-BG5*RdsonTC*ThetaJA)</f>
        <v>0.22345777921457599</v>
      </c>
      <c r="BN5" s="460">
        <f>BM5*1000</f>
        <v>223.45777921457599</v>
      </c>
      <c r="BO5" s="528">
        <f>Vfwd2*F5*(1+Diode_TC/1000*(Ta-25))</f>
        <v>6.212499999999999E-10</v>
      </c>
      <c r="BP5" s="528"/>
      <c r="BR5" s="460">
        <f>SUM(BO5:BQ5)*1000</f>
        <v>6.2124999999999988E-7</v>
      </c>
      <c r="BS5" s="528">
        <f t="shared" ref="BS5:BS36" si="40">Rdcr_pri*BD5^2</f>
        <v>2.0000003169691232E-2</v>
      </c>
      <c r="BT5" s="528">
        <f t="shared" ref="BT5:BT36" si="41">Rdcr_sec*BE5^2</f>
        <v>0.97999999683030903</v>
      </c>
      <c r="BU5" s="528">
        <f t="shared" ref="BU5:BU36" si="42">AJ5^2.5*AN5^2.5*k_core*0+BZ5*0.015</f>
        <v>2.2500000000000002E-10</v>
      </c>
      <c r="BV5" s="528">
        <f t="shared" ref="BV5:BV36" si="43">(BU5+(BS5+BT5)*(1+Ltc*(Ta-25)))/(1-(BS5+BT5)*Ltc*ThetaCa)</f>
        <v>1.3478260872010872</v>
      </c>
      <c r="BW5" s="528">
        <f t="shared" ref="BW5:BW36" si="44">0.5*Lleak*0.000000001*AJ5^2*AN5*1000</f>
        <v>1.2000000000000001E-3</v>
      </c>
      <c r="BX5" s="460">
        <f>1000*(BV5+BW5)</f>
        <v>1349.0260872010872</v>
      </c>
      <c r="BY5" s="173">
        <f t="shared" ref="BY5:BY68" si="45">SUM(BM5,BO5:BQ5,BV5, BW5)+BK5+BI5</f>
        <v>1.6264838584787482</v>
      </c>
      <c r="BZ5" s="5">
        <f>MIN(H5,O5)</f>
        <v>1.5000000000000002E-8</v>
      </c>
      <c r="CA5" s="173">
        <f>BZ5/(BZ5+BY5)</f>
        <v>9.2223478170230956E-9</v>
      </c>
      <c r="CB5" s="5">
        <f>CA5*100</f>
        <v>9.2223478170230953E-7</v>
      </c>
      <c r="CE5" s="562">
        <f t="shared" ref="CE5:CE36" si="46">IF(ABS(F5-Ioutmax_Vinnom)&lt;Iout/200, AN5, -50)</f>
        <v>-50</v>
      </c>
      <c r="CF5">
        <f t="shared" ref="CF5:CF36" si="47">IF(ABS(F5-Ioutmax_Vinnom)&lt;Iout/200, N5*CA5, -50)</f>
        <v>-50</v>
      </c>
      <c r="CG5" s="173">
        <f t="shared" ref="CG5:CG36" si="48">MIN(SQRT(2*DU5*1000*Ls1_*CL5)/CU5,1-EA5-0.00000005*DU5*1000)</f>
        <v>4.3817804600413293E-6</v>
      </c>
      <c r="CI5" s="170">
        <v>0.1</v>
      </c>
      <c r="CJ5" s="217">
        <v>1.0000000000000001E-9</v>
      </c>
      <c r="CK5" s="217"/>
      <c r="CL5" s="217">
        <f t="shared" ref="CL5:CL68" si="49">CJ5*Vout</f>
        <v>1.5000000000000002E-8</v>
      </c>
      <c r="CM5" s="541">
        <f t="shared" ref="CM5:CM68" si="50">Vin</f>
        <v>72</v>
      </c>
      <c r="CN5" s="172">
        <f t="shared" ref="CN5:CN68" si="51">(CX5+Vfwd1)*Nps</f>
        <v>15.4</v>
      </c>
      <c r="CO5" s="443">
        <f t="shared" ref="CO5:CO68" si="52">(Vout+Vfwd1)*Nps+CM5</f>
        <v>87.4</v>
      </c>
      <c r="CP5" s="443"/>
      <c r="CQ5" s="217">
        <f t="shared" ref="CQ5:CQ68" si="53">(Vout+Vfwd1)*Nps/((Vout+Vfwd1)*Nps+CM5)</f>
        <v>0.17620137299771166</v>
      </c>
      <c r="CR5" s="172">
        <f t="shared" ref="CR5:CR68" si="54">CQ5*CM5*(Isw_max+VIN_nom/Lmag*ILIM_delay)*0.5*Efficiency</f>
        <v>318.30425629290613</v>
      </c>
      <c r="CS5" s="172">
        <f>CX5*CJ5</f>
        <v>1.5000000000000002E-8</v>
      </c>
      <c r="CT5" s="217">
        <f t="shared" ref="CT5:CT68" si="55">CR5/Vout</f>
        <v>21.220283752860407</v>
      </c>
      <c r="CU5" s="217">
        <f t="shared" ref="CU5:CU68" si="56">MIN(Vout,CR5/CJ5)</f>
        <v>15</v>
      </c>
      <c r="CV5" s="217">
        <f t="shared" ref="CV5:CV68" si="57">Isw_max/2*CM5*Nps*(CU5+Vfwd1)/CU5/(CM5+Nps*(CU5+Vfwd1))</f>
        <v>21.144164759725399</v>
      </c>
      <c r="CW5" s="172">
        <f t="shared" ref="CW5:CW68" si="58">(SQRT(Isw_max^2*Nps^2*CM5^2+4*Isw_max*CJ5/Efficiency*(Nps^2*Vfwd1*CM5-Nps*CM5^2)+4*(CJ5/Efficiency)^2*Nps^2*Vfwd1^2+8*(CJ5/Efficiency)^2*Nps*Vfwd1*CM5+4*(CJ5/Efficiency)^2*CM5^2)-2*CJ5/Efficiency*CM5-2*CJ5/Efficiency*Nps*Vfwd1+Isw_max*Nps*CM5)/(4*CJ5/Efficiency*Nps)</f>
        <v>1799999999928</v>
      </c>
      <c r="CX5" s="172">
        <f t="shared" ref="CX5:CX68" si="59">MIN(Vout, CW5)</f>
        <v>15</v>
      </c>
      <c r="CY5" s="217">
        <f t="shared" ref="CY5:CY68" si="60">MIN(2*Vout*CJ5/(CM5*CQ5), Isw_max)</f>
        <v>2.3647186147186153E-9</v>
      </c>
      <c r="CZ5" s="217">
        <f t="shared" ref="CZ5:CZ68" si="61">L*CY5/CM5*1000000</f>
        <v>3.9411976911976923E-10</v>
      </c>
      <c r="DA5" s="217">
        <f t="shared" ref="DA5:DA68" si="62">L*CY5/CN5*1000000</f>
        <v>1.8426378815989211E-9</v>
      </c>
      <c r="DB5" s="197">
        <f t="shared" ref="DB5:DB68" si="63">IF(1/((350000*L)*(1/CM5+1/CN5))&gt;Isw_min, 350, 0.001/((Isw_min*L)*(1/CM5+1/CN5)))</f>
        <v>105.72082379862701</v>
      </c>
      <c r="DC5" s="443">
        <f>MIN(1/(CZ5+DA5)*1000, 350)</f>
        <v>350</v>
      </c>
      <c r="DE5" s="217">
        <f t="shared" ref="DE5:DE68" si="64">1/((DB5*1000*L)*(1/CM5+1/CN5))</f>
        <v>9.9999999999999982</v>
      </c>
      <c r="DF5" s="173">
        <f t="shared" ref="DF5:DF68" si="65">L*DE5/CN5*1000000</f>
        <v>7.7922077922077895</v>
      </c>
      <c r="DG5" s="173">
        <f t="shared" ref="DG5:DG68" si="66">0.5*DF5*DE5*Nps*DB5/1000</f>
        <v>4.118993135011439</v>
      </c>
      <c r="DH5" s="173"/>
      <c r="DI5" s="173">
        <f t="shared" ref="DI5:DI68" si="67">L*Isw_min/CN5*1000000</f>
        <v>7.7922077922077913</v>
      </c>
      <c r="DJ5" s="545">
        <f>MAX(12, CJ5/(0.5*DI5/1000000*Isw_min*Nps)/1000)</f>
        <v>12</v>
      </c>
      <c r="DK5" s="528">
        <f t="shared" ref="DK5:DK68" si="68">0.5*DI5/1000000*Isw_min*Nps*DB5*1000</f>
        <v>4.1189931350114417</v>
      </c>
      <c r="DM5" s="173">
        <f t="shared" ref="DM5:DM68" si="69">SQRT(CJ5/Efficiency/(0.5*L/CN5*Fsw_DCM*Nps))</f>
        <v>8.5634883857767534E-5</v>
      </c>
      <c r="DN5" s="173">
        <f t="shared" ref="DN5:DN68" si="70">MAX(IF(CJ5&gt;DG5,CY5,DM5),Isw_min)</f>
        <v>10</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1.6666666666666667</v>
      </c>
      <c r="DY5" s="5">
        <f>DW5-DX5</f>
        <v>81.666666666666657</v>
      </c>
      <c r="DZ5" s="5">
        <f t="shared" ref="DZ5:DZ68" si="77">L*DN5/CN5*1000000</f>
        <v>7.7922077922077913</v>
      </c>
      <c r="EA5" s="173">
        <f>DX5/DW5</f>
        <v>0.02</v>
      </c>
      <c r="EB5" s="173">
        <f t="shared" ref="EB5:EB68" si="78">0.5*L*DN5^2*DR5*1000</f>
        <v>7.2000000000000011</v>
      </c>
      <c r="EC5" s="173">
        <f t="shared" ref="EC5:EC68" si="79">DN5*Nps/2*(1-EA5)</f>
        <v>4.9000000000000004</v>
      </c>
      <c r="ED5" s="173">
        <f>EB5/EC5</f>
        <v>1.4693877551020409</v>
      </c>
      <c r="EE5" s="460">
        <f t="shared" ref="EE5:EE68" si="80">CJ5*DX5/Vout_ripple*1000</f>
        <v>1.1111111111111112E-8</v>
      </c>
      <c r="EF5" s="5">
        <f t="shared" ref="EF5:EF68" si="81">CL5/Efficiency/CM5*DY5/Vinripple1</f>
        <v>4.7260802469135802E-9</v>
      </c>
      <c r="EG5" s="5"/>
      <c r="EH5" s="173">
        <f>DN5*SQRT(EA5/3)</f>
        <v>0.81649658092772603</v>
      </c>
      <c r="EI5" s="173">
        <f t="shared" ref="EI5:EI68" si="82">DN5*Nps*SQRT((1-EA5)/3)</f>
        <v>5.715476066494082</v>
      </c>
      <c r="EJ5" s="173"/>
      <c r="EK5" s="528">
        <f t="shared" ref="EK5:EK68" si="83">Rdson*EH5^2</f>
        <v>1.3333333333333332E-2</v>
      </c>
      <c r="EL5" s="528">
        <f t="shared" ref="EL5:EL68" si="84">0.5*CO5*DN5*DR5*1000*Trise</f>
        <v>0.20976</v>
      </c>
      <c r="EM5" s="528">
        <f t="shared" ref="EM5:EM68" si="85">Qg*Vdd*DR5*1000</f>
        <v>1.5E-3</v>
      </c>
      <c r="EN5" s="528">
        <f t="shared" ref="EN5:EN68" si="86">0.5*(Coss+Csw)*CO5^2*DR5*1000</f>
        <v>9.1665120000000017E-3</v>
      </c>
      <c r="EO5">
        <f t="shared" ref="EO5:EO68" si="87">CM5*IQ</f>
        <v>3.2399999999999998E-2</v>
      </c>
      <c r="EP5" s="460">
        <f>(EO5+EM5)*1000</f>
        <v>33.9</v>
      </c>
      <c r="EQ5" s="528">
        <f t="shared" ref="EQ5:EQ68" si="88">(EL5+EM5+EN5+EO5+EK5*(1+RdsonTC*(Ta-25)))/(1-EK5*RdsonTC*ThetaJA)</f>
        <v>0.27061716049779033</v>
      </c>
      <c r="ER5" s="460">
        <f>EQ5*1000</f>
        <v>270.61716049779034</v>
      </c>
      <c r="ES5" s="528">
        <f>Vfwd2*CJ5*(1+Diode_TC/1000*(Ta-25))</f>
        <v>6.212499999999999E-10</v>
      </c>
      <c r="ET5" s="528"/>
      <c r="EV5" s="460">
        <f>SUM(ES5:EU5)*1000</f>
        <v>6.2124999999999988E-7</v>
      </c>
      <c r="EW5" s="528">
        <f t="shared" ref="EW5:EW68" si="89">Rdcr_pri*EH5^2</f>
        <v>1.9999999999999997E-2</v>
      </c>
      <c r="EX5" s="528">
        <f t="shared" ref="EX5:EX68" si="90">Rdcr_sec*EI5^2</f>
        <v>0.97999999999999987</v>
      </c>
      <c r="EY5" s="528">
        <f t="shared" ref="EY5:EY68" si="91">DN5^2.5*DR5^2.5*k_core</f>
        <v>7.8872048280743991E-3</v>
      </c>
      <c r="EZ5" s="528">
        <f t="shared" ref="EZ5:EZ68" si="92">(EY5+(EW5+EX5)*(1+Ltc*(Ta-25)))/(1-(EW5+EX5)*Ltc*ThetaCa)</f>
        <v>1.3563991356826894</v>
      </c>
      <c r="FA5" s="528">
        <f t="shared" ref="FA5:FA68" si="93">0.5*Lleak*0.000000001*DN5^2*DR5*1000</f>
        <v>1.2000000000000001E-3</v>
      </c>
      <c r="FB5" s="460">
        <f>1000*(EZ5+FA5)</f>
        <v>1357.5991356826896</v>
      </c>
      <c r="FC5" s="173">
        <f>SUM(EQ5,ES5:EU5,EZ5, FA5)</f>
        <v>1.6282162968017297</v>
      </c>
      <c r="FD5" s="5">
        <f>MIN(CL5,CS5)</f>
        <v>1.5000000000000002E-8</v>
      </c>
      <c r="FE5" s="173">
        <f>FD5/(FD5+FC5)</f>
        <v>9.2125351473733271E-9</v>
      </c>
      <c r="FF5" s="5">
        <f>FE5*100</f>
        <v>9.2125351473733266E-7</v>
      </c>
      <c r="FI5" s="562">
        <f t="shared" ref="FI5:FI68" si="94">IF(ABS(CJ5-Ioutmax_Vinnom)&lt;Iout/200, DR5, -50)</f>
        <v>-50</v>
      </c>
      <c r="FJ5">
        <f t="shared" ref="FJ5:FJ68" si="95">IF(ABS(CJ5-Ioutmax_Vinnom)&lt;Iout/200, CR5*FE5, -50)</f>
        <v>-50</v>
      </c>
      <c r="FL5">
        <f t="shared" ref="FL5:FL36" si="96">MIN(SQRT(2*L*DR5*1000*CJ5*(CX5+Vfwd1))/(Nps*(CX5+Vfwd1)), 1-EA5)</f>
        <v>4.3244998209386832E-6</v>
      </c>
    </row>
    <row r="6" spans="2:168">
      <c r="E6" s="170">
        <v>1</v>
      </c>
      <c r="F6" s="217">
        <f t="shared" ref="F6:F37" si="97">IF(PLOT_TYPE=1, E6/100*Iout_max, min_I*EXP(N6*rr/100))</f>
        <v>0.1</v>
      </c>
      <c r="G6" s="217"/>
      <c r="H6" s="217">
        <f t="shared" si="0"/>
        <v>1.5</v>
      </c>
      <c r="I6" s="541">
        <f t="shared" si="1"/>
        <v>71.885891133853093</v>
      </c>
      <c r="J6" s="172">
        <f t="shared" si="2"/>
        <v>15.468465319688146</v>
      </c>
      <c r="K6" s="172">
        <f t="shared" si="3"/>
        <v>87.46846531968815</v>
      </c>
      <c r="L6" s="443"/>
      <c r="M6" s="217">
        <f t="shared" si="4"/>
        <v>0.17708574843657873</v>
      </c>
      <c r="N6" s="172">
        <f t="shared" si="5"/>
        <v>319.39486785173204</v>
      </c>
      <c r="O6" s="172">
        <f t="shared" ref="O6:O69" si="98">T6*F6</f>
        <v>1.5</v>
      </c>
      <c r="P6" s="217">
        <f t="shared" si="6"/>
        <v>21.292991190115469</v>
      </c>
      <c r="Q6" s="217">
        <f t="shared" si="7"/>
        <v>15</v>
      </c>
      <c r="R6" s="217">
        <f t="shared" si="8"/>
        <v>21.216611389114657</v>
      </c>
      <c r="S6" s="172">
        <f t="shared" si="9"/>
        <v>17899.58849871908</v>
      </c>
      <c r="T6" s="172">
        <f t="shared" si="10"/>
        <v>15</v>
      </c>
      <c r="U6" s="217">
        <f t="shared" ref="U6:U36" si="99">MIN(2*(Vout+Vfwd1+F6/FL6*Rdcr_sec)*F6/(I6*M6), Isw_max)</f>
        <v>0.24303868795567479</v>
      </c>
      <c r="V6" s="217">
        <f t="shared" si="11"/>
        <v>4.0570746351847785E-2</v>
      </c>
      <c r="W6" s="217">
        <f t="shared" si="12"/>
        <v>0.18854257324131851</v>
      </c>
      <c r="X6" s="197">
        <f t="shared" si="13"/>
        <v>106.07793924300675</v>
      </c>
      <c r="Y6" s="443">
        <f t="shared" si="14"/>
        <v>350</v>
      </c>
      <c r="AA6" s="217">
        <f t="shared" si="15"/>
        <v>10</v>
      </c>
      <c r="AB6" s="173">
        <f t="shared" si="16"/>
        <v>7.757718527336058</v>
      </c>
      <c r="AC6" s="173">
        <f t="shared" si="17"/>
        <v>4.1146139730355111</v>
      </c>
      <c r="AD6" s="173"/>
      <c r="AE6" s="173">
        <f t="shared" si="18"/>
        <v>7.757718527336058</v>
      </c>
      <c r="AF6" s="545">
        <f t="shared" ref="AF6:AF36" si="100">MAX(12, F6/(0.5*AE6/1000000*Isw_min*Nps)/1000)</f>
        <v>12</v>
      </c>
      <c r="AG6" s="528">
        <f t="shared" si="19"/>
        <v>4.1146139730355111</v>
      </c>
      <c r="AI6" s="173">
        <f t="shared" si="20"/>
        <v>0.85825030536074765</v>
      </c>
      <c r="AJ6" s="173">
        <f t="shared" si="21"/>
        <v>10</v>
      </c>
      <c r="AK6" s="173">
        <f t="shared" si="22"/>
        <v>1.0068571428571429</v>
      </c>
      <c r="AM6" s="545">
        <f t="shared" si="23"/>
        <v>100</v>
      </c>
      <c r="AN6" s="460">
        <f t="shared" si="24"/>
        <v>12</v>
      </c>
      <c r="AP6">
        <f t="shared" si="25"/>
        <v>100</v>
      </c>
      <c r="AQ6" s="460">
        <f t="shared" si="26"/>
        <v>12</v>
      </c>
      <c r="AR6" s="460"/>
      <c r="AS6" s="5">
        <f t="shared" ref="AS6:AS69" si="101">1/AN6*1000</f>
        <v>83.333333333333329</v>
      </c>
      <c r="AT6" s="5">
        <f t="shared" si="27"/>
        <v>1.6693122684750112</v>
      </c>
      <c r="AU6" s="5">
        <f t="shared" ref="AU6:AU69" si="102">AS6-AT6</f>
        <v>81.664021064858318</v>
      </c>
      <c r="AV6" s="5">
        <f t="shared" si="28"/>
        <v>7.757718527336058</v>
      </c>
      <c r="AW6" s="173">
        <f t="shared" ref="AW6:AW69" si="103">AT6/AS6</f>
        <v>2.0031747221700136E-2</v>
      </c>
      <c r="AX6" s="173">
        <f t="shared" si="29"/>
        <v>7.2000000000000011</v>
      </c>
      <c r="AY6" s="173">
        <f t="shared" si="30"/>
        <v>4.8998412638914992</v>
      </c>
      <c r="AZ6" s="173">
        <f t="shared" ref="AZ6:AZ69" si="104">AX6/AY6</f>
        <v>1.469435357642932</v>
      </c>
      <c r="BA6" s="460">
        <f t="shared" si="31"/>
        <v>1.1128748456500075</v>
      </c>
      <c r="BB6" s="5">
        <f t="shared" si="32"/>
        <v>0.47334288977975603</v>
      </c>
      <c r="BC6" s="5"/>
      <c r="BD6" s="173">
        <f t="shared" ref="BD6:BD69" si="105">AJ6*SQRT(AW6/3)</f>
        <v>0.81714436141357816</v>
      </c>
      <c r="BE6" s="173">
        <f t="shared" si="33"/>
        <v>5.7153834889658395</v>
      </c>
      <c r="BF6" s="173"/>
      <c r="BG6" s="528">
        <f t="shared" si="34"/>
        <v>1.3354498147800089E-2</v>
      </c>
      <c r="BH6" s="528">
        <f t="shared" si="35"/>
        <v>0.19680404696929835</v>
      </c>
      <c r="BI6" s="528">
        <f t="shared" si="36"/>
        <v>2.1565767340155927E-2</v>
      </c>
      <c r="BJ6" s="528">
        <f t="shared" si="37"/>
        <v>9.1808789104577872E-3</v>
      </c>
      <c r="BK6">
        <f t="shared" si="38"/>
        <v>3.2348651010233889E-2</v>
      </c>
      <c r="BL6" s="460">
        <f t="shared" ref="BL6:BL69" si="106">(BK6+BI6)*1000</f>
        <v>53.914418350389823</v>
      </c>
      <c r="BM6" s="528">
        <f t="shared" si="39"/>
        <v>0.22365480164537663</v>
      </c>
      <c r="BN6" s="460">
        <f t="shared" ref="BN6:BN69" si="107">BM6*1000</f>
        <v>223.65480164537664</v>
      </c>
      <c r="BO6" s="528">
        <f t="shared" ref="BO6:BO36" si="108">Vfwd2*F6*(1+Diode_TC/1000*(Ta-25))</f>
        <v>6.2124999999999993E-2</v>
      </c>
      <c r="BP6" s="528"/>
      <c r="BR6" s="460">
        <f t="shared" ref="BR6:BR69" si="109">SUM(BO6:BQ6)*1000</f>
        <v>62.124999999999993</v>
      </c>
      <c r="BS6" s="528">
        <f t="shared" si="40"/>
        <v>2.0031747221700133E-2</v>
      </c>
      <c r="BT6" s="528">
        <f t="shared" si="41"/>
        <v>0.97996825277829991</v>
      </c>
      <c r="BU6" s="528">
        <f t="shared" si="42"/>
        <v>2.2499999999999999E-2</v>
      </c>
      <c r="BV6" s="528">
        <f t="shared" si="43"/>
        <v>1.3722826086956521</v>
      </c>
      <c r="BW6" s="528">
        <f t="shared" si="44"/>
        <v>1.2000000000000001E-3</v>
      </c>
      <c r="BX6" s="460">
        <f t="shared" ref="BX6:BX69" si="110">1000*(BV6+BW6)</f>
        <v>1373.4826086956523</v>
      </c>
      <c r="BY6" s="173">
        <f t="shared" si="45"/>
        <v>1.7131768286914189</v>
      </c>
      <c r="BZ6" s="5">
        <f t="shared" ref="BZ6:BZ69" si="111">MIN(H6,O6)</f>
        <v>1.5</v>
      </c>
      <c r="CA6" s="173">
        <f t="shared" ref="CA6:CA69" si="112">BZ6/(BZ6+BY6)</f>
        <v>0.46682771598688577</v>
      </c>
      <c r="CB6" s="5">
        <f t="shared" ref="CB6:CB69" si="113">CA6*100</f>
        <v>46.682771598688575</v>
      </c>
      <c r="CE6" s="562">
        <f t="shared" si="46"/>
        <v>-50</v>
      </c>
      <c r="CF6">
        <f t="shared" si="47"/>
        <v>-50</v>
      </c>
      <c r="CG6" s="173">
        <f t="shared" si="48"/>
        <v>4.381780460041329E-2</v>
      </c>
      <c r="CI6" s="170">
        <v>1</v>
      </c>
      <c r="CJ6" s="217">
        <f t="shared" ref="CJ6:CJ69" si="114">IF(PLOT_TYPE=1, CI6/100*Iout_max, min_I*EXP(CR6*rr/100))</f>
        <v>0.1</v>
      </c>
      <c r="CK6" s="217"/>
      <c r="CL6" s="217">
        <f t="shared" si="49"/>
        <v>1.5</v>
      </c>
      <c r="CM6" s="541">
        <f t="shared" si="50"/>
        <v>72</v>
      </c>
      <c r="CN6" s="172">
        <f t="shared" si="51"/>
        <v>15.4</v>
      </c>
      <c r="CO6" s="443">
        <f t="shared" si="52"/>
        <v>87.4</v>
      </c>
      <c r="CP6" s="443"/>
      <c r="CQ6" s="217">
        <f t="shared" si="53"/>
        <v>0.17620137299771166</v>
      </c>
      <c r="CR6" s="172">
        <f t="shared" si="54"/>
        <v>318.30425629290613</v>
      </c>
      <c r="CS6" s="172">
        <f t="shared" ref="CS6:CS69" si="115">CX6*CJ6</f>
        <v>1.5</v>
      </c>
      <c r="CT6" s="217">
        <f t="shared" si="55"/>
        <v>21.220283752860407</v>
      </c>
      <c r="CU6" s="217">
        <f t="shared" si="56"/>
        <v>15</v>
      </c>
      <c r="CV6" s="217">
        <f t="shared" si="57"/>
        <v>21.144164759725399</v>
      </c>
      <c r="CW6" s="172">
        <f t="shared" si="58"/>
        <v>17928.001606389716</v>
      </c>
      <c r="CX6" s="172">
        <f t="shared" si="59"/>
        <v>15</v>
      </c>
      <c r="CY6" s="217">
        <f t="shared" si="60"/>
        <v>0.2364718614718615</v>
      </c>
      <c r="CZ6" s="217">
        <f t="shared" si="61"/>
        <v>3.9411976911976926E-2</v>
      </c>
      <c r="DA6" s="217">
        <f t="shared" si="62"/>
        <v>0.18426378815989208</v>
      </c>
      <c r="DB6" s="197">
        <f t="shared" si="63"/>
        <v>105.72082379862701</v>
      </c>
      <c r="DC6" s="443">
        <f t="shared" ref="DC6:DC69" si="116">MIN(1/(CZ6+DA6)*1000, 350)</f>
        <v>350</v>
      </c>
      <c r="DE6" s="217">
        <f t="shared" si="64"/>
        <v>9.9999999999999982</v>
      </c>
      <c r="DF6" s="173">
        <f t="shared" si="65"/>
        <v>7.7922077922077895</v>
      </c>
      <c r="DG6" s="173">
        <f t="shared" si="66"/>
        <v>4.118993135011439</v>
      </c>
      <c r="DH6" s="173"/>
      <c r="DI6" s="173">
        <f t="shared" si="67"/>
        <v>7.7922077922077913</v>
      </c>
      <c r="DJ6" s="545">
        <f t="shared" ref="DJ6:DJ69" si="117">MAX(12, CJ6/(0.5*DI6/1000000*Isw_min*Nps)/1000)</f>
        <v>12</v>
      </c>
      <c r="DK6" s="528">
        <f t="shared" si="68"/>
        <v>4.1189931350114417</v>
      </c>
      <c r="DM6" s="173">
        <f t="shared" si="69"/>
        <v>0.8563488385776753</v>
      </c>
      <c r="DN6" s="173">
        <f t="shared" si="70"/>
        <v>10</v>
      </c>
      <c r="DO6" s="173">
        <f t="shared" si="71"/>
        <v>1.0068571428571429</v>
      </c>
      <c r="DQ6" s="545">
        <f t="shared" si="72"/>
        <v>100</v>
      </c>
      <c r="DR6" s="460">
        <f t="shared" si="73"/>
        <v>12</v>
      </c>
      <c r="DT6">
        <f t="shared" si="74"/>
        <v>100</v>
      </c>
      <c r="DU6" s="460">
        <f t="shared" si="75"/>
        <v>12</v>
      </c>
      <c r="DV6" s="460"/>
      <c r="DW6" s="5">
        <f t="shared" ref="DW6:DW69" si="118">1/DR6*1000</f>
        <v>83.333333333333329</v>
      </c>
      <c r="DX6" s="5">
        <f t="shared" si="76"/>
        <v>1.6666666666666667</v>
      </c>
      <c r="DY6" s="5">
        <f t="shared" ref="DY6:DY69" si="119">DW6-DX6</f>
        <v>81.666666666666657</v>
      </c>
      <c r="DZ6" s="5">
        <f t="shared" si="77"/>
        <v>7.7922077922077913</v>
      </c>
      <c r="EA6" s="173">
        <f t="shared" ref="EA6:EA69" si="120">DX6/DW6</f>
        <v>0.02</v>
      </c>
      <c r="EB6" s="173">
        <f t="shared" si="78"/>
        <v>7.2000000000000011</v>
      </c>
      <c r="EC6" s="173">
        <f t="shared" si="79"/>
        <v>4.9000000000000004</v>
      </c>
      <c r="ED6" s="173">
        <f t="shared" ref="ED6:ED69" si="121">EB6/EC6</f>
        <v>1.4693877551020409</v>
      </c>
      <c r="EE6" s="460">
        <f t="shared" si="80"/>
        <v>1.1111111111111114</v>
      </c>
      <c r="EF6" s="5">
        <f t="shared" si="81"/>
        <v>0.47260802469135793</v>
      </c>
      <c r="EG6" s="5"/>
      <c r="EH6" s="173">
        <f t="shared" ref="EH6:EH69" si="122">DN6*SQRT(EA6/3)</f>
        <v>0.81649658092772603</v>
      </c>
      <c r="EI6" s="173">
        <f t="shared" si="82"/>
        <v>5.715476066494082</v>
      </c>
      <c r="EJ6" s="173"/>
      <c r="EK6" s="528">
        <f t="shared" si="83"/>
        <v>1.3333333333333332E-2</v>
      </c>
      <c r="EL6" s="528">
        <f t="shared" si="84"/>
        <v>0.20976</v>
      </c>
      <c r="EM6" s="528">
        <f t="shared" si="85"/>
        <v>1.5E-3</v>
      </c>
      <c r="EN6" s="528">
        <f t="shared" si="86"/>
        <v>9.1665120000000017E-3</v>
      </c>
      <c r="EO6">
        <f t="shared" si="87"/>
        <v>3.2399999999999998E-2</v>
      </c>
      <c r="EP6" s="460">
        <f t="shared" ref="EP6:EP69" si="123">(EO6+EM6)*1000</f>
        <v>33.9</v>
      </c>
      <c r="EQ6" s="528">
        <f t="shared" si="88"/>
        <v>0.27061716049779033</v>
      </c>
      <c r="ER6" s="460">
        <f t="shared" ref="ER6:ER69" si="124">EQ6*1000</f>
        <v>270.61716049779034</v>
      </c>
      <c r="ES6" s="528">
        <f t="shared" ref="ES6:ES69" si="125">Vfwd2*CJ6*(1+Diode_TC/1000*(Ta-25))</f>
        <v>6.2124999999999993E-2</v>
      </c>
      <c r="ET6" s="528"/>
      <c r="EV6" s="460">
        <f t="shared" ref="EV6:EV69" si="126">SUM(ES6:EU6)*1000</f>
        <v>62.124999999999993</v>
      </c>
      <c r="EW6" s="528">
        <f t="shared" si="89"/>
        <v>1.9999999999999997E-2</v>
      </c>
      <c r="EX6" s="528">
        <f t="shared" si="90"/>
        <v>0.97999999999999987</v>
      </c>
      <c r="EY6" s="528">
        <f t="shared" si="91"/>
        <v>7.8872048280743991E-3</v>
      </c>
      <c r="EZ6" s="528">
        <f t="shared" si="92"/>
        <v>1.3563991356826894</v>
      </c>
      <c r="FA6" s="528">
        <f t="shared" si="93"/>
        <v>1.2000000000000001E-3</v>
      </c>
      <c r="FB6" s="460">
        <f t="shared" ref="FB6:FB69" si="127">1000*(EZ6+FA6)</f>
        <v>1357.5991356826896</v>
      </c>
      <c r="FC6" s="173">
        <f t="shared" ref="FC6:FC69" si="128">SUM(EQ6,ES6:EU6,EZ6, FA6)</f>
        <v>1.6903412961804798</v>
      </c>
      <c r="FD6" s="5">
        <f t="shared" ref="FD6:FD69" si="129">MIN(CL6,CS6)</f>
        <v>1.5</v>
      </c>
      <c r="FE6" s="173">
        <f t="shared" ref="FE6:FE69" si="130">FD6/(FD6+FC6)</f>
        <v>0.47016913262409277</v>
      </c>
      <c r="FF6" s="5">
        <f t="shared" ref="FF6:FF69" si="131">FE6*100</f>
        <v>47.016913262409275</v>
      </c>
      <c r="FI6" s="562">
        <f t="shared" si="94"/>
        <v>-50</v>
      </c>
      <c r="FJ6">
        <f t="shared" si="95"/>
        <v>-50</v>
      </c>
      <c r="FL6">
        <f t="shared" si="96"/>
        <v>4.3244998209386834E-2</v>
      </c>
    </row>
    <row r="7" spans="2:168">
      <c r="E7" s="170">
        <v>2</v>
      </c>
      <c r="F7" s="217">
        <f t="shared" si="97"/>
        <v>0.2</v>
      </c>
      <c r="G7" s="217"/>
      <c r="H7" s="217">
        <f t="shared" si="0"/>
        <v>3</v>
      </c>
      <c r="I7" s="541">
        <f t="shared" si="1"/>
        <v>71.838625693908028</v>
      </c>
      <c r="J7" s="172">
        <f t="shared" si="2"/>
        <v>15.496824583655187</v>
      </c>
      <c r="K7" s="172">
        <f t="shared" si="3"/>
        <v>87.496824583655183</v>
      </c>
      <c r="L7" s="443"/>
      <c r="M7" s="217">
        <f t="shared" si="4"/>
        <v>0.17745233410207895</v>
      </c>
      <c r="N7" s="172">
        <f t="shared" si="5"/>
        <v>319.84560906446529</v>
      </c>
      <c r="O7" s="172">
        <f t="shared" si="98"/>
        <v>3</v>
      </c>
      <c r="P7" s="217">
        <f t="shared" si="6"/>
        <v>21.323040604297685</v>
      </c>
      <c r="Q7" s="217">
        <f t="shared" si="7"/>
        <v>15</v>
      </c>
      <c r="R7" s="217">
        <f t="shared" si="8"/>
        <v>21.246553013449265</v>
      </c>
      <c r="S7" s="172">
        <f t="shared" si="9"/>
        <v>8907.9928117050349</v>
      </c>
      <c r="T7" s="172">
        <f t="shared" si="10"/>
        <v>15</v>
      </c>
      <c r="U7" s="217">
        <f t="shared" si="99"/>
        <v>0.4862940065161408</v>
      </c>
      <c r="V7" s="217">
        <f t="shared" si="11"/>
        <v>8.1231065068781624E-2</v>
      </c>
      <c r="W7" s="217">
        <f t="shared" si="12"/>
        <v>0.37656282722258722</v>
      </c>
      <c r="X7" s="197">
        <f t="shared" si="13"/>
        <v>106.22553395855111</v>
      </c>
      <c r="Y7" s="443">
        <f t="shared" si="14"/>
        <v>350</v>
      </c>
      <c r="AA7" s="217">
        <f t="shared" si="15"/>
        <v>10</v>
      </c>
      <c r="AB7" s="173">
        <f t="shared" si="16"/>
        <v>7.7435218648965307</v>
      </c>
      <c r="AC7" s="173">
        <f t="shared" si="17"/>
        <v>4.1127987240917472</v>
      </c>
      <c r="AD7" s="173"/>
      <c r="AE7" s="173">
        <f t="shared" si="18"/>
        <v>7.7435218648965307</v>
      </c>
      <c r="AF7" s="545">
        <f t="shared" si="100"/>
        <v>12</v>
      </c>
      <c r="AG7" s="528">
        <f t="shared" si="19"/>
        <v>4.1127987240917463</v>
      </c>
      <c r="AI7" s="173">
        <f t="shared" si="20"/>
        <v>1.2148613318342998</v>
      </c>
      <c r="AJ7" s="173">
        <f t="shared" si="21"/>
        <v>10</v>
      </c>
      <c r="AK7" s="173">
        <f t="shared" si="22"/>
        <v>1.0068571428571429</v>
      </c>
      <c r="AM7" s="545">
        <f t="shared" si="23"/>
        <v>200</v>
      </c>
      <c r="AN7" s="460">
        <f t="shared" si="24"/>
        <v>12</v>
      </c>
      <c r="AP7">
        <f t="shared" si="25"/>
        <v>200</v>
      </c>
      <c r="AQ7" s="460">
        <f t="shared" si="26"/>
        <v>12</v>
      </c>
      <c r="AR7" s="460"/>
      <c r="AS7" s="5">
        <f t="shared" si="101"/>
        <v>83.333333333333329</v>
      </c>
      <c r="AT7" s="5">
        <f t="shared" si="27"/>
        <v>1.6704105742682114</v>
      </c>
      <c r="AU7" s="5">
        <f t="shared" si="102"/>
        <v>81.662922759065111</v>
      </c>
      <c r="AV7" s="5">
        <f t="shared" si="28"/>
        <v>7.7435218648965307</v>
      </c>
      <c r="AW7" s="173">
        <f t="shared" si="103"/>
        <v>2.0044926891218538E-2</v>
      </c>
      <c r="AX7" s="173">
        <f t="shared" si="29"/>
        <v>7.2000000000000011</v>
      </c>
      <c r="AY7" s="173">
        <f t="shared" si="30"/>
        <v>4.8997753655439071</v>
      </c>
      <c r="AZ7" s="173">
        <f t="shared" si="104"/>
        <v>1.4694551204595385</v>
      </c>
      <c r="BA7" s="460">
        <f t="shared" si="31"/>
        <v>2.2272140990242821</v>
      </c>
      <c r="BB7" s="5">
        <f t="shared" si="32"/>
        <v>0.94729590071104541</v>
      </c>
      <c r="BC7" s="5"/>
      <c r="BD7" s="173">
        <f t="shared" si="105"/>
        <v>0.81741313282041461</v>
      </c>
      <c r="BE7" s="173">
        <f t="shared" si="33"/>
        <v>5.7153450555173002</v>
      </c>
      <c r="BF7" s="173"/>
      <c r="BG7" s="528">
        <f t="shared" si="34"/>
        <v>1.3363284594145694E-2</v>
      </c>
      <c r="BH7" s="528">
        <f t="shared" si="35"/>
        <v>0.19686785531322418</v>
      </c>
      <c r="BI7" s="528">
        <f t="shared" si="36"/>
        <v>2.155158770817241E-2</v>
      </c>
      <c r="BJ7" s="528">
        <f t="shared" si="37"/>
        <v>9.1868331746675115E-3</v>
      </c>
      <c r="BK7">
        <f t="shared" si="38"/>
        <v>3.232738156225861E-2</v>
      </c>
      <c r="BL7" s="460">
        <f t="shared" si="106"/>
        <v>53.878969270431021</v>
      </c>
      <c r="BM7" s="528">
        <f t="shared" si="39"/>
        <v>0.22373644919595487</v>
      </c>
      <c r="BN7" s="460">
        <f t="shared" si="107"/>
        <v>223.73644919595486</v>
      </c>
      <c r="BO7" s="528">
        <f t="shared" si="108"/>
        <v>0.12424999999999999</v>
      </c>
      <c r="BP7" s="528"/>
      <c r="BR7" s="460">
        <f t="shared" si="109"/>
        <v>124.24999999999999</v>
      </c>
      <c r="BS7" s="528">
        <f t="shared" si="40"/>
        <v>2.0044926891218541E-2</v>
      </c>
      <c r="BT7" s="528">
        <f t="shared" si="41"/>
        <v>0.97995507310878138</v>
      </c>
      <c r="BU7" s="528">
        <f t="shared" si="42"/>
        <v>4.4999999999999998E-2</v>
      </c>
      <c r="BV7" s="528">
        <f t="shared" si="43"/>
        <v>1.3967391304347823</v>
      </c>
      <c r="BW7" s="528">
        <f t="shared" si="44"/>
        <v>1.2000000000000001E-3</v>
      </c>
      <c r="BX7" s="460">
        <f t="shared" si="110"/>
        <v>1397.9391304347823</v>
      </c>
      <c r="BY7" s="173">
        <f t="shared" si="45"/>
        <v>1.7998045489011683</v>
      </c>
      <c r="BZ7" s="5">
        <f t="shared" si="111"/>
        <v>3</v>
      </c>
      <c r="CA7" s="173">
        <f t="shared" si="112"/>
        <v>0.62502545039814128</v>
      </c>
      <c r="CB7" s="5">
        <f t="shared" si="113"/>
        <v>62.50254503981413</v>
      </c>
      <c r="CE7" s="562">
        <f t="shared" si="46"/>
        <v>-50</v>
      </c>
      <c r="CF7">
        <f t="shared" si="47"/>
        <v>-50</v>
      </c>
      <c r="CG7" s="173">
        <f t="shared" si="48"/>
        <v>6.1967733539318677E-2</v>
      </c>
      <c r="CI7" s="170">
        <v>2</v>
      </c>
      <c r="CJ7" s="217">
        <f t="shared" si="114"/>
        <v>0.2</v>
      </c>
      <c r="CK7" s="217"/>
      <c r="CL7" s="217">
        <f t="shared" si="49"/>
        <v>3</v>
      </c>
      <c r="CM7" s="541">
        <f t="shared" si="50"/>
        <v>72</v>
      </c>
      <c r="CN7" s="172">
        <f t="shared" si="51"/>
        <v>15.4</v>
      </c>
      <c r="CO7" s="443">
        <f t="shared" si="52"/>
        <v>87.4</v>
      </c>
      <c r="CP7" s="443"/>
      <c r="CQ7" s="217">
        <f t="shared" si="53"/>
        <v>0.17620137299771166</v>
      </c>
      <c r="CR7" s="172">
        <f t="shared" si="54"/>
        <v>318.30425629290613</v>
      </c>
      <c r="CS7" s="172">
        <f t="shared" si="115"/>
        <v>3</v>
      </c>
      <c r="CT7" s="217">
        <f t="shared" si="55"/>
        <v>21.220283752860407</v>
      </c>
      <c r="CU7" s="217">
        <f t="shared" si="56"/>
        <v>15</v>
      </c>
      <c r="CV7" s="217">
        <f t="shared" si="57"/>
        <v>21.144164759725399</v>
      </c>
      <c r="CW7" s="172">
        <f t="shared" si="58"/>
        <v>8928.0032256607665</v>
      </c>
      <c r="CX7" s="172">
        <f t="shared" si="59"/>
        <v>15</v>
      </c>
      <c r="CY7" s="217">
        <f t="shared" si="60"/>
        <v>0.472943722943723</v>
      </c>
      <c r="CZ7" s="217">
        <f t="shared" si="61"/>
        <v>7.8823953823953852E-2</v>
      </c>
      <c r="DA7" s="217">
        <f t="shared" si="62"/>
        <v>0.36852757631978417</v>
      </c>
      <c r="DB7" s="197">
        <f t="shared" si="63"/>
        <v>105.72082379862701</v>
      </c>
      <c r="DC7" s="443">
        <f t="shared" si="116"/>
        <v>350</v>
      </c>
      <c r="DE7" s="217">
        <f t="shared" si="64"/>
        <v>9.9999999999999982</v>
      </c>
      <c r="DF7" s="173">
        <f t="shared" si="65"/>
        <v>7.7922077922077895</v>
      </c>
      <c r="DG7" s="173">
        <f t="shared" si="66"/>
        <v>4.118993135011439</v>
      </c>
      <c r="DH7" s="173"/>
      <c r="DI7" s="173">
        <f t="shared" si="67"/>
        <v>7.7922077922077913</v>
      </c>
      <c r="DJ7" s="545">
        <f t="shared" si="117"/>
        <v>12</v>
      </c>
      <c r="DK7" s="528">
        <f t="shared" si="68"/>
        <v>4.1189931350114417</v>
      </c>
      <c r="DM7" s="173">
        <f t="shared" si="69"/>
        <v>1.2110601416389968</v>
      </c>
      <c r="DN7" s="173">
        <f t="shared" si="70"/>
        <v>10</v>
      </c>
      <c r="DO7" s="173">
        <f t="shared" si="71"/>
        <v>1.0068571428571429</v>
      </c>
      <c r="DQ7" s="545">
        <f t="shared" si="72"/>
        <v>200</v>
      </c>
      <c r="DR7" s="460">
        <f t="shared" si="73"/>
        <v>12</v>
      </c>
      <c r="DT7">
        <f t="shared" si="74"/>
        <v>200</v>
      </c>
      <c r="DU7" s="460">
        <f t="shared" si="75"/>
        <v>12</v>
      </c>
      <c r="DV7" s="460"/>
      <c r="DW7" s="5">
        <f t="shared" si="118"/>
        <v>83.333333333333329</v>
      </c>
      <c r="DX7" s="5">
        <f t="shared" si="76"/>
        <v>1.6666666666666667</v>
      </c>
      <c r="DY7" s="5">
        <f t="shared" si="119"/>
        <v>81.666666666666657</v>
      </c>
      <c r="DZ7" s="5">
        <f t="shared" si="77"/>
        <v>7.7922077922077913</v>
      </c>
      <c r="EA7" s="173">
        <f t="shared" si="120"/>
        <v>0.02</v>
      </c>
      <c r="EB7" s="173">
        <f t="shared" si="78"/>
        <v>7.2000000000000011</v>
      </c>
      <c r="EC7" s="173">
        <f t="shared" si="79"/>
        <v>4.9000000000000004</v>
      </c>
      <c r="ED7" s="173">
        <f t="shared" si="121"/>
        <v>1.4693877551020409</v>
      </c>
      <c r="EE7" s="460">
        <f t="shared" si="80"/>
        <v>2.2222222222222228</v>
      </c>
      <c r="EF7" s="5">
        <f t="shared" si="81"/>
        <v>0.94521604938271586</v>
      </c>
      <c r="EG7" s="5"/>
      <c r="EH7" s="173">
        <f t="shared" si="122"/>
        <v>0.81649658092772603</v>
      </c>
      <c r="EI7" s="173">
        <f t="shared" si="82"/>
        <v>5.715476066494082</v>
      </c>
      <c r="EJ7" s="173"/>
      <c r="EK7" s="528">
        <f t="shared" si="83"/>
        <v>1.3333333333333332E-2</v>
      </c>
      <c r="EL7" s="528">
        <f t="shared" si="84"/>
        <v>0.20976</v>
      </c>
      <c r="EM7" s="528">
        <f t="shared" si="85"/>
        <v>1.5E-3</v>
      </c>
      <c r="EN7" s="528">
        <f t="shared" si="86"/>
        <v>9.1665120000000017E-3</v>
      </c>
      <c r="EO7">
        <f t="shared" si="87"/>
        <v>3.2399999999999998E-2</v>
      </c>
      <c r="EP7" s="460">
        <f t="shared" si="123"/>
        <v>33.9</v>
      </c>
      <c r="EQ7" s="528">
        <f t="shared" si="88"/>
        <v>0.27061716049779033</v>
      </c>
      <c r="ER7" s="460">
        <f t="shared" si="124"/>
        <v>270.61716049779034</v>
      </c>
      <c r="ES7" s="528">
        <f t="shared" si="125"/>
        <v>0.12424999999999999</v>
      </c>
      <c r="ET7" s="528"/>
      <c r="EV7" s="460">
        <f t="shared" si="126"/>
        <v>124.24999999999999</v>
      </c>
      <c r="EW7" s="528">
        <f t="shared" si="89"/>
        <v>1.9999999999999997E-2</v>
      </c>
      <c r="EX7" s="528">
        <f t="shared" si="90"/>
        <v>0.97999999999999987</v>
      </c>
      <c r="EY7" s="528">
        <f t="shared" si="91"/>
        <v>7.8872048280743991E-3</v>
      </c>
      <c r="EZ7" s="528">
        <f t="shared" si="92"/>
        <v>1.3563991356826894</v>
      </c>
      <c r="FA7" s="528">
        <f t="shared" si="93"/>
        <v>1.2000000000000001E-3</v>
      </c>
      <c r="FB7" s="460">
        <f t="shared" si="127"/>
        <v>1357.5991356826896</v>
      </c>
      <c r="FC7" s="173">
        <f t="shared" si="128"/>
        <v>1.7524662961804798</v>
      </c>
      <c r="FD7" s="5">
        <f t="shared" si="129"/>
        <v>3</v>
      </c>
      <c r="FE7" s="173">
        <f t="shared" si="130"/>
        <v>0.63125118896920462</v>
      </c>
      <c r="FF7" s="5">
        <f t="shared" si="131"/>
        <v>63.125118896920462</v>
      </c>
      <c r="FI7" s="562">
        <f t="shared" si="94"/>
        <v>-50</v>
      </c>
      <c r="FJ7">
        <f t="shared" si="95"/>
        <v>-50</v>
      </c>
      <c r="FL7">
        <f t="shared" si="96"/>
        <v>6.115766297251507E-2</v>
      </c>
    </row>
    <row r="8" spans="2:168">
      <c r="E8" s="170">
        <v>3</v>
      </c>
      <c r="F8" s="217">
        <f t="shared" si="97"/>
        <v>0.3</v>
      </c>
      <c r="G8" s="217"/>
      <c r="H8" s="217">
        <f t="shared" si="0"/>
        <v>4.5</v>
      </c>
      <c r="I8" s="541">
        <f t="shared" si="1"/>
        <v>71.802357646239471</v>
      </c>
      <c r="J8" s="172">
        <f t="shared" si="2"/>
        <v>15.518585412256314</v>
      </c>
      <c r="K8" s="172">
        <f t="shared" si="3"/>
        <v>87.518585412256314</v>
      </c>
      <c r="L8" s="443"/>
      <c r="M8" s="217">
        <f t="shared" si="4"/>
        <v>0.17773373067231243</v>
      </c>
      <c r="N8" s="172">
        <f t="shared" si="5"/>
        <v>320.19107546894253</v>
      </c>
      <c r="O8" s="172">
        <f t="shared" si="98"/>
        <v>4.5</v>
      </c>
      <c r="P8" s="217">
        <f t="shared" si="6"/>
        <v>21.346071697929503</v>
      </c>
      <c r="Q8" s="217">
        <f t="shared" si="7"/>
        <v>15</v>
      </c>
      <c r="R8" s="217">
        <f t="shared" si="8"/>
        <v>21.269501492556298</v>
      </c>
      <c r="S8" s="172">
        <f t="shared" si="9"/>
        <v>5911.7323041739528</v>
      </c>
      <c r="T8" s="172">
        <f t="shared" si="10"/>
        <v>15</v>
      </c>
      <c r="U8" s="217">
        <f t="shared" si="99"/>
        <v>0.72969063961553482</v>
      </c>
      <c r="V8" s="217">
        <f t="shared" si="11"/>
        <v>0.12194986296310026</v>
      </c>
      <c r="W8" s="217">
        <f t="shared" si="12"/>
        <v>0.56424522227849783</v>
      </c>
      <c r="X8" s="197">
        <f t="shared" si="13"/>
        <v>106.33865722874167</v>
      </c>
      <c r="Y8" s="443">
        <f t="shared" si="14"/>
        <v>350</v>
      </c>
      <c r="AA8" s="217">
        <f t="shared" si="15"/>
        <v>10.000000000000002</v>
      </c>
      <c r="AB8" s="173">
        <f t="shared" si="16"/>
        <v>7.7326635651485391</v>
      </c>
      <c r="AC8" s="173">
        <f t="shared" si="17"/>
        <v>4.1114053015975509</v>
      </c>
      <c r="AD8" s="173"/>
      <c r="AE8" s="173">
        <f t="shared" si="18"/>
        <v>7.7326635651485374</v>
      </c>
      <c r="AF8" s="545">
        <f t="shared" si="100"/>
        <v>12</v>
      </c>
      <c r="AG8" s="528">
        <f t="shared" si="19"/>
        <v>4.1114053015975491</v>
      </c>
      <c r="AI8" s="173">
        <f t="shared" si="20"/>
        <v>1.4889394793541721</v>
      </c>
      <c r="AJ8" s="173">
        <f t="shared" si="21"/>
        <v>10</v>
      </c>
      <c r="AK8" s="173">
        <f t="shared" si="22"/>
        <v>1.0068571428571429</v>
      </c>
      <c r="AM8" s="545">
        <f t="shared" si="23"/>
        <v>300</v>
      </c>
      <c r="AN8" s="460">
        <f t="shared" si="24"/>
        <v>12</v>
      </c>
      <c r="AP8">
        <f t="shared" si="25"/>
        <v>300</v>
      </c>
      <c r="AQ8" s="460">
        <f t="shared" si="26"/>
        <v>12</v>
      </c>
      <c r="AR8" s="460"/>
      <c r="AS8" s="5">
        <f t="shared" si="101"/>
        <v>83.333333333333329</v>
      </c>
      <c r="AT8" s="5">
        <f t="shared" si="27"/>
        <v>1.6712543143948533</v>
      </c>
      <c r="AU8" s="5">
        <f t="shared" si="102"/>
        <v>81.662079018938471</v>
      </c>
      <c r="AV8" s="5">
        <f t="shared" si="28"/>
        <v>7.7326635651485374</v>
      </c>
      <c r="AW8" s="173">
        <f t="shared" si="103"/>
        <v>2.0055051772738239E-2</v>
      </c>
      <c r="AX8" s="173">
        <f t="shared" si="29"/>
        <v>7.2000000000000011</v>
      </c>
      <c r="AY8" s="173">
        <f t="shared" si="30"/>
        <v>4.8997247411363087</v>
      </c>
      <c r="AZ8" s="173">
        <f t="shared" si="104"/>
        <v>1.4694703030052723</v>
      </c>
      <c r="BA8" s="460">
        <f t="shared" si="31"/>
        <v>3.3425086287897066</v>
      </c>
      <c r="BB8" s="5">
        <f t="shared" si="32"/>
        <v>1.4216468946130663</v>
      </c>
      <c r="BC8" s="5"/>
      <c r="BD8" s="173">
        <f t="shared" si="105"/>
        <v>0.81761954829733696</v>
      </c>
      <c r="BE8" s="173">
        <f t="shared" si="33"/>
        <v>5.7153155300101668</v>
      </c>
      <c r="BF8" s="173"/>
      <c r="BG8" s="528">
        <f t="shared" si="34"/>
        <v>1.3370034515158826E-2</v>
      </c>
      <c r="BH8" s="528">
        <f t="shared" si="35"/>
        <v>0.19691681717757673</v>
      </c>
      <c r="BI8" s="528">
        <f t="shared" si="36"/>
        <v>2.1540707293871843E-2</v>
      </c>
      <c r="BJ8" s="528">
        <f t="shared" si="37"/>
        <v>9.1914033510748852E-3</v>
      </c>
      <c r="BK8">
        <f t="shared" si="38"/>
        <v>3.2311060940807761E-2</v>
      </c>
      <c r="BL8" s="460">
        <f t="shared" si="106"/>
        <v>53.851768234679604</v>
      </c>
      <c r="BM8" s="528">
        <f t="shared" si="39"/>
        <v>0.22379911152139481</v>
      </c>
      <c r="BN8" s="460">
        <f t="shared" si="107"/>
        <v>223.79911152139482</v>
      </c>
      <c r="BO8" s="528">
        <f t="shared" si="108"/>
        <v>0.18637499999999999</v>
      </c>
      <c r="BP8" s="528"/>
      <c r="BR8" s="460">
        <f t="shared" si="109"/>
        <v>186.37499999999997</v>
      </c>
      <c r="BS8" s="528">
        <f t="shared" si="40"/>
        <v>2.0055051772738239E-2</v>
      </c>
      <c r="BT8" s="528">
        <f t="shared" si="41"/>
        <v>0.97994494822726175</v>
      </c>
      <c r="BU8" s="528">
        <f t="shared" si="42"/>
        <v>6.7500000000000004E-2</v>
      </c>
      <c r="BV8" s="528">
        <f t="shared" si="43"/>
        <v>1.4211956521739131</v>
      </c>
      <c r="BW8" s="528">
        <f t="shared" si="44"/>
        <v>1.2000000000000001E-3</v>
      </c>
      <c r="BX8" s="460">
        <f t="shared" si="110"/>
        <v>1422.3956521739133</v>
      </c>
      <c r="BY8" s="173">
        <f t="shared" si="45"/>
        <v>1.8864215319299875</v>
      </c>
      <c r="BZ8" s="5">
        <f t="shared" si="111"/>
        <v>4.5</v>
      </c>
      <c r="CA8" s="173">
        <f t="shared" si="112"/>
        <v>0.70461994678890105</v>
      </c>
      <c r="CB8" s="5">
        <f t="shared" si="113"/>
        <v>70.461994678890107</v>
      </c>
      <c r="CE8" s="562">
        <f t="shared" si="46"/>
        <v>-50</v>
      </c>
      <c r="CF8">
        <f t="shared" si="47"/>
        <v>-50</v>
      </c>
      <c r="CG8" s="173">
        <f t="shared" si="48"/>
        <v>7.5894663844041116E-2</v>
      </c>
      <c r="CI8" s="170">
        <v>3</v>
      </c>
      <c r="CJ8" s="217">
        <f t="shared" si="114"/>
        <v>0.3</v>
      </c>
      <c r="CK8" s="217"/>
      <c r="CL8" s="217">
        <f t="shared" si="49"/>
        <v>4.5</v>
      </c>
      <c r="CM8" s="541">
        <f t="shared" si="50"/>
        <v>72</v>
      </c>
      <c r="CN8" s="172">
        <f t="shared" si="51"/>
        <v>15.4</v>
      </c>
      <c r="CO8" s="443">
        <f t="shared" si="52"/>
        <v>87.4</v>
      </c>
      <c r="CP8" s="443"/>
      <c r="CQ8" s="217">
        <f t="shared" si="53"/>
        <v>0.17620137299771166</v>
      </c>
      <c r="CR8" s="172">
        <f t="shared" si="54"/>
        <v>318.30425629290613</v>
      </c>
      <c r="CS8" s="172">
        <f t="shared" si="115"/>
        <v>4.5</v>
      </c>
      <c r="CT8" s="217">
        <f t="shared" si="55"/>
        <v>21.220283752860407</v>
      </c>
      <c r="CU8" s="217">
        <f t="shared" si="56"/>
        <v>15</v>
      </c>
      <c r="CV8" s="217">
        <f t="shared" si="57"/>
        <v>21.144164759725399</v>
      </c>
      <c r="CW8" s="172">
        <f t="shared" si="58"/>
        <v>5928.0048579678169</v>
      </c>
      <c r="CX8" s="172">
        <f t="shared" si="59"/>
        <v>15</v>
      </c>
      <c r="CY8" s="217">
        <f t="shared" si="60"/>
        <v>0.7094155844155845</v>
      </c>
      <c r="CZ8" s="217">
        <f t="shared" si="61"/>
        <v>0.11823593073593076</v>
      </c>
      <c r="DA8" s="217">
        <f t="shared" si="62"/>
        <v>0.55279136447967625</v>
      </c>
      <c r="DB8" s="197">
        <f t="shared" si="63"/>
        <v>105.72082379862701</v>
      </c>
      <c r="DC8" s="443">
        <f t="shared" si="116"/>
        <v>350</v>
      </c>
      <c r="DE8" s="217">
        <f t="shared" si="64"/>
        <v>9.9999999999999982</v>
      </c>
      <c r="DF8" s="173">
        <f t="shared" si="65"/>
        <v>7.7922077922077895</v>
      </c>
      <c r="DG8" s="173">
        <f t="shared" si="66"/>
        <v>4.118993135011439</v>
      </c>
      <c r="DH8" s="173"/>
      <c r="DI8" s="173">
        <f t="shared" si="67"/>
        <v>7.7922077922077913</v>
      </c>
      <c r="DJ8" s="545">
        <f t="shared" si="117"/>
        <v>12</v>
      </c>
      <c r="DK8" s="528">
        <f t="shared" si="68"/>
        <v>4.1189931350114417</v>
      </c>
      <c r="DM8" s="173">
        <f t="shared" si="69"/>
        <v>1.4832396974191326</v>
      </c>
      <c r="DN8" s="173">
        <f t="shared" si="70"/>
        <v>10</v>
      </c>
      <c r="DO8" s="173">
        <f t="shared" si="71"/>
        <v>1.0068571428571429</v>
      </c>
      <c r="DQ8" s="545">
        <f t="shared" si="72"/>
        <v>300</v>
      </c>
      <c r="DR8" s="460">
        <f t="shared" si="73"/>
        <v>12</v>
      </c>
      <c r="DT8">
        <f t="shared" si="74"/>
        <v>300</v>
      </c>
      <c r="DU8" s="460">
        <f t="shared" si="75"/>
        <v>12</v>
      </c>
      <c r="DV8" s="460"/>
      <c r="DW8" s="5">
        <f t="shared" si="118"/>
        <v>83.333333333333329</v>
      </c>
      <c r="DX8" s="5">
        <f t="shared" si="76"/>
        <v>1.6666666666666667</v>
      </c>
      <c r="DY8" s="5">
        <f t="shared" si="119"/>
        <v>81.666666666666657</v>
      </c>
      <c r="DZ8" s="5">
        <f t="shared" si="77"/>
        <v>7.7922077922077913</v>
      </c>
      <c r="EA8" s="173">
        <f t="shared" si="120"/>
        <v>0.02</v>
      </c>
      <c r="EB8" s="173">
        <f t="shared" si="78"/>
        <v>7.2000000000000011</v>
      </c>
      <c r="EC8" s="173">
        <f t="shared" si="79"/>
        <v>4.9000000000000004</v>
      </c>
      <c r="ED8" s="173">
        <f t="shared" si="121"/>
        <v>1.4693877551020409</v>
      </c>
      <c r="EE8" s="460">
        <f t="shared" si="80"/>
        <v>3.3333333333333335</v>
      </c>
      <c r="EF8" s="5">
        <f t="shared" si="81"/>
        <v>1.417824074074074</v>
      </c>
      <c r="EG8" s="5"/>
      <c r="EH8" s="173">
        <f t="shared" si="122"/>
        <v>0.81649658092772603</v>
      </c>
      <c r="EI8" s="173">
        <f t="shared" si="82"/>
        <v>5.715476066494082</v>
      </c>
      <c r="EJ8" s="173"/>
      <c r="EK8" s="528">
        <f t="shared" si="83"/>
        <v>1.3333333333333332E-2</v>
      </c>
      <c r="EL8" s="528">
        <f t="shared" si="84"/>
        <v>0.20976</v>
      </c>
      <c r="EM8" s="528">
        <f t="shared" si="85"/>
        <v>1.5E-3</v>
      </c>
      <c r="EN8" s="528">
        <f t="shared" si="86"/>
        <v>9.1665120000000017E-3</v>
      </c>
      <c r="EO8">
        <f t="shared" si="87"/>
        <v>3.2399999999999998E-2</v>
      </c>
      <c r="EP8" s="460">
        <f t="shared" si="123"/>
        <v>33.9</v>
      </c>
      <c r="EQ8" s="528">
        <f t="shared" si="88"/>
        <v>0.27061716049779033</v>
      </c>
      <c r="ER8" s="460">
        <f t="shared" si="124"/>
        <v>270.61716049779034</v>
      </c>
      <c r="ES8" s="528">
        <f t="shared" si="125"/>
        <v>0.18637499999999999</v>
      </c>
      <c r="ET8" s="528"/>
      <c r="EV8" s="460">
        <f t="shared" si="126"/>
        <v>186.37499999999997</v>
      </c>
      <c r="EW8" s="528">
        <f t="shared" si="89"/>
        <v>1.9999999999999997E-2</v>
      </c>
      <c r="EX8" s="528">
        <f t="shared" si="90"/>
        <v>0.97999999999999987</v>
      </c>
      <c r="EY8" s="528">
        <f t="shared" si="91"/>
        <v>7.8872048280743991E-3</v>
      </c>
      <c r="EZ8" s="528">
        <f t="shared" si="92"/>
        <v>1.3563991356826894</v>
      </c>
      <c r="FA8" s="528">
        <f t="shared" si="93"/>
        <v>1.2000000000000001E-3</v>
      </c>
      <c r="FB8" s="460">
        <f t="shared" si="127"/>
        <v>1357.5991356826896</v>
      </c>
      <c r="FC8" s="173">
        <f t="shared" si="128"/>
        <v>1.81459129618048</v>
      </c>
      <c r="FD8" s="5">
        <f t="shared" si="129"/>
        <v>4.5</v>
      </c>
      <c r="FE8" s="173">
        <f t="shared" si="130"/>
        <v>0.71263519504768646</v>
      </c>
      <c r="FF8" s="5">
        <f t="shared" si="131"/>
        <v>71.263519504768652</v>
      </c>
      <c r="FI8" s="562">
        <f t="shared" si="94"/>
        <v>-50</v>
      </c>
      <c r="FJ8">
        <f t="shared" si="95"/>
        <v>-50</v>
      </c>
      <c r="FL8">
        <f t="shared" si="96"/>
        <v>7.4902534071883117E-2</v>
      </c>
    </row>
    <row r="9" spans="2:168">
      <c r="E9" s="170">
        <v>4</v>
      </c>
      <c r="F9" s="217">
        <f t="shared" si="97"/>
        <v>0.4</v>
      </c>
      <c r="G9" s="217"/>
      <c r="H9" s="217">
        <f t="shared" si="0"/>
        <v>6</v>
      </c>
      <c r="I9" s="541">
        <f t="shared" si="1"/>
        <v>71.771782267706186</v>
      </c>
      <c r="J9" s="172">
        <f t="shared" si="2"/>
        <v>15.536930639376292</v>
      </c>
      <c r="K9" s="172">
        <f t="shared" si="3"/>
        <v>87.536930639376294</v>
      </c>
      <c r="L9" s="443"/>
      <c r="M9" s="217">
        <f t="shared" si="4"/>
        <v>0.17797103015843083</v>
      </c>
      <c r="N9" s="172">
        <f t="shared" si="5"/>
        <v>320.48204748464082</v>
      </c>
      <c r="O9" s="172">
        <f t="shared" si="98"/>
        <v>6</v>
      </c>
      <c r="P9" s="217">
        <f t="shared" si="6"/>
        <v>21.365469832309387</v>
      </c>
      <c r="Q9" s="217">
        <f t="shared" si="7"/>
        <v>15</v>
      </c>
      <c r="R9" s="217">
        <f t="shared" si="8"/>
        <v>21.288830044150448</v>
      </c>
      <c r="S9" s="172">
        <f t="shared" si="9"/>
        <v>4413.9711129300349</v>
      </c>
      <c r="T9" s="172">
        <f t="shared" si="10"/>
        <v>15</v>
      </c>
      <c r="U9" s="217">
        <f t="shared" si="99"/>
        <v>0.97320171107130826</v>
      </c>
      <c r="V9" s="217">
        <f t="shared" si="11"/>
        <v>0.16271604471650999</v>
      </c>
      <c r="W9" s="217">
        <f t="shared" si="12"/>
        <v>0.7516555749601076</v>
      </c>
      <c r="X9" s="197">
        <f t="shared" si="13"/>
        <v>106.43393671989699</v>
      </c>
      <c r="Y9" s="443">
        <f t="shared" si="14"/>
        <v>350</v>
      </c>
      <c r="AA9" s="217">
        <f t="shared" si="15"/>
        <v>10</v>
      </c>
      <c r="AB9" s="173">
        <f t="shared" si="16"/>
        <v>7.7235332245016206</v>
      </c>
      <c r="AC9" s="173">
        <f t="shared" si="17"/>
        <v>4.1102302323531372</v>
      </c>
      <c r="AD9" s="173"/>
      <c r="AE9" s="173">
        <f t="shared" si="18"/>
        <v>7.7235332245016206</v>
      </c>
      <c r="AF9" s="545">
        <f t="shared" si="100"/>
        <v>12</v>
      </c>
      <c r="AG9" s="528">
        <f t="shared" si="19"/>
        <v>4.1102302323531372</v>
      </c>
      <c r="AI9" s="173">
        <f t="shared" si="20"/>
        <v>1.7202951374346203</v>
      </c>
      <c r="AJ9" s="173">
        <f t="shared" si="21"/>
        <v>10</v>
      </c>
      <c r="AK9" s="173">
        <f t="shared" si="22"/>
        <v>1.0068571428571429</v>
      </c>
      <c r="AM9" s="545">
        <f t="shared" si="23"/>
        <v>400</v>
      </c>
      <c r="AN9" s="460">
        <f t="shared" si="24"/>
        <v>12</v>
      </c>
      <c r="AP9">
        <f t="shared" si="25"/>
        <v>400</v>
      </c>
      <c r="AQ9" s="460">
        <f t="shared" si="26"/>
        <v>12</v>
      </c>
      <c r="AR9" s="460"/>
      <c r="AS9" s="5">
        <f t="shared" si="101"/>
        <v>83.333333333333329</v>
      </c>
      <c r="AT9" s="5">
        <f t="shared" si="27"/>
        <v>1.671966282687593</v>
      </c>
      <c r="AU9" s="5">
        <f t="shared" si="102"/>
        <v>81.661367050645737</v>
      </c>
      <c r="AV9" s="5">
        <f t="shared" si="28"/>
        <v>7.7235332245016206</v>
      </c>
      <c r="AW9" s="173">
        <f t="shared" si="103"/>
        <v>2.0063595392251117E-2</v>
      </c>
      <c r="AX9" s="173">
        <f t="shared" si="29"/>
        <v>7.2000000000000011</v>
      </c>
      <c r="AY9" s="173">
        <f t="shared" si="30"/>
        <v>4.8996820230387446</v>
      </c>
      <c r="AZ9" s="173">
        <f t="shared" si="104"/>
        <v>1.4694831146480434</v>
      </c>
      <c r="BA9" s="460">
        <f t="shared" si="31"/>
        <v>4.4585767538335812</v>
      </c>
      <c r="BB9" s="5">
        <f t="shared" si="32"/>
        <v>1.8963201709285449</v>
      </c>
      <c r="BC9" s="5"/>
      <c r="BD9" s="173">
        <f t="shared" si="105"/>
        <v>0.81779368613057735</v>
      </c>
      <c r="BE9" s="173">
        <f t="shared" si="33"/>
        <v>5.7152906155556336</v>
      </c>
      <c r="BF9" s="173"/>
      <c r="BG9" s="528">
        <f t="shared" si="34"/>
        <v>1.3375730261500745E-2</v>
      </c>
      <c r="BH9" s="528">
        <f t="shared" si="35"/>
        <v>0.19695809393859665</v>
      </c>
      <c r="BI9" s="528">
        <f t="shared" si="36"/>
        <v>2.1531534680311853E-2</v>
      </c>
      <c r="BJ9" s="528">
        <f t="shared" si="37"/>
        <v>9.1952570709155721E-3</v>
      </c>
      <c r="BK9">
        <f t="shared" si="38"/>
        <v>3.229730202046778E-2</v>
      </c>
      <c r="BL9" s="460">
        <f t="shared" si="106"/>
        <v>53.828836700779632</v>
      </c>
      <c r="BM9" s="528">
        <f t="shared" si="39"/>
        <v>0.22385194638260833</v>
      </c>
      <c r="BN9" s="460">
        <f t="shared" si="107"/>
        <v>223.85194638260833</v>
      </c>
      <c r="BO9" s="528">
        <f t="shared" si="108"/>
        <v>0.24849999999999997</v>
      </c>
      <c r="BP9" s="528"/>
      <c r="BR9" s="460">
        <f t="shared" si="109"/>
        <v>248.49999999999997</v>
      </c>
      <c r="BS9" s="528">
        <f t="shared" si="40"/>
        <v>2.0063595392251117E-2</v>
      </c>
      <c r="BT9" s="528">
        <f t="shared" si="41"/>
        <v>0.97993640460774878</v>
      </c>
      <c r="BU9" s="528">
        <f t="shared" si="42"/>
        <v>0.09</v>
      </c>
      <c r="BV9" s="528">
        <f t="shared" si="43"/>
        <v>1.4456521739130432</v>
      </c>
      <c r="BW9" s="528">
        <f t="shared" si="44"/>
        <v>1.2000000000000001E-3</v>
      </c>
      <c r="BX9" s="460">
        <f t="shared" si="110"/>
        <v>1446.8521739130433</v>
      </c>
      <c r="BY9" s="173">
        <f t="shared" si="45"/>
        <v>1.9730329569964311</v>
      </c>
      <c r="BZ9" s="5">
        <f t="shared" si="111"/>
        <v>6</v>
      </c>
      <c r="CA9" s="173">
        <f t="shared" si="112"/>
        <v>0.75253671123169363</v>
      </c>
      <c r="CB9" s="5">
        <f t="shared" si="113"/>
        <v>75.253671123169369</v>
      </c>
      <c r="CE9" s="562">
        <f t="shared" si="46"/>
        <v>-50</v>
      </c>
      <c r="CF9">
        <f t="shared" si="47"/>
        <v>-50</v>
      </c>
      <c r="CG9" s="173">
        <f t="shared" si="48"/>
        <v>8.7635609200826581E-2</v>
      </c>
      <c r="CI9" s="170">
        <v>4</v>
      </c>
      <c r="CJ9" s="217">
        <f t="shared" si="114"/>
        <v>0.4</v>
      </c>
      <c r="CK9" s="217"/>
      <c r="CL9" s="217">
        <f t="shared" si="49"/>
        <v>6</v>
      </c>
      <c r="CM9" s="541">
        <f t="shared" si="50"/>
        <v>72</v>
      </c>
      <c r="CN9" s="172">
        <f t="shared" si="51"/>
        <v>15.4</v>
      </c>
      <c r="CO9" s="443">
        <f t="shared" si="52"/>
        <v>87.4</v>
      </c>
      <c r="CP9" s="443"/>
      <c r="CQ9" s="217">
        <f t="shared" si="53"/>
        <v>0.17620137299771166</v>
      </c>
      <c r="CR9" s="172">
        <f t="shared" si="54"/>
        <v>318.30425629290613</v>
      </c>
      <c r="CS9" s="172">
        <f t="shared" si="115"/>
        <v>6</v>
      </c>
      <c r="CT9" s="217">
        <f t="shared" si="55"/>
        <v>21.220283752860407</v>
      </c>
      <c r="CU9" s="217">
        <f t="shared" si="56"/>
        <v>15</v>
      </c>
      <c r="CV9" s="217">
        <f t="shared" si="57"/>
        <v>21.144164759725399</v>
      </c>
      <c r="CW9" s="172">
        <f t="shared" si="58"/>
        <v>4428.0065034680028</v>
      </c>
      <c r="CX9" s="172">
        <f t="shared" si="59"/>
        <v>15</v>
      </c>
      <c r="CY9" s="217">
        <f t="shared" si="60"/>
        <v>0.945887445887446</v>
      </c>
      <c r="CZ9" s="217">
        <f t="shared" si="61"/>
        <v>0.1576479076479077</v>
      </c>
      <c r="DA9" s="217">
        <f t="shared" si="62"/>
        <v>0.73705515263956833</v>
      </c>
      <c r="DB9" s="197">
        <f t="shared" si="63"/>
        <v>105.72082379862701</v>
      </c>
      <c r="DC9" s="443">
        <f t="shared" si="116"/>
        <v>350</v>
      </c>
      <c r="DE9" s="217">
        <f t="shared" si="64"/>
        <v>9.9999999999999982</v>
      </c>
      <c r="DF9" s="173">
        <f t="shared" si="65"/>
        <v>7.7922077922077895</v>
      </c>
      <c r="DG9" s="173">
        <f t="shared" si="66"/>
        <v>4.118993135011439</v>
      </c>
      <c r="DH9" s="173"/>
      <c r="DI9" s="173">
        <f t="shared" si="67"/>
        <v>7.7922077922077913</v>
      </c>
      <c r="DJ9" s="545">
        <f t="shared" si="117"/>
        <v>12</v>
      </c>
      <c r="DK9" s="528">
        <f t="shared" si="68"/>
        <v>4.1189931350114417</v>
      </c>
      <c r="DM9" s="173">
        <f t="shared" si="69"/>
        <v>1.7126976771553506</v>
      </c>
      <c r="DN9" s="173">
        <f t="shared" si="70"/>
        <v>10</v>
      </c>
      <c r="DO9" s="173">
        <f t="shared" si="71"/>
        <v>1.0068571428571429</v>
      </c>
      <c r="DQ9" s="545">
        <f t="shared" si="72"/>
        <v>400</v>
      </c>
      <c r="DR9" s="460">
        <f t="shared" si="73"/>
        <v>12</v>
      </c>
      <c r="DT9">
        <f t="shared" si="74"/>
        <v>400</v>
      </c>
      <c r="DU9" s="460">
        <f t="shared" si="75"/>
        <v>12</v>
      </c>
      <c r="DV9" s="460"/>
      <c r="DW9" s="5">
        <f t="shared" si="118"/>
        <v>83.333333333333329</v>
      </c>
      <c r="DX9" s="5">
        <f t="shared" si="76"/>
        <v>1.6666666666666667</v>
      </c>
      <c r="DY9" s="5">
        <f t="shared" si="119"/>
        <v>81.666666666666657</v>
      </c>
      <c r="DZ9" s="5">
        <f t="shared" si="77"/>
        <v>7.7922077922077913</v>
      </c>
      <c r="EA9" s="173">
        <f t="shared" si="120"/>
        <v>0.02</v>
      </c>
      <c r="EB9" s="173">
        <f t="shared" si="78"/>
        <v>7.2000000000000011</v>
      </c>
      <c r="EC9" s="173">
        <f t="shared" si="79"/>
        <v>4.9000000000000004</v>
      </c>
      <c r="ED9" s="173">
        <f t="shared" si="121"/>
        <v>1.4693877551020409</v>
      </c>
      <c r="EE9" s="460">
        <f t="shared" si="80"/>
        <v>4.4444444444444455</v>
      </c>
      <c r="EF9" s="5">
        <f t="shared" si="81"/>
        <v>1.8904320987654317</v>
      </c>
      <c r="EG9" s="5"/>
      <c r="EH9" s="173">
        <f t="shared" si="122"/>
        <v>0.81649658092772603</v>
      </c>
      <c r="EI9" s="173">
        <f t="shared" si="82"/>
        <v>5.715476066494082</v>
      </c>
      <c r="EJ9" s="173"/>
      <c r="EK9" s="528">
        <f t="shared" si="83"/>
        <v>1.3333333333333332E-2</v>
      </c>
      <c r="EL9" s="528">
        <f t="shared" si="84"/>
        <v>0.20976</v>
      </c>
      <c r="EM9" s="528">
        <f t="shared" si="85"/>
        <v>1.5E-3</v>
      </c>
      <c r="EN9" s="528">
        <f t="shared" si="86"/>
        <v>9.1665120000000017E-3</v>
      </c>
      <c r="EO9">
        <f t="shared" si="87"/>
        <v>3.2399999999999998E-2</v>
      </c>
      <c r="EP9" s="460">
        <f t="shared" si="123"/>
        <v>33.9</v>
      </c>
      <c r="EQ9" s="528">
        <f t="shared" si="88"/>
        <v>0.27061716049779033</v>
      </c>
      <c r="ER9" s="460">
        <f t="shared" si="124"/>
        <v>270.61716049779034</v>
      </c>
      <c r="ES9" s="528">
        <f t="shared" si="125"/>
        <v>0.24849999999999997</v>
      </c>
      <c r="ET9" s="528"/>
      <c r="EV9" s="460">
        <f t="shared" si="126"/>
        <v>248.49999999999997</v>
      </c>
      <c r="EW9" s="528">
        <f t="shared" si="89"/>
        <v>1.9999999999999997E-2</v>
      </c>
      <c r="EX9" s="528">
        <f t="shared" si="90"/>
        <v>0.97999999999999987</v>
      </c>
      <c r="EY9" s="528">
        <f t="shared" si="91"/>
        <v>7.8872048280743991E-3</v>
      </c>
      <c r="EZ9" s="528">
        <f t="shared" si="92"/>
        <v>1.3563991356826894</v>
      </c>
      <c r="FA9" s="528">
        <f t="shared" si="93"/>
        <v>1.2000000000000001E-3</v>
      </c>
      <c r="FB9" s="460">
        <f t="shared" si="127"/>
        <v>1357.5991356826896</v>
      </c>
      <c r="FC9" s="173">
        <f t="shared" si="128"/>
        <v>1.87671629618048</v>
      </c>
      <c r="FD9" s="5">
        <f t="shared" si="129"/>
        <v>6</v>
      </c>
      <c r="FE9" s="173">
        <f t="shared" si="130"/>
        <v>0.76173874675535491</v>
      </c>
      <c r="FF9" s="5">
        <f t="shared" si="131"/>
        <v>76.173874675535487</v>
      </c>
      <c r="FI9" s="562">
        <f t="shared" si="94"/>
        <v>-50</v>
      </c>
      <c r="FJ9">
        <f t="shared" si="95"/>
        <v>-50</v>
      </c>
      <c r="FL9">
        <f t="shared" si="96"/>
        <v>8.6489996418773668E-2</v>
      </c>
    </row>
    <row r="10" spans="2:168">
      <c r="E10" s="170">
        <v>5</v>
      </c>
      <c r="F10" s="217">
        <f t="shared" si="97"/>
        <v>0.5</v>
      </c>
      <c r="G10" s="217"/>
      <c r="H10" s="217">
        <f t="shared" si="0"/>
        <v>7.5</v>
      </c>
      <c r="I10" s="541">
        <f t="shared" si="1"/>
        <v>71.753268114390082</v>
      </c>
      <c r="J10" s="172">
        <f t="shared" si="2"/>
        <v>15.548039131365949</v>
      </c>
      <c r="K10" s="172">
        <f t="shared" si="3"/>
        <v>87.548039131365954</v>
      </c>
      <c r="L10" s="443"/>
      <c r="M10" s="217">
        <f t="shared" si="4"/>
        <v>0.17811475258435275</v>
      </c>
      <c r="N10" s="172">
        <f t="shared" si="5"/>
        <v>320.65811833659114</v>
      </c>
      <c r="O10" s="172">
        <f t="shared" si="98"/>
        <v>7.5</v>
      </c>
      <c r="P10" s="217">
        <f t="shared" si="6"/>
        <v>21.377207889106078</v>
      </c>
      <c r="Q10" s="217">
        <f t="shared" si="7"/>
        <v>15</v>
      </c>
      <c r="R10" s="217">
        <f t="shared" si="8"/>
        <v>21.300525995522193</v>
      </c>
      <c r="S10" s="172">
        <f t="shared" si="9"/>
        <v>3515.918299922856</v>
      </c>
      <c r="T10" s="172">
        <f t="shared" si="10"/>
        <v>15</v>
      </c>
      <c r="U10" s="217">
        <f t="shared" si="99"/>
        <v>1.2167148676100712</v>
      </c>
      <c r="V10" s="217">
        <f t="shared" si="11"/>
        <v>0.20348311366172764</v>
      </c>
      <c r="W10" s="217">
        <f t="shared" si="12"/>
        <v>0.93906236586877845</v>
      </c>
      <c r="X10" s="197">
        <f t="shared" si="13"/>
        <v>106.49159174915671</v>
      </c>
      <c r="Y10" s="443">
        <f t="shared" si="14"/>
        <v>350</v>
      </c>
      <c r="AA10" s="217">
        <f t="shared" si="15"/>
        <v>10</v>
      </c>
      <c r="AB10" s="173">
        <f t="shared" si="16"/>
        <v>7.7180150491078416</v>
      </c>
      <c r="AC10" s="173">
        <f t="shared" si="17"/>
        <v>4.1095185386172002</v>
      </c>
      <c r="AD10" s="173"/>
      <c r="AE10" s="173">
        <f t="shared" si="18"/>
        <v>7.7180150491078416</v>
      </c>
      <c r="AF10" s="545">
        <f t="shared" si="100"/>
        <v>12.956699276138288</v>
      </c>
      <c r="AG10" s="528">
        <f t="shared" si="19"/>
        <v>4.1095185386172002</v>
      </c>
      <c r="AI10" s="173">
        <f t="shared" si="20"/>
        <v>1.9240358829545394</v>
      </c>
      <c r="AJ10" s="173">
        <f t="shared" si="21"/>
        <v>10</v>
      </c>
      <c r="AK10" s="173">
        <f t="shared" si="22"/>
        <v>1.0074038281577933</v>
      </c>
      <c r="AM10" s="545">
        <f t="shared" si="23"/>
        <v>500</v>
      </c>
      <c r="AN10" s="460">
        <f t="shared" si="24"/>
        <v>12.956699276138288</v>
      </c>
      <c r="AP10">
        <f t="shared" si="25"/>
        <v>500</v>
      </c>
      <c r="AQ10" s="460">
        <f t="shared" si="26"/>
        <v>12.956699276138288</v>
      </c>
      <c r="AR10" s="460"/>
      <c r="AS10" s="5">
        <f t="shared" si="101"/>
        <v>77.180150491078436</v>
      </c>
      <c r="AT10" s="5">
        <f t="shared" si="27"/>
        <v>1.6723976921677532</v>
      </c>
      <c r="AU10" s="5">
        <f t="shared" si="102"/>
        <v>75.507752798910687</v>
      </c>
      <c r="AV10" s="5">
        <f t="shared" si="28"/>
        <v>7.7180150491078416</v>
      </c>
      <c r="AW10" s="173">
        <f t="shared" si="103"/>
        <v>2.1668753967525271E-2</v>
      </c>
      <c r="AX10" s="173">
        <f t="shared" si="29"/>
        <v>7.7740195656829734</v>
      </c>
      <c r="AY10" s="173">
        <f t="shared" si="30"/>
        <v>4.8916562301623738</v>
      </c>
      <c r="AZ10" s="173">
        <f t="shared" si="104"/>
        <v>1.5892407806067195</v>
      </c>
      <c r="BA10" s="460">
        <f t="shared" si="31"/>
        <v>5.574658973892511</v>
      </c>
      <c r="BB10" s="5">
        <f t="shared" si="32"/>
        <v>2.1923436028067957</v>
      </c>
      <c r="BC10" s="5"/>
      <c r="BD10" s="173">
        <f t="shared" si="105"/>
        <v>0.84987751995067451</v>
      </c>
      <c r="BE10" s="173">
        <f t="shared" si="33"/>
        <v>5.7106078077920763</v>
      </c>
      <c r="BF10" s="173"/>
      <c r="BG10" s="528">
        <f t="shared" si="34"/>
        <v>1.4445835978350183E-2</v>
      </c>
      <c r="BH10" s="528">
        <f t="shared" si="35"/>
        <v>0.21268755285763044</v>
      </c>
      <c r="BI10" s="528">
        <f t="shared" si="36"/>
        <v>2.3242137925956859E-2</v>
      </c>
      <c r="BJ10" s="528">
        <f t="shared" si="37"/>
        <v>9.9308683735116251E-3</v>
      </c>
      <c r="BK10">
        <f t="shared" si="38"/>
        <v>3.2288970651475533E-2</v>
      </c>
      <c r="BL10" s="460">
        <f t="shared" si="106"/>
        <v>55.531108577432391</v>
      </c>
      <c r="BM10" s="528">
        <f t="shared" si="39"/>
        <v>0.24179455176947898</v>
      </c>
      <c r="BN10" s="460">
        <f t="shared" si="107"/>
        <v>241.79455176947897</v>
      </c>
      <c r="BO10" s="528">
        <f t="shared" si="108"/>
        <v>0.31062499999999998</v>
      </c>
      <c r="BP10" s="528"/>
      <c r="BR10" s="460">
        <f t="shared" si="109"/>
        <v>310.625</v>
      </c>
      <c r="BS10" s="528">
        <f t="shared" si="40"/>
        <v>2.1668753967525274E-2</v>
      </c>
      <c r="BT10" s="528">
        <f t="shared" si="41"/>
        <v>0.97833124603247468</v>
      </c>
      <c r="BU10" s="528">
        <f t="shared" si="42"/>
        <v>0.11249999999999999</v>
      </c>
      <c r="BV10" s="528">
        <f t="shared" si="43"/>
        <v>1.4701086956521738</v>
      </c>
      <c r="BW10" s="528">
        <f t="shared" si="44"/>
        <v>1.295669927613829E-3</v>
      </c>
      <c r="BX10" s="460">
        <f t="shared" si="110"/>
        <v>1471.4043655797877</v>
      </c>
      <c r="BY10" s="173">
        <f t="shared" si="45"/>
        <v>2.0793550259266986</v>
      </c>
      <c r="BZ10" s="5">
        <f t="shared" si="111"/>
        <v>7.5</v>
      </c>
      <c r="CA10" s="173">
        <f t="shared" si="112"/>
        <v>0.78293371314677385</v>
      </c>
      <c r="CB10" s="5">
        <f t="shared" si="113"/>
        <v>78.293371314677387</v>
      </c>
      <c r="CE10" s="562">
        <f t="shared" si="46"/>
        <v>-50</v>
      </c>
      <c r="CF10">
        <f t="shared" si="47"/>
        <v>-50</v>
      </c>
      <c r="CG10" s="173">
        <f t="shared" si="48"/>
        <v>0.10132456102380442</v>
      </c>
      <c r="CI10" s="170">
        <v>5</v>
      </c>
      <c r="CJ10" s="217">
        <f t="shared" si="114"/>
        <v>0.5</v>
      </c>
      <c r="CK10" s="217"/>
      <c r="CL10" s="217">
        <f t="shared" si="49"/>
        <v>7.5</v>
      </c>
      <c r="CM10" s="541">
        <f t="shared" si="50"/>
        <v>72</v>
      </c>
      <c r="CN10" s="172">
        <f t="shared" si="51"/>
        <v>15.4</v>
      </c>
      <c r="CO10" s="443">
        <f t="shared" si="52"/>
        <v>87.4</v>
      </c>
      <c r="CP10" s="443"/>
      <c r="CQ10" s="217">
        <f t="shared" si="53"/>
        <v>0.17620137299771166</v>
      </c>
      <c r="CR10" s="172">
        <f t="shared" si="54"/>
        <v>318.30425629290613</v>
      </c>
      <c r="CS10" s="172">
        <f t="shared" si="115"/>
        <v>7.5</v>
      </c>
      <c r="CT10" s="217">
        <f t="shared" si="55"/>
        <v>21.220283752860407</v>
      </c>
      <c r="CU10" s="217">
        <f t="shared" si="56"/>
        <v>15</v>
      </c>
      <c r="CV10" s="217">
        <f t="shared" si="57"/>
        <v>21.144164759725399</v>
      </c>
      <c r="CW10" s="172">
        <f t="shared" si="58"/>
        <v>3528.008162320989</v>
      </c>
      <c r="CX10" s="172">
        <f t="shared" si="59"/>
        <v>15</v>
      </c>
      <c r="CY10" s="217">
        <f t="shared" si="60"/>
        <v>1.1823593073593075</v>
      </c>
      <c r="CZ10" s="217">
        <f t="shared" si="61"/>
        <v>0.1970598845598846</v>
      </c>
      <c r="DA10" s="217">
        <f t="shared" si="62"/>
        <v>0.92131894079946031</v>
      </c>
      <c r="DB10" s="197">
        <f t="shared" si="63"/>
        <v>105.72082379862701</v>
      </c>
      <c r="DC10" s="443">
        <f t="shared" si="116"/>
        <v>350</v>
      </c>
      <c r="DE10" s="217">
        <f t="shared" si="64"/>
        <v>9.9999999999999982</v>
      </c>
      <c r="DF10" s="173">
        <f t="shared" si="65"/>
        <v>7.7922077922077895</v>
      </c>
      <c r="DG10" s="173">
        <f t="shared" si="66"/>
        <v>4.118993135011439</v>
      </c>
      <c r="DH10" s="173"/>
      <c r="DI10" s="173">
        <f t="shared" si="67"/>
        <v>7.7922077922077913</v>
      </c>
      <c r="DJ10" s="545">
        <f t="shared" si="117"/>
        <v>12.833333333333334</v>
      </c>
      <c r="DK10" s="528">
        <f t="shared" si="68"/>
        <v>4.1189931350114417</v>
      </c>
      <c r="DM10" s="173">
        <f t="shared" si="69"/>
        <v>1.9148542155126762</v>
      </c>
      <c r="DN10" s="173">
        <f t="shared" si="70"/>
        <v>10</v>
      </c>
      <c r="DO10" s="173">
        <f t="shared" si="71"/>
        <v>1.0073333333333334</v>
      </c>
      <c r="DQ10" s="545">
        <f t="shared" si="72"/>
        <v>500</v>
      </c>
      <c r="DR10" s="460">
        <f t="shared" si="73"/>
        <v>12.833333333333334</v>
      </c>
      <c r="DT10">
        <f t="shared" si="74"/>
        <v>500</v>
      </c>
      <c r="DU10" s="460">
        <f t="shared" si="75"/>
        <v>12.833333333333334</v>
      </c>
      <c r="DV10" s="460"/>
      <c r="DW10" s="5">
        <f t="shared" si="118"/>
        <v>77.922077922077918</v>
      </c>
      <c r="DX10" s="5">
        <f t="shared" si="76"/>
        <v>1.6666666666666667</v>
      </c>
      <c r="DY10" s="5">
        <f t="shared" si="119"/>
        <v>76.255411255411246</v>
      </c>
      <c r="DZ10" s="5">
        <f t="shared" si="77"/>
        <v>7.7922077922077913</v>
      </c>
      <c r="EA10" s="173">
        <f t="shared" si="120"/>
        <v>2.1388888888888891E-2</v>
      </c>
      <c r="EB10" s="173">
        <f t="shared" si="78"/>
        <v>7.7000000000000011</v>
      </c>
      <c r="EC10" s="173">
        <f t="shared" si="79"/>
        <v>4.8930555555555557</v>
      </c>
      <c r="ED10" s="173">
        <f t="shared" si="121"/>
        <v>1.5736588135112122</v>
      </c>
      <c r="EE10" s="460">
        <f t="shared" si="80"/>
        <v>5.5555555555555554</v>
      </c>
      <c r="EF10" s="5">
        <f t="shared" si="81"/>
        <v>2.2064644460477791</v>
      </c>
      <c r="EG10" s="5"/>
      <c r="EH10" s="173">
        <f t="shared" si="122"/>
        <v>0.84437134186503693</v>
      </c>
      <c r="EI10" s="173">
        <f t="shared" si="82"/>
        <v>5.7114245482515456</v>
      </c>
      <c r="EJ10" s="173"/>
      <c r="EK10" s="528">
        <f t="shared" si="83"/>
        <v>1.4259259259259261E-2</v>
      </c>
      <c r="EL10" s="528">
        <f t="shared" si="84"/>
        <v>0.22432666666666667</v>
      </c>
      <c r="EM10" s="528">
        <f t="shared" si="85"/>
        <v>1.6041666666666667E-3</v>
      </c>
      <c r="EN10" s="528">
        <f t="shared" si="86"/>
        <v>9.8030753333333363E-3</v>
      </c>
      <c r="EO10">
        <f t="shared" si="87"/>
        <v>3.2399999999999998E-2</v>
      </c>
      <c r="EP10" s="460">
        <f t="shared" si="123"/>
        <v>34.004166666666663</v>
      </c>
      <c r="EQ10" s="528">
        <f t="shared" si="88"/>
        <v>0.28721625660329786</v>
      </c>
      <c r="ER10" s="460">
        <f t="shared" si="124"/>
        <v>287.21625660329784</v>
      </c>
      <c r="ES10" s="528">
        <f t="shared" si="125"/>
        <v>0.31062499999999998</v>
      </c>
      <c r="ET10" s="528"/>
      <c r="EV10" s="460">
        <f t="shared" si="126"/>
        <v>310.625</v>
      </c>
      <c r="EW10" s="528">
        <f t="shared" si="89"/>
        <v>2.1388888888888891E-2</v>
      </c>
      <c r="EX10" s="528">
        <f t="shared" si="90"/>
        <v>0.97861111111111121</v>
      </c>
      <c r="EY10" s="528">
        <f t="shared" si="91"/>
        <v>9.3286476832938024E-3</v>
      </c>
      <c r="EZ10" s="528">
        <f t="shared" si="92"/>
        <v>1.3579659213948847</v>
      </c>
      <c r="FA10" s="528">
        <f t="shared" si="93"/>
        <v>1.2833333333333334E-3</v>
      </c>
      <c r="FB10" s="460">
        <f t="shared" si="127"/>
        <v>1359.2492547282179</v>
      </c>
      <c r="FC10" s="173">
        <f t="shared" si="128"/>
        <v>1.9570905113315158</v>
      </c>
      <c r="FD10" s="5">
        <f t="shared" si="129"/>
        <v>7.5</v>
      </c>
      <c r="FE10" s="173">
        <f t="shared" si="130"/>
        <v>0.7930557491242658</v>
      </c>
      <c r="FF10" s="5">
        <f t="shared" si="131"/>
        <v>79.305574912426579</v>
      </c>
      <c r="FI10" s="562">
        <f t="shared" si="94"/>
        <v>-50</v>
      </c>
      <c r="FJ10">
        <f t="shared" si="95"/>
        <v>-50</v>
      </c>
      <c r="FL10">
        <f t="shared" si="96"/>
        <v>0.1</v>
      </c>
    </row>
    <row r="11" spans="2:168">
      <c r="E11" s="170">
        <v>6</v>
      </c>
      <c r="F11" s="217">
        <f t="shared" si="97"/>
        <v>0.6</v>
      </c>
      <c r="G11" s="217"/>
      <c r="H11" s="217">
        <f t="shared" si="0"/>
        <v>9</v>
      </c>
      <c r="I11" s="541">
        <f t="shared" si="1"/>
        <v>71.753268114390082</v>
      </c>
      <c r="J11" s="172">
        <f t="shared" si="2"/>
        <v>15.548039131365949</v>
      </c>
      <c r="K11" s="172">
        <f t="shared" si="3"/>
        <v>87.548039131365954</v>
      </c>
      <c r="L11" s="443"/>
      <c r="M11" s="217">
        <f t="shared" si="4"/>
        <v>0.17811475258435275</v>
      </c>
      <c r="N11" s="172">
        <f t="shared" si="5"/>
        <v>320.65811833659114</v>
      </c>
      <c r="O11" s="172">
        <f t="shared" si="98"/>
        <v>9</v>
      </c>
      <c r="P11" s="217">
        <f t="shared" si="6"/>
        <v>21.377207889106078</v>
      </c>
      <c r="Q11" s="217">
        <f t="shared" si="7"/>
        <v>15</v>
      </c>
      <c r="R11" s="217">
        <f t="shared" si="8"/>
        <v>21.300525995522193</v>
      </c>
      <c r="S11" s="172">
        <f t="shared" si="9"/>
        <v>2917.9760713361347</v>
      </c>
      <c r="T11" s="172">
        <f t="shared" si="10"/>
        <v>15</v>
      </c>
      <c r="U11" s="217">
        <f t="shared" si="99"/>
        <v>1.4600578411320855</v>
      </c>
      <c r="V11" s="217">
        <f t="shared" si="11"/>
        <v>0.24417973639407314</v>
      </c>
      <c r="W11" s="217">
        <f t="shared" si="12"/>
        <v>1.126874839042534</v>
      </c>
      <c r="X11" s="197">
        <f t="shared" si="13"/>
        <v>106.49159174915671</v>
      </c>
      <c r="Y11" s="443">
        <f t="shared" si="14"/>
        <v>350</v>
      </c>
      <c r="AA11" s="217">
        <f t="shared" si="15"/>
        <v>10</v>
      </c>
      <c r="AB11" s="173">
        <f t="shared" si="16"/>
        <v>7.7180150491078416</v>
      </c>
      <c r="AC11" s="173">
        <f t="shared" si="17"/>
        <v>4.1095185386172002</v>
      </c>
      <c r="AD11" s="173"/>
      <c r="AE11" s="173">
        <f t="shared" si="18"/>
        <v>7.7180150491078416</v>
      </c>
      <c r="AF11" s="545">
        <f t="shared" si="100"/>
        <v>15.548039131365945</v>
      </c>
      <c r="AG11" s="528">
        <f t="shared" si="19"/>
        <v>4.1095185386172002</v>
      </c>
      <c r="AI11" s="173">
        <f t="shared" si="20"/>
        <v>2.1076757090871414</v>
      </c>
      <c r="AJ11" s="173">
        <f t="shared" si="21"/>
        <v>10</v>
      </c>
      <c r="AK11" s="173">
        <f t="shared" si="22"/>
        <v>1.008884593789352</v>
      </c>
      <c r="AM11" s="545">
        <f t="shared" si="23"/>
        <v>600</v>
      </c>
      <c r="AN11" s="460">
        <f t="shared" si="24"/>
        <v>15.548039131365945</v>
      </c>
      <c r="AP11">
        <f t="shared" si="25"/>
        <v>600</v>
      </c>
      <c r="AQ11" s="460">
        <f t="shared" si="26"/>
        <v>15.548039131365945</v>
      </c>
      <c r="AR11" s="460"/>
      <c r="AS11" s="5">
        <f t="shared" si="101"/>
        <v>64.31679207589869</v>
      </c>
      <c r="AT11" s="5">
        <f t="shared" si="27"/>
        <v>1.6723976921677532</v>
      </c>
      <c r="AU11" s="5">
        <f t="shared" si="102"/>
        <v>62.644394383730933</v>
      </c>
      <c r="AV11" s="5">
        <f t="shared" si="28"/>
        <v>7.7180150491078416</v>
      </c>
      <c r="AW11" s="173">
        <f t="shared" si="103"/>
        <v>2.6002504761030325E-2</v>
      </c>
      <c r="AX11" s="173">
        <f t="shared" si="29"/>
        <v>9.328823478819567</v>
      </c>
      <c r="AY11" s="173">
        <f t="shared" si="30"/>
        <v>4.869987476194849</v>
      </c>
      <c r="AZ11" s="173">
        <f t="shared" si="104"/>
        <v>1.915574428973402</v>
      </c>
      <c r="BA11" s="460">
        <f t="shared" si="31"/>
        <v>6.6895907686710121</v>
      </c>
      <c r="BB11" s="5">
        <f t="shared" si="32"/>
        <v>2.1826320957207952</v>
      </c>
      <c r="BC11" s="5"/>
      <c r="BD11" s="173">
        <f t="shared" si="105"/>
        <v>0.93099417758706249</v>
      </c>
      <c r="BE11" s="173">
        <f t="shared" si="33"/>
        <v>5.6979455222590829</v>
      </c>
      <c r="BF11" s="173"/>
      <c r="BG11" s="528">
        <f t="shared" si="34"/>
        <v>1.7335003174020217E-2</v>
      </c>
      <c r="BH11" s="528">
        <f t="shared" si="35"/>
        <v>0.25522506342915652</v>
      </c>
      <c r="BI11" s="528">
        <f t="shared" si="36"/>
        <v>2.789056551114823E-2</v>
      </c>
      <c r="BJ11" s="528">
        <f t="shared" si="37"/>
        <v>1.1917042048213949E-2</v>
      </c>
      <c r="BK11">
        <f t="shared" si="38"/>
        <v>3.2288970651475533E-2</v>
      </c>
      <c r="BL11" s="460">
        <f t="shared" si="106"/>
        <v>60.179536162623769</v>
      </c>
      <c r="BM11" s="528">
        <f t="shared" si="39"/>
        <v>0.2903534664234364</v>
      </c>
      <c r="BN11" s="460">
        <f t="shared" si="107"/>
        <v>290.35346642343643</v>
      </c>
      <c r="BO11" s="528">
        <f t="shared" si="108"/>
        <v>0.37274999999999997</v>
      </c>
      <c r="BP11" s="528"/>
      <c r="BR11" s="460">
        <f t="shared" si="109"/>
        <v>372.74999999999994</v>
      </c>
      <c r="BS11" s="528">
        <f t="shared" si="40"/>
        <v>2.6002504761030321E-2</v>
      </c>
      <c r="BT11" s="528">
        <f t="shared" si="41"/>
        <v>0.97399749523896995</v>
      </c>
      <c r="BU11" s="528">
        <f t="shared" si="42"/>
        <v>0.13500000000000001</v>
      </c>
      <c r="BV11" s="528">
        <f t="shared" si="43"/>
        <v>1.4945652173913047</v>
      </c>
      <c r="BW11" s="528">
        <f t="shared" si="44"/>
        <v>1.5548039131365948E-3</v>
      </c>
      <c r="BX11" s="460">
        <f t="shared" si="110"/>
        <v>1496.1200213044413</v>
      </c>
      <c r="BY11" s="173">
        <f t="shared" si="45"/>
        <v>2.2194030238905014</v>
      </c>
      <c r="BZ11" s="5">
        <f t="shared" si="111"/>
        <v>9</v>
      </c>
      <c r="CA11" s="173">
        <f t="shared" si="112"/>
        <v>0.80218171865610644</v>
      </c>
      <c r="CB11" s="5">
        <f t="shared" si="113"/>
        <v>80.218171865610643</v>
      </c>
      <c r="CE11" s="562">
        <f t="shared" si="46"/>
        <v>-50</v>
      </c>
      <c r="CF11">
        <f t="shared" si="47"/>
        <v>-50</v>
      </c>
      <c r="CG11" s="173">
        <f t="shared" si="48"/>
        <v>0.12158947322856531</v>
      </c>
      <c r="CI11" s="170">
        <v>6</v>
      </c>
      <c r="CJ11" s="217">
        <f t="shared" si="114"/>
        <v>0.6</v>
      </c>
      <c r="CK11" s="217"/>
      <c r="CL11" s="217">
        <f t="shared" si="49"/>
        <v>9</v>
      </c>
      <c r="CM11" s="541">
        <f t="shared" si="50"/>
        <v>72</v>
      </c>
      <c r="CN11" s="172">
        <f t="shared" si="51"/>
        <v>15.4</v>
      </c>
      <c r="CO11" s="443">
        <f t="shared" si="52"/>
        <v>87.4</v>
      </c>
      <c r="CP11" s="443"/>
      <c r="CQ11" s="217">
        <f t="shared" si="53"/>
        <v>0.17620137299771166</v>
      </c>
      <c r="CR11" s="172">
        <f t="shared" si="54"/>
        <v>318.30425629290613</v>
      </c>
      <c r="CS11" s="172">
        <f t="shared" si="115"/>
        <v>9</v>
      </c>
      <c r="CT11" s="217">
        <f t="shared" si="55"/>
        <v>21.220283752860407</v>
      </c>
      <c r="CU11" s="217">
        <f t="shared" si="56"/>
        <v>15</v>
      </c>
      <c r="CV11" s="217">
        <f t="shared" si="57"/>
        <v>21.144164759725399</v>
      </c>
      <c r="CW11" s="172">
        <f t="shared" si="58"/>
        <v>2928.009834689004</v>
      </c>
      <c r="CX11" s="172">
        <f t="shared" si="59"/>
        <v>15</v>
      </c>
      <c r="CY11" s="217">
        <f t="shared" si="60"/>
        <v>1.418831168831169</v>
      </c>
      <c r="CZ11" s="217">
        <f t="shared" si="61"/>
        <v>0.23647186147186153</v>
      </c>
      <c r="DA11" s="217">
        <f t="shared" si="62"/>
        <v>1.1055827289593525</v>
      </c>
      <c r="DB11" s="197">
        <f t="shared" si="63"/>
        <v>105.72082379862701</v>
      </c>
      <c r="DC11" s="443">
        <f t="shared" si="116"/>
        <v>350</v>
      </c>
      <c r="DE11" s="217">
        <f t="shared" si="64"/>
        <v>9.9999999999999982</v>
      </c>
      <c r="DF11" s="173">
        <f t="shared" si="65"/>
        <v>7.7922077922077895</v>
      </c>
      <c r="DG11" s="173">
        <f t="shared" si="66"/>
        <v>4.118993135011439</v>
      </c>
      <c r="DH11" s="173"/>
      <c r="DI11" s="173">
        <f t="shared" si="67"/>
        <v>7.7922077922077913</v>
      </c>
      <c r="DJ11" s="545">
        <f t="shared" si="117"/>
        <v>15.4</v>
      </c>
      <c r="DK11" s="528">
        <f t="shared" si="68"/>
        <v>4.1189931350114417</v>
      </c>
      <c r="DM11" s="173">
        <f t="shared" si="69"/>
        <v>2.0976176963403033</v>
      </c>
      <c r="DN11" s="173">
        <f t="shared" si="70"/>
        <v>10</v>
      </c>
      <c r="DO11" s="173">
        <f t="shared" si="71"/>
        <v>1.0087999999999999</v>
      </c>
      <c r="DQ11" s="545">
        <f t="shared" si="72"/>
        <v>600</v>
      </c>
      <c r="DR11" s="460">
        <f t="shared" si="73"/>
        <v>15.4</v>
      </c>
      <c r="DT11">
        <f t="shared" si="74"/>
        <v>600</v>
      </c>
      <c r="DU11" s="460">
        <f t="shared" si="75"/>
        <v>15.4</v>
      </c>
      <c r="DV11" s="460"/>
      <c r="DW11" s="5">
        <f t="shared" si="118"/>
        <v>64.935064935064929</v>
      </c>
      <c r="DX11" s="5">
        <f t="shared" si="76"/>
        <v>1.6666666666666667</v>
      </c>
      <c r="DY11" s="5">
        <f t="shared" si="119"/>
        <v>63.268398268398265</v>
      </c>
      <c r="DZ11" s="5">
        <f t="shared" si="77"/>
        <v>7.7922077922077913</v>
      </c>
      <c r="EA11" s="173">
        <f t="shared" si="120"/>
        <v>2.5666666666666671E-2</v>
      </c>
      <c r="EB11" s="173">
        <f t="shared" si="78"/>
        <v>9.240000000000002</v>
      </c>
      <c r="EC11" s="173">
        <f t="shared" si="79"/>
        <v>4.8716666666666661</v>
      </c>
      <c r="ED11" s="173">
        <f t="shared" si="121"/>
        <v>1.8966814916182011</v>
      </c>
      <c r="EE11" s="460">
        <f t="shared" si="80"/>
        <v>6.666666666666667</v>
      </c>
      <c r="EF11" s="5">
        <f t="shared" si="81"/>
        <v>2.1968193843193839</v>
      </c>
      <c r="EG11" s="5"/>
      <c r="EH11" s="173">
        <f t="shared" si="122"/>
        <v>0.92496246170077401</v>
      </c>
      <c r="EI11" s="173">
        <f t="shared" si="82"/>
        <v>5.6989277743956173</v>
      </c>
      <c r="EJ11" s="173"/>
      <c r="EK11" s="528">
        <f t="shared" si="83"/>
        <v>1.7111111111111119E-2</v>
      </c>
      <c r="EL11" s="528">
        <f t="shared" si="84"/>
        <v>0.26919199999999999</v>
      </c>
      <c r="EM11" s="528">
        <f t="shared" si="85"/>
        <v>1.9249999999999998E-3</v>
      </c>
      <c r="EN11" s="528">
        <f t="shared" si="86"/>
        <v>1.1763690400000002E-2</v>
      </c>
      <c r="EO11">
        <f t="shared" si="87"/>
        <v>3.2399999999999998E-2</v>
      </c>
      <c r="EP11" s="460">
        <f t="shared" si="123"/>
        <v>34.325000000000003</v>
      </c>
      <c r="EQ11" s="528">
        <f t="shared" si="88"/>
        <v>0.33838754993412334</v>
      </c>
      <c r="ER11" s="460">
        <f t="shared" si="124"/>
        <v>338.38754993412334</v>
      </c>
      <c r="ES11" s="528">
        <f t="shared" si="125"/>
        <v>0.37274999999999997</v>
      </c>
      <c r="ET11" s="528"/>
      <c r="EV11" s="460">
        <f t="shared" si="126"/>
        <v>372.74999999999994</v>
      </c>
      <c r="EW11" s="528">
        <f t="shared" si="89"/>
        <v>2.5666666666666674E-2</v>
      </c>
      <c r="EX11" s="528">
        <f t="shared" si="90"/>
        <v>0.97433333333333338</v>
      </c>
      <c r="EY11" s="528">
        <f t="shared" si="91"/>
        <v>1.4715391009415983E-2</v>
      </c>
      <c r="EZ11" s="528">
        <f t="shared" si="92"/>
        <v>1.3638210771841477</v>
      </c>
      <c r="FA11" s="528">
        <f t="shared" si="93"/>
        <v>1.5400000000000001E-3</v>
      </c>
      <c r="FB11" s="460">
        <f t="shared" si="127"/>
        <v>1365.3610771841477</v>
      </c>
      <c r="FC11" s="173">
        <f t="shared" si="128"/>
        <v>2.0764986271182706</v>
      </c>
      <c r="FD11" s="5">
        <f t="shared" si="129"/>
        <v>9</v>
      </c>
      <c r="FE11" s="173">
        <f t="shared" si="130"/>
        <v>0.81253113488097772</v>
      </c>
      <c r="FF11" s="5">
        <f t="shared" si="131"/>
        <v>81.253113488097767</v>
      </c>
      <c r="FI11" s="562">
        <f t="shared" si="94"/>
        <v>-50</v>
      </c>
      <c r="FJ11">
        <f t="shared" si="95"/>
        <v>-50</v>
      </c>
      <c r="FL11">
        <f t="shared" si="96"/>
        <v>0.12000000000000001</v>
      </c>
    </row>
    <row r="12" spans="2:168">
      <c r="E12" s="170">
        <v>7</v>
      </c>
      <c r="F12" s="217">
        <f t="shared" si="97"/>
        <v>0.70000000000000007</v>
      </c>
      <c r="G12" s="217"/>
      <c r="H12" s="217">
        <f t="shared" si="0"/>
        <v>10.500000000000002</v>
      </c>
      <c r="I12" s="541">
        <f t="shared" si="1"/>
        <v>71.753268114390082</v>
      </c>
      <c r="J12" s="172">
        <f t="shared" si="2"/>
        <v>15.548039131365949</v>
      </c>
      <c r="K12" s="172">
        <f t="shared" si="3"/>
        <v>87.548039131365954</v>
      </c>
      <c r="L12" s="443"/>
      <c r="M12" s="217">
        <f t="shared" si="4"/>
        <v>0.17811475258435275</v>
      </c>
      <c r="N12" s="172">
        <f t="shared" si="5"/>
        <v>320.65811833659114</v>
      </c>
      <c r="O12" s="172">
        <f t="shared" si="98"/>
        <v>10.500000000000002</v>
      </c>
      <c r="P12" s="217">
        <f t="shared" si="6"/>
        <v>21.377207889106078</v>
      </c>
      <c r="Q12" s="217">
        <f t="shared" si="7"/>
        <v>15</v>
      </c>
      <c r="R12" s="217">
        <f t="shared" si="8"/>
        <v>21.300525995522193</v>
      </c>
      <c r="S12" s="172">
        <f t="shared" si="9"/>
        <v>2490.8749709870649</v>
      </c>
      <c r="T12" s="172">
        <f t="shared" si="10"/>
        <v>15</v>
      </c>
      <c r="U12" s="217">
        <f t="shared" si="99"/>
        <v>1.7034008146541</v>
      </c>
      <c r="V12" s="217">
        <f t="shared" si="11"/>
        <v>0.28487635912641873</v>
      </c>
      <c r="W12" s="217">
        <f t="shared" si="12"/>
        <v>1.3146873122162901</v>
      </c>
      <c r="X12" s="197">
        <f t="shared" si="13"/>
        <v>106.49159174915671</v>
      </c>
      <c r="Y12" s="443">
        <f t="shared" si="14"/>
        <v>350</v>
      </c>
      <c r="AA12" s="217">
        <f t="shared" si="15"/>
        <v>10</v>
      </c>
      <c r="AB12" s="173">
        <f t="shared" si="16"/>
        <v>7.7180150491078416</v>
      </c>
      <c r="AC12" s="173">
        <f t="shared" si="17"/>
        <v>4.1095185386172002</v>
      </c>
      <c r="AD12" s="173"/>
      <c r="AE12" s="173">
        <f t="shared" si="18"/>
        <v>7.7180150491078416</v>
      </c>
      <c r="AF12" s="545">
        <f t="shared" si="100"/>
        <v>18.139378986593606</v>
      </c>
      <c r="AG12" s="528">
        <f t="shared" si="19"/>
        <v>4.1095185386172002</v>
      </c>
      <c r="AI12" s="173">
        <f t="shared" si="20"/>
        <v>2.2765499578211141</v>
      </c>
      <c r="AJ12" s="173">
        <f t="shared" si="21"/>
        <v>10</v>
      </c>
      <c r="AK12" s="173">
        <f t="shared" si="22"/>
        <v>1.0103653594209105</v>
      </c>
      <c r="AM12" s="545">
        <f t="shared" si="23"/>
        <v>700.00000000000011</v>
      </c>
      <c r="AN12" s="460">
        <f t="shared" si="24"/>
        <v>18.139378986593606</v>
      </c>
      <c r="AP12">
        <f t="shared" si="25"/>
        <v>700.00000000000011</v>
      </c>
      <c r="AQ12" s="460">
        <f t="shared" si="26"/>
        <v>18.139378986593606</v>
      </c>
      <c r="AR12" s="460"/>
      <c r="AS12" s="5">
        <f t="shared" si="101"/>
        <v>55.128678922198866</v>
      </c>
      <c r="AT12" s="5">
        <f t="shared" si="27"/>
        <v>1.6723976921677532</v>
      </c>
      <c r="AU12" s="5">
        <f t="shared" si="102"/>
        <v>53.456281230031109</v>
      </c>
      <c r="AV12" s="5">
        <f t="shared" si="28"/>
        <v>7.7180150491078416</v>
      </c>
      <c r="AW12" s="173">
        <f t="shared" si="103"/>
        <v>3.0336255554535386E-2</v>
      </c>
      <c r="AX12" s="173">
        <f t="shared" si="29"/>
        <v>10.883627391956164</v>
      </c>
      <c r="AY12" s="173">
        <f t="shared" si="30"/>
        <v>4.8483187222273232</v>
      </c>
      <c r="AZ12" s="173">
        <f t="shared" si="104"/>
        <v>2.2448250652457546</v>
      </c>
      <c r="BA12" s="460">
        <f t="shared" si="31"/>
        <v>7.8045225634495159</v>
      </c>
      <c r="BB12" s="5">
        <f t="shared" si="32"/>
        <v>2.1729205886347946</v>
      </c>
      <c r="BC12" s="5"/>
      <c r="BD12" s="173">
        <f t="shared" si="105"/>
        <v>1.0055886427782053</v>
      </c>
      <c r="BE12" s="173">
        <f t="shared" si="33"/>
        <v>5.6852550351632267</v>
      </c>
      <c r="BF12" s="173"/>
      <c r="BG12" s="528">
        <f t="shared" si="34"/>
        <v>2.0224170369690261E-2</v>
      </c>
      <c r="BH12" s="528">
        <f t="shared" si="35"/>
        <v>0.29776257400068268</v>
      </c>
      <c r="BI12" s="528">
        <f t="shared" si="36"/>
        <v>3.2538993096339605E-2</v>
      </c>
      <c r="BJ12" s="528">
        <f t="shared" si="37"/>
        <v>1.3903215722916279E-2</v>
      </c>
      <c r="BK12">
        <f t="shared" si="38"/>
        <v>3.2288970651475533E-2</v>
      </c>
      <c r="BL12" s="460">
        <f t="shared" si="106"/>
        <v>64.827963747815133</v>
      </c>
      <c r="BM12" s="528">
        <f t="shared" si="39"/>
        <v>0.33897937108199688</v>
      </c>
      <c r="BN12" s="460">
        <f t="shared" si="107"/>
        <v>338.97937108199687</v>
      </c>
      <c r="BO12" s="528">
        <f t="shared" si="108"/>
        <v>0.43487499999999996</v>
      </c>
      <c r="BP12" s="528"/>
      <c r="BR12" s="460">
        <f t="shared" si="109"/>
        <v>434.87499999999994</v>
      </c>
      <c r="BS12" s="528">
        <f t="shared" si="40"/>
        <v>3.0336255554535389E-2</v>
      </c>
      <c r="BT12" s="528">
        <f t="shared" si="41"/>
        <v>0.96966374444546455</v>
      </c>
      <c r="BU12" s="528">
        <f t="shared" si="42"/>
        <v>0.15750000000000003</v>
      </c>
      <c r="BV12" s="528">
        <f t="shared" si="43"/>
        <v>1.5190217391304344</v>
      </c>
      <c r="BW12" s="528">
        <f t="shared" si="44"/>
        <v>1.8139378986593607E-3</v>
      </c>
      <c r="BX12" s="460">
        <f t="shared" si="110"/>
        <v>1520.8356770290939</v>
      </c>
      <c r="BY12" s="173">
        <f t="shared" si="45"/>
        <v>2.3595180118589059</v>
      </c>
      <c r="BZ12" s="5">
        <f t="shared" si="111"/>
        <v>10.500000000000002</v>
      </c>
      <c r="CA12" s="173">
        <f t="shared" si="112"/>
        <v>0.8165158282228786</v>
      </c>
      <c r="CB12" s="5">
        <f t="shared" si="113"/>
        <v>81.651582822287864</v>
      </c>
      <c r="CE12" s="562">
        <f t="shared" si="46"/>
        <v>-50</v>
      </c>
      <c r="CF12">
        <f t="shared" si="47"/>
        <v>-50</v>
      </c>
      <c r="CG12" s="173">
        <f t="shared" si="48"/>
        <v>0.14185438543332621</v>
      </c>
      <c r="CI12" s="170">
        <v>7</v>
      </c>
      <c r="CJ12" s="217">
        <f t="shared" si="114"/>
        <v>0.70000000000000007</v>
      </c>
      <c r="CK12" s="217"/>
      <c r="CL12" s="217">
        <f t="shared" si="49"/>
        <v>10.500000000000002</v>
      </c>
      <c r="CM12" s="541">
        <f t="shared" si="50"/>
        <v>72</v>
      </c>
      <c r="CN12" s="172">
        <f t="shared" si="51"/>
        <v>15.4</v>
      </c>
      <c r="CO12" s="443">
        <f t="shared" si="52"/>
        <v>87.4</v>
      </c>
      <c r="CP12" s="443"/>
      <c r="CQ12" s="217">
        <f t="shared" si="53"/>
        <v>0.17620137299771166</v>
      </c>
      <c r="CR12" s="172">
        <f t="shared" si="54"/>
        <v>318.30425629290613</v>
      </c>
      <c r="CS12" s="172">
        <f t="shared" si="115"/>
        <v>10.500000000000002</v>
      </c>
      <c r="CT12" s="217">
        <f t="shared" si="55"/>
        <v>21.220283752860407</v>
      </c>
      <c r="CU12" s="217">
        <f t="shared" si="56"/>
        <v>15</v>
      </c>
      <c r="CV12" s="217">
        <f t="shared" si="57"/>
        <v>21.144164759725399</v>
      </c>
      <c r="CW12" s="172">
        <f t="shared" si="58"/>
        <v>2499.4400921654737</v>
      </c>
      <c r="CX12" s="172">
        <f t="shared" si="59"/>
        <v>15</v>
      </c>
      <c r="CY12" s="217">
        <f t="shared" si="60"/>
        <v>1.6553030303030307</v>
      </c>
      <c r="CZ12" s="217">
        <f t="shared" si="61"/>
        <v>0.27588383838383851</v>
      </c>
      <c r="DA12" s="217">
        <f t="shared" si="62"/>
        <v>1.2898465171192446</v>
      </c>
      <c r="DB12" s="197">
        <f t="shared" si="63"/>
        <v>105.72082379862701</v>
      </c>
      <c r="DC12" s="443">
        <f t="shared" si="116"/>
        <v>350</v>
      </c>
      <c r="DE12" s="217">
        <f t="shared" si="64"/>
        <v>9.9999999999999982</v>
      </c>
      <c r="DF12" s="173">
        <f t="shared" si="65"/>
        <v>7.7922077922077895</v>
      </c>
      <c r="DG12" s="173">
        <f t="shared" si="66"/>
        <v>4.118993135011439</v>
      </c>
      <c r="DH12" s="173"/>
      <c r="DI12" s="173">
        <f t="shared" si="67"/>
        <v>7.7922077922077913</v>
      </c>
      <c r="DJ12" s="545">
        <f t="shared" si="117"/>
        <v>17.966666666666669</v>
      </c>
      <c r="DK12" s="528">
        <f t="shared" si="68"/>
        <v>4.1189931350114417</v>
      </c>
      <c r="DM12" s="173">
        <f t="shared" si="69"/>
        <v>2.2656860623955239</v>
      </c>
      <c r="DN12" s="173">
        <f t="shared" si="70"/>
        <v>10</v>
      </c>
      <c r="DO12" s="173">
        <f t="shared" si="71"/>
        <v>1.0102666666666666</v>
      </c>
      <c r="DQ12" s="545">
        <f t="shared" si="72"/>
        <v>700.00000000000011</v>
      </c>
      <c r="DR12" s="460">
        <f t="shared" si="73"/>
        <v>17.966666666666669</v>
      </c>
      <c r="DT12">
        <f t="shared" si="74"/>
        <v>700.00000000000011</v>
      </c>
      <c r="DU12" s="460">
        <f t="shared" si="75"/>
        <v>17.966666666666669</v>
      </c>
      <c r="DV12" s="460"/>
      <c r="DW12" s="5">
        <f t="shared" si="118"/>
        <v>55.658627087198511</v>
      </c>
      <c r="DX12" s="5">
        <f t="shared" si="76"/>
        <v>1.6666666666666667</v>
      </c>
      <c r="DY12" s="5">
        <f t="shared" si="119"/>
        <v>53.991960420531846</v>
      </c>
      <c r="DZ12" s="5">
        <f t="shared" si="77"/>
        <v>7.7922077922077913</v>
      </c>
      <c r="EA12" s="173">
        <f t="shared" si="120"/>
        <v>2.9944444444444447E-2</v>
      </c>
      <c r="EB12" s="173">
        <f t="shared" si="78"/>
        <v>10.780000000000001</v>
      </c>
      <c r="EC12" s="173">
        <f t="shared" si="79"/>
        <v>4.8502777777777775</v>
      </c>
      <c r="ED12" s="173">
        <f t="shared" si="121"/>
        <v>2.2225531183781002</v>
      </c>
      <c r="EE12" s="460">
        <f t="shared" si="80"/>
        <v>7.7777777777777786</v>
      </c>
      <c r="EF12" s="5">
        <f t="shared" si="81"/>
        <v>2.1871743225909897</v>
      </c>
      <c r="EG12" s="5"/>
      <c r="EH12" s="173">
        <f t="shared" si="122"/>
        <v>0.99907364500728779</v>
      </c>
      <c r="EI12" s="173">
        <f t="shared" si="82"/>
        <v>5.6864035369629882</v>
      </c>
      <c r="EJ12" s="173"/>
      <c r="EK12" s="528">
        <f t="shared" si="83"/>
        <v>1.9962962962962964E-2</v>
      </c>
      <c r="EL12" s="528">
        <f t="shared" si="84"/>
        <v>0.31405733333333335</v>
      </c>
      <c r="EM12" s="528">
        <f t="shared" si="85"/>
        <v>2.2458333333333336E-3</v>
      </c>
      <c r="EN12" s="528">
        <f t="shared" si="86"/>
        <v>1.3724305466666671E-2</v>
      </c>
      <c r="EO12">
        <f t="shared" si="87"/>
        <v>3.2399999999999998E-2</v>
      </c>
      <c r="EP12" s="460">
        <f t="shared" si="123"/>
        <v>34.645833333333336</v>
      </c>
      <c r="EQ12" s="528">
        <f t="shared" si="88"/>
        <v>0.38962852109756629</v>
      </c>
      <c r="ER12" s="460">
        <f t="shared" si="124"/>
        <v>389.62852109756631</v>
      </c>
      <c r="ES12" s="528">
        <f t="shared" si="125"/>
        <v>0.43487499999999996</v>
      </c>
      <c r="ET12" s="528"/>
      <c r="EV12" s="460">
        <f t="shared" si="126"/>
        <v>434.87499999999994</v>
      </c>
      <c r="EW12" s="528">
        <f t="shared" si="89"/>
        <v>2.9944444444444444E-2</v>
      </c>
      <c r="EX12" s="528">
        <f t="shared" si="90"/>
        <v>0.97005555555555545</v>
      </c>
      <c r="EY12" s="528">
        <f t="shared" si="91"/>
        <v>2.1634097393415055E-2</v>
      </c>
      <c r="EZ12" s="528">
        <f t="shared" si="92"/>
        <v>1.3713414102102335</v>
      </c>
      <c r="FA12" s="528">
        <f t="shared" si="93"/>
        <v>1.7966666666666671E-3</v>
      </c>
      <c r="FB12" s="460">
        <f t="shared" si="127"/>
        <v>1373.1380768769002</v>
      </c>
      <c r="FC12" s="173">
        <f t="shared" si="128"/>
        <v>2.1976415979744663</v>
      </c>
      <c r="FD12" s="5">
        <f t="shared" si="129"/>
        <v>10.500000000000002</v>
      </c>
      <c r="FE12" s="173">
        <f t="shared" si="130"/>
        <v>0.8269252143386191</v>
      </c>
      <c r="FF12" s="5">
        <f t="shared" si="131"/>
        <v>82.692521433861913</v>
      </c>
      <c r="FI12" s="562">
        <f t="shared" si="94"/>
        <v>-50</v>
      </c>
      <c r="FJ12">
        <f t="shared" si="95"/>
        <v>-50</v>
      </c>
      <c r="FL12">
        <f t="shared" si="96"/>
        <v>0.14000000000000001</v>
      </c>
    </row>
    <row r="13" spans="2:168" s="76" customFormat="1">
      <c r="E13" s="189">
        <v>8</v>
      </c>
      <c r="F13" s="217">
        <f t="shared" si="97"/>
        <v>0.8</v>
      </c>
      <c r="G13" s="217"/>
      <c r="H13" s="217">
        <f t="shared" si="0"/>
        <v>12</v>
      </c>
      <c r="I13" s="541">
        <f t="shared" si="1"/>
        <v>71.753268114390082</v>
      </c>
      <c r="J13" s="172">
        <f t="shared" si="2"/>
        <v>15.548039131365949</v>
      </c>
      <c r="K13" s="172">
        <f t="shared" si="3"/>
        <v>87.548039131365954</v>
      </c>
      <c r="L13" s="535"/>
      <c r="M13" s="217">
        <f t="shared" si="4"/>
        <v>0.17811475258435275</v>
      </c>
      <c r="N13" s="172">
        <f t="shared" si="5"/>
        <v>320.65811833659114</v>
      </c>
      <c r="O13" s="172">
        <f t="shared" si="98"/>
        <v>12</v>
      </c>
      <c r="P13" s="329">
        <f t="shared" si="6"/>
        <v>21.377207889106078</v>
      </c>
      <c r="Q13" s="217">
        <f t="shared" si="7"/>
        <v>15</v>
      </c>
      <c r="R13" s="217">
        <f t="shared" si="8"/>
        <v>21.300525995522193</v>
      </c>
      <c r="S13" s="172">
        <f t="shared" si="9"/>
        <v>2170.5495810838906</v>
      </c>
      <c r="T13" s="172">
        <f t="shared" si="10"/>
        <v>15</v>
      </c>
      <c r="U13" s="217">
        <f t="shared" si="99"/>
        <v>1.946743788176114</v>
      </c>
      <c r="V13" s="217">
        <f t="shared" si="11"/>
        <v>0.32557298185876421</v>
      </c>
      <c r="W13" s="217">
        <f t="shared" si="12"/>
        <v>1.5024997853900455</v>
      </c>
      <c r="X13" s="537">
        <f t="shared" si="13"/>
        <v>106.49159174915671</v>
      </c>
      <c r="Y13" s="443">
        <f t="shared" si="14"/>
        <v>350</v>
      </c>
      <c r="AA13" s="329">
        <f t="shared" si="15"/>
        <v>10</v>
      </c>
      <c r="AB13" s="173">
        <f t="shared" si="16"/>
        <v>7.7180150491078416</v>
      </c>
      <c r="AC13" s="538">
        <f t="shared" si="17"/>
        <v>4.1095185386172002</v>
      </c>
      <c r="AD13" s="538"/>
      <c r="AE13" s="173">
        <f t="shared" si="18"/>
        <v>7.7180150491078416</v>
      </c>
      <c r="AF13" s="545">
        <f t="shared" si="100"/>
        <v>20.730718841821265</v>
      </c>
      <c r="AG13" s="528">
        <f t="shared" si="19"/>
        <v>4.1095185386172002</v>
      </c>
      <c r="AH13"/>
      <c r="AI13" s="173">
        <f t="shared" si="20"/>
        <v>2.4337342760117933</v>
      </c>
      <c r="AJ13" s="173">
        <f t="shared" si="21"/>
        <v>10</v>
      </c>
      <c r="AK13" s="173">
        <f t="shared" si="22"/>
        <v>1.0118461250524693</v>
      </c>
      <c r="AM13" s="545">
        <f t="shared" si="23"/>
        <v>800</v>
      </c>
      <c r="AN13" s="460">
        <f t="shared" si="24"/>
        <v>20.730718841821265</v>
      </c>
      <c r="AP13">
        <f t="shared" si="25"/>
        <v>800</v>
      </c>
      <c r="AQ13" s="460">
        <f t="shared" si="26"/>
        <v>20.730718841821265</v>
      </c>
      <c r="AR13" s="460"/>
      <c r="AS13" s="5">
        <f t="shared" si="101"/>
        <v>48.23759405692401</v>
      </c>
      <c r="AT13" s="5">
        <f t="shared" si="27"/>
        <v>1.6723976921677532</v>
      </c>
      <c r="AU13" s="5">
        <f t="shared" si="102"/>
        <v>46.565196364756254</v>
      </c>
      <c r="AV13" s="5">
        <f t="shared" si="28"/>
        <v>7.7180150491078416</v>
      </c>
      <c r="AW13" s="173">
        <f t="shared" si="103"/>
        <v>3.467000634804044E-2</v>
      </c>
      <c r="AX13" s="173">
        <f t="shared" si="29"/>
        <v>12.43843130509276</v>
      </c>
      <c r="AY13" s="173">
        <f t="shared" si="30"/>
        <v>4.8266499682597983</v>
      </c>
      <c r="AZ13" s="173">
        <f t="shared" si="104"/>
        <v>2.5770319759850566</v>
      </c>
      <c r="BA13" s="460">
        <f t="shared" si="31"/>
        <v>8.9194543582280161</v>
      </c>
      <c r="BB13" s="5">
        <f t="shared" si="32"/>
        <v>2.1632090815487945</v>
      </c>
      <c r="BC13" s="5"/>
      <c r="BD13" s="173">
        <f t="shared" si="105"/>
        <v>1.0750194780877296</v>
      </c>
      <c r="BE13" s="173">
        <f t="shared" si="33"/>
        <v>5.6725361572285564</v>
      </c>
      <c r="BF13" s="173"/>
      <c r="BG13" s="528">
        <f t="shared" si="34"/>
        <v>2.3113337565360288E-2</v>
      </c>
      <c r="BH13" s="528">
        <f t="shared" si="35"/>
        <v>0.34030008457220873</v>
      </c>
      <c r="BI13" s="528">
        <f t="shared" si="36"/>
        <v>3.7187420681530983E-2</v>
      </c>
      <c r="BJ13" s="528">
        <f t="shared" si="37"/>
        <v>1.5889389397618605E-2</v>
      </c>
      <c r="BK13">
        <f t="shared" si="38"/>
        <v>3.2288970651475533E-2</v>
      </c>
      <c r="BL13" s="460">
        <f t="shared" si="106"/>
        <v>69.476391333006504</v>
      </c>
      <c r="BM13" s="528">
        <f t="shared" si="39"/>
        <v>0.3876724044660847</v>
      </c>
      <c r="BN13" s="460">
        <f t="shared" si="107"/>
        <v>387.67240446608469</v>
      </c>
      <c r="BO13" s="528">
        <f t="shared" si="108"/>
        <v>0.49699999999999994</v>
      </c>
      <c r="BP13" s="528"/>
      <c r="BR13" s="460">
        <f t="shared" si="109"/>
        <v>496.99999999999994</v>
      </c>
      <c r="BS13" s="528">
        <f t="shared" si="40"/>
        <v>3.4670006348040433E-2</v>
      </c>
      <c r="BT13" s="528">
        <f t="shared" si="41"/>
        <v>0.96532999365195959</v>
      </c>
      <c r="BU13" s="528">
        <f t="shared" si="42"/>
        <v>0.18</v>
      </c>
      <c r="BV13" s="528">
        <f t="shared" si="43"/>
        <v>1.543478260869565</v>
      </c>
      <c r="BW13" s="528">
        <f t="shared" si="44"/>
        <v>2.0730718841821265E-3</v>
      </c>
      <c r="BX13" s="460">
        <f t="shared" si="110"/>
        <v>1545.5513327537471</v>
      </c>
      <c r="BY13" s="173">
        <f t="shared" si="45"/>
        <v>2.499700128552838</v>
      </c>
      <c r="BZ13" s="5">
        <f t="shared" si="111"/>
        <v>12</v>
      </c>
      <c r="CA13" s="173">
        <f t="shared" si="112"/>
        <v>0.82760332238661793</v>
      </c>
      <c r="CB13" s="5">
        <f t="shared" si="113"/>
        <v>82.760332238661789</v>
      </c>
      <c r="CE13" s="562">
        <f t="shared" si="46"/>
        <v>-50</v>
      </c>
      <c r="CF13">
        <f t="shared" si="47"/>
        <v>-50</v>
      </c>
      <c r="CG13" s="173">
        <f t="shared" si="48"/>
        <v>0.16211929763808711</v>
      </c>
      <c r="CH13"/>
      <c r="CI13" s="189">
        <v>8</v>
      </c>
      <c r="CJ13" s="217">
        <f t="shared" si="114"/>
        <v>0.8</v>
      </c>
      <c r="CK13" s="217"/>
      <c r="CL13" s="217">
        <f t="shared" si="49"/>
        <v>12</v>
      </c>
      <c r="CM13" s="541">
        <f t="shared" si="50"/>
        <v>72</v>
      </c>
      <c r="CN13" s="172">
        <f t="shared" si="51"/>
        <v>15.4</v>
      </c>
      <c r="CO13" s="535">
        <f t="shared" si="52"/>
        <v>87.4</v>
      </c>
      <c r="CP13" s="535"/>
      <c r="CQ13" s="329">
        <f t="shared" si="53"/>
        <v>0.17620137299771166</v>
      </c>
      <c r="CR13" s="172">
        <f t="shared" si="54"/>
        <v>318.30425629290613</v>
      </c>
      <c r="CS13" s="172">
        <f t="shared" si="115"/>
        <v>12</v>
      </c>
      <c r="CT13" s="329">
        <f t="shared" si="55"/>
        <v>21.220283752860407</v>
      </c>
      <c r="CU13" s="217">
        <f t="shared" si="56"/>
        <v>15</v>
      </c>
      <c r="CV13" s="217">
        <f t="shared" si="57"/>
        <v>21.144164759725399</v>
      </c>
      <c r="CW13" s="172">
        <f t="shared" si="58"/>
        <v>2178.0132206322137</v>
      </c>
      <c r="CX13" s="172">
        <f t="shared" si="59"/>
        <v>15</v>
      </c>
      <c r="CY13" s="217">
        <f t="shared" si="60"/>
        <v>1.891774891774892</v>
      </c>
      <c r="CZ13" s="329">
        <f t="shared" si="61"/>
        <v>0.31529581529581541</v>
      </c>
      <c r="DA13" s="217">
        <f t="shared" si="62"/>
        <v>1.4741103052791367</v>
      </c>
      <c r="DB13" s="537">
        <f t="shared" si="63"/>
        <v>105.72082379862701</v>
      </c>
      <c r="DC13" s="535">
        <f t="shared" si="116"/>
        <v>350</v>
      </c>
      <c r="DE13" s="329">
        <f t="shared" si="64"/>
        <v>9.9999999999999982</v>
      </c>
      <c r="DF13" s="173">
        <f t="shared" si="65"/>
        <v>7.7922077922077895</v>
      </c>
      <c r="DG13" s="538">
        <f t="shared" si="66"/>
        <v>4.118993135011439</v>
      </c>
      <c r="DH13" s="538"/>
      <c r="DI13" s="173">
        <f t="shared" si="67"/>
        <v>7.7922077922077913</v>
      </c>
      <c r="DJ13" s="545">
        <f t="shared" si="117"/>
        <v>20.533333333333335</v>
      </c>
      <c r="DK13" s="528">
        <f t="shared" si="68"/>
        <v>4.1189931350114417</v>
      </c>
      <c r="DL13"/>
      <c r="DM13" s="173">
        <f t="shared" si="69"/>
        <v>2.4221202832779936</v>
      </c>
      <c r="DN13" s="173">
        <f t="shared" si="70"/>
        <v>10</v>
      </c>
      <c r="DO13" s="173">
        <f t="shared" si="71"/>
        <v>1.0117333333333334</v>
      </c>
      <c r="DQ13" s="545">
        <f t="shared" si="72"/>
        <v>800</v>
      </c>
      <c r="DR13" s="460">
        <f t="shared" si="73"/>
        <v>20.533333333333335</v>
      </c>
      <c r="DT13">
        <f t="shared" si="74"/>
        <v>800</v>
      </c>
      <c r="DU13" s="460">
        <f t="shared" si="75"/>
        <v>20.533333333333335</v>
      </c>
      <c r="DV13" s="460"/>
      <c r="DW13" s="5">
        <f t="shared" si="118"/>
        <v>48.701298701298697</v>
      </c>
      <c r="DX13" s="5">
        <f t="shared" si="76"/>
        <v>1.6666666666666667</v>
      </c>
      <c r="DY13" s="5">
        <f t="shared" si="119"/>
        <v>47.034632034632033</v>
      </c>
      <c r="DZ13" s="5">
        <f t="shared" si="77"/>
        <v>7.7922077922077913</v>
      </c>
      <c r="EA13" s="173">
        <f t="shared" si="120"/>
        <v>3.422222222222223E-2</v>
      </c>
      <c r="EB13" s="173">
        <f t="shared" si="78"/>
        <v>12.320000000000002</v>
      </c>
      <c r="EC13" s="173">
        <f t="shared" si="79"/>
        <v>4.8288888888888888</v>
      </c>
      <c r="ED13" s="173">
        <f t="shared" si="121"/>
        <v>2.551311550851358</v>
      </c>
      <c r="EE13" s="460">
        <f t="shared" si="80"/>
        <v>8.8888888888888911</v>
      </c>
      <c r="EF13" s="5">
        <f t="shared" si="81"/>
        <v>2.177529260862594</v>
      </c>
      <c r="EG13" s="5"/>
      <c r="EH13" s="173">
        <f t="shared" si="122"/>
        <v>1.0680546525064814</v>
      </c>
      <c r="EI13" s="173">
        <f t="shared" si="82"/>
        <v>5.6738516540875992</v>
      </c>
      <c r="EJ13" s="173"/>
      <c r="EK13" s="528">
        <f t="shared" si="83"/>
        <v>2.2814814814814812E-2</v>
      </c>
      <c r="EL13" s="528">
        <f t="shared" si="84"/>
        <v>0.35892266666666672</v>
      </c>
      <c r="EM13" s="528">
        <f t="shared" si="85"/>
        <v>2.5666666666666667E-3</v>
      </c>
      <c r="EN13" s="528">
        <f t="shared" si="86"/>
        <v>1.5684920533333337E-2</v>
      </c>
      <c r="EO13">
        <f t="shared" si="87"/>
        <v>3.2399999999999998E-2</v>
      </c>
      <c r="EP13" s="460">
        <f t="shared" si="123"/>
        <v>34.966666666666669</v>
      </c>
      <c r="EQ13" s="528">
        <f t="shared" si="88"/>
        <v>0.44093931250671786</v>
      </c>
      <c r="ER13" s="460">
        <f t="shared" si="124"/>
        <v>440.93931250671784</v>
      </c>
      <c r="ES13" s="528">
        <f t="shared" si="125"/>
        <v>0.49699999999999994</v>
      </c>
      <c r="ET13" s="528"/>
      <c r="EV13" s="460">
        <f t="shared" si="126"/>
        <v>496.99999999999994</v>
      </c>
      <c r="EW13" s="528">
        <f t="shared" si="89"/>
        <v>3.4222222222222216E-2</v>
      </c>
      <c r="EX13" s="528">
        <f t="shared" si="90"/>
        <v>0.9657777777777774</v>
      </c>
      <c r="EY13" s="528">
        <f t="shared" si="91"/>
        <v>3.0207768748504567E-2</v>
      </c>
      <c r="EZ13" s="528">
        <f t="shared" si="92"/>
        <v>1.3806606182048957</v>
      </c>
      <c r="FA13" s="528">
        <f t="shared" si="93"/>
        <v>2.0533333333333337E-3</v>
      </c>
      <c r="FB13" s="460">
        <f t="shared" si="127"/>
        <v>1382.7139515382289</v>
      </c>
      <c r="FC13" s="173">
        <f t="shared" si="128"/>
        <v>2.3206532640449469</v>
      </c>
      <c r="FD13" s="5">
        <f t="shared" si="129"/>
        <v>12</v>
      </c>
      <c r="FE13" s="173">
        <f t="shared" si="130"/>
        <v>0.83795060034925639</v>
      </c>
      <c r="FF13" s="5">
        <f t="shared" si="131"/>
        <v>83.79506003492564</v>
      </c>
      <c r="FI13" s="562">
        <f t="shared" si="94"/>
        <v>-50</v>
      </c>
      <c r="FJ13">
        <f t="shared" si="95"/>
        <v>-50</v>
      </c>
      <c r="FL13">
        <f t="shared" si="96"/>
        <v>0.16000000000000003</v>
      </c>
    </row>
    <row r="14" spans="2:168">
      <c r="E14" s="170">
        <v>9</v>
      </c>
      <c r="F14" s="217">
        <f t="shared" si="97"/>
        <v>0.89999999999999991</v>
      </c>
      <c r="G14" s="217"/>
      <c r="H14" s="217">
        <f t="shared" si="0"/>
        <v>13.499999999999998</v>
      </c>
      <c r="I14" s="541">
        <f t="shared" si="1"/>
        <v>71.753268114390082</v>
      </c>
      <c r="J14" s="172">
        <f t="shared" si="2"/>
        <v>15.548039131365949</v>
      </c>
      <c r="K14" s="172">
        <f t="shared" si="3"/>
        <v>87.548039131365954</v>
      </c>
      <c r="L14" s="443"/>
      <c r="M14" s="217">
        <f t="shared" si="4"/>
        <v>0.17811475258435275</v>
      </c>
      <c r="N14" s="172">
        <f t="shared" si="5"/>
        <v>320.65811833659114</v>
      </c>
      <c r="O14" s="172">
        <f t="shared" si="98"/>
        <v>13.499999999999998</v>
      </c>
      <c r="P14" s="217">
        <f t="shared" si="6"/>
        <v>21.377207889106078</v>
      </c>
      <c r="Q14" s="217">
        <f t="shared" si="7"/>
        <v>15</v>
      </c>
      <c r="R14" s="217">
        <f t="shared" si="8"/>
        <v>21.300525995522193</v>
      </c>
      <c r="S14" s="172">
        <f t="shared" si="9"/>
        <v>1921.408002930594</v>
      </c>
      <c r="T14" s="172">
        <f t="shared" si="10"/>
        <v>15</v>
      </c>
      <c r="U14" s="217">
        <f t="shared" si="99"/>
        <v>2.1900867616981281</v>
      </c>
      <c r="V14" s="217">
        <f t="shared" si="11"/>
        <v>0.36626960459110974</v>
      </c>
      <c r="W14" s="217">
        <f t="shared" si="12"/>
        <v>1.6903122585638011</v>
      </c>
      <c r="X14" s="197">
        <f t="shared" si="13"/>
        <v>106.49159174915671</v>
      </c>
      <c r="Y14" s="443">
        <f t="shared" si="14"/>
        <v>350</v>
      </c>
      <c r="AA14" s="217">
        <f t="shared" si="15"/>
        <v>10</v>
      </c>
      <c r="AB14" s="173">
        <f t="shared" si="16"/>
        <v>7.7180150491078416</v>
      </c>
      <c r="AC14" s="173">
        <f t="shared" si="17"/>
        <v>4.1095185386172002</v>
      </c>
      <c r="AD14" s="173"/>
      <c r="AE14" s="173">
        <f t="shared" si="18"/>
        <v>7.7180150491078416</v>
      </c>
      <c r="AF14" s="545">
        <f t="shared" si="100"/>
        <v>23.322058697048917</v>
      </c>
      <c r="AG14" s="528">
        <f t="shared" si="19"/>
        <v>4.1095185386172002</v>
      </c>
      <c r="AI14" s="173">
        <f t="shared" si="20"/>
        <v>2.5813650152611074</v>
      </c>
      <c r="AJ14" s="173">
        <f t="shared" si="21"/>
        <v>10</v>
      </c>
      <c r="AK14" s="173">
        <f t="shared" si="22"/>
        <v>1.013326890684028</v>
      </c>
      <c r="AM14" s="545">
        <f t="shared" si="23"/>
        <v>899.99999999999989</v>
      </c>
      <c r="AN14" s="460">
        <f t="shared" si="24"/>
        <v>23.322058697048917</v>
      </c>
      <c r="AP14">
        <f t="shared" si="25"/>
        <v>899.99999999999989</v>
      </c>
      <c r="AQ14" s="460">
        <f t="shared" si="26"/>
        <v>23.322058697048917</v>
      </c>
      <c r="AR14" s="460"/>
      <c r="AS14" s="5">
        <f t="shared" si="101"/>
        <v>42.877861383932462</v>
      </c>
      <c r="AT14" s="5">
        <f t="shared" si="27"/>
        <v>1.6723976921677532</v>
      </c>
      <c r="AU14" s="5">
        <f t="shared" si="102"/>
        <v>41.205463691764706</v>
      </c>
      <c r="AV14" s="5">
        <f t="shared" si="28"/>
        <v>7.7180150491078416</v>
      </c>
      <c r="AW14" s="173">
        <f t="shared" si="103"/>
        <v>3.9003757141545491E-2</v>
      </c>
      <c r="AX14" s="173">
        <f t="shared" si="29"/>
        <v>13.993235218229351</v>
      </c>
      <c r="AY14" s="173">
        <f t="shared" si="30"/>
        <v>4.8049812142922725</v>
      </c>
      <c r="AZ14" s="173">
        <f t="shared" si="104"/>
        <v>2.9122351564261879</v>
      </c>
      <c r="BA14" s="460">
        <f t="shared" si="31"/>
        <v>10.034386153006519</v>
      </c>
      <c r="BB14" s="5">
        <f t="shared" si="32"/>
        <v>2.1534975744627949</v>
      </c>
      <c r="BC14" s="5"/>
      <c r="BD14" s="173">
        <f t="shared" si="105"/>
        <v>1.1402303442951851</v>
      </c>
      <c r="BE14" s="173">
        <f t="shared" si="33"/>
        <v>5.6597886970523748</v>
      </c>
      <c r="BF14" s="173"/>
      <c r="BG14" s="528">
        <f t="shared" si="34"/>
        <v>2.6002504761030332E-2</v>
      </c>
      <c r="BH14" s="528">
        <f t="shared" si="35"/>
        <v>0.38283759514373483</v>
      </c>
      <c r="BI14" s="528">
        <f t="shared" si="36"/>
        <v>4.1835848266722341E-2</v>
      </c>
      <c r="BJ14" s="528">
        <f t="shared" si="37"/>
        <v>1.7875563072320924E-2</v>
      </c>
      <c r="BK14">
        <f t="shared" si="38"/>
        <v>3.2288970651475533E-2</v>
      </c>
      <c r="BL14" s="460">
        <f t="shared" si="106"/>
        <v>74.124818918197874</v>
      </c>
      <c r="BM14" s="528">
        <f t="shared" si="39"/>
        <v>0.43643270567990133</v>
      </c>
      <c r="BN14" s="460">
        <f t="shared" si="107"/>
        <v>436.43270567990135</v>
      </c>
      <c r="BO14" s="528">
        <f t="shared" si="108"/>
        <v>0.55912499999999987</v>
      </c>
      <c r="BP14" s="528"/>
      <c r="BR14" s="460">
        <f t="shared" si="109"/>
        <v>559.12499999999989</v>
      </c>
      <c r="BS14" s="528">
        <f t="shared" si="40"/>
        <v>3.9003757141545491E-2</v>
      </c>
      <c r="BT14" s="528">
        <f t="shared" si="41"/>
        <v>0.96099624285845442</v>
      </c>
      <c r="BU14" s="528">
        <f t="shared" si="42"/>
        <v>0.20249999999999996</v>
      </c>
      <c r="BV14" s="528">
        <f t="shared" si="43"/>
        <v>1.5679347826086951</v>
      </c>
      <c r="BW14" s="528">
        <f t="shared" si="44"/>
        <v>2.3322058697048918E-3</v>
      </c>
      <c r="BX14" s="460">
        <f t="shared" si="110"/>
        <v>1570.2669884784</v>
      </c>
      <c r="BY14" s="173">
        <f t="shared" si="45"/>
        <v>2.6399495130764992</v>
      </c>
      <c r="BZ14" s="5">
        <f t="shared" si="111"/>
        <v>13.499999999999998</v>
      </c>
      <c r="CA14" s="173">
        <f t="shared" si="112"/>
        <v>0.83643384318286573</v>
      </c>
      <c r="CB14" s="5">
        <f t="shared" si="113"/>
        <v>83.643384318286579</v>
      </c>
      <c r="CE14" s="562">
        <f t="shared" si="46"/>
        <v>-50</v>
      </c>
      <c r="CF14">
        <f t="shared" si="47"/>
        <v>-50</v>
      </c>
      <c r="CG14" s="173">
        <f t="shared" si="48"/>
        <v>0.18238420984284795</v>
      </c>
      <c r="CI14" s="170">
        <v>9</v>
      </c>
      <c r="CJ14" s="217">
        <f t="shared" si="114"/>
        <v>0.89999999999999991</v>
      </c>
      <c r="CK14" s="217"/>
      <c r="CL14" s="217">
        <f t="shared" si="49"/>
        <v>13.499999999999998</v>
      </c>
      <c r="CM14" s="541">
        <f t="shared" si="50"/>
        <v>72</v>
      </c>
      <c r="CN14" s="172">
        <f t="shared" si="51"/>
        <v>15.4</v>
      </c>
      <c r="CO14" s="443">
        <f t="shared" si="52"/>
        <v>87.4</v>
      </c>
      <c r="CP14" s="443"/>
      <c r="CQ14" s="217">
        <f t="shared" si="53"/>
        <v>0.17620137299771166</v>
      </c>
      <c r="CR14" s="172">
        <f t="shared" si="54"/>
        <v>318.30425629290613</v>
      </c>
      <c r="CS14" s="172">
        <f t="shared" si="115"/>
        <v>13.499999999999998</v>
      </c>
      <c r="CT14" s="217">
        <f t="shared" si="55"/>
        <v>21.220283752860407</v>
      </c>
      <c r="CU14" s="217">
        <f t="shared" si="56"/>
        <v>15</v>
      </c>
      <c r="CV14" s="217">
        <f t="shared" si="57"/>
        <v>21.144164759725399</v>
      </c>
      <c r="CW14" s="172">
        <f t="shared" si="58"/>
        <v>1928.014934545198</v>
      </c>
      <c r="CX14" s="172">
        <f t="shared" si="59"/>
        <v>15</v>
      </c>
      <c r="CY14" s="217">
        <f t="shared" si="60"/>
        <v>2.1282467532467533</v>
      </c>
      <c r="CZ14" s="217">
        <f t="shared" si="61"/>
        <v>0.35470779220779225</v>
      </c>
      <c r="DA14" s="217">
        <f t="shared" si="62"/>
        <v>1.6583740934390283</v>
      </c>
      <c r="DB14" s="197">
        <f t="shared" si="63"/>
        <v>105.72082379862701</v>
      </c>
      <c r="DC14" s="443">
        <f t="shared" si="116"/>
        <v>350</v>
      </c>
      <c r="DE14" s="217">
        <f t="shared" si="64"/>
        <v>9.9999999999999982</v>
      </c>
      <c r="DF14" s="173">
        <f t="shared" si="65"/>
        <v>7.7922077922077895</v>
      </c>
      <c r="DG14" s="173">
        <f t="shared" si="66"/>
        <v>4.118993135011439</v>
      </c>
      <c r="DH14" s="173"/>
      <c r="DI14" s="173">
        <f t="shared" si="67"/>
        <v>7.7922077922077913</v>
      </c>
      <c r="DJ14" s="545">
        <f t="shared" si="117"/>
        <v>23.1</v>
      </c>
      <c r="DK14" s="528">
        <f t="shared" si="68"/>
        <v>4.1189931350114417</v>
      </c>
      <c r="DM14" s="173">
        <f t="shared" si="69"/>
        <v>2.5690465157330258</v>
      </c>
      <c r="DN14" s="173">
        <f t="shared" si="70"/>
        <v>10</v>
      </c>
      <c r="DO14" s="173">
        <f t="shared" si="71"/>
        <v>1.0132000000000001</v>
      </c>
      <c r="DQ14" s="545">
        <f t="shared" si="72"/>
        <v>899.99999999999989</v>
      </c>
      <c r="DR14" s="460">
        <f t="shared" si="73"/>
        <v>23.1</v>
      </c>
      <c r="DT14">
        <f t="shared" si="74"/>
        <v>899.99999999999989</v>
      </c>
      <c r="DU14" s="460">
        <f t="shared" si="75"/>
        <v>23.1</v>
      </c>
      <c r="DV14" s="460"/>
      <c r="DW14" s="5">
        <f t="shared" si="118"/>
        <v>43.290043290043286</v>
      </c>
      <c r="DX14" s="5">
        <f t="shared" si="76"/>
        <v>1.6666666666666667</v>
      </c>
      <c r="DY14" s="5">
        <f t="shared" si="119"/>
        <v>41.623376623376622</v>
      </c>
      <c r="DZ14" s="5">
        <f t="shared" si="77"/>
        <v>7.7922077922077913</v>
      </c>
      <c r="EA14" s="173">
        <f t="shared" si="120"/>
        <v>3.8500000000000006E-2</v>
      </c>
      <c r="EB14" s="173">
        <f t="shared" si="78"/>
        <v>13.860000000000003</v>
      </c>
      <c r="EC14" s="173">
        <f t="shared" si="79"/>
        <v>4.8075000000000001</v>
      </c>
      <c r="ED14" s="173">
        <f t="shared" si="121"/>
        <v>2.8829953198127929</v>
      </c>
      <c r="EE14" s="460">
        <f t="shared" si="80"/>
        <v>10</v>
      </c>
      <c r="EF14" s="5">
        <f t="shared" si="81"/>
        <v>2.1678841991341988</v>
      </c>
      <c r="EG14" s="5"/>
      <c r="EH14" s="173">
        <f t="shared" si="122"/>
        <v>1.132843031197762</v>
      </c>
      <c r="EI14" s="173">
        <f t="shared" si="82"/>
        <v>5.6612719418872643</v>
      </c>
      <c r="EJ14" s="173"/>
      <c r="EK14" s="528">
        <f t="shared" si="83"/>
        <v>2.5666666666666671E-2</v>
      </c>
      <c r="EL14" s="528">
        <f t="shared" si="84"/>
        <v>0.40378800000000004</v>
      </c>
      <c r="EM14" s="528">
        <f t="shared" si="85"/>
        <v>2.8874999999999999E-3</v>
      </c>
      <c r="EN14" s="528">
        <f t="shared" si="86"/>
        <v>1.7645535600000005E-2</v>
      </c>
      <c r="EO14">
        <f t="shared" si="87"/>
        <v>3.2399999999999998E-2</v>
      </c>
      <c r="EP14" s="460">
        <f t="shared" si="123"/>
        <v>35.287500000000001</v>
      </c>
      <c r="EQ14" s="528">
        <f t="shared" si="88"/>
        <v>0.49232006696303399</v>
      </c>
      <c r="ER14" s="460">
        <f t="shared" si="124"/>
        <v>492.32006696303398</v>
      </c>
      <c r="ES14" s="528">
        <f t="shared" si="125"/>
        <v>0.55912499999999987</v>
      </c>
      <c r="ET14" s="528"/>
      <c r="EV14" s="460">
        <f t="shared" si="126"/>
        <v>559.12499999999989</v>
      </c>
      <c r="EW14" s="528">
        <f t="shared" si="89"/>
        <v>3.85E-2</v>
      </c>
      <c r="EX14" s="528">
        <f t="shared" si="90"/>
        <v>0.96149999999999991</v>
      </c>
      <c r="EY14" s="528">
        <f t="shared" si="91"/>
        <v>4.0550849255934246E-2</v>
      </c>
      <c r="EZ14" s="528">
        <f t="shared" si="92"/>
        <v>1.3919030970173196</v>
      </c>
      <c r="FA14" s="528">
        <f t="shared" si="93"/>
        <v>2.3100000000000004E-3</v>
      </c>
      <c r="FB14" s="460">
        <f t="shared" si="127"/>
        <v>1394.2130970173196</v>
      </c>
      <c r="FC14" s="173">
        <f t="shared" si="128"/>
        <v>2.4456581639803536</v>
      </c>
      <c r="FD14" s="5">
        <f t="shared" si="129"/>
        <v>13.499999999999998</v>
      </c>
      <c r="FE14" s="173">
        <f t="shared" si="130"/>
        <v>0.84662544883190516</v>
      </c>
      <c r="FF14" s="5">
        <f t="shared" si="131"/>
        <v>84.66254488319052</v>
      </c>
      <c r="FI14" s="562">
        <f t="shared" si="94"/>
        <v>-50</v>
      </c>
      <c r="FJ14">
        <f t="shared" si="95"/>
        <v>-50</v>
      </c>
      <c r="FL14">
        <f t="shared" si="96"/>
        <v>0.18</v>
      </c>
    </row>
    <row r="15" spans="2:168">
      <c r="E15" s="170">
        <v>10</v>
      </c>
      <c r="F15" s="217">
        <f t="shared" si="97"/>
        <v>1</v>
      </c>
      <c r="G15" s="217"/>
      <c r="H15" s="217">
        <f t="shared" si="0"/>
        <v>15</v>
      </c>
      <c r="I15" s="541">
        <f t="shared" si="1"/>
        <v>71.753268114390082</v>
      </c>
      <c r="J15" s="172">
        <f t="shared" si="2"/>
        <v>15.548039131365949</v>
      </c>
      <c r="K15" s="172">
        <f t="shared" si="3"/>
        <v>87.548039131365954</v>
      </c>
      <c r="L15" s="443"/>
      <c r="M15" s="217">
        <f t="shared" si="4"/>
        <v>0.17811475258435275</v>
      </c>
      <c r="N15" s="172">
        <f t="shared" si="5"/>
        <v>320.65811833659114</v>
      </c>
      <c r="O15" s="172">
        <f t="shared" si="98"/>
        <v>15</v>
      </c>
      <c r="P15" s="217">
        <f t="shared" si="6"/>
        <v>21.377207889106078</v>
      </c>
      <c r="Q15" s="217">
        <f t="shared" si="7"/>
        <v>15</v>
      </c>
      <c r="R15" s="217">
        <f t="shared" si="8"/>
        <v>21.300525995522193</v>
      </c>
      <c r="S15" s="172">
        <f t="shared" si="9"/>
        <v>1722.0950973804484</v>
      </c>
      <c r="T15" s="172">
        <f t="shared" si="10"/>
        <v>15</v>
      </c>
      <c r="U15" s="217">
        <f t="shared" si="99"/>
        <v>2.4334297352201424</v>
      </c>
      <c r="V15" s="217">
        <f t="shared" si="11"/>
        <v>0.40696622732345528</v>
      </c>
      <c r="W15" s="217">
        <f t="shared" si="12"/>
        <v>1.8781247317375569</v>
      </c>
      <c r="X15" s="197">
        <f t="shared" si="13"/>
        <v>106.49159174915671</v>
      </c>
      <c r="Y15" s="443">
        <f t="shared" si="14"/>
        <v>350</v>
      </c>
      <c r="AA15" s="217">
        <f t="shared" si="15"/>
        <v>10</v>
      </c>
      <c r="AB15" s="173">
        <f t="shared" si="16"/>
        <v>7.7180150491078416</v>
      </c>
      <c r="AC15" s="173">
        <f t="shared" si="17"/>
        <v>4.1095185386172002</v>
      </c>
      <c r="AD15" s="173"/>
      <c r="AE15" s="173">
        <f t="shared" si="18"/>
        <v>7.7180150491078416</v>
      </c>
      <c r="AF15" s="545">
        <f t="shared" si="100"/>
        <v>25.913398552276576</v>
      </c>
      <c r="AG15" s="528">
        <f t="shared" si="19"/>
        <v>4.1095185386172002</v>
      </c>
      <c r="AI15" s="173">
        <f t="shared" si="20"/>
        <v>2.7209976401668023</v>
      </c>
      <c r="AJ15" s="173">
        <f t="shared" si="21"/>
        <v>10</v>
      </c>
      <c r="AK15" s="173">
        <f t="shared" si="22"/>
        <v>1.0148076563155866</v>
      </c>
      <c r="AM15" s="545">
        <f t="shared" si="23"/>
        <v>1000</v>
      </c>
      <c r="AN15" s="460">
        <f t="shared" si="24"/>
        <v>25.913398552276576</v>
      </c>
      <c r="AP15">
        <f t="shared" si="25"/>
        <v>1000</v>
      </c>
      <c r="AQ15" s="460">
        <f t="shared" si="26"/>
        <v>25.913398552276576</v>
      </c>
      <c r="AR15" s="460"/>
      <c r="AS15" s="5">
        <f t="shared" si="101"/>
        <v>38.590075245539218</v>
      </c>
      <c r="AT15" s="5">
        <f t="shared" si="27"/>
        <v>1.6723976921677532</v>
      </c>
      <c r="AU15" s="5">
        <f t="shared" si="102"/>
        <v>36.917677553371462</v>
      </c>
      <c r="AV15" s="5">
        <f t="shared" si="28"/>
        <v>7.7180150491078416</v>
      </c>
      <c r="AW15" s="173">
        <f t="shared" si="103"/>
        <v>4.3337507935050541E-2</v>
      </c>
      <c r="AX15" s="173">
        <f t="shared" si="29"/>
        <v>15.548039131365947</v>
      </c>
      <c r="AY15" s="173">
        <f t="shared" si="30"/>
        <v>4.7833124603247477</v>
      </c>
      <c r="AZ15" s="173">
        <f t="shared" si="104"/>
        <v>3.2504753265293402</v>
      </c>
      <c r="BA15" s="460">
        <f t="shared" si="31"/>
        <v>11.149317947785022</v>
      </c>
      <c r="BB15" s="5">
        <f t="shared" si="32"/>
        <v>2.1437860673767948</v>
      </c>
      <c r="BC15" s="5"/>
      <c r="BD15" s="173">
        <f t="shared" si="105"/>
        <v>1.2019083150702545</v>
      </c>
      <c r="BE15" s="173">
        <f t="shared" si="33"/>
        <v>5.6470124610716343</v>
      </c>
      <c r="BF15" s="173"/>
      <c r="BG15" s="528">
        <f t="shared" si="34"/>
        <v>2.8891671956700365E-2</v>
      </c>
      <c r="BH15" s="528">
        <f t="shared" si="35"/>
        <v>0.42537510571526088</v>
      </c>
      <c r="BI15" s="528">
        <f t="shared" si="36"/>
        <v>4.6484275851913719E-2</v>
      </c>
      <c r="BJ15" s="528">
        <f t="shared" si="37"/>
        <v>1.986173674702325E-2</v>
      </c>
      <c r="BK15">
        <f t="shared" si="38"/>
        <v>3.2288970651475533E-2</v>
      </c>
      <c r="BL15" s="460">
        <f t="shared" si="106"/>
        <v>78.773246503389245</v>
      </c>
      <c r="BM15" s="528">
        <f t="shared" si="39"/>
        <v>0.48526041421224947</v>
      </c>
      <c r="BN15" s="460">
        <f t="shared" si="107"/>
        <v>485.26041421224949</v>
      </c>
      <c r="BO15" s="528">
        <f t="shared" si="108"/>
        <v>0.62124999999999997</v>
      </c>
      <c r="BP15" s="528"/>
      <c r="BR15" s="460">
        <f t="shared" si="109"/>
        <v>621.25</v>
      </c>
      <c r="BS15" s="528">
        <f t="shared" si="40"/>
        <v>4.3337507935050548E-2</v>
      </c>
      <c r="BT15" s="528">
        <f t="shared" si="41"/>
        <v>0.95666249206494947</v>
      </c>
      <c r="BU15" s="528">
        <f t="shared" si="42"/>
        <v>0.22499999999999998</v>
      </c>
      <c r="BV15" s="528">
        <f t="shared" si="43"/>
        <v>1.5923913043478259</v>
      </c>
      <c r="BW15" s="528">
        <f t="shared" si="44"/>
        <v>2.591339855227658E-3</v>
      </c>
      <c r="BX15" s="460">
        <f t="shared" si="110"/>
        <v>1594.9826442030537</v>
      </c>
      <c r="BY15" s="173">
        <f t="shared" si="45"/>
        <v>2.7802663049186926</v>
      </c>
      <c r="BZ15" s="5">
        <f t="shared" si="111"/>
        <v>15</v>
      </c>
      <c r="CA15" s="173">
        <f t="shared" si="112"/>
        <v>0.84363190869927707</v>
      </c>
      <c r="CB15" s="5">
        <f t="shared" si="113"/>
        <v>84.363190869927706</v>
      </c>
      <c r="CE15" s="562">
        <f t="shared" si="46"/>
        <v>-50</v>
      </c>
      <c r="CF15">
        <f t="shared" si="47"/>
        <v>-50</v>
      </c>
      <c r="CG15" s="173">
        <f t="shared" si="48"/>
        <v>0.20264912204760885</v>
      </c>
      <c r="CI15" s="170">
        <v>10</v>
      </c>
      <c r="CJ15" s="217">
        <f t="shared" si="114"/>
        <v>1</v>
      </c>
      <c r="CK15" s="217"/>
      <c r="CL15" s="217">
        <f t="shared" si="49"/>
        <v>15</v>
      </c>
      <c r="CM15" s="541">
        <f t="shared" si="50"/>
        <v>72</v>
      </c>
      <c r="CN15" s="172">
        <f t="shared" si="51"/>
        <v>15.4</v>
      </c>
      <c r="CO15" s="443">
        <f t="shared" si="52"/>
        <v>87.4</v>
      </c>
      <c r="CP15" s="443"/>
      <c r="CQ15" s="217">
        <f t="shared" si="53"/>
        <v>0.17620137299771166</v>
      </c>
      <c r="CR15" s="172">
        <f t="shared" si="54"/>
        <v>318.30425629290613</v>
      </c>
      <c r="CS15" s="172">
        <f t="shared" si="115"/>
        <v>15</v>
      </c>
      <c r="CT15" s="217">
        <f t="shared" si="55"/>
        <v>21.220283752860407</v>
      </c>
      <c r="CU15" s="217">
        <f t="shared" si="56"/>
        <v>15</v>
      </c>
      <c r="CV15" s="217">
        <f t="shared" si="57"/>
        <v>21.144164759725399</v>
      </c>
      <c r="CW15" s="172">
        <f t="shared" si="58"/>
        <v>1728.0166626488985</v>
      </c>
      <c r="CX15" s="172">
        <f t="shared" si="59"/>
        <v>15</v>
      </c>
      <c r="CY15" s="217">
        <f t="shared" si="60"/>
        <v>2.364718614718615</v>
      </c>
      <c r="CZ15" s="217">
        <f t="shared" si="61"/>
        <v>0.3941197691197692</v>
      </c>
      <c r="DA15" s="217">
        <f t="shared" si="62"/>
        <v>1.8426378815989206</v>
      </c>
      <c r="DB15" s="197">
        <f t="shared" si="63"/>
        <v>105.72082379862701</v>
      </c>
      <c r="DC15" s="443">
        <f t="shared" si="116"/>
        <v>350</v>
      </c>
      <c r="DE15" s="217">
        <f t="shared" si="64"/>
        <v>9.9999999999999982</v>
      </c>
      <c r="DF15" s="173">
        <f t="shared" si="65"/>
        <v>7.7922077922077895</v>
      </c>
      <c r="DG15" s="173">
        <f t="shared" si="66"/>
        <v>4.118993135011439</v>
      </c>
      <c r="DH15" s="173"/>
      <c r="DI15" s="173">
        <f t="shared" si="67"/>
        <v>7.7922077922077913</v>
      </c>
      <c r="DJ15" s="545">
        <f t="shared" si="117"/>
        <v>25.666666666666668</v>
      </c>
      <c r="DK15" s="528">
        <f t="shared" si="68"/>
        <v>4.1189931350114417</v>
      </c>
      <c r="DM15" s="173">
        <f t="shared" si="69"/>
        <v>2.7080128015453204</v>
      </c>
      <c r="DN15" s="173">
        <f t="shared" si="70"/>
        <v>10</v>
      </c>
      <c r="DO15" s="173">
        <f t="shared" si="71"/>
        <v>1.0146666666666666</v>
      </c>
      <c r="DQ15" s="545">
        <f t="shared" si="72"/>
        <v>1000</v>
      </c>
      <c r="DR15" s="460">
        <f t="shared" si="73"/>
        <v>25.666666666666668</v>
      </c>
      <c r="DT15">
        <f t="shared" si="74"/>
        <v>1000</v>
      </c>
      <c r="DU15" s="460">
        <f t="shared" si="75"/>
        <v>25.666666666666668</v>
      </c>
      <c r="DV15" s="460"/>
      <c r="DW15" s="5">
        <f t="shared" si="118"/>
        <v>38.961038961038959</v>
      </c>
      <c r="DX15" s="5">
        <f t="shared" si="76"/>
        <v>1.6666666666666667</v>
      </c>
      <c r="DY15" s="5">
        <f t="shared" si="119"/>
        <v>37.294372294372295</v>
      </c>
      <c r="DZ15" s="5">
        <f t="shared" si="77"/>
        <v>7.7922077922077913</v>
      </c>
      <c r="EA15" s="173">
        <f t="shared" si="120"/>
        <v>4.2777777777777783E-2</v>
      </c>
      <c r="EB15" s="173">
        <f t="shared" si="78"/>
        <v>15.400000000000002</v>
      </c>
      <c r="EC15" s="173">
        <f t="shared" si="79"/>
        <v>4.7861111111111114</v>
      </c>
      <c r="ED15" s="173">
        <f t="shared" si="121"/>
        <v>3.2176436448055719</v>
      </c>
      <c r="EE15" s="460">
        <f t="shared" si="80"/>
        <v>11.111111111111111</v>
      </c>
      <c r="EF15" s="5">
        <f t="shared" si="81"/>
        <v>2.1582391374058041</v>
      </c>
      <c r="EG15" s="5"/>
      <c r="EH15" s="173">
        <f t="shared" si="122"/>
        <v>1.1941214033447043</v>
      </c>
      <c r="EI15" s="173">
        <f t="shared" si="82"/>
        <v>5.648664214432241</v>
      </c>
      <c r="EJ15" s="173"/>
      <c r="EK15" s="528">
        <f t="shared" si="83"/>
        <v>2.8518518518518523E-2</v>
      </c>
      <c r="EL15" s="528">
        <f t="shared" si="84"/>
        <v>0.44865333333333335</v>
      </c>
      <c r="EM15" s="528">
        <f t="shared" si="85"/>
        <v>3.2083333333333334E-3</v>
      </c>
      <c r="EN15" s="528">
        <f t="shared" si="86"/>
        <v>1.9606150666666673E-2</v>
      </c>
      <c r="EO15">
        <f t="shared" si="87"/>
        <v>3.2399999999999998E-2</v>
      </c>
      <c r="EP15" s="460">
        <f t="shared" si="123"/>
        <v>35.608333333333334</v>
      </c>
      <c r="EQ15" s="528">
        <f t="shared" si="88"/>
        <v>0.54377092765766011</v>
      </c>
      <c r="ER15" s="460">
        <f t="shared" si="124"/>
        <v>543.77092765766008</v>
      </c>
      <c r="ES15" s="528">
        <f t="shared" si="125"/>
        <v>0.62124999999999997</v>
      </c>
      <c r="ET15" s="528"/>
      <c r="EV15" s="460">
        <f t="shared" si="126"/>
        <v>621.25</v>
      </c>
      <c r="EW15" s="528">
        <f t="shared" si="89"/>
        <v>4.2777777777777783E-2</v>
      </c>
      <c r="EX15" s="528">
        <f t="shared" si="90"/>
        <v>0.95722222222222209</v>
      </c>
      <c r="EY15" s="528">
        <f t="shared" si="91"/>
        <v>5.2770800289257756E-2</v>
      </c>
      <c r="EZ15" s="528">
        <f t="shared" si="92"/>
        <v>1.4051856524883233</v>
      </c>
      <c r="FA15" s="528">
        <f t="shared" si="93"/>
        <v>2.5666666666666667E-3</v>
      </c>
      <c r="FB15" s="460">
        <f t="shared" si="127"/>
        <v>1407.7523191549899</v>
      </c>
      <c r="FC15" s="173">
        <f t="shared" si="128"/>
        <v>2.5727732468126501</v>
      </c>
      <c r="FD15" s="5">
        <f t="shared" si="129"/>
        <v>15</v>
      </c>
      <c r="FE15" s="173">
        <f t="shared" si="130"/>
        <v>0.85359321430501578</v>
      </c>
      <c r="FF15" s="5">
        <f t="shared" si="131"/>
        <v>85.359321430501581</v>
      </c>
      <c r="FI15" s="562">
        <f t="shared" si="94"/>
        <v>-50</v>
      </c>
      <c r="FJ15">
        <f t="shared" si="95"/>
        <v>-50</v>
      </c>
      <c r="FL15">
        <f t="shared" si="96"/>
        <v>0.2</v>
      </c>
    </row>
    <row r="16" spans="2:168">
      <c r="E16" s="170">
        <v>11</v>
      </c>
      <c r="F16" s="217">
        <f t="shared" si="97"/>
        <v>1.1000000000000001</v>
      </c>
      <c r="G16" s="217"/>
      <c r="H16" s="217">
        <f t="shared" si="0"/>
        <v>16.5</v>
      </c>
      <c r="I16" s="541">
        <f t="shared" si="1"/>
        <v>71.753268114390082</v>
      </c>
      <c r="J16" s="172">
        <f t="shared" si="2"/>
        <v>15.548039131365949</v>
      </c>
      <c r="K16" s="172">
        <f t="shared" si="3"/>
        <v>87.548039131365954</v>
      </c>
      <c r="L16" s="443"/>
      <c r="M16" s="217">
        <f t="shared" si="4"/>
        <v>0.17811475258435275</v>
      </c>
      <c r="N16" s="172">
        <f t="shared" si="5"/>
        <v>320.65811833659114</v>
      </c>
      <c r="O16" s="172">
        <f t="shared" si="98"/>
        <v>16.5</v>
      </c>
      <c r="P16" s="217">
        <f t="shared" si="6"/>
        <v>21.377207889106078</v>
      </c>
      <c r="Q16" s="217">
        <f t="shared" si="7"/>
        <v>15</v>
      </c>
      <c r="R16" s="217">
        <f t="shared" si="8"/>
        <v>21.300525995522193</v>
      </c>
      <c r="S16" s="172">
        <f t="shared" si="9"/>
        <v>1559.0212304967556</v>
      </c>
      <c r="T16" s="172">
        <f t="shared" si="10"/>
        <v>15</v>
      </c>
      <c r="U16" s="217">
        <f t="shared" si="99"/>
        <v>2.6767727087421567</v>
      </c>
      <c r="V16" s="217">
        <f t="shared" si="11"/>
        <v>0.44766285005580081</v>
      </c>
      <c r="W16" s="217">
        <f t="shared" si="12"/>
        <v>2.0659372049113127</v>
      </c>
      <c r="X16" s="197">
        <f t="shared" si="13"/>
        <v>106.49159174915671</v>
      </c>
      <c r="Y16" s="443">
        <f t="shared" si="14"/>
        <v>350</v>
      </c>
      <c r="AA16" s="217">
        <f t="shared" si="15"/>
        <v>10</v>
      </c>
      <c r="AB16" s="173">
        <f t="shared" si="16"/>
        <v>7.7180150491078416</v>
      </c>
      <c r="AC16" s="173">
        <f t="shared" si="17"/>
        <v>4.1095185386172002</v>
      </c>
      <c r="AD16" s="173"/>
      <c r="AE16" s="173">
        <f t="shared" si="18"/>
        <v>7.7180150491078416</v>
      </c>
      <c r="AF16" s="545">
        <f t="shared" si="100"/>
        <v>28.504738407504238</v>
      </c>
      <c r="AG16" s="528">
        <f t="shared" si="19"/>
        <v>4.1095185386172002</v>
      </c>
      <c r="AI16" s="173">
        <f t="shared" si="20"/>
        <v>2.853806400857045</v>
      </c>
      <c r="AJ16" s="173">
        <f t="shared" si="21"/>
        <v>10</v>
      </c>
      <c r="AK16" s="173">
        <f t="shared" si="22"/>
        <v>1.0162884219471453</v>
      </c>
      <c r="AM16" s="545">
        <f t="shared" si="23"/>
        <v>1100</v>
      </c>
      <c r="AN16" s="460">
        <f t="shared" si="24"/>
        <v>28.504738407504238</v>
      </c>
      <c r="AP16">
        <f t="shared" si="25"/>
        <v>1100</v>
      </c>
      <c r="AQ16" s="460">
        <f t="shared" si="26"/>
        <v>28.504738407504238</v>
      </c>
      <c r="AR16" s="460"/>
      <c r="AS16" s="5">
        <f t="shared" si="101"/>
        <v>35.08188658685382</v>
      </c>
      <c r="AT16" s="5">
        <f t="shared" si="27"/>
        <v>1.6723976921677532</v>
      </c>
      <c r="AU16" s="5">
        <f t="shared" si="102"/>
        <v>33.409488894686064</v>
      </c>
      <c r="AV16" s="5">
        <f t="shared" si="28"/>
        <v>7.7180150491078416</v>
      </c>
      <c r="AW16" s="173">
        <f t="shared" si="103"/>
        <v>4.7671258728555613E-2</v>
      </c>
      <c r="AX16" s="173">
        <f t="shared" si="29"/>
        <v>17.102843044502542</v>
      </c>
      <c r="AY16" s="173">
        <f t="shared" si="30"/>
        <v>4.7616437063572219</v>
      </c>
      <c r="AZ16" s="173">
        <f t="shared" si="104"/>
        <v>3.5917939474700114</v>
      </c>
      <c r="BA16" s="460">
        <f t="shared" si="31"/>
        <v>12.264249742563527</v>
      </c>
      <c r="BB16" s="5">
        <f t="shared" si="32"/>
        <v>2.1340745602907942</v>
      </c>
      <c r="BC16" s="5"/>
      <c r="BD16" s="173">
        <f t="shared" si="105"/>
        <v>1.2605720755349614</v>
      </c>
      <c r="BE16" s="173">
        <f t="shared" si="33"/>
        <v>5.634207253528646</v>
      </c>
      <c r="BF16" s="173"/>
      <c r="BG16" s="528">
        <f t="shared" si="34"/>
        <v>3.1780839152370406E-2</v>
      </c>
      <c r="BH16" s="528">
        <f t="shared" si="35"/>
        <v>0.46791261628678704</v>
      </c>
      <c r="BI16" s="528">
        <f t="shared" si="36"/>
        <v>5.1132703437105097E-2</v>
      </c>
      <c r="BJ16" s="528">
        <f t="shared" si="37"/>
        <v>2.184791042172558E-2</v>
      </c>
      <c r="BK16">
        <f t="shared" si="38"/>
        <v>3.2288970651475533E-2</v>
      </c>
      <c r="BL16" s="460">
        <f t="shared" si="106"/>
        <v>83.42167408858063</v>
      </c>
      <c r="BM16" s="528">
        <f t="shared" si="39"/>
        <v>0.53415566993786368</v>
      </c>
      <c r="BN16" s="460">
        <f t="shared" si="107"/>
        <v>534.15566993786365</v>
      </c>
      <c r="BO16" s="528">
        <f t="shared" si="108"/>
        <v>0.68337499999999995</v>
      </c>
      <c r="BP16" s="528"/>
      <c r="BR16" s="460">
        <f t="shared" si="109"/>
        <v>683.375</v>
      </c>
      <c r="BS16" s="528">
        <f t="shared" si="40"/>
        <v>4.7671258728555613E-2</v>
      </c>
      <c r="BT16" s="528">
        <f t="shared" si="41"/>
        <v>0.95232874127144429</v>
      </c>
      <c r="BU16" s="528">
        <f t="shared" si="42"/>
        <v>0.2475</v>
      </c>
      <c r="BV16" s="528">
        <f t="shared" si="43"/>
        <v>1.6168478260869563</v>
      </c>
      <c r="BW16" s="528">
        <f t="shared" si="44"/>
        <v>2.8504738407504242E-3</v>
      </c>
      <c r="BX16" s="460">
        <f t="shared" si="110"/>
        <v>1619.6982999277068</v>
      </c>
      <c r="BY16" s="173">
        <f t="shared" si="45"/>
        <v>2.9206506439541506</v>
      </c>
      <c r="BZ16" s="5">
        <f t="shared" si="111"/>
        <v>16.5</v>
      </c>
      <c r="CA16" s="173">
        <f t="shared" si="112"/>
        <v>0.84961108165223187</v>
      </c>
      <c r="CB16" s="5">
        <f t="shared" si="113"/>
        <v>84.96110816522318</v>
      </c>
      <c r="CE16" s="562">
        <f t="shared" si="46"/>
        <v>-50</v>
      </c>
      <c r="CF16">
        <f t="shared" si="47"/>
        <v>-50</v>
      </c>
      <c r="CG16" s="173">
        <f t="shared" si="48"/>
        <v>0.22291403425236975</v>
      </c>
      <c r="CI16" s="170">
        <v>11</v>
      </c>
      <c r="CJ16" s="217">
        <f t="shared" si="114"/>
        <v>1.1000000000000001</v>
      </c>
      <c r="CK16" s="217"/>
      <c r="CL16" s="217">
        <f t="shared" si="49"/>
        <v>16.5</v>
      </c>
      <c r="CM16" s="541">
        <f t="shared" si="50"/>
        <v>72</v>
      </c>
      <c r="CN16" s="172">
        <f t="shared" si="51"/>
        <v>15.4</v>
      </c>
      <c r="CO16" s="443">
        <f t="shared" si="52"/>
        <v>87.4</v>
      </c>
      <c r="CP16" s="443"/>
      <c r="CQ16" s="217">
        <f t="shared" si="53"/>
        <v>0.17620137299771166</v>
      </c>
      <c r="CR16" s="172">
        <f t="shared" si="54"/>
        <v>318.30425629290613</v>
      </c>
      <c r="CS16" s="172">
        <f t="shared" si="115"/>
        <v>16.5</v>
      </c>
      <c r="CT16" s="217">
        <f t="shared" si="55"/>
        <v>21.220283752860407</v>
      </c>
      <c r="CU16" s="217">
        <f t="shared" si="56"/>
        <v>15</v>
      </c>
      <c r="CV16" s="217">
        <f t="shared" si="57"/>
        <v>21.144164759725399</v>
      </c>
      <c r="CW16" s="172">
        <f t="shared" si="58"/>
        <v>1564.3820414828392</v>
      </c>
      <c r="CX16" s="172">
        <f t="shared" si="59"/>
        <v>15</v>
      </c>
      <c r="CY16" s="217">
        <f t="shared" si="60"/>
        <v>2.6011904761904763</v>
      </c>
      <c r="CZ16" s="217">
        <f t="shared" si="61"/>
        <v>0.4335317460317461</v>
      </c>
      <c r="DA16" s="217">
        <f t="shared" si="62"/>
        <v>2.0269016697588129</v>
      </c>
      <c r="DB16" s="197">
        <f t="shared" si="63"/>
        <v>105.72082379862701</v>
      </c>
      <c r="DC16" s="443">
        <f t="shared" si="116"/>
        <v>350</v>
      </c>
      <c r="DE16" s="217">
        <f t="shared" si="64"/>
        <v>9.9999999999999982</v>
      </c>
      <c r="DF16" s="173">
        <f t="shared" si="65"/>
        <v>7.7922077922077895</v>
      </c>
      <c r="DG16" s="173">
        <f t="shared" si="66"/>
        <v>4.118993135011439</v>
      </c>
      <c r="DH16" s="173"/>
      <c r="DI16" s="173">
        <f t="shared" si="67"/>
        <v>7.7922077922077913</v>
      </c>
      <c r="DJ16" s="545">
        <f t="shared" si="117"/>
        <v>28.233333333333334</v>
      </c>
      <c r="DK16" s="528">
        <f t="shared" si="68"/>
        <v>4.1189931350114417</v>
      </c>
      <c r="DM16" s="173">
        <f t="shared" si="69"/>
        <v>2.8401877872187726</v>
      </c>
      <c r="DN16" s="173">
        <f t="shared" si="70"/>
        <v>10</v>
      </c>
      <c r="DO16" s="173">
        <f t="shared" si="71"/>
        <v>1.0161333333333333</v>
      </c>
      <c r="DQ16" s="545">
        <f t="shared" si="72"/>
        <v>1100</v>
      </c>
      <c r="DR16" s="460">
        <f t="shared" si="73"/>
        <v>28.233333333333334</v>
      </c>
      <c r="DT16">
        <f t="shared" si="74"/>
        <v>1100</v>
      </c>
      <c r="DU16" s="460">
        <f t="shared" si="75"/>
        <v>28.233333333333334</v>
      </c>
      <c r="DV16" s="460"/>
      <c r="DW16" s="5">
        <f t="shared" si="118"/>
        <v>35.419126328217232</v>
      </c>
      <c r="DX16" s="5">
        <f t="shared" si="76"/>
        <v>1.6666666666666667</v>
      </c>
      <c r="DY16" s="5">
        <f t="shared" si="119"/>
        <v>33.752459661550567</v>
      </c>
      <c r="DZ16" s="5">
        <f t="shared" si="77"/>
        <v>7.7922077922077913</v>
      </c>
      <c r="EA16" s="173">
        <f t="shared" si="120"/>
        <v>4.7055555555555566E-2</v>
      </c>
      <c r="EB16" s="173">
        <f t="shared" si="78"/>
        <v>16.940000000000005</v>
      </c>
      <c r="EC16" s="173">
        <f t="shared" si="79"/>
        <v>4.7647222222222227</v>
      </c>
      <c r="ED16" s="173">
        <f t="shared" si="121"/>
        <v>3.5552964496006534</v>
      </c>
      <c r="EE16" s="460">
        <f t="shared" si="80"/>
        <v>12.222222222222223</v>
      </c>
      <c r="EF16" s="5">
        <f t="shared" si="81"/>
        <v>2.1485940756774089</v>
      </c>
      <c r="EG16" s="5"/>
      <c r="EH16" s="173">
        <f t="shared" si="122"/>
        <v>1.2524050936172841</v>
      </c>
      <c r="EI16" s="173">
        <f t="shared" si="82"/>
        <v>5.636028283713169</v>
      </c>
      <c r="EJ16" s="173"/>
      <c r="EK16" s="528">
        <f t="shared" si="83"/>
        <v>3.1370370370370368E-2</v>
      </c>
      <c r="EL16" s="528">
        <f t="shared" si="84"/>
        <v>0.49351866666666672</v>
      </c>
      <c r="EM16" s="528">
        <f t="shared" si="85"/>
        <v>3.5291666666666666E-3</v>
      </c>
      <c r="EN16" s="528">
        <f t="shared" si="86"/>
        <v>2.156676573333334E-2</v>
      </c>
      <c r="EO16">
        <f t="shared" si="87"/>
        <v>3.2399999999999998E-2</v>
      </c>
      <c r="EP16" s="460">
        <f t="shared" si="123"/>
        <v>35.929166666666667</v>
      </c>
      <c r="EQ16" s="528">
        <f t="shared" si="88"/>
        <v>0.59529203817276155</v>
      </c>
      <c r="ER16" s="460">
        <f t="shared" si="124"/>
        <v>595.29203817276152</v>
      </c>
      <c r="ES16" s="528">
        <f t="shared" si="125"/>
        <v>0.68337499999999995</v>
      </c>
      <c r="ET16" s="528"/>
      <c r="EV16" s="460">
        <f t="shared" si="126"/>
        <v>683.375</v>
      </c>
      <c r="EW16" s="528">
        <f t="shared" si="89"/>
        <v>4.7055555555555545E-2</v>
      </c>
      <c r="EX16" s="528">
        <f t="shared" si="90"/>
        <v>0.95294444444444426</v>
      </c>
      <c r="EY16" s="528">
        <f t="shared" si="91"/>
        <v>6.6969243544756182E-2</v>
      </c>
      <c r="EZ16" s="528">
        <f t="shared" si="92"/>
        <v>1.4206187429834303</v>
      </c>
      <c r="FA16" s="528">
        <f t="shared" si="93"/>
        <v>2.8233333333333335E-3</v>
      </c>
      <c r="FB16" s="460">
        <f t="shared" si="127"/>
        <v>1423.4420763167636</v>
      </c>
      <c r="FC16" s="173">
        <f t="shared" si="128"/>
        <v>2.7021091144895251</v>
      </c>
      <c r="FD16" s="5">
        <f t="shared" si="129"/>
        <v>16.5</v>
      </c>
      <c r="FE16" s="173">
        <f t="shared" si="130"/>
        <v>0.85928060827179831</v>
      </c>
      <c r="FF16" s="5">
        <f t="shared" si="131"/>
        <v>85.928060827179834</v>
      </c>
      <c r="FI16" s="562">
        <f t="shared" si="94"/>
        <v>-50</v>
      </c>
      <c r="FJ16">
        <f t="shared" si="95"/>
        <v>-50</v>
      </c>
      <c r="FL16">
        <f t="shared" si="96"/>
        <v>0.22000000000000003</v>
      </c>
    </row>
    <row r="17" spans="5:168">
      <c r="E17" s="170">
        <v>12</v>
      </c>
      <c r="F17" s="217">
        <f t="shared" si="97"/>
        <v>1.2</v>
      </c>
      <c r="G17" s="217"/>
      <c r="H17" s="217">
        <f t="shared" si="0"/>
        <v>18</v>
      </c>
      <c r="I17" s="541">
        <f t="shared" si="1"/>
        <v>71.753268114390082</v>
      </c>
      <c r="J17" s="172">
        <f t="shared" si="2"/>
        <v>15.548039131365949</v>
      </c>
      <c r="K17" s="172">
        <f t="shared" si="3"/>
        <v>87.548039131365954</v>
      </c>
      <c r="L17" s="443"/>
      <c r="M17" s="217">
        <f t="shared" si="4"/>
        <v>0.17811475258435275</v>
      </c>
      <c r="N17" s="172">
        <f t="shared" si="5"/>
        <v>320.65811833659114</v>
      </c>
      <c r="O17" s="172">
        <f t="shared" si="98"/>
        <v>18</v>
      </c>
      <c r="P17" s="217">
        <f t="shared" si="6"/>
        <v>21.377207889106078</v>
      </c>
      <c r="Q17" s="217">
        <f t="shared" si="7"/>
        <v>15</v>
      </c>
      <c r="R17" s="217">
        <f t="shared" si="8"/>
        <v>21.300525995522193</v>
      </c>
      <c r="S17" s="172">
        <f t="shared" si="9"/>
        <v>1423.1266463832421</v>
      </c>
      <c r="T17" s="172">
        <f t="shared" si="10"/>
        <v>15</v>
      </c>
      <c r="U17" s="217">
        <f t="shared" si="99"/>
        <v>2.920115682264171</v>
      </c>
      <c r="V17" s="217">
        <f t="shared" si="11"/>
        <v>0.48835947278814629</v>
      </c>
      <c r="W17" s="217">
        <f t="shared" si="12"/>
        <v>2.2537496780850681</v>
      </c>
      <c r="X17" s="197">
        <f t="shared" si="13"/>
        <v>106.49159174915671</v>
      </c>
      <c r="Y17" s="443">
        <f t="shared" si="14"/>
        <v>339.89221633847308</v>
      </c>
      <c r="AA17" s="217">
        <f t="shared" si="15"/>
        <v>10</v>
      </c>
      <c r="AB17" s="173">
        <f t="shared" si="16"/>
        <v>7.7180150491078416</v>
      </c>
      <c r="AC17" s="173">
        <f t="shared" si="17"/>
        <v>4.1095185386172002</v>
      </c>
      <c r="AD17" s="173"/>
      <c r="AE17" s="173">
        <f t="shared" si="18"/>
        <v>7.7180150491078416</v>
      </c>
      <c r="AF17" s="545">
        <f t="shared" si="100"/>
        <v>31.09607826273189</v>
      </c>
      <c r="AG17" s="528">
        <f t="shared" si="19"/>
        <v>4.1095185386172002</v>
      </c>
      <c r="AI17" s="173">
        <f t="shared" si="20"/>
        <v>2.9807035728753655</v>
      </c>
      <c r="AJ17" s="173">
        <f t="shared" si="21"/>
        <v>10</v>
      </c>
      <c r="AK17" s="173">
        <f t="shared" si="22"/>
        <v>1.017769187578704</v>
      </c>
      <c r="AM17" s="545">
        <f t="shared" si="23"/>
        <v>1200</v>
      </c>
      <c r="AN17" s="460">
        <f t="shared" si="24"/>
        <v>31.09607826273189</v>
      </c>
      <c r="AP17">
        <f t="shared" si="25"/>
        <v>1200</v>
      </c>
      <c r="AQ17" s="460">
        <f t="shared" si="26"/>
        <v>31.09607826273189</v>
      </c>
      <c r="AR17" s="460"/>
      <c r="AS17" s="5">
        <f t="shared" si="101"/>
        <v>32.158396037949345</v>
      </c>
      <c r="AT17" s="5">
        <f t="shared" si="27"/>
        <v>1.6723976921677532</v>
      </c>
      <c r="AU17" s="5">
        <f t="shared" si="102"/>
        <v>30.485998345781592</v>
      </c>
      <c r="AV17" s="5">
        <f t="shared" si="28"/>
        <v>7.7180150491078416</v>
      </c>
      <c r="AW17" s="173">
        <f t="shared" si="103"/>
        <v>5.200500952206065E-2</v>
      </c>
      <c r="AX17" s="173">
        <f t="shared" si="29"/>
        <v>18.657646957639134</v>
      </c>
      <c r="AY17" s="173">
        <f t="shared" si="30"/>
        <v>4.739974952389697</v>
      </c>
      <c r="AZ17" s="173">
        <f t="shared" si="104"/>
        <v>3.9362332385812988</v>
      </c>
      <c r="BA17" s="460">
        <f t="shared" si="31"/>
        <v>13.379181537342024</v>
      </c>
      <c r="BB17" s="5">
        <f t="shared" si="32"/>
        <v>2.1243630532047946</v>
      </c>
      <c r="BC17" s="5"/>
      <c r="BD17" s="173">
        <f t="shared" si="105"/>
        <v>1.3166245924340094</v>
      </c>
      <c r="BE17" s="173">
        <f t="shared" si="33"/>
        <v>5.6213728764360855</v>
      </c>
      <c r="BF17" s="173"/>
      <c r="BG17" s="528">
        <f t="shared" si="34"/>
        <v>3.4670006348040426E-2</v>
      </c>
      <c r="BH17" s="528">
        <f t="shared" si="35"/>
        <v>0.51045012685831304</v>
      </c>
      <c r="BI17" s="528">
        <f t="shared" si="36"/>
        <v>5.5781131022296461E-2</v>
      </c>
      <c r="BJ17" s="528">
        <f t="shared" si="37"/>
        <v>2.3834084096427899E-2</v>
      </c>
      <c r="BK17">
        <f t="shared" si="38"/>
        <v>3.2288970651475533E-2</v>
      </c>
      <c r="BL17" s="460">
        <f t="shared" si="106"/>
        <v>88.070101673772001</v>
      </c>
      <c r="BM17" s="528">
        <f t="shared" si="39"/>
        <v>0.58311861311874502</v>
      </c>
      <c r="BN17" s="460">
        <f t="shared" si="107"/>
        <v>583.11861311874497</v>
      </c>
      <c r="BO17" s="528">
        <f t="shared" si="108"/>
        <v>0.74549999999999994</v>
      </c>
      <c r="BP17" s="528"/>
      <c r="BR17" s="460">
        <f t="shared" si="109"/>
        <v>745.49999999999989</v>
      </c>
      <c r="BS17" s="528">
        <f t="shared" si="40"/>
        <v>5.2005009522060643E-2</v>
      </c>
      <c r="BT17" s="528">
        <f t="shared" si="41"/>
        <v>0.94799499047793923</v>
      </c>
      <c r="BU17" s="528">
        <f t="shared" si="42"/>
        <v>0.27</v>
      </c>
      <c r="BV17" s="528">
        <f t="shared" si="43"/>
        <v>1.6413043478260867</v>
      </c>
      <c r="BW17" s="528">
        <f t="shared" si="44"/>
        <v>3.1096078262731895E-3</v>
      </c>
      <c r="BX17" s="460">
        <f t="shared" si="110"/>
        <v>1644.4139556523598</v>
      </c>
      <c r="BY17" s="173">
        <f t="shared" si="45"/>
        <v>3.0611026704448769</v>
      </c>
      <c r="BZ17" s="5">
        <f t="shared" si="111"/>
        <v>18</v>
      </c>
      <c r="CA17" s="173">
        <f t="shared" si="112"/>
        <v>0.85465610617147147</v>
      </c>
      <c r="CB17" s="5">
        <f t="shared" si="113"/>
        <v>85.465610617147149</v>
      </c>
      <c r="CE17" s="562">
        <f t="shared" si="46"/>
        <v>-50</v>
      </c>
      <c r="CF17">
        <f t="shared" si="47"/>
        <v>-50</v>
      </c>
      <c r="CG17" s="173">
        <f t="shared" si="48"/>
        <v>0.24317894645713062</v>
      </c>
      <c r="CI17" s="170">
        <v>12</v>
      </c>
      <c r="CJ17" s="217">
        <f t="shared" si="114"/>
        <v>1.2</v>
      </c>
      <c r="CK17" s="217"/>
      <c r="CL17" s="217">
        <f t="shared" si="49"/>
        <v>18</v>
      </c>
      <c r="CM17" s="541">
        <f t="shared" si="50"/>
        <v>72</v>
      </c>
      <c r="CN17" s="172">
        <f t="shared" si="51"/>
        <v>15.4</v>
      </c>
      <c r="CO17" s="443">
        <f t="shared" si="52"/>
        <v>87.4</v>
      </c>
      <c r="CP17" s="443"/>
      <c r="CQ17" s="217">
        <f t="shared" si="53"/>
        <v>0.17620137299771166</v>
      </c>
      <c r="CR17" s="172">
        <f t="shared" si="54"/>
        <v>318.30425629290613</v>
      </c>
      <c r="CS17" s="172">
        <f t="shared" si="115"/>
        <v>18</v>
      </c>
      <c r="CT17" s="217">
        <f t="shared" si="55"/>
        <v>21.220283752860407</v>
      </c>
      <c r="CU17" s="217">
        <f t="shared" si="56"/>
        <v>15</v>
      </c>
      <c r="CV17" s="217">
        <f t="shared" si="57"/>
        <v>21.144164759725399</v>
      </c>
      <c r="CW17" s="172">
        <f t="shared" si="58"/>
        <v>1428.0201621348981</v>
      </c>
      <c r="CX17" s="172">
        <f t="shared" si="59"/>
        <v>15</v>
      </c>
      <c r="CY17" s="217">
        <f t="shared" si="60"/>
        <v>2.837662337662338</v>
      </c>
      <c r="CZ17" s="217">
        <f t="shared" si="61"/>
        <v>0.47294372294372305</v>
      </c>
      <c r="DA17" s="217">
        <f t="shared" si="62"/>
        <v>2.211165457918705</v>
      </c>
      <c r="DB17" s="197">
        <f t="shared" si="63"/>
        <v>105.72082379862701</v>
      </c>
      <c r="DC17" s="443">
        <f t="shared" si="116"/>
        <v>350</v>
      </c>
      <c r="DE17" s="217">
        <f t="shared" si="64"/>
        <v>9.9999999999999982</v>
      </c>
      <c r="DF17" s="173">
        <f t="shared" si="65"/>
        <v>7.7922077922077895</v>
      </c>
      <c r="DG17" s="173">
        <f t="shared" si="66"/>
        <v>4.118993135011439</v>
      </c>
      <c r="DH17" s="173"/>
      <c r="DI17" s="173">
        <f t="shared" si="67"/>
        <v>7.7922077922077913</v>
      </c>
      <c r="DJ17" s="545">
        <f t="shared" si="117"/>
        <v>30.8</v>
      </c>
      <c r="DK17" s="528">
        <f t="shared" si="68"/>
        <v>4.1189931350114417</v>
      </c>
      <c r="DM17" s="173">
        <f t="shared" si="69"/>
        <v>2.9664793948382653</v>
      </c>
      <c r="DN17" s="173">
        <f t="shared" si="70"/>
        <v>10</v>
      </c>
      <c r="DO17" s="173">
        <f t="shared" si="71"/>
        <v>1.0176000000000001</v>
      </c>
      <c r="DQ17" s="545">
        <f t="shared" si="72"/>
        <v>1200</v>
      </c>
      <c r="DR17" s="460">
        <f t="shared" si="73"/>
        <v>30.8</v>
      </c>
      <c r="DT17">
        <f t="shared" si="74"/>
        <v>1200</v>
      </c>
      <c r="DU17" s="460">
        <f t="shared" si="75"/>
        <v>30.8</v>
      </c>
      <c r="DV17" s="460"/>
      <c r="DW17" s="5">
        <f t="shared" si="118"/>
        <v>32.467532467532465</v>
      </c>
      <c r="DX17" s="5">
        <f t="shared" si="76"/>
        <v>1.6666666666666667</v>
      </c>
      <c r="DY17" s="5">
        <f t="shared" si="119"/>
        <v>30.800865800865797</v>
      </c>
      <c r="DZ17" s="5">
        <f t="shared" si="77"/>
        <v>7.7922077922077913</v>
      </c>
      <c r="EA17" s="173">
        <f t="shared" si="120"/>
        <v>5.1333333333333342E-2</v>
      </c>
      <c r="EB17" s="173">
        <f t="shared" si="78"/>
        <v>18.480000000000004</v>
      </c>
      <c r="EC17" s="173">
        <f t="shared" si="79"/>
        <v>4.7433333333333332</v>
      </c>
      <c r="ED17" s="173">
        <f t="shared" si="121"/>
        <v>3.8959943780744917</v>
      </c>
      <c r="EE17" s="460">
        <f t="shared" si="80"/>
        <v>13.333333333333334</v>
      </c>
      <c r="EF17" s="5">
        <f t="shared" si="81"/>
        <v>2.1389490139490137</v>
      </c>
      <c r="EG17" s="5"/>
      <c r="EH17" s="173">
        <f t="shared" si="122"/>
        <v>1.308094458023239</v>
      </c>
      <c r="EI17" s="173">
        <f t="shared" si="82"/>
        <v>5.6233639596083602</v>
      </c>
      <c r="EJ17" s="173"/>
      <c r="EK17" s="528">
        <f t="shared" si="83"/>
        <v>3.4222222222222223E-2</v>
      </c>
      <c r="EL17" s="528">
        <f t="shared" si="84"/>
        <v>0.53838399999999997</v>
      </c>
      <c r="EM17" s="528">
        <f t="shared" si="85"/>
        <v>3.8499999999999997E-3</v>
      </c>
      <c r="EN17" s="528">
        <f t="shared" si="86"/>
        <v>2.3527380800000004E-2</v>
      </c>
      <c r="EO17">
        <f t="shared" si="87"/>
        <v>3.2399999999999998E-2</v>
      </c>
      <c r="EP17" s="460">
        <f t="shared" si="123"/>
        <v>36.25</v>
      </c>
      <c r="EQ17" s="528">
        <f t="shared" si="88"/>
        <v>0.64688354248285884</v>
      </c>
      <c r="ER17" s="460">
        <f t="shared" si="124"/>
        <v>646.88354248285884</v>
      </c>
      <c r="ES17" s="528">
        <f t="shared" si="125"/>
        <v>0.74549999999999994</v>
      </c>
      <c r="ET17" s="528"/>
      <c r="EV17" s="460">
        <f t="shared" si="126"/>
        <v>745.49999999999989</v>
      </c>
      <c r="EW17" s="528">
        <f t="shared" si="89"/>
        <v>5.1333333333333335E-2</v>
      </c>
      <c r="EX17" s="528">
        <f t="shared" si="90"/>
        <v>0.94866666666666644</v>
      </c>
      <c r="EY17" s="528">
        <f t="shared" si="91"/>
        <v>8.3242822164556723E-2</v>
      </c>
      <c r="EZ17" s="528">
        <f t="shared" si="92"/>
        <v>1.4383074153962569</v>
      </c>
      <c r="FA17" s="528">
        <f t="shared" si="93"/>
        <v>3.0800000000000003E-3</v>
      </c>
      <c r="FB17" s="460">
        <f t="shared" si="127"/>
        <v>1441.387415396257</v>
      </c>
      <c r="FC17" s="173">
        <f t="shared" si="128"/>
        <v>2.8337709578791159</v>
      </c>
      <c r="FD17" s="5">
        <f t="shared" si="129"/>
        <v>18</v>
      </c>
      <c r="FE17" s="173">
        <f t="shared" si="130"/>
        <v>0.86398185121607018</v>
      </c>
      <c r="FF17" s="5">
        <f t="shared" si="131"/>
        <v>86.398185121607014</v>
      </c>
      <c r="FI17" s="562">
        <f t="shared" si="94"/>
        <v>-50</v>
      </c>
      <c r="FJ17">
        <f t="shared" si="95"/>
        <v>-50</v>
      </c>
      <c r="FL17">
        <f t="shared" si="96"/>
        <v>0.24000000000000002</v>
      </c>
    </row>
    <row r="18" spans="5:168">
      <c r="E18" s="170">
        <v>13</v>
      </c>
      <c r="F18" s="217">
        <f t="shared" si="97"/>
        <v>1.3</v>
      </c>
      <c r="G18" s="217"/>
      <c r="H18" s="217">
        <f t="shared" si="0"/>
        <v>19.5</v>
      </c>
      <c r="I18" s="541">
        <f t="shared" si="1"/>
        <v>71.753268114390082</v>
      </c>
      <c r="J18" s="172">
        <f t="shared" si="2"/>
        <v>15.548039131365949</v>
      </c>
      <c r="K18" s="172">
        <f t="shared" si="3"/>
        <v>87.548039131365954</v>
      </c>
      <c r="L18" s="443"/>
      <c r="M18" s="217">
        <f t="shared" si="4"/>
        <v>0.17811475258435275</v>
      </c>
      <c r="N18" s="172">
        <f t="shared" si="5"/>
        <v>320.65811833659114</v>
      </c>
      <c r="O18" s="172">
        <f t="shared" si="98"/>
        <v>19.5</v>
      </c>
      <c r="P18" s="217">
        <f t="shared" si="6"/>
        <v>21.377207889106078</v>
      </c>
      <c r="Q18" s="217">
        <f t="shared" si="7"/>
        <v>15</v>
      </c>
      <c r="R18" s="217">
        <f t="shared" si="8"/>
        <v>21.300525995522193</v>
      </c>
      <c r="S18" s="172">
        <f t="shared" si="9"/>
        <v>1308.1392064004526</v>
      </c>
      <c r="T18" s="172">
        <f t="shared" si="10"/>
        <v>15</v>
      </c>
      <c r="U18" s="217">
        <f t="shared" si="99"/>
        <v>3.1634586557861852</v>
      </c>
      <c r="V18" s="217">
        <f t="shared" si="11"/>
        <v>0.52905609552049193</v>
      </c>
      <c r="W18" s="217">
        <f t="shared" si="12"/>
        <v>2.4415621512588239</v>
      </c>
      <c r="X18" s="197">
        <f t="shared" si="13"/>
        <v>106.49159174915671</v>
      </c>
      <c r="Y18" s="443">
        <f t="shared" si="14"/>
        <v>315.39590141947565</v>
      </c>
      <c r="AA18" s="217">
        <f t="shared" si="15"/>
        <v>10</v>
      </c>
      <c r="AB18" s="173">
        <f t="shared" si="16"/>
        <v>7.7180150491078416</v>
      </c>
      <c r="AC18" s="173">
        <f t="shared" si="17"/>
        <v>4.1095185386172002</v>
      </c>
      <c r="AD18" s="173"/>
      <c r="AE18" s="173">
        <f t="shared" si="18"/>
        <v>7.7180150491078416</v>
      </c>
      <c r="AF18" s="545">
        <f t="shared" si="100"/>
        <v>33.687418117959552</v>
      </c>
      <c r="AG18" s="528">
        <f t="shared" si="19"/>
        <v>4.1095185386172002</v>
      </c>
      <c r="AI18" s="173">
        <f t="shared" si="20"/>
        <v>3.1024146410709355</v>
      </c>
      <c r="AJ18" s="173">
        <f t="shared" si="21"/>
        <v>10</v>
      </c>
      <c r="AK18" s="173">
        <f t="shared" si="22"/>
        <v>1.0192499532102626</v>
      </c>
      <c r="AM18" s="545">
        <f t="shared" si="23"/>
        <v>1300</v>
      </c>
      <c r="AN18" s="460">
        <f t="shared" si="24"/>
        <v>33.687418117959552</v>
      </c>
      <c r="AP18">
        <f t="shared" si="25"/>
        <v>1300</v>
      </c>
      <c r="AQ18" s="460">
        <f t="shared" si="26"/>
        <v>33.687418117959552</v>
      </c>
      <c r="AR18" s="460"/>
      <c r="AS18" s="5">
        <f t="shared" si="101"/>
        <v>29.68467326579939</v>
      </c>
      <c r="AT18" s="5">
        <f t="shared" si="27"/>
        <v>1.6723976921677532</v>
      </c>
      <c r="AU18" s="5">
        <f t="shared" si="102"/>
        <v>28.012275573631637</v>
      </c>
      <c r="AV18" s="5">
        <f t="shared" si="28"/>
        <v>7.7180150491078416</v>
      </c>
      <c r="AW18" s="173">
        <f t="shared" si="103"/>
        <v>5.6338760315565721E-2</v>
      </c>
      <c r="AX18" s="173">
        <f t="shared" si="29"/>
        <v>20.212450870775733</v>
      </c>
      <c r="AY18" s="173">
        <f t="shared" si="30"/>
        <v>4.7183061984221712</v>
      </c>
      <c r="AZ18" s="173">
        <f t="shared" si="104"/>
        <v>4.2838361947630474</v>
      </c>
      <c r="BA18" s="460">
        <f t="shared" si="31"/>
        <v>14.494113332120529</v>
      </c>
      <c r="BB18" s="5">
        <f t="shared" si="32"/>
        <v>2.1146515461187945</v>
      </c>
      <c r="BC18" s="5"/>
      <c r="BD18" s="173">
        <f t="shared" si="105"/>
        <v>1.3703863240654162</v>
      </c>
      <c r="BE18" s="173">
        <f t="shared" si="33"/>
        <v>5.6085091295412735</v>
      </c>
      <c r="BF18" s="173"/>
      <c r="BG18" s="528">
        <f t="shared" si="34"/>
        <v>3.7559173543710481E-2</v>
      </c>
      <c r="BH18" s="528">
        <f t="shared" si="35"/>
        <v>0.55298763742983925</v>
      </c>
      <c r="BI18" s="528">
        <f t="shared" si="36"/>
        <v>6.0429558607487839E-2</v>
      </c>
      <c r="BJ18" s="528">
        <f t="shared" si="37"/>
        <v>2.5820257771130228E-2</v>
      </c>
      <c r="BK18">
        <f t="shared" si="38"/>
        <v>3.2288970651475533E-2</v>
      </c>
      <c r="BL18" s="460">
        <f t="shared" si="106"/>
        <v>92.718529258963372</v>
      </c>
      <c r="BM18" s="528">
        <f t="shared" si="39"/>
        <v>0.63214938440550372</v>
      </c>
      <c r="BN18" s="460">
        <f t="shared" si="107"/>
        <v>632.14938440550372</v>
      </c>
      <c r="BO18" s="528">
        <f t="shared" si="108"/>
        <v>0.80762499999999993</v>
      </c>
      <c r="BP18" s="528"/>
      <c r="BR18" s="460">
        <f t="shared" si="109"/>
        <v>807.62499999999989</v>
      </c>
      <c r="BS18" s="528">
        <f t="shared" si="40"/>
        <v>5.6338760315565714E-2</v>
      </c>
      <c r="BT18" s="528">
        <f t="shared" si="41"/>
        <v>0.94366123968443438</v>
      </c>
      <c r="BU18" s="528">
        <f t="shared" si="42"/>
        <v>0.29249999999999998</v>
      </c>
      <c r="BV18" s="528">
        <f t="shared" si="43"/>
        <v>1.6657608695652173</v>
      </c>
      <c r="BW18" s="528">
        <f t="shared" si="44"/>
        <v>3.3687418117959553E-3</v>
      </c>
      <c r="BX18" s="460">
        <f t="shared" si="110"/>
        <v>1669.1296113770134</v>
      </c>
      <c r="BY18" s="173">
        <f t="shared" si="45"/>
        <v>3.2016225250414805</v>
      </c>
      <c r="BZ18" s="5">
        <f t="shared" si="111"/>
        <v>19.5</v>
      </c>
      <c r="CA18" s="173">
        <f t="shared" si="112"/>
        <v>0.85896944055386948</v>
      </c>
      <c r="CB18" s="5">
        <f t="shared" si="113"/>
        <v>85.896944055386953</v>
      </c>
      <c r="CE18" s="562">
        <f t="shared" si="46"/>
        <v>-50</v>
      </c>
      <c r="CF18">
        <f t="shared" si="47"/>
        <v>-50</v>
      </c>
      <c r="CG18" s="173">
        <f t="shared" si="48"/>
        <v>0.26344385866189157</v>
      </c>
      <c r="CI18" s="170">
        <v>13</v>
      </c>
      <c r="CJ18" s="217">
        <f t="shared" si="114"/>
        <v>1.3</v>
      </c>
      <c r="CK18" s="217"/>
      <c r="CL18" s="217">
        <f t="shared" si="49"/>
        <v>19.5</v>
      </c>
      <c r="CM18" s="541">
        <f t="shared" si="50"/>
        <v>72</v>
      </c>
      <c r="CN18" s="172">
        <f t="shared" si="51"/>
        <v>15.4</v>
      </c>
      <c r="CO18" s="443">
        <f t="shared" si="52"/>
        <v>87.4</v>
      </c>
      <c r="CP18" s="443"/>
      <c r="CQ18" s="217">
        <f t="shared" si="53"/>
        <v>0.17620137299771166</v>
      </c>
      <c r="CR18" s="172">
        <f t="shared" si="54"/>
        <v>318.30425629290613</v>
      </c>
      <c r="CS18" s="172">
        <f t="shared" si="115"/>
        <v>19.5</v>
      </c>
      <c r="CT18" s="217">
        <f t="shared" si="55"/>
        <v>21.220283752860407</v>
      </c>
      <c r="CU18" s="217">
        <f t="shared" si="56"/>
        <v>15</v>
      </c>
      <c r="CV18" s="217">
        <f t="shared" si="57"/>
        <v>21.144164759725399</v>
      </c>
      <c r="CW18" s="172">
        <f t="shared" si="58"/>
        <v>1312.6373184931156</v>
      </c>
      <c r="CX18" s="172">
        <f t="shared" si="59"/>
        <v>15</v>
      </c>
      <c r="CY18" s="217">
        <f t="shared" si="60"/>
        <v>3.0741341991341993</v>
      </c>
      <c r="CZ18" s="217">
        <f t="shared" si="61"/>
        <v>0.51235569985569984</v>
      </c>
      <c r="DA18" s="217">
        <f t="shared" si="62"/>
        <v>2.3954292460785966</v>
      </c>
      <c r="DB18" s="197">
        <f t="shared" si="63"/>
        <v>105.72082379862701</v>
      </c>
      <c r="DC18" s="443">
        <f t="shared" si="116"/>
        <v>343.90438722031809</v>
      </c>
      <c r="DE18" s="217">
        <f t="shared" si="64"/>
        <v>9.9999999999999982</v>
      </c>
      <c r="DF18" s="173">
        <f t="shared" si="65"/>
        <v>7.7922077922077895</v>
      </c>
      <c r="DG18" s="173">
        <f t="shared" si="66"/>
        <v>4.118993135011439</v>
      </c>
      <c r="DH18" s="173"/>
      <c r="DI18" s="173">
        <f t="shared" si="67"/>
        <v>7.7922077922077913</v>
      </c>
      <c r="DJ18" s="545">
        <f t="shared" si="117"/>
        <v>33.366666666666674</v>
      </c>
      <c r="DK18" s="528">
        <f t="shared" si="68"/>
        <v>4.1189931350114417</v>
      </c>
      <c r="DM18" s="173">
        <f t="shared" si="69"/>
        <v>3.0876096471758432</v>
      </c>
      <c r="DN18" s="173">
        <f t="shared" si="70"/>
        <v>10</v>
      </c>
      <c r="DO18" s="173">
        <f t="shared" si="71"/>
        <v>1.0190666666666666</v>
      </c>
      <c r="DQ18" s="545">
        <f t="shared" si="72"/>
        <v>1300</v>
      </c>
      <c r="DR18" s="460">
        <f t="shared" si="73"/>
        <v>33.366666666666674</v>
      </c>
      <c r="DT18">
        <f t="shared" si="74"/>
        <v>1300</v>
      </c>
      <c r="DU18" s="460">
        <f t="shared" si="75"/>
        <v>33.366666666666674</v>
      </c>
      <c r="DV18" s="460"/>
      <c r="DW18" s="5">
        <f t="shared" si="118"/>
        <v>29.970029970029966</v>
      </c>
      <c r="DX18" s="5">
        <f t="shared" si="76"/>
        <v>1.6666666666666667</v>
      </c>
      <c r="DY18" s="5">
        <f t="shared" si="119"/>
        <v>28.303363303363298</v>
      </c>
      <c r="DZ18" s="5">
        <f t="shared" si="77"/>
        <v>7.7922077922077913</v>
      </c>
      <c r="EA18" s="173">
        <f t="shared" si="120"/>
        <v>5.5611111111111118E-2</v>
      </c>
      <c r="EB18" s="173">
        <f t="shared" si="78"/>
        <v>20.020000000000007</v>
      </c>
      <c r="EC18" s="173">
        <f t="shared" si="79"/>
        <v>4.7219444444444445</v>
      </c>
      <c r="ED18" s="173">
        <f t="shared" si="121"/>
        <v>4.239778810518267</v>
      </c>
      <c r="EE18" s="460">
        <f t="shared" si="80"/>
        <v>14.444444444444446</v>
      </c>
      <c r="EF18" s="5">
        <f t="shared" si="81"/>
        <v>2.1293039522206181</v>
      </c>
      <c r="EG18" s="5"/>
      <c r="EH18" s="173">
        <f t="shared" si="122"/>
        <v>1.3615078786785275</v>
      </c>
      <c r="EI18" s="173">
        <f t="shared" si="82"/>
        <v>5.6106710498504206</v>
      </c>
      <c r="EJ18" s="173"/>
      <c r="EK18" s="528">
        <f t="shared" si="83"/>
        <v>3.7074074074074086E-2</v>
      </c>
      <c r="EL18" s="528">
        <f t="shared" si="84"/>
        <v>0.58324933333333351</v>
      </c>
      <c r="EM18" s="528">
        <f t="shared" si="85"/>
        <v>4.1708333333333346E-3</v>
      </c>
      <c r="EN18" s="528">
        <f t="shared" si="86"/>
        <v>2.5487995866666679E-2</v>
      </c>
      <c r="EO18">
        <f t="shared" si="87"/>
        <v>3.2399999999999998E-2</v>
      </c>
      <c r="EP18" s="460">
        <f t="shared" si="123"/>
        <v>36.570833333333333</v>
      </c>
      <c r="EQ18" s="528">
        <f t="shared" si="88"/>
        <v>0.69854558495616959</v>
      </c>
      <c r="ER18" s="460">
        <f t="shared" si="124"/>
        <v>698.54558495616959</v>
      </c>
      <c r="ES18" s="528">
        <f t="shared" si="125"/>
        <v>0.80762499999999993</v>
      </c>
      <c r="ET18" s="528"/>
      <c r="EV18" s="460">
        <f t="shared" si="126"/>
        <v>807.62499999999989</v>
      </c>
      <c r="EW18" s="528">
        <f t="shared" si="89"/>
        <v>5.5611111111111118E-2</v>
      </c>
      <c r="EX18" s="528">
        <f t="shared" si="90"/>
        <v>0.94438888888888861</v>
      </c>
      <c r="EY18" s="528">
        <f t="shared" si="91"/>
        <v>0.10168386871293837</v>
      </c>
      <c r="EZ18" s="528">
        <f t="shared" si="92"/>
        <v>1.4583520312097153</v>
      </c>
      <c r="FA18" s="528">
        <f t="shared" si="93"/>
        <v>3.3366666666666675E-3</v>
      </c>
      <c r="FB18" s="460">
        <f t="shared" si="127"/>
        <v>1461.6886978763821</v>
      </c>
      <c r="FC18" s="173">
        <f t="shared" si="128"/>
        <v>2.9678592828325518</v>
      </c>
      <c r="FD18" s="5">
        <f t="shared" si="129"/>
        <v>19.5</v>
      </c>
      <c r="FE18" s="173">
        <f t="shared" si="130"/>
        <v>0.86790645047789394</v>
      </c>
      <c r="FF18" s="5">
        <f t="shared" si="131"/>
        <v>86.790645047789397</v>
      </c>
      <c r="FI18" s="562">
        <f t="shared" si="94"/>
        <v>-50</v>
      </c>
      <c r="FJ18">
        <f t="shared" si="95"/>
        <v>-50</v>
      </c>
      <c r="FL18">
        <f t="shared" si="96"/>
        <v>0.26</v>
      </c>
    </row>
    <row r="19" spans="5:168">
      <c r="E19" s="170">
        <v>14</v>
      </c>
      <c r="F19" s="217">
        <f t="shared" si="97"/>
        <v>1.4000000000000001</v>
      </c>
      <c r="G19" s="217"/>
      <c r="H19" s="217">
        <f t="shared" si="0"/>
        <v>21.000000000000004</v>
      </c>
      <c r="I19" s="541">
        <f t="shared" si="1"/>
        <v>71.753268114390082</v>
      </c>
      <c r="J19" s="172">
        <f t="shared" si="2"/>
        <v>15.548039131365949</v>
      </c>
      <c r="K19" s="172">
        <f t="shared" si="3"/>
        <v>87.548039131365954</v>
      </c>
      <c r="L19" s="443"/>
      <c r="M19" s="217">
        <f t="shared" si="4"/>
        <v>0.17811475258435275</v>
      </c>
      <c r="N19" s="172">
        <f t="shared" si="5"/>
        <v>320.65811833659114</v>
      </c>
      <c r="O19" s="172">
        <f t="shared" si="98"/>
        <v>21.000000000000004</v>
      </c>
      <c r="P19" s="217">
        <f t="shared" si="6"/>
        <v>21.377207889106078</v>
      </c>
      <c r="Q19" s="217">
        <f t="shared" si="7"/>
        <v>15</v>
      </c>
      <c r="R19" s="217">
        <f t="shared" si="8"/>
        <v>21.300525995522193</v>
      </c>
      <c r="S19" s="172">
        <f t="shared" si="9"/>
        <v>1209.5788115751518</v>
      </c>
      <c r="T19" s="172">
        <f t="shared" si="10"/>
        <v>15</v>
      </c>
      <c r="U19" s="217">
        <f t="shared" si="99"/>
        <v>3.4068016293082</v>
      </c>
      <c r="V19" s="217">
        <f t="shared" si="11"/>
        <v>0.56975271825283746</v>
      </c>
      <c r="W19" s="217">
        <f t="shared" si="12"/>
        <v>2.6293746244325802</v>
      </c>
      <c r="X19" s="197">
        <f t="shared" si="13"/>
        <v>106.49159174915671</v>
      </c>
      <c r="Y19" s="443">
        <f t="shared" si="14"/>
        <v>294.19315582627411</v>
      </c>
      <c r="AA19" s="217">
        <f t="shared" si="15"/>
        <v>10</v>
      </c>
      <c r="AB19" s="173">
        <f t="shared" si="16"/>
        <v>7.7180150491078416</v>
      </c>
      <c r="AC19" s="173">
        <f t="shared" si="17"/>
        <v>4.1095185386172002</v>
      </c>
      <c r="AD19" s="173"/>
      <c r="AE19" s="173">
        <f t="shared" si="18"/>
        <v>7.7180150491078416</v>
      </c>
      <c r="AF19" s="545">
        <f t="shared" si="100"/>
        <v>36.278757973187211</v>
      </c>
      <c r="AG19" s="528">
        <f t="shared" si="19"/>
        <v>4.1095185386172002</v>
      </c>
      <c r="AI19" s="173">
        <f t="shared" si="20"/>
        <v>3.2195278257705171</v>
      </c>
      <c r="AJ19" s="173">
        <f t="shared" si="21"/>
        <v>10</v>
      </c>
      <c r="AK19" s="173">
        <f t="shared" si="22"/>
        <v>1.0207307188418213</v>
      </c>
      <c r="AM19" s="545">
        <f t="shared" si="23"/>
        <v>1400.0000000000002</v>
      </c>
      <c r="AN19" s="460">
        <f t="shared" si="24"/>
        <v>36.278757973187211</v>
      </c>
      <c r="AP19">
        <f t="shared" si="25"/>
        <v>1400.0000000000002</v>
      </c>
      <c r="AQ19" s="460">
        <f t="shared" si="26"/>
        <v>36.278757973187211</v>
      </c>
      <c r="AR19" s="460"/>
      <c r="AS19" s="5">
        <f t="shared" si="101"/>
        <v>27.564339461099433</v>
      </c>
      <c r="AT19" s="5">
        <f t="shared" si="27"/>
        <v>1.6723976921677532</v>
      </c>
      <c r="AU19" s="5">
        <f t="shared" si="102"/>
        <v>25.89194176893168</v>
      </c>
      <c r="AV19" s="5">
        <f t="shared" si="28"/>
        <v>7.7180150491078416</v>
      </c>
      <c r="AW19" s="173">
        <f t="shared" si="103"/>
        <v>6.0672511109070772E-2</v>
      </c>
      <c r="AX19" s="173">
        <f t="shared" si="29"/>
        <v>21.767254783912328</v>
      </c>
      <c r="AY19" s="173">
        <f t="shared" si="30"/>
        <v>4.6966374444546464</v>
      </c>
      <c r="AZ19" s="173">
        <f t="shared" si="104"/>
        <v>4.6346466043728975</v>
      </c>
      <c r="BA19" s="460">
        <f t="shared" si="31"/>
        <v>15.609045126899032</v>
      </c>
      <c r="BB19" s="5">
        <f t="shared" si="32"/>
        <v>2.1049400390327944</v>
      </c>
      <c r="BC19" s="5"/>
      <c r="BD19" s="173">
        <f t="shared" si="105"/>
        <v>1.4221170967852914</v>
      </c>
      <c r="BE19" s="173">
        <f t="shared" si="33"/>
        <v>5.595615810289722</v>
      </c>
      <c r="BF19" s="173"/>
      <c r="BG19" s="528">
        <f t="shared" si="34"/>
        <v>4.0448340739380521E-2</v>
      </c>
      <c r="BH19" s="528">
        <f t="shared" si="35"/>
        <v>0.59552514800136536</v>
      </c>
      <c r="BI19" s="528">
        <f t="shared" si="36"/>
        <v>6.507798619267921E-2</v>
      </c>
      <c r="BJ19" s="528">
        <f t="shared" si="37"/>
        <v>2.7806431445832558E-2</v>
      </c>
      <c r="BK19">
        <f t="shared" si="38"/>
        <v>3.2288970651475533E-2</v>
      </c>
      <c r="BL19" s="460">
        <f t="shared" si="106"/>
        <v>97.366956844154757</v>
      </c>
      <c r="BM19" s="528">
        <f t="shared" si="39"/>
        <v>0.68124812483870512</v>
      </c>
      <c r="BN19" s="460">
        <f t="shared" si="107"/>
        <v>681.24812483870517</v>
      </c>
      <c r="BO19" s="528">
        <f t="shared" si="108"/>
        <v>0.86974999999999991</v>
      </c>
      <c r="BP19" s="528"/>
      <c r="BR19" s="460">
        <f t="shared" si="109"/>
        <v>869.74999999999989</v>
      </c>
      <c r="BS19" s="528">
        <f t="shared" si="40"/>
        <v>6.0672511109070779E-2</v>
      </c>
      <c r="BT19" s="528">
        <f t="shared" si="41"/>
        <v>0.93932748889092899</v>
      </c>
      <c r="BU19" s="528">
        <f t="shared" si="42"/>
        <v>0.31500000000000006</v>
      </c>
      <c r="BV19" s="528">
        <f t="shared" si="43"/>
        <v>1.6902173913043474</v>
      </c>
      <c r="BW19" s="528">
        <f t="shared" si="44"/>
        <v>3.6278757973187215E-3</v>
      </c>
      <c r="BX19" s="460">
        <f t="shared" si="110"/>
        <v>1693.8452671016662</v>
      </c>
      <c r="BY19" s="173">
        <f t="shared" si="45"/>
        <v>3.3422103487845258</v>
      </c>
      <c r="BZ19" s="5">
        <f t="shared" si="111"/>
        <v>21.000000000000004</v>
      </c>
      <c r="CA19" s="173">
        <f t="shared" si="112"/>
        <v>0.86269897840434151</v>
      </c>
      <c r="CB19" s="5">
        <f t="shared" si="113"/>
        <v>86.269897840434155</v>
      </c>
      <c r="CE19" s="562">
        <f t="shared" si="46"/>
        <v>-50</v>
      </c>
      <c r="CF19">
        <f t="shared" si="47"/>
        <v>-50</v>
      </c>
      <c r="CG19" s="173">
        <f t="shared" si="48"/>
        <v>0.28370877086665242</v>
      </c>
      <c r="CI19" s="170">
        <v>14</v>
      </c>
      <c r="CJ19" s="217">
        <f t="shared" si="114"/>
        <v>1.4000000000000001</v>
      </c>
      <c r="CK19" s="217"/>
      <c r="CL19" s="217">
        <f t="shared" si="49"/>
        <v>21.000000000000004</v>
      </c>
      <c r="CM19" s="541">
        <f t="shared" si="50"/>
        <v>72</v>
      </c>
      <c r="CN19" s="172">
        <f t="shared" si="51"/>
        <v>15.4</v>
      </c>
      <c r="CO19" s="443">
        <f t="shared" si="52"/>
        <v>87.4</v>
      </c>
      <c r="CP19" s="443"/>
      <c r="CQ19" s="217">
        <f t="shared" si="53"/>
        <v>0.17620137299771166</v>
      </c>
      <c r="CR19" s="172">
        <f t="shared" si="54"/>
        <v>318.30425629290613</v>
      </c>
      <c r="CS19" s="172">
        <f t="shared" si="115"/>
        <v>21.000000000000004</v>
      </c>
      <c r="CT19" s="217">
        <f t="shared" si="55"/>
        <v>21.220283752860407</v>
      </c>
      <c r="CU19" s="217">
        <f t="shared" si="56"/>
        <v>15</v>
      </c>
      <c r="CV19" s="217">
        <f t="shared" si="57"/>
        <v>21.144164759725399</v>
      </c>
      <c r="CW19" s="172">
        <f t="shared" si="58"/>
        <v>1213.7380062467555</v>
      </c>
      <c r="CX19" s="172">
        <f t="shared" si="59"/>
        <v>15</v>
      </c>
      <c r="CY19" s="217">
        <f t="shared" si="60"/>
        <v>3.3106060606060614</v>
      </c>
      <c r="CZ19" s="217">
        <f t="shared" si="61"/>
        <v>0.55176767676767702</v>
      </c>
      <c r="DA19" s="217">
        <f t="shared" si="62"/>
        <v>2.5796930342384892</v>
      </c>
      <c r="DB19" s="197">
        <f t="shared" si="63"/>
        <v>105.72082379862701</v>
      </c>
      <c r="DC19" s="443">
        <f t="shared" si="116"/>
        <v>319.33978813315247</v>
      </c>
      <c r="DE19" s="217">
        <f t="shared" si="64"/>
        <v>9.9999999999999982</v>
      </c>
      <c r="DF19" s="173">
        <f t="shared" si="65"/>
        <v>7.7922077922077895</v>
      </c>
      <c r="DG19" s="173">
        <f t="shared" si="66"/>
        <v>4.118993135011439</v>
      </c>
      <c r="DH19" s="173"/>
      <c r="DI19" s="173">
        <f t="shared" si="67"/>
        <v>7.7922077922077913</v>
      </c>
      <c r="DJ19" s="545">
        <f t="shared" si="117"/>
        <v>35.933333333333337</v>
      </c>
      <c r="DK19" s="528">
        <f t="shared" si="68"/>
        <v>4.1189931350114417</v>
      </c>
      <c r="DM19" s="173">
        <f t="shared" si="69"/>
        <v>3.2041639575194445</v>
      </c>
      <c r="DN19" s="173">
        <f t="shared" si="70"/>
        <v>10</v>
      </c>
      <c r="DO19" s="173">
        <f t="shared" si="71"/>
        <v>1.0205333333333333</v>
      </c>
      <c r="DQ19" s="545">
        <f t="shared" si="72"/>
        <v>1400.0000000000002</v>
      </c>
      <c r="DR19" s="460">
        <f t="shared" si="73"/>
        <v>35.933333333333337</v>
      </c>
      <c r="DT19">
        <f t="shared" si="74"/>
        <v>1400.0000000000002</v>
      </c>
      <c r="DU19" s="460">
        <f t="shared" si="75"/>
        <v>35.933333333333337</v>
      </c>
      <c r="DV19" s="460"/>
      <c r="DW19" s="5">
        <f t="shared" si="118"/>
        <v>27.829313543599255</v>
      </c>
      <c r="DX19" s="5">
        <f t="shared" si="76"/>
        <v>1.6666666666666667</v>
      </c>
      <c r="DY19" s="5">
        <f t="shared" si="119"/>
        <v>26.162646876932588</v>
      </c>
      <c r="DZ19" s="5">
        <f t="shared" si="77"/>
        <v>7.7922077922077913</v>
      </c>
      <c r="EA19" s="173">
        <f t="shared" si="120"/>
        <v>5.9888888888888894E-2</v>
      </c>
      <c r="EB19" s="173">
        <f t="shared" si="78"/>
        <v>21.560000000000002</v>
      </c>
      <c r="EC19" s="173">
        <f t="shared" si="79"/>
        <v>4.7005555555555558</v>
      </c>
      <c r="ED19" s="173">
        <f t="shared" si="121"/>
        <v>4.5866918803923884</v>
      </c>
      <c r="EE19" s="460">
        <f t="shared" si="80"/>
        <v>15.555555555555557</v>
      </c>
      <c r="EF19" s="5">
        <f t="shared" si="81"/>
        <v>2.1196588904922238</v>
      </c>
      <c r="EG19" s="5"/>
      <c r="EH19" s="173">
        <f t="shared" si="122"/>
        <v>1.4129034985788294</v>
      </c>
      <c r="EI19" s="173">
        <f t="shared" si="82"/>
        <v>5.5979493599921959</v>
      </c>
      <c r="EJ19" s="173"/>
      <c r="EK19" s="528">
        <f t="shared" si="83"/>
        <v>3.992592592592592E-2</v>
      </c>
      <c r="EL19" s="528">
        <f t="shared" si="84"/>
        <v>0.62811466666666671</v>
      </c>
      <c r="EM19" s="528">
        <f t="shared" si="85"/>
        <v>4.4916666666666672E-3</v>
      </c>
      <c r="EN19" s="528">
        <f t="shared" si="86"/>
        <v>2.7448610933333343E-2</v>
      </c>
      <c r="EO19">
        <f t="shared" si="87"/>
        <v>3.2399999999999998E-2</v>
      </c>
      <c r="EP19" s="460">
        <f t="shared" si="123"/>
        <v>36.891666666666666</v>
      </c>
      <c r="EQ19" s="528">
        <f t="shared" si="88"/>
        <v>0.75027831035595338</v>
      </c>
      <c r="ER19" s="460">
        <f t="shared" si="124"/>
        <v>750.27831035595341</v>
      </c>
      <c r="ES19" s="528">
        <f t="shared" si="125"/>
        <v>0.86974999999999991</v>
      </c>
      <c r="ET19" s="528"/>
      <c r="EV19" s="460">
        <f t="shared" si="126"/>
        <v>869.74999999999989</v>
      </c>
      <c r="EW19" s="528">
        <f t="shared" si="89"/>
        <v>5.988888888888888E-2</v>
      </c>
      <c r="EX19" s="528">
        <f t="shared" si="90"/>
        <v>0.94011111111111101</v>
      </c>
      <c r="EY19" s="528">
        <f t="shared" si="91"/>
        <v>0.12238093577387191</v>
      </c>
      <c r="EZ19" s="528">
        <f t="shared" si="92"/>
        <v>1.4808488432324691</v>
      </c>
      <c r="FA19" s="528">
        <f t="shared" si="93"/>
        <v>3.5933333333333342E-3</v>
      </c>
      <c r="FB19" s="460">
        <f t="shared" si="127"/>
        <v>1484.4421765658024</v>
      </c>
      <c r="FC19" s="173">
        <f t="shared" si="128"/>
        <v>3.1044704869217559</v>
      </c>
      <c r="FD19" s="5">
        <f t="shared" si="129"/>
        <v>21.000000000000004</v>
      </c>
      <c r="FE19" s="173">
        <f t="shared" si="130"/>
        <v>0.87120768785997049</v>
      </c>
      <c r="FF19" s="5">
        <f t="shared" si="131"/>
        <v>87.120768785997043</v>
      </c>
      <c r="FI19" s="562">
        <f t="shared" si="94"/>
        <v>-50</v>
      </c>
      <c r="FJ19">
        <f t="shared" si="95"/>
        <v>-50</v>
      </c>
      <c r="FL19">
        <f t="shared" si="96"/>
        <v>0.28000000000000003</v>
      </c>
    </row>
    <row r="20" spans="5:168">
      <c r="E20" s="170">
        <v>15</v>
      </c>
      <c r="F20" s="217">
        <f t="shared" si="97"/>
        <v>1.5</v>
      </c>
      <c r="G20" s="217"/>
      <c r="H20" s="217">
        <f t="shared" si="0"/>
        <v>22.5</v>
      </c>
      <c r="I20" s="541">
        <f t="shared" si="1"/>
        <v>71.753268114390082</v>
      </c>
      <c r="J20" s="172">
        <f t="shared" si="2"/>
        <v>15.548039131365949</v>
      </c>
      <c r="K20" s="172">
        <f t="shared" si="3"/>
        <v>87.548039131365954</v>
      </c>
      <c r="L20" s="443"/>
      <c r="M20" s="217">
        <f t="shared" si="4"/>
        <v>0.17811475258435275</v>
      </c>
      <c r="N20" s="172">
        <f t="shared" si="5"/>
        <v>320.65811833659114</v>
      </c>
      <c r="O20" s="172">
        <f t="shared" si="98"/>
        <v>22.5</v>
      </c>
      <c r="P20" s="217">
        <f t="shared" si="6"/>
        <v>21.377207889106078</v>
      </c>
      <c r="Q20" s="217">
        <f t="shared" si="7"/>
        <v>15</v>
      </c>
      <c r="R20" s="217">
        <f t="shared" si="8"/>
        <v>21.300525995522193</v>
      </c>
      <c r="S20" s="172">
        <f t="shared" si="9"/>
        <v>1124.1600560459842</v>
      </c>
      <c r="T20" s="172">
        <f t="shared" si="10"/>
        <v>15</v>
      </c>
      <c r="U20" s="217">
        <f t="shared" si="99"/>
        <v>3.6501446028302138</v>
      </c>
      <c r="V20" s="217">
        <f t="shared" si="11"/>
        <v>0.610449340985183</v>
      </c>
      <c r="W20" s="217">
        <f t="shared" si="12"/>
        <v>2.817187097606336</v>
      </c>
      <c r="X20" s="197">
        <f t="shared" si="13"/>
        <v>106.49159174915671</v>
      </c>
      <c r="Y20" s="443">
        <f t="shared" si="14"/>
        <v>275.66158211495531</v>
      </c>
      <c r="AA20" s="217">
        <f t="shared" si="15"/>
        <v>10</v>
      </c>
      <c r="AB20" s="173">
        <f t="shared" si="16"/>
        <v>7.7180150491078416</v>
      </c>
      <c r="AC20" s="173">
        <f t="shared" si="17"/>
        <v>4.1095185386172002</v>
      </c>
      <c r="AD20" s="173"/>
      <c r="AE20" s="173">
        <f t="shared" si="18"/>
        <v>7.7180150491078416</v>
      </c>
      <c r="AF20" s="545">
        <f t="shared" si="100"/>
        <v>38.870097828414863</v>
      </c>
      <c r="AG20" s="528">
        <f t="shared" si="19"/>
        <v>4.1095185386172002</v>
      </c>
      <c r="AI20" s="173">
        <f t="shared" si="20"/>
        <v>3.332527904862908</v>
      </c>
      <c r="AJ20" s="173">
        <f t="shared" si="21"/>
        <v>10</v>
      </c>
      <c r="AK20" s="173">
        <f t="shared" si="22"/>
        <v>1.0222114844733798</v>
      </c>
      <c r="AM20" s="545">
        <f t="shared" si="23"/>
        <v>1500</v>
      </c>
      <c r="AN20" s="460">
        <f t="shared" si="24"/>
        <v>38.870097828414863</v>
      </c>
      <c r="AP20">
        <f t="shared" si="25"/>
        <v>1500</v>
      </c>
      <c r="AQ20" s="460">
        <f t="shared" si="26"/>
        <v>38.870097828414863</v>
      </c>
      <c r="AR20" s="460"/>
      <c r="AS20" s="5">
        <f t="shared" si="101"/>
        <v>25.726716830359475</v>
      </c>
      <c r="AT20" s="5">
        <f t="shared" si="27"/>
        <v>1.6723976921677532</v>
      </c>
      <c r="AU20" s="5">
        <f t="shared" si="102"/>
        <v>24.054319138191723</v>
      </c>
      <c r="AV20" s="5">
        <f t="shared" si="28"/>
        <v>7.7180150491078416</v>
      </c>
      <c r="AW20" s="173">
        <f t="shared" si="103"/>
        <v>6.5006261902575815E-2</v>
      </c>
      <c r="AX20" s="173">
        <f t="shared" si="29"/>
        <v>23.32205869704892</v>
      </c>
      <c r="AY20" s="173">
        <f t="shared" si="30"/>
        <v>4.6749686904871206</v>
      </c>
      <c r="AZ20" s="173">
        <f t="shared" si="104"/>
        <v>4.9887090676149146</v>
      </c>
      <c r="BA20" s="460">
        <f t="shared" si="31"/>
        <v>16.723976921677529</v>
      </c>
      <c r="BB20" s="5">
        <f t="shared" si="32"/>
        <v>2.0952285319467947</v>
      </c>
      <c r="BC20" s="5"/>
      <c r="BD20" s="173">
        <f t="shared" si="105"/>
        <v>1.4720310447652003</v>
      </c>
      <c r="BE20" s="173">
        <f t="shared" si="33"/>
        <v>5.5826927137879263</v>
      </c>
      <c r="BF20" s="173"/>
      <c r="BG20" s="528">
        <f t="shared" si="34"/>
        <v>4.3337507935050541E-2</v>
      </c>
      <c r="BH20" s="528">
        <f t="shared" si="35"/>
        <v>0.63806265857289135</v>
      </c>
      <c r="BI20" s="528">
        <f t="shared" si="36"/>
        <v>6.9726413777870574E-2</v>
      </c>
      <c r="BJ20" s="528">
        <f t="shared" si="37"/>
        <v>2.9792605120534877E-2</v>
      </c>
      <c r="BK20">
        <f t="shared" si="38"/>
        <v>3.2288970651475533E-2</v>
      </c>
      <c r="BL20" s="460">
        <f t="shared" si="106"/>
        <v>102.0153844293461</v>
      </c>
      <c r="BM20" s="528">
        <f t="shared" si="39"/>
        <v>0.73041497585022142</v>
      </c>
      <c r="BN20" s="460">
        <f t="shared" si="107"/>
        <v>730.41497585022137</v>
      </c>
      <c r="BO20" s="528">
        <f t="shared" si="108"/>
        <v>0.93187499999999979</v>
      </c>
      <c r="BP20" s="528"/>
      <c r="BR20" s="460">
        <f t="shared" si="109"/>
        <v>931.87499999999977</v>
      </c>
      <c r="BS20" s="528">
        <f t="shared" si="40"/>
        <v>6.5006261902575802E-2</v>
      </c>
      <c r="BT20" s="528">
        <f t="shared" si="41"/>
        <v>0.93499373809742403</v>
      </c>
      <c r="BU20" s="528">
        <f t="shared" si="42"/>
        <v>0.33749999999999997</v>
      </c>
      <c r="BV20" s="528">
        <f t="shared" si="43"/>
        <v>1.7146739130434778</v>
      </c>
      <c r="BW20" s="528">
        <f t="shared" si="44"/>
        <v>3.8870097828414868E-3</v>
      </c>
      <c r="BX20" s="460">
        <f t="shared" si="110"/>
        <v>1718.5609228263193</v>
      </c>
      <c r="BY20" s="173">
        <f t="shared" si="45"/>
        <v>3.4828662831058863</v>
      </c>
      <c r="BZ20" s="5">
        <f t="shared" si="111"/>
        <v>22.5</v>
      </c>
      <c r="CA20" s="173">
        <f t="shared" si="112"/>
        <v>0.86595527047874421</v>
      </c>
      <c r="CB20" s="5">
        <f t="shared" si="113"/>
        <v>86.595527047874427</v>
      </c>
      <c r="CE20" s="562">
        <f t="shared" si="46"/>
        <v>-50</v>
      </c>
      <c r="CF20">
        <f t="shared" si="47"/>
        <v>-50</v>
      </c>
      <c r="CG20" s="173">
        <f t="shared" si="48"/>
        <v>0.30397368307141331</v>
      </c>
      <c r="CI20" s="170">
        <v>15</v>
      </c>
      <c r="CJ20" s="217">
        <f t="shared" si="114"/>
        <v>1.5</v>
      </c>
      <c r="CK20" s="217"/>
      <c r="CL20" s="217">
        <f t="shared" si="49"/>
        <v>22.5</v>
      </c>
      <c r="CM20" s="541">
        <f t="shared" si="50"/>
        <v>72</v>
      </c>
      <c r="CN20" s="172">
        <f t="shared" si="51"/>
        <v>15.4</v>
      </c>
      <c r="CO20" s="443">
        <f t="shared" si="52"/>
        <v>87.4</v>
      </c>
      <c r="CP20" s="443"/>
      <c r="CQ20" s="217">
        <f t="shared" si="53"/>
        <v>0.17620137299771166</v>
      </c>
      <c r="CR20" s="172">
        <f t="shared" si="54"/>
        <v>318.30425629290613</v>
      </c>
      <c r="CS20" s="172">
        <f t="shared" si="115"/>
        <v>22.5</v>
      </c>
      <c r="CT20" s="217">
        <f t="shared" si="55"/>
        <v>21.220283752860407</v>
      </c>
      <c r="CU20" s="217">
        <f t="shared" si="56"/>
        <v>15</v>
      </c>
      <c r="CV20" s="217">
        <f t="shared" si="57"/>
        <v>21.144164759725399</v>
      </c>
      <c r="CW20" s="172">
        <f t="shared" si="58"/>
        <v>1128.0255222869664</v>
      </c>
      <c r="CX20" s="172">
        <f t="shared" si="59"/>
        <v>15</v>
      </c>
      <c r="CY20" s="217">
        <f t="shared" si="60"/>
        <v>3.5470779220779223</v>
      </c>
      <c r="CZ20" s="217">
        <f t="shared" si="61"/>
        <v>0.59117965367965375</v>
      </c>
      <c r="DA20" s="217">
        <f t="shared" si="62"/>
        <v>2.7639568223983813</v>
      </c>
      <c r="DB20" s="197">
        <f t="shared" si="63"/>
        <v>105.72082379862701</v>
      </c>
      <c r="DC20" s="443">
        <f t="shared" si="116"/>
        <v>298.05046892427561</v>
      </c>
      <c r="DE20" s="217">
        <f t="shared" si="64"/>
        <v>9.9999999999999982</v>
      </c>
      <c r="DF20" s="173">
        <f t="shared" si="65"/>
        <v>7.7922077922077895</v>
      </c>
      <c r="DG20" s="173">
        <f t="shared" si="66"/>
        <v>4.118993135011439</v>
      </c>
      <c r="DH20" s="173"/>
      <c r="DI20" s="173">
        <f t="shared" si="67"/>
        <v>7.7922077922077913</v>
      </c>
      <c r="DJ20" s="545">
        <f t="shared" si="117"/>
        <v>38.5</v>
      </c>
      <c r="DK20" s="528">
        <f t="shared" si="68"/>
        <v>4.1189931350114417</v>
      </c>
      <c r="DM20" s="173">
        <f t="shared" si="69"/>
        <v>3.3166247903553998</v>
      </c>
      <c r="DN20" s="173">
        <f t="shared" si="70"/>
        <v>10</v>
      </c>
      <c r="DO20" s="173">
        <f t="shared" si="71"/>
        <v>1.022</v>
      </c>
      <c r="DQ20" s="545">
        <f t="shared" si="72"/>
        <v>1500</v>
      </c>
      <c r="DR20" s="460">
        <f t="shared" si="73"/>
        <v>38.5</v>
      </c>
      <c r="DT20">
        <f t="shared" si="74"/>
        <v>1500</v>
      </c>
      <c r="DU20" s="460">
        <f t="shared" si="75"/>
        <v>38.5</v>
      </c>
      <c r="DV20" s="460"/>
      <c r="DW20" s="5">
        <f t="shared" si="118"/>
        <v>25.974025974025977</v>
      </c>
      <c r="DX20" s="5">
        <f t="shared" si="76"/>
        <v>1.6666666666666667</v>
      </c>
      <c r="DY20" s="5">
        <f t="shared" si="119"/>
        <v>24.307359307359309</v>
      </c>
      <c r="DZ20" s="5">
        <f t="shared" si="77"/>
        <v>7.7922077922077913</v>
      </c>
      <c r="EA20" s="173">
        <f t="shared" si="120"/>
        <v>6.4166666666666664E-2</v>
      </c>
      <c r="EB20" s="173">
        <f t="shared" si="78"/>
        <v>23.1</v>
      </c>
      <c r="EC20" s="173">
        <f t="shared" si="79"/>
        <v>4.6791666666666663</v>
      </c>
      <c r="ED20" s="173">
        <f t="shared" si="121"/>
        <v>4.9367764915405168</v>
      </c>
      <c r="EE20" s="460">
        <f t="shared" si="80"/>
        <v>16.666666666666668</v>
      </c>
      <c r="EF20" s="5">
        <f t="shared" si="81"/>
        <v>2.110013828763829</v>
      </c>
      <c r="EG20" s="5"/>
      <c r="EH20" s="173">
        <f t="shared" si="122"/>
        <v>1.4624940645653537</v>
      </c>
      <c r="EI20" s="173">
        <f t="shared" si="82"/>
        <v>5.5851986933720132</v>
      </c>
      <c r="EJ20" s="173"/>
      <c r="EK20" s="528">
        <f t="shared" si="83"/>
        <v>4.2777777777777776E-2</v>
      </c>
      <c r="EL20" s="528">
        <f t="shared" si="84"/>
        <v>0.67298000000000002</v>
      </c>
      <c r="EM20" s="528">
        <f t="shared" si="85"/>
        <v>4.8124999999999999E-3</v>
      </c>
      <c r="EN20" s="528">
        <f t="shared" si="86"/>
        <v>2.9409226000000007E-2</v>
      </c>
      <c r="EO20">
        <f t="shared" si="87"/>
        <v>3.2399999999999998E-2</v>
      </c>
      <c r="EP20" s="460">
        <f t="shared" si="123"/>
        <v>37.212499999999999</v>
      </c>
      <c r="EQ20" s="528">
        <f t="shared" si="88"/>
        <v>0.80208186384186642</v>
      </c>
      <c r="ER20" s="460">
        <f t="shared" si="124"/>
        <v>802.08186384186638</v>
      </c>
      <c r="ES20" s="528">
        <f t="shared" si="125"/>
        <v>0.93187499999999979</v>
      </c>
      <c r="ET20" s="528"/>
      <c r="EV20" s="460">
        <f t="shared" si="126"/>
        <v>931.87499999999977</v>
      </c>
      <c r="EW20" s="528">
        <f t="shared" si="89"/>
        <v>6.4166666666666664E-2</v>
      </c>
      <c r="EX20" s="528">
        <f t="shared" si="90"/>
        <v>0.93583333333333329</v>
      </c>
      <c r="EY20" s="528">
        <f t="shared" si="91"/>
        <v>0.14541922578037128</v>
      </c>
      <c r="EZ20" s="528">
        <f t="shared" si="92"/>
        <v>1.5058904628047514</v>
      </c>
      <c r="FA20" s="528">
        <f t="shared" si="93"/>
        <v>3.8500000000000006E-3</v>
      </c>
      <c r="FB20" s="460">
        <f t="shared" si="127"/>
        <v>1509.7404628047514</v>
      </c>
      <c r="FC20" s="173">
        <f t="shared" si="128"/>
        <v>3.2436973266466174</v>
      </c>
      <c r="FD20" s="5">
        <f t="shared" si="129"/>
        <v>22.5</v>
      </c>
      <c r="FE20" s="173">
        <f t="shared" si="130"/>
        <v>0.87400033159614754</v>
      </c>
      <c r="FF20" s="5">
        <f t="shared" si="131"/>
        <v>87.40003315961475</v>
      </c>
      <c r="FI20" s="562">
        <f t="shared" si="94"/>
        <v>-50</v>
      </c>
      <c r="FJ20">
        <f t="shared" si="95"/>
        <v>-50</v>
      </c>
      <c r="FL20">
        <f t="shared" si="96"/>
        <v>0.3</v>
      </c>
    </row>
    <row r="21" spans="5:168" s="76" customFormat="1">
      <c r="E21" s="189">
        <v>16</v>
      </c>
      <c r="F21" s="329">
        <f t="shared" si="97"/>
        <v>1.6</v>
      </c>
      <c r="G21" s="217"/>
      <c r="H21" s="217">
        <f t="shared" si="0"/>
        <v>24</v>
      </c>
      <c r="I21" s="541">
        <f t="shared" si="1"/>
        <v>71.753268114390082</v>
      </c>
      <c r="J21" s="172">
        <f t="shared" si="2"/>
        <v>15.548039131365949</v>
      </c>
      <c r="K21" s="172">
        <f t="shared" si="3"/>
        <v>87.548039131365954</v>
      </c>
      <c r="L21" s="535"/>
      <c r="M21" s="217">
        <f t="shared" si="4"/>
        <v>0.17811475258435275</v>
      </c>
      <c r="N21" s="172">
        <f t="shared" si="5"/>
        <v>320.65811833659114</v>
      </c>
      <c r="O21" s="172">
        <f t="shared" si="98"/>
        <v>24</v>
      </c>
      <c r="P21" s="329">
        <f t="shared" si="6"/>
        <v>21.377207889106078</v>
      </c>
      <c r="Q21" s="217">
        <f t="shared" si="7"/>
        <v>15</v>
      </c>
      <c r="R21" s="217">
        <f t="shared" si="8"/>
        <v>21.300525995522193</v>
      </c>
      <c r="S21" s="172">
        <f t="shared" si="9"/>
        <v>1049.4188854670399</v>
      </c>
      <c r="T21" s="172">
        <f t="shared" si="10"/>
        <v>15</v>
      </c>
      <c r="U21" s="217">
        <f t="shared" si="99"/>
        <v>3.8934875763522281</v>
      </c>
      <c r="V21" s="217">
        <f t="shared" si="11"/>
        <v>0.65114596371752842</v>
      </c>
      <c r="W21" s="217">
        <f t="shared" si="12"/>
        <v>3.0049995707800909</v>
      </c>
      <c r="X21" s="537">
        <f t="shared" si="13"/>
        <v>106.49159174915671</v>
      </c>
      <c r="Y21" s="443">
        <f t="shared" si="14"/>
        <v>259.32631200089816</v>
      </c>
      <c r="AA21" s="329">
        <f t="shared" si="15"/>
        <v>10</v>
      </c>
      <c r="AB21" s="173">
        <f t="shared" si="16"/>
        <v>7.7180150491078416</v>
      </c>
      <c r="AC21" s="538">
        <f t="shared" si="17"/>
        <v>4.1095185386172002</v>
      </c>
      <c r="AD21" s="538"/>
      <c r="AE21" s="173">
        <f t="shared" si="18"/>
        <v>7.7180150491078416</v>
      </c>
      <c r="AF21" s="545">
        <f t="shared" si="100"/>
        <v>41.461437683642529</v>
      </c>
      <c r="AG21" s="528">
        <f t="shared" si="19"/>
        <v>4.1095185386172002</v>
      </c>
      <c r="AH21"/>
      <c r="AI21" s="173">
        <f t="shared" si="20"/>
        <v>3.4418200203481435</v>
      </c>
      <c r="AJ21" s="173">
        <f t="shared" si="21"/>
        <v>10</v>
      </c>
      <c r="AK21" s="173">
        <f t="shared" si="22"/>
        <v>1.0236922501049386</v>
      </c>
      <c r="AM21" s="545">
        <f t="shared" si="23"/>
        <v>1600</v>
      </c>
      <c r="AN21" s="460">
        <f t="shared" si="24"/>
        <v>41.461437683642529</v>
      </c>
      <c r="AP21">
        <f t="shared" si="25"/>
        <v>1600</v>
      </c>
      <c r="AQ21" s="460">
        <f t="shared" si="26"/>
        <v>41.461437683642529</v>
      </c>
      <c r="AR21" s="460"/>
      <c r="AS21" s="5">
        <f t="shared" si="101"/>
        <v>24.118797028462005</v>
      </c>
      <c r="AT21" s="5">
        <f t="shared" si="27"/>
        <v>1.6723976921677532</v>
      </c>
      <c r="AU21" s="5">
        <f t="shared" si="102"/>
        <v>22.446399336294252</v>
      </c>
      <c r="AV21" s="5">
        <f t="shared" si="28"/>
        <v>7.7180150491078416</v>
      </c>
      <c r="AW21" s="173">
        <f t="shared" si="103"/>
        <v>6.934001269608088E-2</v>
      </c>
      <c r="AX21" s="173">
        <f t="shared" si="29"/>
        <v>24.876862610185519</v>
      </c>
      <c r="AY21" s="173">
        <f t="shared" si="30"/>
        <v>4.6532999365195957</v>
      </c>
      <c r="AZ21" s="173">
        <f t="shared" si="104"/>
        <v>5.3460690154419748</v>
      </c>
      <c r="BA21" s="460">
        <f t="shared" si="31"/>
        <v>17.838908716456032</v>
      </c>
      <c r="BB21" s="5">
        <f t="shared" si="32"/>
        <v>2.0855170248607937</v>
      </c>
      <c r="BC21" s="5"/>
      <c r="BD21" s="173">
        <f t="shared" si="105"/>
        <v>1.5203071257269136</v>
      </c>
      <c r="BE21" s="173">
        <f t="shared" si="33"/>
        <v>5.5697396327653692</v>
      </c>
      <c r="BF21" s="173"/>
      <c r="BG21" s="528">
        <f t="shared" si="34"/>
        <v>4.6226675130720596E-2</v>
      </c>
      <c r="BH21" s="528">
        <f t="shared" si="35"/>
        <v>0.68060016914441746</v>
      </c>
      <c r="BI21" s="528">
        <f t="shared" si="36"/>
        <v>7.4374841363061966E-2</v>
      </c>
      <c r="BJ21" s="528">
        <f t="shared" si="37"/>
        <v>3.177877879523721E-2</v>
      </c>
      <c r="BK21">
        <f t="shared" si="38"/>
        <v>3.2288970651475533E-2</v>
      </c>
      <c r="BL21" s="460">
        <f t="shared" si="106"/>
        <v>106.66381201453751</v>
      </c>
      <c r="BM21" s="528">
        <f t="shared" si="39"/>
        <v>0.7796500792645914</v>
      </c>
      <c r="BN21" s="460">
        <f t="shared" si="107"/>
        <v>779.65007926459145</v>
      </c>
      <c r="BO21" s="528">
        <f t="shared" si="108"/>
        <v>0.99399999999999988</v>
      </c>
      <c r="BP21" s="528"/>
      <c r="BR21" s="460">
        <f t="shared" si="109"/>
        <v>993.99999999999989</v>
      </c>
      <c r="BS21" s="528">
        <f t="shared" si="40"/>
        <v>6.9340012696080894E-2</v>
      </c>
      <c r="BT21" s="528">
        <f t="shared" si="41"/>
        <v>0.9306599873039193</v>
      </c>
      <c r="BU21" s="528">
        <f t="shared" si="42"/>
        <v>0.36</v>
      </c>
      <c r="BV21" s="528">
        <f t="shared" si="43"/>
        <v>1.7391304347826089</v>
      </c>
      <c r="BW21" s="528">
        <f t="shared" si="44"/>
        <v>4.146143768364253E-3</v>
      </c>
      <c r="BX21" s="460">
        <f t="shared" si="110"/>
        <v>1743.2765785509732</v>
      </c>
      <c r="BY21" s="173">
        <f t="shared" si="45"/>
        <v>3.623590469830102</v>
      </c>
      <c r="BZ21" s="5">
        <f t="shared" si="111"/>
        <v>24</v>
      </c>
      <c r="CA21" s="173">
        <f t="shared" si="112"/>
        <v>0.86882261110163395</v>
      </c>
      <c r="CB21" s="5">
        <f t="shared" si="113"/>
        <v>86.882261110163398</v>
      </c>
      <c r="CE21" s="562">
        <f t="shared" si="46"/>
        <v>-50</v>
      </c>
      <c r="CF21">
        <f t="shared" si="47"/>
        <v>-50</v>
      </c>
      <c r="CG21" s="173">
        <f t="shared" si="48"/>
        <v>0.32423859527617421</v>
      </c>
      <c r="CH21"/>
      <c r="CI21" s="189">
        <v>16</v>
      </c>
      <c r="CJ21" s="329">
        <f t="shared" si="114"/>
        <v>1.6</v>
      </c>
      <c r="CK21" s="217"/>
      <c r="CL21" s="217">
        <f t="shared" si="49"/>
        <v>24</v>
      </c>
      <c r="CM21" s="541">
        <f t="shared" si="50"/>
        <v>72</v>
      </c>
      <c r="CN21" s="172">
        <f t="shared" si="51"/>
        <v>15.4</v>
      </c>
      <c r="CO21" s="535">
        <f t="shared" si="52"/>
        <v>87.4</v>
      </c>
      <c r="CP21" s="535"/>
      <c r="CQ21" s="329">
        <f t="shared" si="53"/>
        <v>0.17620137299771166</v>
      </c>
      <c r="CR21" s="172">
        <f t="shared" si="54"/>
        <v>318.30425629290613</v>
      </c>
      <c r="CS21" s="172">
        <f t="shared" si="115"/>
        <v>24</v>
      </c>
      <c r="CT21" s="329">
        <f t="shared" si="55"/>
        <v>21.220283752860407</v>
      </c>
      <c r="CU21" s="217">
        <f t="shared" si="56"/>
        <v>15</v>
      </c>
      <c r="CV21" s="217">
        <f t="shared" si="57"/>
        <v>21.144164759725399</v>
      </c>
      <c r="CW21" s="172">
        <f t="shared" si="58"/>
        <v>1053.0273393322202</v>
      </c>
      <c r="CX21" s="172">
        <f t="shared" si="59"/>
        <v>15</v>
      </c>
      <c r="CY21" s="217">
        <f t="shared" si="60"/>
        <v>3.783549783549784</v>
      </c>
      <c r="CZ21" s="329">
        <f t="shared" si="61"/>
        <v>0.63059163059163081</v>
      </c>
      <c r="DA21" s="217">
        <f t="shared" si="62"/>
        <v>2.9482206105582733</v>
      </c>
      <c r="DB21" s="537">
        <f t="shared" si="63"/>
        <v>105.72082379862701</v>
      </c>
      <c r="DC21" s="535">
        <f t="shared" si="116"/>
        <v>279.4223146165084</v>
      </c>
      <c r="DE21" s="329">
        <f t="shared" si="64"/>
        <v>9.9999999999999982</v>
      </c>
      <c r="DF21" s="173">
        <f t="shared" si="65"/>
        <v>7.7922077922077895</v>
      </c>
      <c r="DG21" s="538">
        <f t="shared" si="66"/>
        <v>4.118993135011439</v>
      </c>
      <c r="DH21" s="538"/>
      <c r="DI21" s="173">
        <f t="shared" si="67"/>
        <v>7.7922077922077913</v>
      </c>
      <c r="DJ21" s="545">
        <f t="shared" si="117"/>
        <v>41.06666666666667</v>
      </c>
      <c r="DK21" s="528">
        <f t="shared" si="68"/>
        <v>4.1189931350114417</v>
      </c>
      <c r="DL21"/>
      <c r="DM21" s="173">
        <f t="shared" si="69"/>
        <v>3.4253953543107012</v>
      </c>
      <c r="DN21" s="173">
        <f t="shared" si="70"/>
        <v>10</v>
      </c>
      <c r="DO21" s="173">
        <f t="shared" si="71"/>
        <v>1.0234666666666667</v>
      </c>
      <c r="DQ21" s="545">
        <f t="shared" si="72"/>
        <v>1600</v>
      </c>
      <c r="DR21" s="460">
        <f t="shared" si="73"/>
        <v>41.06666666666667</v>
      </c>
      <c r="DT21">
        <f t="shared" si="74"/>
        <v>1600</v>
      </c>
      <c r="DU21" s="460">
        <f t="shared" si="75"/>
        <v>41.06666666666667</v>
      </c>
      <c r="DV21" s="460"/>
      <c r="DW21" s="5">
        <f t="shared" si="118"/>
        <v>24.350649350649348</v>
      </c>
      <c r="DX21" s="5">
        <f t="shared" si="76"/>
        <v>1.6666666666666667</v>
      </c>
      <c r="DY21" s="5">
        <f t="shared" si="119"/>
        <v>22.683982683982681</v>
      </c>
      <c r="DZ21" s="5">
        <f t="shared" si="77"/>
        <v>7.7922077922077913</v>
      </c>
      <c r="EA21" s="173">
        <f t="shared" si="120"/>
        <v>6.8444444444444461E-2</v>
      </c>
      <c r="EB21" s="173">
        <f t="shared" si="78"/>
        <v>24.640000000000004</v>
      </c>
      <c r="EC21" s="173">
        <f t="shared" si="79"/>
        <v>4.6577777777777776</v>
      </c>
      <c r="ED21" s="173">
        <f t="shared" si="121"/>
        <v>5.2900763358778633</v>
      </c>
      <c r="EE21" s="460">
        <f t="shared" si="80"/>
        <v>17.777777777777782</v>
      </c>
      <c r="EF21" s="5">
        <f t="shared" si="81"/>
        <v>2.1003687670354334</v>
      </c>
      <c r="EG21" s="5"/>
      <c r="EH21" s="173">
        <f t="shared" si="122"/>
        <v>1.5104573749303494</v>
      </c>
      <c r="EI21" s="173">
        <f t="shared" si="82"/>
        <v>5.5724188510782149</v>
      </c>
      <c r="EJ21" s="173"/>
      <c r="EK21" s="528">
        <f t="shared" si="83"/>
        <v>4.5629629629629645E-2</v>
      </c>
      <c r="EL21" s="528">
        <f t="shared" si="84"/>
        <v>0.71784533333333345</v>
      </c>
      <c r="EM21" s="528">
        <f t="shared" si="85"/>
        <v>5.1333333333333335E-3</v>
      </c>
      <c r="EN21" s="528">
        <f t="shared" si="86"/>
        <v>3.1369841066666675E-2</v>
      </c>
      <c r="EO21">
        <f t="shared" si="87"/>
        <v>3.2399999999999998E-2</v>
      </c>
      <c r="EP21" s="460">
        <f t="shared" si="123"/>
        <v>37.533333333333339</v>
      </c>
      <c r="EQ21" s="528">
        <f t="shared" si="88"/>
        <v>0.8539563909713177</v>
      </c>
      <c r="ER21" s="460">
        <f t="shared" si="124"/>
        <v>853.95639097131766</v>
      </c>
      <c r="ES21" s="528">
        <f t="shared" si="125"/>
        <v>0.99399999999999988</v>
      </c>
      <c r="ET21" s="528"/>
      <c r="EV21" s="460">
        <f t="shared" si="126"/>
        <v>993.99999999999989</v>
      </c>
      <c r="EW21" s="528">
        <f t="shared" si="89"/>
        <v>6.8444444444444461E-2</v>
      </c>
      <c r="EX21" s="528">
        <f t="shared" si="90"/>
        <v>0.93155555555555558</v>
      </c>
      <c r="EY21" s="528">
        <f t="shared" si="91"/>
        <v>0.17088094501266138</v>
      </c>
      <c r="EZ21" s="528">
        <f t="shared" si="92"/>
        <v>1.5335662445789797</v>
      </c>
      <c r="FA21" s="528">
        <f t="shared" si="93"/>
        <v>4.1066666666666673E-3</v>
      </c>
      <c r="FB21" s="460">
        <f t="shared" si="127"/>
        <v>1537.6729112456464</v>
      </c>
      <c r="FC21" s="173">
        <f t="shared" si="128"/>
        <v>3.3856293022169637</v>
      </c>
      <c r="FD21" s="5">
        <f t="shared" si="129"/>
        <v>24</v>
      </c>
      <c r="FE21" s="173">
        <f t="shared" si="130"/>
        <v>0.87637204663604773</v>
      </c>
      <c r="FF21" s="5">
        <f t="shared" si="131"/>
        <v>87.637204663604777</v>
      </c>
      <c r="FI21" s="562">
        <f t="shared" si="94"/>
        <v>-50</v>
      </c>
      <c r="FJ21">
        <f t="shared" si="95"/>
        <v>-50</v>
      </c>
      <c r="FL21">
        <f t="shared" si="96"/>
        <v>0.32000000000000006</v>
      </c>
    </row>
    <row r="22" spans="5:168">
      <c r="E22" s="170">
        <v>17</v>
      </c>
      <c r="F22" s="217">
        <f t="shared" si="97"/>
        <v>1.7000000000000002</v>
      </c>
      <c r="G22" s="217"/>
      <c r="H22" s="217">
        <f t="shared" si="0"/>
        <v>25.500000000000004</v>
      </c>
      <c r="I22" s="541">
        <f t="shared" si="1"/>
        <v>71.753268114390082</v>
      </c>
      <c r="J22" s="172">
        <f t="shared" si="2"/>
        <v>15.548039131365949</v>
      </c>
      <c r="K22" s="172">
        <f t="shared" si="3"/>
        <v>87.548039131365954</v>
      </c>
      <c r="L22" s="443"/>
      <c r="M22" s="217">
        <f t="shared" si="4"/>
        <v>0.17811475258435275</v>
      </c>
      <c r="N22" s="172">
        <f t="shared" si="5"/>
        <v>320.65811833659114</v>
      </c>
      <c r="O22" s="172">
        <f t="shared" si="98"/>
        <v>25.500000000000004</v>
      </c>
      <c r="P22" s="217">
        <f t="shared" si="6"/>
        <v>21.377207889106078</v>
      </c>
      <c r="Q22" s="217">
        <f t="shared" si="7"/>
        <v>15</v>
      </c>
      <c r="R22" s="217">
        <f t="shared" si="8"/>
        <v>21.300525995522193</v>
      </c>
      <c r="S22" s="172">
        <f t="shared" si="9"/>
        <v>983.47102303371571</v>
      </c>
      <c r="T22" s="172">
        <f t="shared" si="10"/>
        <v>15</v>
      </c>
      <c r="U22" s="217">
        <f t="shared" si="99"/>
        <v>4.1368305498742419</v>
      </c>
      <c r="V22" s="217">
        <f t="shared" si="11"/>
        <v>0.69184258644987406</v>
      </c>
      <c r="W22" s="217">
        <f t="shared" si="12"/>
        <v>3.1928120439538468</v>
      </c>
      <c r="X22" s="197">
        <f t="shared" si="13"/>
        <v>106.49159174915671</v>
      </c>
      <c r="Y22" s="443">
        <f t="shared" si="14"/>
        <v>244.81874001209292</v>
      </c>
      <c r="AA22" s="217">
        <f t="shared" si="15"/>
        <v>10</v>
      </c>
      <c r="AB22" s="173">
        <f t="shared" si="16"/>
        <v>7.7180150491078416</v>
      </c>
      <c r="AC22" s="173">
        <f t="shared" si="17"/>
        <v>4.1095185386172002</v>
      </c>
      <c r="AD22" s="173"/>
      <c r="AE22" s="173">
        <f t="shared" si="18"/>
        <v>7.7180150491078416</v>
      </c>
      <c r="AF22" s="545">
        <f t="shared" si="100"/>
        <v>44.052777538870188</v>
      </c>
      <c r="AG22" s="528">
        <f t="shared" si="19"/>
        <v>4.1095185386172002</v>
      </c>
      <c r="AI22" s="173">
        <f t="shared" si="20"/>
        <v>3.5477468720652303</v>
      </c>
      <c r="AJ22" s="173">
        <f t="shared" si="21"/>
        <v>10</v>
      </c>
      <c r="AK22" s="173">
        <f t="shared" si="22"/>
        <v>1.0251730157364973</v>
      </c>
      <c r="AM22" s="545">
        <f t="shared" si="23"/>
        <v>1700.0000000000002</v>
      </c>
      <c r="AN22" s="460">
        <f t="shared" si="24"/>
        <v>44.052777538870188</v>
      </c>
      <c r="AP22">
        <f t="shared" si="25"/>
        <v>1700.0000000000002</v>
      </c>
      <c r="AQ22" s="460">
        <f t="shared" si="26"/>
        <v>44.052777538870188</v>
      </c>
      <c r="AR22" s="460"/>
      <c r="AS22" s="5">
        <f t="shared" si="101"/>
        <v>22.700044262081885</v>
      </c>
      <c r="AT22" s="5">
        <f t="shared" si="27"/>
        <v>1.6723976921677532</v>
      </c>
      <c r="AU22" s="5">
        <f t="shared" si="102"/>
        <v>21.027646569914133</v>
      </c>
      <c r="AV22" s="5">
        <f t="shared" si="28"/>
        <v>7.7180150491078416</v>
      </c>
      <c r="AW22" s="173">
        <f t="shared" si="103"/>
        <v>7.3673763489585944E-2</v>
      </c>
      <c r="AX22" s="173">
        <f t="shared" si="29"/>
        <v>26.431666523322114</v>
      </c>
      <c r="AY22" s="173">
        <f t="shared" si="30"/>
        <v>4.63163118255207</v>
      </c>
      <c r="AZ22" s="173">
        <f t="shared" si="104"/>
        <v>5.70677272898876</v>
      </c>
      <c r="BA22" s="460">
        <f t="shared" si="31"/>
        <v>18.953840511234539</v>
      </c>
      <c r="BB22" s="5">
        <f t="shared" si="32"/>
        <v>2.0758055177747941</v>
      </c>
      <c r="BC22" s="5"/>
      <c r="BD22" s="173">
        <f t="shared" si="105"/>
        <v>1.5670967156878135</v>
      </c>
      <c r="BE22" s="173">
        <f t="shared" si="33"/>
        <v>5.5567563575357335</v>
      </c>
      <c r="BF22" s="173"/>
      <c r="BG22" s="528">
        <f t="shared" si="34"/>
        <v>4.9115842326390644E-2</v>
      </c>
      <c r="BH22" s="528">
        <f t="shared" si="35"/>
        <v>0.72313767971594367</v>
      </c>
      <c r="BI22" s="528">
        <f t="shared" si="36"/>
        <v>7.9023268948253331E-2</v>
      </c>
      <c r="BJ22" s="528">
        <f t="shared" si="37"/>
        <v>3.3764952469939533E-2</v>
      </c>
      <c r="BK22">
        <f t="shared" si="38"/>
        <v>3.2288970651475533E-2</v>
      </c>
      <c r="BL22" s="460">
        <f t="shared" si="106"/>
        <v>111.31223959972885</v>
      </c>
      <c r="BM22" s="528">
        <f t="shared" si="39"/>
        <v>0.82895357730038255</v>
      </c>
      <c r="BN22" s="460">
        <f t="shared" si="107"/>
        <v>828.95357730038256</v>
      </c>
      <c r="BO22" s="528">
        <f t="shared" si="108"/>
        <v>1.056125</v>
      </c>
      <c r="BP22" s="528"/>
      <c r="BR22" s="460">
        <f t="shared" si="109"/>
        <v>1056.125</v>
      </c>
      <c r="BS22" s="528">
        <f t="shared" si="40"/>
        <v>7.3673763489585958E-2</v>
      </c>
      <c r="BT22" s="528">
        <f t="shared" si="41"/>
        <v>0.92632623651041379</v>
      </c>
      <c r="BU22" s="528">
        <f t="shared" si="42"/>
        <v>0.38250000000000006</v>
      </c>
      <c r="BV22" s="528">
        <f t="shared" si="43"/>
        <v>1.7635869565217388</v>
      </c>
      <c r="BW22" s="528">
        <f t="shared" si="44"/>
        <v>4.4052777538870188E-3</v>
      </c>
      <c r="BX22" s="460">
        <f t="shared" si="110"/>
        <v>1767.9922342756258</v>
      </c>
      <c r="BY22" s="173">
        <f t="shared" si="45"/>
        <v>3.7643830511757375</v>
      </c>
      <c r="BZ22" s="5">
        <f t="shared" si="111"/>
        <v>25.500000000000004</v>
      </c>
      <c r="CA22" s="173">
        <f t="shared" si="112"/>
        <v>0.87136639632577195</v>
      </c>
      <c r="CB22" s="5">
        <f t="shared" si="113"/>
        <v>87.1366396325772</v>
      </c>
      <c r="CE22" s="562">
        <f t="shared" si="46"/>
        <v>-50</v>
      </c>
      <c r="CF22">
        <f t="shared" si="47"/>
        <v>-50</v>
      </c>
      <c r="CG22" s="173">
        <f t="shared" si="48"/>
        <v>0.34450350748093511</v>
      </c>
      <c r="CI22" s="170">
        <v>17</v>
      </c>
      <c r="CJ22" s="217">
        <f t="shared" si="114"/>
        <v>1.7000000000000002</v>
      </c>
      <c r="CK22" s="217"/>
      <c r="CL22" s="217">
        <f t="shared" si="49"/>
        <v>25.500000000000004</v>
      </c>
      <c r="CM22" s="541">
        <f t="shared" si="50"/>
        <v>72</v>
      </c>
      <c r="CN22" s="172">
        <f t="shared" si="51"/>
        <v>15.4</v>
      </c>
      <c r="CO22" s="443">
        <f t="shared" si="52"/>
        <v>87.4</v>
      </c>
      <c r="CP22" s="443"/>
      <c r="CQ22" s="217">
        <f t="shared" si="53"/>
        <v>0.17620137299771166</v>
      </c>
      <c r="CR22" s="172">
        <f t="shared" si="54"/>
        <v>318.30425629290613</v>
      </c>
      <c r="CS22" s="172">
        <f t="shared" si="115"/>
        <v>25.500000000000004</v>
      </c>
      <c r="CT22" s="217">
        <f t="shared" si="55"/>
        <v>21.220283752860407</v>
      </c>
      <c r="CU22" s="217">
        <f t="shared" si="56"/>
        <v>15</v>
      </c>
      <c r="CV22" s="217">
        <f t="shared" si="57"/>
        <v>21.144164759725399</v>
      </c>
      <c r="CW22" s="172">
        <f t="shared" si="58"/>
        <v>986.85270127420949</v>
      </c>
      <c r="CX22" s="172">
        <f t="shared" si="59"/>
        <v>15</v>
      </c>
      <c r="CY22" s="217">
        <f t="shared" si="60"/>
        <v>4.0200216450216457</v>
      </c>
      <c r="CZ22" s="217">
        <f t="shared" si="61"/>
        <v>0.67000360750360766</v>
      </c>
      <c r="DA22" s="217">
        <f t="shared" si="62"/>
        <v>3.1324843987181654</v>
      </c>
      <c r="DB22" s="197">
        <f t="shared" si="63"/>
        <v>105.72082379862701</v>
      </c>
      <c r="DC22" s="443">
        <f t="shared" si="116"/>
        <v>262.9857078743608</v>
      </c>
      <c r="DE22" s="217">
        <f t="shared" si="64"/>
        <v>9.9999999999999982</v>
      </c>
      <c r="DF22" s="173">
        <f t="shared" si="65"/>
        <v>7.7922077922077895</v>
      </c>
      <c r="DG22" s="173">
        <f t="shared" si="66"/>
        <v>4.118993135011439</v>
      </c>
      <c r="DH22" s="173"/>
      <c r="DI22" s="173">
        <f t="shared" si="67"/>
        <v>7.7922077922077913</v>
      </c>
      <c r="DJ22" s="545">
        <f t="shared" si="117"/>
        <v>43.63333333333334</v>
      </c>
      <c r="DK22" s="528">
        <f t="shared" si="68"/>
        <v>4.1189931350114417</v>
      </c>
      <c r="DM22" s="173">
        <f t="shared" si="69"/>
        <v>3.5308167138307631</v>
      </c>
      <c r="DN22" s="173">
        <f t="shared" si="70"/>
        <v>10</v>
      </c>
      <c r="DO22" s="173">
        <f t="shared" si="71"/>
        <v>1.0249333333333333</v>
      </c>
      <c r="DQ22" s="545">
        <f t="shared" si="72"/>
        <v>1700.0000000000002</v>
      </c>
      <c r="DR22" s="460">
        <f t="shared" si="73"/>
        <v>43.63333333333334</v>
      </c>
      <c r="DT22">
        <f t="shared" si="74"/>
        <v>1700.0000000000002</v>
      </c>
      <c r="DU22" s="460">
        <f t="shared" si="75"/>
        <v>43.63333333333334</v>
      </c>
      <c r="DV22" s="460"/>
      <c r="DW22" s="5">
        <f t="shared" si="118"/>
        <v>22.918258212375857</v>
      </c>
      <c r="DX22" s="5">
        <f t="shared" si="76"/>
        <v>1.6666666666666667</v>
      </c>
      <c r="DY22" s="5">
        <f t="shared" si="119"/>
        <v>21.251591545709189</v>
      </c>
      <c r="DZ22" s="5">
        <f t="shared" si="77"/>
        <v>7.7922077922077913</v>
      </c>
      <c r="EA22" s="173">
        <f t="shared" si="120"/>
        <v>7.272222222222223E-2</v>
      </c>
      <c r="EB22" s="173">
        <f t="shared" si="78"/>
        <v>26.180000000000007</v>
      </c>
      <c r="EC22" s="173">
        <f t="shared" si="79"/>
        <v>4.6363888888888889</v>
      </c>
      <c r="ED22" s="173">
        <f t="shared" si="121"/>
        <v>5.6466359115691107</v>
      </c>
      <c r="EE22" s="460">
        <f t="shared" si="80"/>
        <v>18.888888888888893</v>
      </c>
      <c r="EF22" s="5">
        <f t="shared" si="81"/>
        <v>2.0907237053070387</v>
      </c>
      <c r="EG22" s="5"/>
      <c r="EH22" s="173">
        <f t="shared" si="122"/>
        <v>1.5569438249577516</v>
      </c>
      <c r="EI22" s="173">
        <f t="shared" si="82"/>
        <v>5.5596096319129504</v>
      </c>
      <c r="EJ22" s="173"/>
      <c r="EK22" s="528">
        <f t="shared" si="83"/>
        <v>4.848148148148148E-2</v>
      </c>
      <c r="EL22" s="528">
        <f t="shared" si="84"/>
        <v>0.76271066666666687</v>
      </c>
      <c r="EM22" s="528">
        <f t="shared" si="85"/>
        <v>5.4541666666666679E-3</v>
      </c>
      <c r="EN22" s="528">
        <f t="shared" si="86"/>
        <v>3.3330456133333346E-2</v>
      </c>
      <c r="EO22">
        <f t="shared" si="87"/>
        <v>3.2399999999999998E-2</v>
      </c>
      <c r="EP22" s="460">
        <f t="shared" si="123"/>
        <v>37.854166666666671</v>
      </c>
      <c r="EQ22" s="528">
        <f t="shared" si="88"/>
        <v>0.90590203770083166</v>
      </c>
      <c r="ER22" s="460">
        <f t="shared" si="124"/>
        <v>905.90203770083167</v>
      </c>
      <c r="ES22" s="528">
        <f t="shared" si="125"/>
        <v>1.056125</v>
      </c>
      <c r="ET22" s="528"/>
      <c r="EV22" s="460">
        <f t="shared" si="126"/>
        <v>1056.125</v>
      </c>
      <c r="EW22" s="528">
        <f t="shared" si="89"/>
        <v>7.2722222222222216E-2</v>
      </c>
      <c r="EX22" s="528">
        <f t="shared" si="90"/>
        <v>0.92727777777777753</v>
      </c>
      <c r="EY22" s="528">
        <f t="shared" si="91"/>
        <v>0.19884559928237447</v>
      </c>
      <c r="EZ22" s="528">
        <f t="shared" si="92"/>
        <v>1.5639626079156241</v>
      </c>
      <c r="FA22" s="528">
        <f t="shared" si="93"/>
        <v>4.3633333333333345E-3</v>
      </c>
      <c r="FB22" s="460">
        <f t="shared" si="127"/>
        <v>1568.3259412489574</v>
      </c>
      <c r="FC22" s="173">
        <f t="shared" si="128"/>
        <v>3.5303529789497894</v>
      </c>
      <c r="FD22" s="5">
        <f t="shared" si="129"/>
        <v>25.500000000000004</v>
      </c>
      <c r="FE22" s="173">
        <f t="shared" si="130"/>
        <v>0.87839097300988089</v>
      </c>
      <c r="FF22" s="5">
        <f t="shared" si="131"/>
        <v>87.839097300988087</v>
      </c>
      <c r="FI22" s="562">
        <f t="shared" si="94"/>
        <v>-50</v>
      </c>
      <c r="FJ22">
        <f t="shared" si="95"/>
        <v>-50</v>
      </c>
      <c r="FL22">
        <f t="shared" si="96"/>
        <v>0.34</v>
      </c>
    </row>
    <row r="23" spans="5:168">
      <c r="E23" s="170">
        <v>18</v>
      </c>
      <c r="F23" s="217">
        <f t="shared" si="97"/>
        <v>1.7999999999999998</v>
      </c>
      <c r="G23" s="217"/>
      <c r="H23" s="217">
        <f t="shared" si="0"/>
        <v>26.999999999999996</v>
      </c>
      <c r="I23" s="541">
        <f t="shared" si="1"/>
        <v>71.753268114390082</v>
      </c>
      <c r="J23" s="172">
        <f t="shared" si="2"/>
        <v>15.548039131365949</v>
      </c>
      <c r="K23" s="172">
        <f t="shared" si="3"/>
        <v>87.548039131365954</v>
      </c>
      <c r="L23" s="443"/>
      <c r="M23" s="217">
        <f t="shared" si="4"/>
        <v>0.17811475258435275</v>
      </c>
      <c r="N23" s="172">
        <f t="shared" si="5"/>
        <v>320.65811833659114</v>
      </c>
      <c r="O23" s="172">
        <f t="shared" si="98"/>
        <v>26.999999999999996</v>
      </c>
      <c r="P23" s="217">
        <f t="shared" si="6"/>
        <v>21.377207889106078</v>
      </c>
      <c r="Q23" s="217">
        <f t="shared" si="7"/>
        <v>15</v>
      </c>
      <c r="R23" s="217">
        <f t="shared" si="8"/>
        <v>21.300525995522193</v>
      </c>
      <c r="S23" s="172">
        <f t="shared" si="9"/>
        <v>924.85092016664487</v>
      </c>
      <c r="T23" s="172">
        <f t="shared" si="10"/>
        <v>15</v>
      </c>
      <c r="U23" s="217">
        <f t="shared" si="99"/>
        <v>4.3801735233962562</v>
      </c>
      <c r="V23" s="217">
        <f t="shared" si="11"/>
        <v>0.73253920918221949</v>
      </c>
      <c r="W23" s="217">
        <f t="shared" si="12"/>
        <v>3.3806245171276021</v>
      </c>
      <c r="X23" s="197">
        <f t="shared" si="13"/>
        <v>106.49159174915671</v>
      </c>
      <c r="Y23" s="443">
        <f t="shared" si="14"/>
        <v>231.84837475566036</v>
      </c>
      <c r="AA23" s="217">
        <f t="shared" si="15"/>
        <v>10</v>
      </c>
      <c r="AB23" s="173">
        <f t="shared" si="16"/>
        <v>7.7180150491078416</v>
      </c>
      <c r="AC23" s="173">
        <f t="shared" si="17"/>
        <v>4.1095185386172002</v>
      </c>
      <c r="AD23" s="173"/>
      <c r="AE23" s="173">
        <f t="shared" si="18"/>
        <v>7.7180150491078416</v>
      </c>
      <c r="AF23" s="545">
        <f t="shared" si="100"/>
        <v>46.644117394097833</v>
      </c>
      <c r="AG23" s="528">
        <f t="shared" si="19"/>
        <v>4.1095185386172002</v>
      </c>
      <c r="AI23" s="173">
        <f t="shared" si="20"/>
        <v>3.6506014140176895</v>
      </c>
      <c r="AJ23" s="173">
        <f t="shared" si="21"/>
        <v>10</v>
      </c>
      <c r="AK23" s="173">
        <f t="shared" si="22"/>
        <v>1.0266537813680559</v>
      </c>
      <c r="AM23" s="545">
        <f t="shared" si="23"/>
        <v>1799.9999999999998</v>
      </c>
      <c r="AN23" s="460">
        <f t="shared" si="24"/>
        <v>46.644117394097833</v>
      </c>
      <c r="AP23">
        <f t="shared" si="25"/>
        <v>1799.9999999999998</v>
      </c>
      <c r="AQ23" s="460">
        <f t="shared" si="26"/>
        <v>46.644117394097833</v>
      </c>
      <c r="AR23" s="460"/>
      <c r="AS23" s="5">
        <f t="shared" si="101"/>
        <v>21.438930691966231</v>
      </c>
      <c r="AT23" s="5">
        <f t="shared" si="27"/>
        <v>1.6723976921677532</v>
      </c>
      <c r="AU23" s="5">
        <f t="shared" si="102"/>
        <v>19.766532999798478</v>
      </c>
      <c r="AV23" s="5">
        <f t="shared" si="28"/>
        <v>7.7180150491078416</v>
      </c>
      <c r="AW23" s="173">
        <f t="shared" si="103"/>
        <v>7.8007514283090981E-2</v>
      </c>
      <c r="AX23" s="173">
        <f t="shared" si="29"/>
        <v>27.986470436458703</v>
      </c>
      <c r="AY23" s="173">
        <f t="shared" si="30"/>
        <v>4.6099624285845451</v>
      </c>
      <c r="AZ23" s="173">
        <f t="shared" si="104"/>
        <v>6.0708673595528069</v>
      </c>
      <c r="BA23" s="460">
        <f t="shared" si="31"/>
        <v>20.068772306013038</v>
      </c>
      <c r="BB23" s="5">
        <f t="shared" si="32"/>
        <v>2.0660940106887944</v>
      </c>
      <c r="BC23" s="5"/>
      <c r="BD23" s="173">
        <f t="shared" si="105"/>
        <v>1.6125292171315944</v>
      </c>
      <c r="BE23" s="173">
        <f t="shared" si="33"/>
        <v>5.5437426759573096</v>
      </c>
      <c r="BF23" s="173"/>
      <c r="BG23" s="528">
        <f t="shared" si="34"/>
        <v>5.200500952206065E-2</v>
      </c>
      <c r="BH23" s="528">
        <f t="shared" si="35"/>
        <v>0.76567519028746966</v>
      </c>
      <c r="BI23" s="528">
        <f t="shared" si="36"/>
        <v>8.3671696533444681E-2</v>
      </c>
      <c r="BJ23" s="528">
        <f t="shared" si="37"/>
        <v>3.5751126144641848E-2</v>
      </c>
      <c r="BK23">
        <f t="shared" si="38"/>
        <v>3.2288970651475533E-2</v>
      </c>
      <c r="BL23" s="460">
        <f t="shared" si="106"/>
        <v>115.96066718492021</v>
      </c>
      <c r="BM23" s="528">
        <f t="shared" si="39"/>
        <v>0.87832561257156083</v>
      </c>
      <c r="BN23" s="460">
        <f t="shared" si="107"/>
        <v>878.32561257156078</v>
      </c>
      <c r="BO23" s="528">
        <f t="shared" si="108"/>
        <v>1.1182499999999997</v>
      </c>
      <c r="BP23" s="528"/>
      <c r="BR23" s="460">
        <f t="shared" si="109"/>
        <v>1118.2499999999998</v>
      </c>
      <c r="BS23" s="528">
        <f t="shared" si="40"/>
        <v>7.8007514283090967E-2</v>
      </c>
      <c r="BT23" s="528">
        <f t="shared" si="41"/>
        <v>0.92199248571690928</v>
      </c>
      <c r="BU23" s="528">
        <f t="shared" si="42"/>
        <v>0.40499999999999992</v>
      </c>
      <c r="BV23" s="528">
        <f t="shared" si="43"/>
        <v>1.7880434782608696</v>
      </c>
      <c r="BW23" s="528">
        <f t="shared" si="44"/>
        <v>4.6644117394097837E-3</v>
      </c>
      <c r="BX23" s="460">
        <f t="shared" si="110"/>
        <v>1792.7078900002793</v>
      </c>
      <c r="BY23" s="173">
        <f t="shared" si="45"/>
        <v>3.9052441697567599</v>
      </c>
      <c r="BZ23" s="5">
        <f t="shared" si="111"/>
        <v>26.999999999999996</v>
      </c>
      <c r="CA23" s="173">
        <f t="shared" si="112"/>
        <v>0.8736381389415343</v>
      </c>
      <c r="CB23" s="5">
        <f t="shared" si="113"/>
        <v>87.363813894153424</v>
      </c>
      <c r="CE23" s="562">
        <f t="shared" si="46"/>
        <v>-50</v>
      </c>
      <c r="CF23">
        <f t="shared" si="47"/>
        <v>-50</v>
      </c>
      <c r="CG23" s="173">
        <f t="shared" si="48"/>
        <v>0.3647684196856959</v>
      </c>
      <c r="CI23" s="170">
        <v>18</v>
      </c>
      <c r="CJ23" s="217">
        <f t="shared" si="114"/>
        <v>1.7999999999999998</v>
      </c>
      <c r="CK23" s="217"/>
      <c r="CL23" s="217">
        <f t="shared" si="49"/>
        <v>26.999999999999996</v>
      </c>
      <c r="CM23" s="541">
        <f t="shared" si="50"/>
        <v>72</v>
      </c>
      <c r="CN23" s="172">
        <f t="shared" si="51"/>
        <v>15.4</v>
      </c>
      <c r="CO23" s="443">
        <f t="shared" si="52"/>
        <v>87.4</v>
      </c>
      <c r="CP23" s="443"/>
      <c r="CQ23" s="217">
        <f t="shared" si="53"/>
        <v>0.17620137299771166</v>
      </c>
      <c r="CR23" s="172">
        <f t="shared" si="54"/>
        <v>318.30425629290613</v>
      </c>
      <c r="CS23" s="172">
        <f t="shared" si="115"/>
        <v>26.999999999999996</v>
      </c>
      <c r="CT23" s="217">
        <f t="shared" si="55"/>
        <v>21.220283752860407</v>
      </c>
      <c r="CU23" s="217">
        <f t="shared" si="56"/>
        <v>15</v>
      </c>
      <c r="CV23" s="217">
        <f t="shared" si="57"/>
        <v>21.144164759725399</v>
      </c>
      <c r="CW23" s="172">
        <f t="shared" si="58"/>
        <v>928.03102007513473</v>
      </c>
      <c r="CX23" s="172">
        <f t="shared" si="59"/>
        <v>15</v>
      </c>
      <c r="CY23" s="217">
        <f t="shared" si="60"/>
        <v>4.2564935064935066</v>
      </c>
      <c r="CZ23" s="217">
        <f t="shared" si="61"/>
        <v>0.7094155844155845</v>
      </c>
      <c r="DA23" s="217">
        <f t="shared" si="62"/>
        <v>3.3167481868780566</v>
      </c>
      <c r="DB23" s="197">
        <f t="shared" si="63"/>
        <v>105.72082379862701</v>
      </c>
      <c r="DC23" s="443">
        <f t="shared" si="116"/>
        <v>248.37539077022973</v>
      </c>
      <c r="DE23" s="217">
        <f t="shared" si="64"/>
        <v>9.9999999999999982</v>
      </c>
      <c r="DF23" s="173">
        <f t="shared" si="65"/>
        <v>7.7922077922077895</v>
      </c>
      <c r="DG23" s="173">
        <f t="shared" si="66"/>
        <v>4.118993135011439</v>
      </c>
      <c r="DH23" s="173"/>
      <c r="DI23" s="173">
        <f t="shared" si="67"/>
        <v>7.7922077922077913</v>
      </c>
      <c r="DJ23" s="545">
        <f t="shared" si="117"/>
        <v>46.2</v>
      </c>
      <c r="DK23" s="528">
        <f t="shared" si="68"/>
        <v>4.1189931350114417</v>
      </c>
      <c r="DM23" s="173">
        <f t="shared" si="69"/>
        <v>3.6331804249169899</v>
      </c>
      <c r="DN23" s="173">
        <f t="shared" si="70"/>
        <v>10</v>
      </c>
      <c r="DO23" s="173">
        <f t="shared" si="71"/>
        <v>1.0264</v>
      </c>
      <c r="DQ23" s="545">
        <f t="shared" si="72"/>
        <v>1799.9999999999998</v>
      </c>
      <c r="DR23" s="460">
        <f t="shared" si="73"/>
        <v>46.2</v>
      </c>
      <c r="DT23">
        <f t="shared" si="74"/>
        <v>1799.9999999999998</v>
      </c>
      <c r="DU23" s="460">
        <f t="shared" si="75"/>
        <v>46.2</v>
      </c>
      <c r="DV23" s="460"/>
      <c r="DW23" s="5">
        <f t="shared" si="118"/>
        <v>21.645021645021643</v>
      </c>
      <c r="DX23" s="5">
        <f t="shared" si="76"/>
        <v>1.6666666666666667</v>
      </c>
      <c r="DY23" s="5">
        <f t="shared" si="119"/>
        <v>19.978354978354975</v>
      </c>
      <c r="DZ23" s="5">
        <f t="shared" si="77"/>
        <v>7.7922077922077913</v>
      </c>
      <c r="EA23" s="173">
        <f t="shared" si="120"/>
        <v>7.7000000000000013E-2</v>
      </c>
      <c r="EB23" s="173">
        <f t="shared" si="78"/>
        <v>27.720000000000006</v>
      </c>
      <c r="EC23" s="173">
        <f t="shared" si="79"/>
        <v>4.6150000000000002</v>
      </c>
      <c r="ED23" s="173">
        <f t="shared" si="121"/>
        <v>6.0065005417118105</v>
      </c>
      <c r="EE23" s="460">
        <f t="shared" si="80"/>
        <v>20</v>
      </c>
      <c r="EF23" s="5">
        <f t="shared" si="81"/>
        <v>2.081078643578643</v>
      </c>
      <c r="EG23" s="5"/>
      <c r="EH23" s="173">
        <f t="shared" si="122"/>
        <v>1.6020819787597222</v>
      </c>
      <c r="EI23" s="173">
        <f t="shared" si="82"/>
        <v>5.5467708323552243</v>
      </c>
      <c r="EJ23" s="173"/>
      <c r="EK23" s="528">
        <f t="shared" si="83"/>
        <v>5.1333333333333349E-2</v>
      </c>
      <c r="EL23" s="528">
        <f t="shared" si="84"/>
        <v>0.80757600000000007</v>
      </c>
      <c r="EM23" s="528">
        <f t="shared" si="85"/>
        <v>5.7749999999999998E-3</v>
      </c>
      <c r="EN23" s="528">
        <f t="shared" si="86"/>
        <v>3.529107120000001E-2</v>
      </c>
      <c r="EO23">
        <f t="shared" si="87"/>
        <v>3.2399999999999998E-2</v>
      </c>
      <c r="EP23" s="460">
        <f t="shared" si="123"/>
        <v>38.174999999999997</v>
      </c>
      <c r="EQ23" s="528">
        <f t="shared" si="88"/>
        <v>0.95791895038741859</v>
      </c>
      <c r="ER23" s="460">
        <f t="shared" si="124"/>
        <v>957.91895038741859</v>
      </c>
      <c r="ES23" s="528">
        <f t="shared" si="125"/>
        <v>1.1182499999999997</v>
      </c>
      <c r="ET23" s="528"/>
      <c r="EV23" s="460">
        <f t="shared" si="126"/>
        <v>1118.2499999999998</v>
      </c>
      <c r="EW23" s="528">
        <f t="shared" si="89"/>
        <v>7.7000000000000013E-2</v>
      </c>
      <c r="EX23" s="528">
        <f t="shared" si="90"/>
        <v>0.92300000000000004</v>
      </c>
      <c r="EY23" s="528">
        <f t="shared" si="91"/>
        <v>0.22939024393395663</v>
      </c>
      <c r="EZ23" s="528">
        <f t="shared" si="92"/>
        <v>1.5971633086238657</v>
      </c>
      <c r="FA23" s="528">
        <f t="shared" si="93"/>
        <v>4.6200000000000008E-3</v>
      </c>
      <c r="FB23" s="460">
        <f t="shared" si="127"/>
        <v>1601.7833086238657</v>
      </c>
      <c r="FC23" s="173">
        <f t="shared" si="128"/>
        <v>3.6779522590112843</v>
      </c>
      <c r="FD23" s="5">
        <f t="shared" si="129"/>
        <v>26.999999999999996</v>
      </c>
      <c r="FE23" s="173">
        <f t="shared" si="130"/>
        <v>0.88011089436613454</v>
      </c>
      <c r="FF23" s="5">
        <f t="shared" si="131"/>
        <v>88.01108943661346</v>
      </c>
      <c r="FI23" s="562">
        <f t="shared" si="94"/>
        <v>-50</v>
      </c>
      <c r="FJ23">
        <f t="shared" si="95"/>
        <v>-50</v>
      </c>
      <c r="FL23">
        <f t="shared" si="96"/>
        <v>0.36</v>
      </c>
    </row>
    <row r="24" spans="5:168">
      <c r="E24" s="170">
        <v>19</v>
      </c>
      <c r="F24" s="217">
        <f t="shared" si="97"/>
        <v>1.9</v>
      </c>
      <c r="G24" s="217"/>
      <c r="H24" s="217">
        <f t="shared" si="0"/>
        <v>28.5</v>
      </c>
      <c r="I24" s="541">
        <f t="shared" si="1"/>
        <v>71.753268114390082</v>
      </c>
      <c r="J24" s="172">
        <f t="shared" si="2"/>
        <v>15.548039131365949</v>
      </c>
      <c r="K24" s="172">
        <f t="shared" si="3"/>
        <v>87.548039131365954</v>
      </c>
      <c r="L24" s="443"/>
      <c r="M24" s="217">
        <f t="shared" si="4"/>
        <v>0.17811475258435275</v>
      </c>
      <c r="N24" s="172">
        <f t="shared" si="5"/>
        <v>320.65811833659114</v>
      </c>
      <c r="O24" s="172">
        <f t="shared" si="98"/>
        <v>28.5</v>
      </c>
      <c r="P24" s="217">
        <f t="shared" si="6"/>
        <v>21.377207889106078</v>
      </c>
      <c r="Q24" s="217">
        <f t="shared" si="7"/>
        <v>15</v>
      </c>
      <c r="R24" s="217">
        <f t="shared" si="8"/>
        <v>21.300525995522193</v>
      </c>
      <c r="S24" s="172">
        <f t="shared" si="9"/>
        <v>872.40156487440925</v>
      </c>
      <c r="T24" s="172">
        <f t="shared" si="10"/>
        <v>15</v>
      </c>
      <c r="U24" s="217">
        <f t="shared" si="99"/>
        <v>4.6235164969182705</v>
      </c>
      <c r="V24" s="217">
        <f t="shared" si="11"/>
        <v>0.77323583191456513</v>
      </c>
      <c r="W24" s="217">
        <f t="shared" si="12"/>
        <v>3.5684369903013584</v>
      </c>
      <c r="X24" s="197">
        <f t="shared" si="13"/>
        <v>106.49159174915671</v>
      </c>
      <c r="Y24" s="443">
        <f t="shared" si="14"/>
        <v>220.18318781318354</v>
      </c>
      <c r="AA24" s="217">
        <f t="shared" si="15"/>
        <v>10</v>
      </c>
      <c r="AB24" s="173">
        <f t="shared" si="16"/>
        <v>7.7180150491078416</v>
      </c>
      <c r="AC24" s="173">
        <f t="shared" si="17"/>
        <v>4.1095185386172002</v>
      </c>
      <c r="AD24" s="173"/>
      <c r="AE24" s="173">
        <f t="shared" si="18"/>
        <v>7.7180150491078416</v>
      </c>
      <c r="AF24" s="545">
        <f t="shared" si="100"/>
        <v>49.235457249325499</v>
      </c>
      <c r="AG24" s="528">
        <f t="shared" si="19"/>
        <v>4.1095185386172002</v>
      </c>
      <c r="AI24" s="173">
        <f t="shared" si="20"/>
        <v>3.7506364126381651</v>
      </c>
      <c r="AJ24" s="173">
        <f t="shared" si="21"/>
        <v>10</v>
      </c>
      <c r="AK24" s="173">
        <f t="shared" si="22"/>
        <v>1.0281345469996146</v>
      </c>
      <c r="AM24" s="545">
        <f t="shared" si="23"/>
        <v>1900</v>
      </c>
      <c r="AN24" s="460">
        <f t="shared" si="24"/>
        <v>49.235457249325499</v>
      </c>
      <c r="AP24">
        <f t="shared" si="25"/>
        <v>1900</v>
      </c>
      <c r="AQ24" s="460">
        <f t="shared" si="26"/>
        <v>49.235457249325499</v>
      </c>
      <c r="AR24" s="460"/>
      <c r="AS24" s="5">
        <f t="shared" si="101"/>
        <v>20.310565918704846</v>
      </c>
      <c r="AT24" s="5">
        <f t="shared" si="27"/>
        <v>1.6723976921677532</v>
      </c>
      <c r="AU24" s="5">
        <f t="shared" si="102"/>
        <v>18.638168226537093</v>
      </c>
      <c r="AV24" s="5">
        <f t="shared" si="28"/>
        <v>7.7180150491078416</v>
      </c>
      <c r="AW24" s="173">
        <f t="shared" si="103"/>
        <v>8.2341265076596046E-2</v>
      </c>
      <c r="AX24" s="173">
        <f t="shared" si="29"/>
        <v>29.541274349595305</v>
      </c>
      <c r="AY24" s="173">
        <f t="shared" si="30"/>
        <v>4.5882936746170202</v>
      </c>
      <c r="AZ24" s="173">
        <f t="shared" si="104"/>
        <v>6.4384009491417489</v>
      </c>
      <c r="BA24" s="460">
        <f t="shared" si="31"/>
        <v>21.183704100791541</v>
      </c>
      <c r="BB24" s="5">
        <f t="shared" si="32"/>
        <v>2.0563825036027938</v>
      </c>
      <c r="BC24" s="5"/>
      <c r="BD24" s="173">
        <f t="shared" si="105"/>
        <v>1.6567162810471003</v>
      </c>
      <c r="BE24" s="173">
        <f t="shared" si="33"/>
        <v>5.5306983733925321</v>
      </c>
      <c r="BF24" s="173"/>
      <c r="BG24" s="528">
        <f t="shared" si="34"/>
        <v>5.4894176717730697E-2</v>
      </c>
      <c r="BH24" s="528">
        <f t="shared" si="35"/>
        <v>0.80821270085899577</v>
      </c>
      <c r="BI24" s="528">
        <f t="shared" si="36"/>
        <v>8.8320124118636073E-2</v>
      </c>
      <c r="BJ24" s="528">
        <f t="shared" si="37"/>
        <v>3.7737299819344185E-2</v>
      </c>
      <c r="BK24">
        <f t="shared" si="38"/>
        <v>3.2288970651475533E-2</v>
      </c>
      <c r="BL24" s="460">
        <f t="shared" si="106"/>
        <v>120.60909477011161</v>
      </c>
      <c r="BM24" s="528">
        <f t="shared" si="39"/>
        <v>0.92776632808886639</v>
      </c>
      <c r="BN24" s="460">
        <f t="shared" si="107"/>
        <v>927.76632808886643</v>
      </c>
      <c r="BO24" s="528">
        <f t="shared" si="108"/>
        <v>1.1803749999999997</v>
      </c>
      <c r="BP24" s="528"/>
      <c r="BR24" s="460">
        <f t="shared" si="109"/>
        <v>1180.3749999999998</v>
      </c>
      <c r="BS24" s="528">
        <f t="shared" si="40"/>
        <v>8.2341265076596046E-2</v>
      </c>
      <c r="BT24" s="528">
        <f t="shared" si="41"/>
        <v>0.917658734923404</v>
      </c>
      <c r="BU24" s="528">
        <f t="shared" si="42"/>
        <v>0.42749999999999999</v>
      </c>
      <c r="BV24" s="528">
        <f t="shared" si="43"/>
        <v>1.8125</v>
      </c>
      <c r="BW24" s="528">
        <f t="shared" si="44"/>
        <v>4.9235457249325503E-3</v>
      </c>
      <c r="BX24" s="460">
        <f t="shared" si="110"/>
        <v>1817.4235457249326</v>
      </c>
      <c r="BY24" s="173">
        <f t="shared" si="45"/>
        <v>4.0461739685839104</v>
      </c>
      <c r="BZ24" s="5">
        <f t="shared" si="111"/>
        <v>28.5</v>
      </c>
      <c r="CA24" s="173">
        <f t="shared" si="112"/>
        <v>0.87567896698120062</v>
      </c>
      <c r="CB24" s="5">
        <f t="shared" si="113"/>
        <v>87.567896698120066</v>
      </c>
      <c r="CE24" s="562">
        <f t="shared" si="46"/>
        <v>-50</v>
      </c>
      <c r="CF24">
        <f t="shared" si="47"/>
        <v>-50</v>
      </c>
      <c r="CG24" s="173">
        <f t="shared" si="48"/>
        <v>0.38503333189045674</v>
      </c>
      <c r="CI24" s="170">
        <v>19</v>
      </c>
      <c r="CJ24" s="217">
        <f t="shared" si="114"/>
        <v>1.9</v>
      </c>
      <c r="CK24" s="217"/>
      <c r="CL24" s="217">
        <f t="shared" si="49"/>
        <v>28.5</v>
      </c>
      <c r="CM24" s="541">
        <f t="shared" si="50"/>
        <v>72</v>
      </c>
      <c r="CN24" s="172">
        <f t="shared" si="51"/>
        <v>15.4</v>
      </c>
      <c r="CO24" s="443">
        <f t="shared" si="52"/>
        <v>87.4</v>
      </c>
      <c r="CP24" s="443"/>
      <c r="CQ24" s="217">
        <f t="shared" si="53"/>
        <v>0.17620137299771166</v>
      </c>
      <c r="CR24" s="172">
        <f t="shared" si="54"/>
        <v>318.30425629290613</v>
      </c>
      <c r="CS24" s="172">
        <f t="shared" si="115"/>
        <v>28.5</v>
      </c>
      <c r="CT24" s="217">
        <f t="shared" si="55"/>
        <v>21.220283752860407</v>
      </c>
      <c r="CU24" s="217">
        <f t="shared" si="56"/>
        <v>15</v>
      </c>
      <c r="CV24" s="217">
        <f t="shared" si="57"/>
        <v>21.144164759725399</v>
      </c>
      <c r="CW24" s="172">
        <f t="shared" si="58"/>
        <v>875.40130522376523</v>
      </c>
      <c r="CX24" s="172">
        <f t="shared" si="59"/>
        <v>15</v>
      </c>
      <c r="CY24" s="217">
        <f t="shared" si="60"/>
        <v>4.4929653679653683</v>
      </c>
      <c r="CZ24" s="217">
        <f t="shared" si="61"/>
        <v>0.74882756132756145</v>
      </c>
      <c r="DA24" s="217">
        <f t="shared" si="62"/>
        <v>3.5010119750379496</v>
      </c>
      <c r="DB24" s="197">
        <f t="shared" si="63"/>
        <v>105.72082379862701</v>
      </c>
      <c r="DC24" s="443">
        <f t="shared" si="116"/>
        <v>235.30300178232289</v>
      </c>
      <c r="DE24" s="217">
        <f t="shared" si="64"/>
        <v>9.9999999999999982</v>
      </c>
      <c r="DF24" s="173">
        <f t="shared" si="65"/>
        <v>7.7922077922077895</v>
      </c>
      <c r="DG24" s="173">
        <f t="shared" si="66"/>
        <v>4.118993135011439</v>
      </c>
      <c r="DH24" s="173"/>
      <c r="DI24" s="173">
        <f t="shared" si="67"/>
        <v>7.7922077922077913</v>
      </c>
      <c r="DJ24" s="545">
        <f t="shared" si="117"/>
        <v>48.766666666666666</v>
      </c>
      <c r="DK24" s="528">
        <f t="shared" si="68"/>
        <v>4.1189931350114417</v>
      </c>
      <c r="DM24" s="173">
        <f t="shared" si="69"/>
        <v>3.7327380477785117</v>
      </c>
      <c r="DN24" s="173">
        <f t="shared" si="70"/>
        <v>10</v>
      </c>
      <c r="DO24" s="173">
        <f t="shared" si="71"/>
        <v>1.0278666666666667</v>
      </c>
      <c r="DQ24" s="545">
        <f t="shared" si="72"/>
        <v>1900</v>
      </c>
      <c r="DR24" s="460">
        <f t="shared" si="73"/>
        <v>48.766666666666666</v>
      </c>
      <c r="DT24">
        <f t="shared" si="74"/>
        <v>1900</v>
      </c>
      <c r="DU24" s="460">
        <f t="shared" si="75"/>
        <v>48.766666666666666</v>
      </c>
      <c r="DV24" s="460"/>
      <c r="DW24" s="5">
        <f t="shared" si="118"/>
        <v>20.505809979494192</v>
      </c>
      <c r="DX24" s="5">
        <f t="shared" si="76"/>
        <v>1.6666666666666667</v>
      </c>
      <c r="DY24" s="5">
        <f t="shared" si="119"/>
        <v>18.839143312827524</v>
      </c>
      <c r="DZ24" s="5">
        <f t="shared" si="77"/>
        <v>7.7922077922077913</v>
      </c>
      <c r="EA24" s="173">
        <f t="shared" si="120"/>
        <v>8.1277777777777768E-2</v>
      </c>
      <c r="EB24" s="173">
        <f t="shared" si="78"/>
        <v>29.26</v>
      </c>
      <c r="EC24" s="173">
        <f t="shared" si="79"/>
        <v>4.5936111111111106</v>
      </c>
      <c r="ED24" s="173">
        <f t="shared" si="121"/>
        <v>6.369716393541756</v>
      </c>
      <c r="EE24" s="460">
        <f t="shared" si="80"/>
        <v>21.111111111111111</v>
      </c>
      <c r="EF24" s="5">
        <f t="shared" si="81"/>
        <v>2.0714335818502483</v>
      </c>
      <c r="EG24" s="5"/>
      <c r="EH24" s="173">
        <f t="shared" si="122"/>
        <v>1.6459827639617794</v>
      </c>
      <c r="EI24" s="173">
        <f t="shared" si="82"/>
        <v>5.5339022465231604</v>
      </c>
      <c r="EJ24" s="173"/>
      <c r="EK24" s="528">
        <f t="shared" si="83"/>
        <v>5.4185185185185177E-2</v>
      </c>
      <c r="EL24" s="528">
        <f t="shared" si="84"/>
        <v>0.85244133333333327</v>
      </c>
      <c r="EM24" s="528">
        <f t="shared" si="85"/>
        <v>6.0958333333333324E-3</v>
      </c>
      <c r="EN24" s="528">
        <f t="shared" si="86"/>
        <v>3.7251686266666674E-2</v>
      </c>
      <c r="EO24">
        <f t="shared" si="87"/>
        <v>3.2399999999999998E-2</v>
      </c>
      <c r="EP24" s="460">
        <f t="shared" si="123"/>
        <v>38.49583333333333</v>
      </c>
      <c r="EQ24" s="528">
        <f t="shared" si="88"/>
        <v>1.0100072757899483</v>
      </c>
      <c r="ER24" s="460">
        <f t="shared" si="124"/>
        <v>1010.0072757899483</v>
      </c>
      <c r="ES24" s="528">
        <f t="shared" si="125"/>
        <v>1.1803749999999997</v>
      </c>
      <c r="ET24" s="528"/>
      <c r="EV24" s="460">
        <f t="shared" si="126"/>
        <v>1180.3749999999998</v>
      </c>
      <c r="EW24" s="528">
        <f t="shared" si="89"/>
        <v>8.1277777777777768E-2</v>
      </c>
      <c r="EX24" s="528">
        <f t="shared" si="90"/>
        <v>0.91872222222222233</v>
      </c>
      <c r="EY24" s="528">
        <f t="shared" si="91"/>
        <v>0.2625896974784947</v>
      </c>
      <c r="EZ24" s="528">
        <f t="shared" si="92"/>
        <v>1.6332496711722768</v>
      </c>
      <c r="FA24" s="528">
        <f t="shared" si="93"/>
        <v>4.8766666666666672E-3</v>
      </c>
      <c r="FB24" s="460">
        <f t="shared" si="127"/>
        <v>1638.1263378389435</v>
      </c>
      <c r="FC24" s="173">
        <f t="shared" si="128"/>
        <v>3.8285086136288915</v>
      </c>
      <c r="FD24" s="5">
        <f t="shared" si="129"/>
        <v>28.5</v>
      </c>
      <c r="FE24" s="173">
        <f t="shared" si="130"/>
        <v>0.88157484592361035</v>
      </c>
      <c r="FF24" s="5">
        <f t="shared" si="131"/>
        <v>88.15748459236103</v>
      </c>
      <c r="FI24" s="562">
        <f t="shared" si="94"/>
        <v>-50</v>
      </c>
      <c r="FJ24">
        <f t="shared" si="95"/>
        <v>-50</v>
      </c>
      <c r="FL24">
        <f t="shared" si="96"/>
        <v>0.38</v>
      </c>
    </row>
    <row r="25" spans="5:168">
      <c r="E25" s="170">
        <v>20</v>
      </c>
      <c r="F25" s="217">
        <f t="shared" si="97"/>
        <v>2</v>
      </c>
      <c r="G25" s="217"/>
      <c r="H25" s="217">
        <f t="shared" si="0"/>
        <v>30</v>
      </c>
      <c r="I25" s="541">
        <f t="shared" si="1"/>
        <v>71.753268114390082</v>
      </c>
      <c r="J25" s="172">
        <f t="shared" si="2"/>
        <v>15.548039131365949</v>
      </c>
      <c r="K25" s="172">
        <f t="shared" si="3"/>
        <v>87.548039131365954</v>
      </c>
      <c r="L25" s="443"/>
      <c r="M25" s="217">
        <f t="shared" si="4"/>
        <v>0.17811475258435275</v>
      </c>
      <c r="N25" s="172">
        <f t="shared" si="5"/>
        <v>320.65811833659114</v>
      </c>
      <c r="O25" s="172">
        <f t="shared" si="98"/>
        <v>30</v>
      </c>
      <c r="P25" s="217">
        <f t="shared" si="6"/>
        <v>21.377207889106078</v>
      </c>
      <c r="Q25" s="217">
        <f t="shared" si="7"/>
        <v>15</v>
      </c>
      <c r="R25" s="217">
        <f t="shared" si="8"/>
        <v>21.300525995522193</v>
      </c>
      <c r="S25" s="172">
        <f t="shared" si="9"/>
        <v>825.19734760746064</v>
      </c>
      <c r="T25" s="172">
        <f t="shared" si="10"/>
        <v>15</v>
      </c>
      <c r="U25" s="217">
        <f t="shared" si="99"/>
        <v>4.8668594704402848</v>
      </c>
      <c r="V25" s="217">
        <f t="shared" si="11"/>
        <v>0.81393245464691055</v>
      </c>
      <c r="W25" s="217">
        <f t="shared" si="12"/>
        <v>3.7562494634751138</v>
      </c>
      <c r="X25" s="197">
        <f t="shared" si="13"/>
        <v>106.49159174915671</v>
      </c>
      <c r="Y25" s="443">
        <f t="shared" si="14"/>
        <v>209.63561079316037</v>
      </c>
      <c r="AA25" s="217">
        <f t="shared" si="15"/>
        <v>10</v>
      </c>
      <c r="AB25" s="173">
        <f t="shared" si="16"/>
        <v>7.7180150491078416</v>
      </c>
      <c r="AC25" s="173">
        <f t="shared" si="17"/>
        <v>4.1095185386172002</v>
      </c>
      <c r="AD25" s="173"/>
      <c r="AE25" s="173">
        <f t="shared" si="18"/>
        <v>7.7180150491078416</v>
      </c>
      <c r="AF25" s="545">
        <f t="shared" si="100"/>
        <v>51.826797104553151</v>
      </c>
      <c r="AG25" s="528">
        <f t="shared" si="19"/>
        <v>4.1095185386172002</v>
      </c>
      <c r="AI25" s="173">
        <f t="shared" si="20"/>
        <v>3.8480717659090788</v>
      </c>
      <c r="AJ25" s="173">
        <f t="shared" si="21"/>
        <v>10</v>
      </c>
      <c r="AK25" s="173">
        <f t="shared" si="22"/>
        <v>1.0296153126311731</v>
      </c>
      <c r="AM25" s="545">
        <f t="shared" si="23"/>
        <v>2000</v>
      </c>
      <c r="AN25" s="460">
        <f t="shared" si="24"/>
        <v>51.826797104553151</v>
      </c>
      <c r="AP25">
        <f t="shared" si="25"/>
        <v>2000</v>
      </c>
      <c r="AQ25" s="460">
        <f t="shared" si="26"/>
        <v>51.826797104553151</v>
      </c>
      <c r="AR25" s="460"/>
      <c r="AS25" s="5">
        <f t="shared" si="101"/>
        <v>19.295037622769609</v>
      </c>
      <c r="AT25" s="5">
        <f t="shared" si="27"/>
        <v>1.6723976921677532</v>
      </c>
      <c r="AU25" s="5">
        <f t="shared" si="102"/>
        <v>17.622639930601856</v>
      </c>
      <c r="AV25" s="5">
        <f t="shared" si="28"/>
        <v>7.7180150491078416</v>
      </c>
      <c r="AW25" s="173">
        <f t="shared" si="103"/>
        <v>8.6675015870101083E-2</v>
      </c>
      <c r="AX25" s="173">
        <f t="shared" si="29"/>
        <v>31.096078262731893</v>
      </c>
      <c r="AY25" s="173">
        <f t="shared" si="30"/>
        <v>4.5666249206494944</v>
      </c>
      <c r="AZ25" s="173">
        <f t="shared" si="104"/>
        <v>6.8094224516055091</v>
      </c>
      <c r="BA25" s="460">
        <f t="shared" si="31"/>
        <v>22.298635895570044</v>
      </c>
      <c r="BB25" s="5">
        <f t="shared" si="32"/>
        <v>2.0466709965167942</v>
      </c>
      <c r="BC25" s="5"/>
      <c r="BD25" s="173">
        <f t="shared" si="105"/>
        <v>1.699755039901349</v>
      </c>
      <c r="BE25" s="173">
        <f t="shared" si="33"/>
        <v>5.517623232666697</v>
      </c>
      <c r="BF25" s="173"/>
      <c r="BG25" s="528">
        <f t="shared" si="34"/>
        <v>5.7783343913400731E-2</v>
      </c>
      <c r="BH25" s="528">
        <f t="shared" si="35"/>
        <v>0.85075021143052176</v>
      </c>
      <c r="BI25" s="528">
        <f t="shared" si="36"/>
        <v>9.2968551703827437E-2</v>
      </c>
      <c r="BJ25" s="528">
        <f t="shared" si="37"/>
        <v>3.97234734940465E-2</v>
      </c>
      <c r="BK25">
        <f t="shared" si="38"/>
        <v>3.2288970651475533E-2</v>
      </c>
      <c r="BL25" s="460">
        <f t="shared" si="106"/>
        <v>125.25752235530297</v>
      </c>
      <c r="BM25" s="528">
        <f t="shared" si="39"/>
        <v>0.97727586726119309</v>
      </c>
      <c r="BN25" s="460">
        <f t="shared" si="107"/>
        <v>977.27586726119307</v>
      </c>
      <c r="BO25" s="528">
        <f t="shared" si="108"/>
        <v>1.2424999999999999</v>
      </c>
      <c r="BP25" s="528"/>
      <c r="BR25" s="460">
        <f t="shared" si="109"/>
        <v>1242.5</v>
      </c>
      <c r="BS25" s="528">
        <f t="shared" si="40"/>
        <v>8.6675015870101096E-2</v>
      </c>
      <c r="BT25" s="528">
        <f t="shared" si="41"/>
        <v>0.91332498412989871</v>
      </c>
      <c r="BU25" s="528">
        <f t="shared" si="42"/>
        <v>0.44999999999999996</v>
      </c>
      <c r="BV25" s="528">
        <f t="shared" si="43"/>
        <v>1.8369565217391302</v>
      </c>
      <c r="BW25" s="528">
        <f t="shared" si="44"/>
        <v>5.182679710455316E-3</v>
      </c>
      <c r="BX25" s="460">
        <f t="shared" si="110"/>
        <v>1842.1392014495855</v>
      </c>
      <c r="BY25" s="173">
        <f t="shared" si="45"/>
        <v>4.1871725910660818</v>
      </c>
      <c r="BZ25" s="5">
        <f t="shared" si="111"/>
        <v>30</v>
      </c>
      <c r="CA25" s="173">
        <f t="shared" si="112"/>
        <v>0.87752211505901812</v>
      </c>
      <c r="CB25" s="5">
        <f t="shared" si="113"/>
        <v>87.752211505901812</v>
      </c>
      <c r="CE25" s="562">
        <f t="shared" si="46"/>
        <v>-50</v>
      </c>
      <c r="CF25">
        <f t="shared" si="47"/>
        <v>-50</v>
      </c>
      <c r="CG25" s="173">
        <f t="shared" si="48"/>
        <v>0.4052982440952177</v>
      </c>
      <c r="CI25" s="170">
        <v>20</v>
      </c>
      <c r="CJ25" s="217">
        <f t="shared" si="114"/>
        <v>2</v>
      </c>
      <c r="CK25" s="217"/>
      <c r="CL25" s="217">
        <f t="shared" si="49"/>
        <v>30</v>
      </c>
      <c r="CM25" s="541">
        <f t="shared" si="50"/>
        <v>72</v>
      </c>
      <c r="CN25" s="172">
        <f t="shared" si="51"/>
        <v>15.4</v>
      </c>
      <c r="CO25" s="443">
        <f t="shared" si="52"/>
        <v>87.4</v>
      </c>
      <c r="CP25" s="443"/>
      <c r="CQ25" s="217">
        <f t="shared" si="53"/>
        <v>0.17620137299771166</v>
      </c>
      <c r="CR25" s="172">
        <f t="shared" si="54"/>
        <v>318.30425629290613</v>
      </c>
      <c r="CS25" s="172">
        <f t="shared" si="115"/>
        <v>30</v>
      </c>
      <c r="CT25" s="217">
        <f t="shared" si="55"/>
        <v>21.220283752860407</v>
      </c>
      <c r="CU25" s="217">
        <f t="shared" si="56"/>
        <v>15</v>
      </c>
      <c r="CV25" s="217">
        <f t="shared" si="57"/>
        <v>21.144164759725399</v>
      </c>
      <c r="CW25" s="172">
        <f t="shared" si="58"/>
        <v>828.03476435470748</v>
      </c>
      <c r="CX25" s="172">
        <f t="shared" si="59"/>
        <v>15</v>
      </c>
      <c r="CY25" s="217">
        <f t="shared" si="60"/>
        <v>4.72943722943723</v>
      </c>
      <c r="CZ25" s="217">
        <f t="shared" si="61"/>
        <v>0.78823953823953841</v>
      </c>
      <c r="DA25" s="217">
        <f t="shared" si="62"/>
        <v>3.6852757631978412</v>
      </c>
      <c r="DB25" s="197">
        <f t="shared" si="63"/>
        <v>105.72082379862701</v>
      </c>
      <c r="DC25" s="443">
        <f t="shared" si="116"/>
        <v>223.53785169320673</v>
      </c>
      <c r="DE25" s="217">
        <f t="shared" si="64"/>
        <v>9.9999999999999982</v>
      </c>
      <c r="DF25" s="173">
        <f t="shared" si="65"/>
        <v>7.7922077922077895</v>
      </c>
      <c r="DG25" s="173">
        <f t="shared" si="66"/>
        <v>4.118993135011439</v>
      </c>
      <c r="DH25" s="173"/>
      <c r="DI25" s="173">
        <f t="shared" si="67"/>
        <v>7.7922077922077913</v>
      </c>
      <c r="DJ25" s="545">
        <f t="shared" si="117"/>
        <v>51.333333333333336</v>
      </c>
      <c r="DK25" s="528">
        <f t="shared" si="68"/>
        <v>4.1189931350114417</v>
      </c>
      <c r="DM25" s="173">
        <f t="shared" si="69"/>
        <v>3.8297084310253524</v>
      </c>
      <c r="DN25" s="173">
        <f t="shared" si="70"/>
        <v>10</v>
      </c>
      <c r="DO25" s="173">
        <f t="shared" si="71"/>
        <v>1.0293333333333334</v>
      </c>
      <c r="DQ25" s="545">
        <f t="shared" si="72"/>
        <v>2000</v>
      </c>
      <c r="DR25" s="460">
        <f t="shared" si="73"/>
        <v>51.333333333333336</v>
      </c>
      <c r="DT25">
        <f t="shared" si="74"/>
        <v>2000</v>
      </c>
      <c r="DU25" s="460">
        <f t="shared" si="75"/>
        <v>51.333333333333336</v>
      </c>
      <c r="DV25" s="460"/>
      <c r="DW25" s="5">
        <f t="shared" si="118"/>
        <v>19.480519480519479</v>
      </c>
      <c r="DX25" s="5">
        <f t="shared" si="76"/>
        <v>1.6666666666666667</v>
      </c>
      <c r="DY25" s="5">
        <f t="shared" si="119"/>
        <v>17.813852813852812</v>
      </c>
      <c r="DZ25" s="5">
        <f t="shared" si="77"/>
        <v>7.7922077922077913</v>
      </c>
      <c r="EA25" s="173">
        <f t="shared" si="120"/>
        <v>8.5555555555555565E-2</v>
      </c>
      <c r="EB25" s="173">
        <f t="shared" si="78"/>
        <v>30.800000000000004</v>
      </c>
      <c r="EC25" s="173">
        <f t="shared" si="79"/>
        <v>4.572222222222222</v>
      </c>
      <c r="ED25" s="173">
        <f t="shared" si="121"/>
        <v>6.7363304981774013</v>
      </c>
      <c r="EE25" s="460">
        <f t="shared" si="80"/>
        <v>22.222222222222221</v>
      </c>
      <c r="EF25" s="5">
        <f t="shared" si="81"/>
        <v>2.0617885201218531</v>
      </c>
      <c r="EG25" s="5"/>
      <c r="EH25" s="173">
        <f t="shared" si="122"/>
        <v>1.6887426837300739</v>
      </c>
      <c r="EI25" s="173">
        <f t="shared" si="82"/>
        <v>5.5210036661354867</v>
      </c>
      <c r="EJ25" s="173"/>
      <c r="EK25" s="528">
        <f t="shared" si="83"/>
        <v>5.7037037037037046E-2</v>
      </c>
      <c r="EL25" s="528">
        <f t="shared" si="84"/>
        <v>0.8973066666666667</v>
      </c>
      <c r="EM25" s="528">
        <f t="shared" si="85"/>
        <v>6.4166666666666669E-3</v>
      </c>
      <c r="EN25" s="528">
        <f t="shared" si="86"/>
        <v>3.9212301333333345E-2</v>
      </c>
      <c r="EO25">
        <f t="shared" si="87"/>
        <v>3.2399999999999998E-2</v>
      </c>
      <c r="EP25" s="460">
        <f t="shared" si="123"/>
        <v>38.816666666666663</v>
      </c>
      <c r="EQ25" s="528">
        <f t="shared" si="88"/>
        <v>1.0621671610705314</v>
      </c>
      <c r="ER25" s="460">
        <f t="shared" si="124"/>
        <v>1062.1671610705314</v>
      </c>
      <c r="ES25" s="528">
        <f t="shared" si="125"/>
        <v>1.2424999999999999</v>
      </c>
      <c r="ET25" s="528"/>
      <c r="EV25" s="460">
        <f t="shared" si="126"/>
        <v>1242.5</v>
      </c>
      <c r="EW25" s="528">
        <f t="shared" si="89"/>
        <v>8.5555555555555565E-2</v>
      </c>
      <c r="EX25" s="528">
        <f t="shared" si="90"/>
        <v>0.9144444444444445</v>
      </c>
      <c r="EY25" s="528">
        <f t="shared" si="91"/>
        <v>0.29851672586540179</v>
      </c>
      <c r="EZ25" s="528">
        <f t="shared" si="92"/>
        <v>1.6723007889841324</v>
      </c>
      <c r="FA25" s="528">
        <f t="shared" si="93"/>
        <v>5.1333333333333335E-3</v>
      </c>
      <c r="FB25" s="460">
        <f t="shared" si="127"/>
        <v>1677.4341223174658</v>
      </c>
      <c r="FC25" s="173">
        <f t="shared" si="128"/>
        <v>3.9821012833879967</v>
      </c>
      <c r="FD25" s="5">
        <f t="shared" si="129"/>
        <v>30</v>
      </c>
      <c r="FE25" s="173">
        <f t="shared" si="130"/>
        <v>0.88281768539914773</v>
      </c>
      <c r="FF25" s="5">
        <f t="shared" si="131"/>
        <v>88.281768539914779</v>
      </c>
      <c r="FI25" s="562">
        <f t="shared" si="94"/>
        <v>-50</v>
      </c>
      <c r="FJ25">
        <f t="shared" si="95"/>
        <v>-50</v>
      </c>
      <c r="FL25">
        <f t="shared" si="96"/>
        <v>0.4</v>
      </c>
    </row>
    <row r="26" spans="5:168">
      <c r="E26" s="170">
        <v>21</v>
      </c>
      <c r="F26" s="217">
        <f t="shared" si="97"/>
        <v>2.1</v>
      </c>
      <c r="G26" s="217"/>
      <c r="H26" s="217">
        <f t="shared" si="0"/>
        <v>31.5</v>
      </c>
      <c r="I26" s="541">
        <f t="shared" si="1"/>
        <v>71.753268114390082</v>
      </c>
      <c r="J26" s="172">
        <f t="shared" si="2"/>
        <v>15.548039131365949</v>
      </c>
      <c r="K26" s="172">
        <f t="shared" si="3"/>
        <v>87.548039131365954</v>
      </c>
      <c r="L26" s="443"/>
      <c r="M26" s="217">
        <f t="shared" si="4"/>
        <v>0.17811475258435275</v>
      </c>
      <c r="N26" s="172">
        <f t="shared" si="5"/>
        <v>320.65811833659114</v>
      </c>
      <c r="O26" s="172">
        <f t="shared" si="98"/>
        <v>31.5</v>
      </c>
      <c r="P26" s="217">
        <f t="shared" si="6"/>
        <v>21.377207889106078</v>
      </c>
      <c r="Q26" s="217">
        <f t="shared" si="7"/>
        <v>15</v>
      </c>
      <c r="R26" s="217">
        <f t="shared" si="8"/>
        <v>21.300525995522193</v>
      </c>
      <c r="S26" s="172">
        <f t="shared" si="9"/>
        <v>782.48896543951537</v>
      </c>
      <c r="T26" s="172">
        <f t="shared" si="10"/>
        <v>15</v>
      </c>
      <c r="U26" s="217">
        <f t="shared" si="99"/>
        <v>5.1102024439622991</v>
      </c>
      <c r="V26" s="217">
        <f t="shared" si="11"/>
        <v>0.85462907737925597</v>
      </c>
      <c r="W26" s="217">
        <f t="shared" si="12"/>
        <v>3.9440619366488696</v>
      </c>
      <c r="X26" s="197">
        <f t="shared" si="13"/>
        <v>106.49159174915671</v>
      </c>
      <c r="Y26" s="443">
        <f t="shared" si="14"/>
        <v>200.0523731500187</v>
      </c>
      <c r="AA26" s="217">
        <f t="shared" si="15"/>
        <v>10</v>
      </c>
      <c r="AB26" s="173">
        <f t="shared" si="16"/>
        <v>7.7180150491078416</v>
      </c>
      <c r="AC26" s="173">
        <f t="shared" si="17"/>
        <v>4.1095185386172002</v>
      </c>
      <c r="AD26" s="173"/>
      <c r="AE26" s="173">
        <f t="shared" si="18"/>
        <v>7.7180150491078416</v>
      </c>
      <c r="AF26" s="545">
        <f t="shared" si="100"/>
        <v>54.418136959780817</v>
      </c>
      <c r="AG26" s="528">
        <f t="shared" si="19"/>
        <v>4.1095185386172002</v>
      </c>
      <c r="AI26" s="173">
        <f t="shared" si="20"/>
        <v>3.9431001929149541</v>
      </c>
      <c r="AJ26" s="173">
        <f t="shared" si="21"/>
        <v>10</v>
      </c>
      <c r="AK26" s="173">
        <f t="shared" si="22"/>
        <v>1.0310960782627319</v>
      </c>
      <c r="AM26" s="545">
        <f t="shared" si="23"/>
        <v>2100</v>
      </c>
      <c r="AN26" s="460">
        <f t="shared" si="24"/>
        <v>54.418136959780817</v>
      </c>
      <c r="AP26">
        <f t="shared" si="25"/>
        <v>2100</v>
      </c>
      <c r="AQ26" s="460">
        <f t="shared" si="26"/>
        <v>54.418136959780817</v>
      </c>
      <c r="AR26" s="460"/>
      <c r="AS26" s="5">
        <f t="shared" si="101"/>
        <v>18.376226307399623</v>
      </c>
      <c r="AT26" s="5">
        <f t="shared" si="27"/>
        <v>1.6723976921677532</v>
      </c>
      <c r="AU26" s="5">
        <f t="shared" si="102"/>
        <v>16.70382861523187</v>
      </c>
      <c r="AV26" s="5">
        <f t="shared" si="28"/>
        <v>7.7180150491078416</v>
      </c>
      <c r="AW26" s="173">
        <f t="shared" si="103"/>
        <v>9.1008766663606161E-2</v>
      </c>
      <c r="AX26" s="173">
        <f t="shared" si="29"/>
        <v>32.650882175868496</v>
      </c>
      <c r="AY26" s="173">
        <f t="shared" si="30"/>
        <v>4.5449561666819696</v>
      </c>
      <c r="AZ26" s="173">
        <f t="shared" si="104"/>
        <v>7.1839817543730389</v>
      </c>
      <c r="BA26" s="460">
        <f t="shared" si="31"/>
        <v>23.413567690348547</v>
      </c>
      <c r="BB26" s="5">
        <f t="shared" si="32"/>
        <v>2.0369594894307936</v>
      </c>
      <c r="BC26" s="5"/>
      <c r="BD26" s="173">
        <f t="shared" si="105"/>
        <v>1.7417306208060817</v>
      </c>
      <c r="BE26" s="173">
        <f t="shared" si="33"/>
        <v>5.5045170340257643</v>
      </c>
      <c r="BF26" s="173"/>
      <c r="BG26" s="528">
        <f t="shared" si="34"/>
        <v>6.0672511109070772E-2</v>
      </c>
      <c r="BH26" s="528">
        <f t="shared" si="35"/>
        <v>0.89328772200204798</v>
      </c>
      <c r="BI26" s="528">
        <f t="shared" si="36"/>
        <v>9.7616979289018829E-2</v>
      </c>
      <c r="BJ26" s="528">
        <f t="shared" si="37"/>
        <v>4.170964716874883E-2</v>
      </c>
      <c r="BK26">
        <f t="shared" si="38"/>
        <v>3.2288970651475533E-2</v>
      </c>
      <c r="BL26" s="460">
        <f t="shared" si="106"/>
        <v>129.90594994049437</v>
      </c>
      <c r="BM26" s="528">
        <f t="shared" si="39"/>
        <v>1.0268543738969773</v>
      </c>
      <c r="BN26" s="460">
        <f t="shared" si="107"/>
        <v>1026.8543738969772</v>
      </c>
      <c r="BO26" s="528">
        <f t="shared" si="108"/>
        <v>1.3046249999999999</v>
      </c>
      <c r="BP26" s="528"/>
      <c r="BR26" s="460">
        <f t="shared" si="109"/>
        <v>1304.625</v>
      </c>
      <c r="BS26" s="528">
        <f t="shared" si="40"/>
        <v>9.1008766663606147E-2</v>
      </c>
      <c r="BT26" s="528">
        <f t="shared" si="41"/>
        <v>0.90899123333639387</v>
      </c>
      <c r="BU26" s="528">
        <f t="shared" si="42"/>
        <v>0.47249999999999998</v>
      </c>
      <c r="BV26" s="528">
        <f t="shared" si="43"/>
        <v>1.8614130434782608</v>
      </c>
      <c r="BW26" s="528">
        <f t="shared" si="44"/>
        <v>5.4418136959780818E-3</v>
      </c>
      <c r="BX26" s="460">
        <f t="shared" si="110"/>
        <v>1866.854857174239</v>
      </c>
      <c r="BY26" s="173">
        <f t="shared" si="45"/>
        <v>4.3282401810117115</v>
      </c>
      <c r="BZ26" s="5">
        <f t="shared" si="111"/>
        <v>31.5</v>
      </c>
      <c r="CA26" s="173">
        <f t="shared" si="112"/>
        <v>0.87919473133080106</v>
      </c>
      <c r="CB26" s="5">
        <f t="shared" si="113"/>
        <v>87.919473133080103</v>
      </c>
      <c r="CE26" s="562">
        <f t="shared" si="46"/>
        <v>-50</v>
      </c>
      <c r="CF26">
        <f t="shared" si="47"/>
        <v>-50</v>
      </c>
      <c r="CG26" s="173">
        <f t="shared" si="48"/>
        <v>0.42556315629997865</v>
      </c>
      <c r="CI26" s="170">
        <v>21</v>
      </c>
      <c r="CJ26" s="217">
        <f t="shared" si="114"/>
        <v>2.1</v>
      </c>
      <c r="CK26" s="217"/>
      <c r="CL26" s="217">
        <f t="shared" si="49"/>
        <v>31.5</v>
      </c>
      <c r="CM26" s="541">
        <f t="shared" si="50"/>
        <v>72</v>
      </c>
      <c r="CN26" s="172">
        <f t="shared" si="51"/>
        <v>15.4</v>
      </c>
      <c r="CO26" s="443">
        <f t="shared" si="52"/>
        <v>87.4</v>
      </c>
      <c r="CP26" s="443"/>
      <c r="CQ26" s="217">
        <f t="shared" si="53"/>
        <v>0.17620137299771166</v>
      </c>
      <c r="CR26" s="172">
        <f t="shared" si="54"/>
        <v>318.30425629290613</v>
      </c>
      <c r="CS26" s="172">
        <f t="shared" si="115"/>
        <v>31.5</v>
      </c>
      <c r="CT26" s="217">
        <f t="shared" si="55"/>
        <v>21.220283752860407</v>
      </c>
      <c r="CU26" s="217">
        <f t="shared" si="56"/>
        <v>15</v>
      </c>
      <c r="CV26" s="217">
        <f t="shared" si="57"/>
        <v>21.144164759725399</v>
      </c>
      <c r="CW26" s="172">
        <f t="shared" si="58"/>
        <v>785.1795179764722</v>
      </c>
      <c r="CX26" s="172">
        <f t="shared" si="59"/>
        <v>15</v>
      </c>
      <c r="CY26" s="217">
        <f t="shared" si="60"/>
        <v>4.9659090909090908</v>
      </c>
      <c r="CZ26" s="217">
        <f t="shared" si="61"/>
        <v>0.82765151515151514</v>
      </c>
      <c r="DA26" s="217">
        <f t="shared" si="62"/>
        <v>3.8695395513577333</v>
      </c>
      <c r="DB26" s="197">
        <f t="shared" si="63"/>
        <v>105.72082379862701</v>
      </c>
      <c r="DC26" s="443">
        <f t="shared" si="116"/>
        <v>212.89319208876836</v>
      </c>
      <c r="DE26" s="217">
        <f t="shared" si="64"/>
        <v>9.9999999999999982</v>
      </c>
      <c r="DF26" s="173">
        <f t="shared" si="65"/>
        <v>7.7922077922077895</v>
      </c>
      <c r="DG26" s="173">
        <f t="shared" si="66"/>
        <v>4.118993135011439</v>
      </c>
      <c r="DH26" s="173"/>
      <c r="DI26" s="173">
        <f t="shared" si="67"/>
        <v>7.7922077922077913</v>
      </c>
      <c r="DJ26" s="545">
        <f t="shared" si="117"/>
        <v>53.900000000000006</v>
      </c>
      <c r="DK26" s="528">
        <f t="shared" si="68"/>
        <v>4.1189931350114417</v>
      </c>
      <c r="DM26" s="173">
        <f t="shared" si="69"/>
        <v>3.9242833740697169</v>
      </c>
      <c r="DN26" s="173">
        <f t="shared" si="70"/>
        <v>10</v>
      </c>
      <c r="DO26" s="173">
        <f t="shared" si="71"/>
        <v>1.0307999999999999</v>
      </c>
      <c r="DQ26" s="545">
        <f t="shared" si="72"/>
        <v>2100</v>
      </c>
      <c r="DR26" s="460">
        <f t="shared" si="73"/>
        <v>53.900000000000006</v>
      </c>
      <c r="DT26">
        <f t="shared" si="74"/>
        <v>2100</v>
      </c>
      <c r="DU26" s="460">
        <f t="shared" si="75"/>
        <v>53.900000000000006</v>
      </c>
      <c r="DV26" s="460"/>
      <c r="DW26" s="5">
        <f t="shared" si="118"/>
        <v>18.552875695732837</v>
      </c>
      <c r="DX26" s="5">
        <f t="shared" si="76"/>
        <v>1.6666666666666667</v>
      </c>
      <c r="DY26" s="5">
        <f t="shared" si="119"/>
        <v>16.886209029066169</v>
      </c>
      <c r="DZ26" s="5">
        <f t="shared" si="77"/>
        <v>7.7922077922077913</v>
      </c>
      <c r="EA26" s="173">
        <f t="shared" si="120"/>
        <v>8.9833333333333348E-2</v>
      </c>
      <c r="EB26" s="173">
        <f t="shared" si="78"/>
        <v>32.340000000000011</v>
      </c>
      <c r="EC26" s="173">
        <f t="shared" si="79"/>
        <v>4.5508333333333333</v>
      </c>
      <c r="ED26" s="173">
        <f t="shared" si="121"/>
        <v>7.1063907709210792</v>
      </c>
      <c r="EE26" s="460">
        <f t="shared" si="80"/>
        <v>23.333333333333339</v>
      </c>
      <c r="EF26" s="5">
        <f t="shared" si="81"/>
        <v>2.0521434583934579</v>
      </c>
      <c r="EG26" s="5"/>
      <c r="EH26" s="173">
        <f t="shared" si="122"/>
        <v>1.7304463136556549</v>
      </c>
      <c r="EI26" s="173">
        <f t="shared" si="82"/>
        <v>5.5080748804722042</v>
      </c>
      <c r="EJ26" s="173"/>
      <c r="EK26" s="528">
        <f t="shared" si="83"/>
        <v>5.9888888888888908E-2</v>
      </c>
      <c r="EL26" s="528">
        <f t="shared" si="84"/>
        <v>0.94217200000000012</v>
      </c>
      <c r="EM26" s="528">
        <f t="shared" si="85"/>
        <v>6.7375000000000004E-3</v>
      </c>
      <c r="EN26" s="528">
        <f t="shared" si="86"/>
        <v>4.1172916400000016E-2</v>
      </c>
      <c r="EO26">
        <f t="shared" si="87"/>
        <v>3.2399999999999998E-2</v>
      </c>
      <c r="EP26" s="460">
        <f t="shared" si="123"/>
        <v>39.137499999999996</v>
      </c>
      <c r="EQ26" s="528">
        <f t="shared" si="88"/>
        <v>1.1143987537959033</v>
      </c>
      <c r="ER26" s="460">
        <f t="shared" si="124"/>
        <v>1114.3987537959033</v>
      </c>
      <c r="ES26" s="528">
        <f t="shared" si="125"/>
        <v>1.3046249999999999</v>
      </c>
      <c r="ET26" s="528"/>
      <c r="EV26" s="460">
        <f t="shared" si="126"/>
        <v>1304.625</v>
      </c>
      <c r="EW26" s="528">
        <f t="shared" si="89"/>
        <v>8.9833333333333362E-2</v>
      </c>
      <c r="EX26" s="528">
        <f t="shared" si="90"/>
        <v>0.91016666666666657</v>
      </c>
      <c r="EY26" s="528">
        <f t="shared" si="91"/>
        <v>0.33724220275159505</v>
      </c>
      <c r="EZ26" s="528">
        <f t="shared" si="92"/>
        <v>1.7143936986430379</v>
      </c>
      <c r="FA26" s="528">
        <f t="shared" si="93"/>
        <v>5.3900000000000007E-3</v>
      </c>
      <c r="FB26" s="460">
        <f t="shared" si="127"/>
        <v>1719.783698643038</v>
      </c>
      <c r="FC26" s="173">
        <f t="shared" si="128"/>
        <v>4.1388074524389413</v>
      </c>
      <c r="FD26" s="5">
        <f t="shared" si="129"/>
        <v>31.5</v>
      </c>
      <c r="FE26" s="173">
        <f t="shared" si="130"/>
        <v>0.88386795888267855</v>
      </c>
      <c r="FF26" s="5">
        <f t="shared" si="131"/>
        <v>88.386795888267855</v>
      </c>
      <c r="FI26" s="562">
        <f t="shared" si="94"/>
        <v>-50</v>
      </c>
      <c r="FJ26">
        <f t="shared" si="95"/>
        <v>-50</v>
      </c>
      <c r="FL26">
        <f t="shared" si="96"/>
        <v>0.42000000000000004</v>
      </c>
    </row>
    <row r="27" spans="5:168">
      <c r="E27" s="170">
        <v>22</v>
      </c>
      <c r="F27" s="217">
        <f t="shared" si="97"/>
        <v>2.2000000000000002</v>
      </c>
      <c r="G27" s="217"/>
      <c r="H27" s="217">
        <f t="shared" si="0"/>
        <v>33</v>
      </c>
      <c r="I27" s="541">
        <f t="shared" si="1"/>
        <v>71.753268114390082</v>
      </c>
      <c r="J27" s="172">
        <f t="shared" si="2"/>
        <v>15.548039131365949</v>
      </c>
      <c r="K27" s="172">
        <f t="shared" si="3"/>
        <v>87.548039131365954</v>
      </c>
      <c r="L27" s="443"/>
      <c r="M27" s="217">
        <f t="shared" si="4"/>
        <v>0.17811475258435275</v>
      </c>
      <c r="N27" s="172">
        <f t="shared" si="5"/>
        <v>320.65811833659114</v>
      </c>
      <c r="O27" s="172">
        <f t="shared" si="98"/>
        <v>33</v>
      </c>
      <c r="P27" s="217">
        <f t="shared" si="6"/>
        <v>21.377207889106078</v>
      </c>
      <c r="Q27" s="217">
        <f t="shared" si="7"/>
        <v>15</v>
      </c>
      <c r="R27" s="217">
        <f t="shared" si="8"/>
        <v>21.300525995522193</v>
      </c>
      <c r="S27" s="172">
        <f t="shared" si="9"/>
        <v>743.66335238131592</v>
      </c>
      <c r="T27" s="172">
        <f t="shared" si="10"/>
        <v>15</v>
      </c>
      <c r="U27" s="217">
        <f t="shared" si="99"/>
        <v>5.3535454174843133</v>
      </c>
      <c r="V27" s="217">
        <f t="shared" si="11"/>
        <v>0.89532570011160162</v>
      </c>
      <c r="W27" s="217">
        <f t="shared" si="12"/>
        <v>4.1318744098226254</v>
      </c>
      <c r="X27" s="197">
        <f t="shared" si="13"/>
        <v>106.49159174915671</v>
      </c>
      <c r="Y27" s="443">
        <f t="shared" si="14"/>
        <v>191.30700546541405</v>
      </c>
      <c r="AA27" s="217">
        <f t="shared" si="15"/>
        <v>10</v>
      </c>
      <c r="AB27" s="173">
        <f t="shared" si="16"/>
        <v>7.7180150491078416</v>
      </c>
      <c r="AC27" s="173">
        <f t="shared" si="17"/>
        <v>4.1095185386172002</v>
      </c>
      <c r="AD27" s="173"/>
      <c r="AE27" s="173">
        <f t="shared" si="18"/>
        <v>7.7180150491078416</v>
      </c>
      <c r="AF27" s="545">
        <f t="shared" si="100"/>
        <v>57.009476815008476</v>
      </c>
      <c r="AG27" s="528">
        <f t="shared" si="19"/>
        <v>4.1095185386172002</v>
      </c>
      <c r="AI27" s="173">
        <f t="shared" si="20"/>
        <v>4.0358917164791821</v>
      </c>
      <c r="AJ27" s="173">
        <f t="shared" si="21"/>
        <v>10</v>
      </c>
      <c r="AK27" s="173">
        <f t="shared" si="22"/>
        <v>1.0325768438942906</v>
      </c>
      <c r="AM27" s="545">
        <f t="shared" si="23"/>
        <v>2200</v>
      </c>
      <c r="AN27" s="460">
        <f t="shared" si="24"/>
        <v>57.009476815008476</v>
      </c>
      <c r="AP27">
        <f t="shared" si="25"/>
        <v>2200</v>
      </c>
      <c r="AQ27" s="460">
        <f t="shared" si="26"/>
        <v>57.009476815008476</v>
      </c>
      <c r="AR27" s="460"/>
      <c r="AS27" s="5">
        <f t="shared" si="101"/>
        <v>17.54094329342691</v>
      </c>
      <c r="AT27" s="5">
        <f t="shared" si="27"/>
        <v>1.6723976921677532</v>
      </c>
      <c r="AU27" s="5">
        <f t="shared" si="102"/>
        <v>15.868545601259157</v>
      </c>
      <c r="AV27" s="5">
        <f t="shared" si="28"/>
        <v>7.7180150491078416</v>
      </c>
      <c r="AW27" s="173">
        <f t="shared" si="103"/>
        <v>9.5342517457111225E-2</v>
      </c>
      <c r="AX27" s="173">
        <f t="shared" si="29"/>
        <v>34.205686089005084</v>
      </c>
      <c r="AY27" s="173">
        <f t="shared" si="30"/>
        <v>4.5232874127144438</v>
      </c>
      <c r="AZ27" s="173">
        <f t="shared" si="104"/>
        <v>7.562129700813796</v>
      </c>
      <c r="BA27" s="460">
        <f t="shared" si="31"/>
        <v>24.528499485127053</v>
      </c>
      <c r="BB27" s="5">
        <f t="shared" si="32"/>
        <v>2.0272479823447931</v>
      </c>
      <c r="BC27" s="5"/>
      <c r="BD27" s="173">
        <f t="shared" si="105"/>
        <v>1.7827181255703439</v>
      </c>
      <c r="BE27" s="173">
        <f t="shared" si="33"/>
        <v>5.491379555093264</v>
      </c>
      <c r="BF27" s="173"/>
      <c r="BG27" s="528">
        <f t="shared" si="34"/>
        <v>6.3561678304740812E-2</v>
      </c>
      <c r="BH27" s="528">
        <f t="shared" si="35"/>
        <v>0.93582523257357408</v>
      </c>
      <c r="BI27" s="528">
        <f t="shared" si="36"/>
        <v>0.10226540687421019</v>
      </c>
      <c r="BJ27" s="528">
        <f t="shared" si="37"/>
        <v>4.3695820843451159E-2</v>
      </c>
      <c r="BK27">
        <f t="shared" si="38"/>
        <v>3.2288970651475533E-2</v>
      </c>
      <c r="BL27" s="460">
        <f t="shared" si="106"/>
        <v>134.55437752568571</v>
      </c>
      <c r="BM27" s="528">
        <f t="shared" si="39"/>
        <v>1.0765019922055872</v>
      </c>
      <c r="BN27" s="460">
        <f t="shared" si="107"/>
        <v>1076.5019922055872</v>
      </c>
      <c r="BO27" s="528">
        <f t="shared" si="108"/>
        <v>1.3667499999999999</v>
      </c>
      <c r="BP27" s="528"/>
      <c r="BR27" s="460">
        <f t="shared" si="109"/>
        <v>1366.75</v>
      </c>
      <c r="BS27" s="528">
        <f t="shared" si="40"/>
        <v>9.5342517457111212E-2</v>
      </c>
      <c r="BT27" s="528">
        <f t="shared" si="41"/>
        <v>0.9046574825428888</v>
      </c>
      <c r="BU27" s="528">
        <f t="shared" si="42"/>
        <v>0.495</v>
      </c>
      <c r="BV27" s="528">
        <f t="shared" si="43"/>
        <v>1.8858695652173911</v>
      </c>
      <c r="BW27" s="528">
        <f t="shared" si="44"/>
        <v>5.7009476815008484E-3</v>
      </c>
      <c r="BX27" s="460">
        <f t="shared" si="110"/>
        <v>1891.570512898892</v>
      </c>
      <c r="BY27" s="173">
        <f>SUM(BM27,BO27:BQ27,BV27, BW27)+BK27+BI27</f>
        <v>4.4693768826301641</v>
      </c>
      <c r="BZ27" s="5">
        <f t="shared" si="111"/>
        <v>33</v>
      </c>
      <c r="CA27" s="173">
        <f t="shared" si="112"/>
        <v>0.88071920980618035</v>
      </c>
      <c r="CB27" s="5">
        <f t="shared" si="113"/>
        <v>88.071920980618032</v>
      </c>
      <c r="CE27" s="562">
        <f t="shared" si="46"/>
        <v>-50</v>
      </c>
      <c r="CF27">
        <f t="shared" si="47"/>
        <v>-50</v>
      </c>
      <c r="CG27" s="173">
        <f t="shared" si="48"/>
        <v>0.44582806850473949</v>
      </c>
      <c r="CI27" s="170">
        <v>22</v>
      </c>
      <c r="CJ27" s="217">
        <f t="shared" si="114"/>
        <v>2.2000000000000002</v>
      </c>
      <c r="CK27" s="217"/>
      <c r="CL27" s="217">
        <f t="shared" si="49"/>
        <v>33</v>
      </c>
      <c r="CM27" s="541">
        <f t="shared" si="50"/>
        <v>72</v>
      </c>
      <c r="CN27" s="172">
        <f t="shared" si="51"/>
        <v>15.4</v>
      </c>
      <c r="CO27" s="443">
        <f t="shared" si="52"/>
        <v>87.4</v>
      </c>
      <c r="CP27" s="443"/>
      <c r="CQ27" s="217">
        <f t="shared" si="53"/>
        <v>0.17620137299771166</v>
      </c>
      <c r="CR27" s="172">
        <f t="shared" si="54"/>
        <v>318.30425629290613</v>
      </c>
      <c r="CS27" s="172">
        <f t="shared" si="115"/>
        <v>33</v>
      </c>
      <c r="CT27" s="217">
        <f t="shared" si="55"/>
        <v>21.220283752860407</v>
      </c>
      <c r="CU27" s="217">
        <f t="shared" si="56"/>
        <v>15</v>
      </c>
      <c r="CV27" s="217">
        <f t="shared" si="57"/>
        <v>21.144164759725399</v>
      </c>
      <c r="CW27" s="172">
        <f t="shared" si="58"/>
        <v>746.22039200100187</v>
      </c>
      <c r="CX27" s="172">
        <f t="shared" si="59"/>
        <v>15</v>
      </c>
      <c r="CY27" s="217">
        <f t="shared" si="60"/>
        <v>5.2023809523809526</v>
      </c>
      <c r="CZ27" s="217">
        <f t="shared" si="61"/>
        <v>0.8670634920634922</v>
      </c>
      <c r="DA27" s="217">
        <f t="shared" si="62"/>
        <v>4.0538033395176258</v>
      </c>
      <c r="DB27" s="197">
        <f t="shared" si="63"/>
        <v>105.72082379862701</v>
      </c>
      <c r="DC27" s="443">
        <f t="shared" si="116"/>
        <v>203.21622881200611</v>
      </c>
      <c r="DE27" s="217">
        <f t="shared" si="64"/>
        <v>9.9999999999999982</v>
      </c>
      <c r="DF27" s="173">
        <f t="shared" si="65"/>
        <v>7.7922077922077895</v>
      </c>
      <c r="DG27" s="173">
        <f t="shared" si="66"/>
        <v>4.118993135011439</v>
      </c>
      <c r="DH27" s="173"/>
      <c r="DI27" s="173">
        <f t="shared" si="67"/>
        <v>7.7922077922077913</v>
      </c>
      <c r="DJ27" s="545">
        <f t="shared" si="117"/>
        <v>56.466666666666669</v>
      </c>
      <c r="DK27" s="528">
        <f t="shared" si="68"/>
        <v>4.1189931350114417</v>
      </c>
      <c r="DM27" s="173">
        <f t="shared" si="69"/>
        <v>4.0166320883712183</v>
      </c>
      <c r="DN27" s="173">
        <f t="shared" si="70"/>
        <v>10</v>
      </c>
      <c r="DO27" s="173">
        <f t="shared" si="71"/>
        <v>1.0322666666666667</v>
      </c>
      <c r="DQ27" s="545">
        <f t="shared" si="72"/>
        <v>2200</v>
      </c>
      <c r="DR27" s="460">
        <f t="shared" si="73"/>
        <v>56.466666666666669</v>
      </c>
      <c r="DT27">
        <f t="shared" si="74"/>
        <v>2200</v>
      </c>
      <c r="DU27" s="460">
        <f t="shared" si="75"/>
        <v>56.466666666666669</v>
      </c>
      <c r="DV27" s="460"/>
      <c r="DW27" s="5">
        <f t="shared" si="118"/>
        <v>17.709563164108616</v>
      </c>
      <c r="DX27" s="5">
        <f t="shared" si="76"/>
        <v>1.6666666666666667</v>
      </c>
      <c r="DY27" s="5">
        <f t="shared" si="119"/>
        <v>16.042896497441948</v>
      </c>
      <c r="DZ27" s="5">
        <f t="shared" si="77"/>
        <v>7.7922077922077913</v>
      </c>
      <c r="EA27" s="173">
        <f t="shared" si="120"/>
        <v>9.4111111111111131E-2</v>
      </c>
      <c r="EB27" s="173">
        <f t="shared" si="78"/>
        <v>33.88000000000001</v>
      </c>
      <c r="EC27" s="173">
        <f t="shared" si="79"/>
        <v>4.5294444444444446</v>
      </c>
      <c r="ED27" s="173">
        <f t="shared" si="121"/>
        <v>7.4799460321354125</v>
      </c>
      <c r="EE27" s="460">
        <f t="shared" si="80"/>
        <v>24.444444444444446</v>
      </c>
      <c r="EF27" s="5">
        <f t="shared" si="81"/>
        <v>2.0424983966650627</v>
      </c>
      <c r="EG27" s="5"/>
      <c r="EH27" s="173">
        <f t="shared" si="122"/>
        <v>1.7711682689787092</v>
      </c>
      <c r="EI27" s="173">
        <f t="shared" si="82"/>
        <v>5.4951156763344198</v>
      </c>
      <c r="EJ27" s="173"/>
      <c r="EK27" s="528">
        <f t="shared" si="83"/>
        <v>6.2740740740740736E-2</v>
      </c>
      <c r="EL27" s="528">
        <f t="shared" si="84"/>
        <v>0.98703733333333343</v>
      </c>
      <c r="EM27" s="528">
        <f t="shared" si="85"/>
        <v>7.0583333333333331E-3</v>
      </c>
      <c r="EN27" s="528">
        <f t="shared" si="86"/>
        <v>4.313353146666668E-2</v>
      </c>
      <c r="EO27">
        <f t="shared" si="87"/>
        <v>3.2399999999999998E-2</v>
      </c>
      <c r="EP27" s="460">
        <f t="shared" si="123"/>
        <v>39.458333333333329</v>
      </c>
      <c r="EQ27" s="528">
        <f t="shared" si="88"/>
        <v>1.1667022019388165</v>
      </c>
      <c r="ER27" s="460">
        <f t="shared" si="124"/>
        <v>1166.7022019388164</v>
      </c>
      <c r="ES27" s="528">
        <f t="shared" si="125"/>
        <v>1.3667499999999999</v>
      </c>
      <c r="ET27" s="528"/>
      <c r="EV27" s="460">
        <f t="shared" si="126"/>
        <v>1366.75</v>
      </c>
      <c r="EW27" s="528">
        <f t="shared" si="89"/>
        <v>9.4111111111111104E-2</v>
      </c>
      <c r="EX27" s="528">
        <f t="shared" si="90"/>
        <v>0.90588888888888863</v>
      </c>
      <c r="EY27" s="528">
        <f t="shared" si="91"/>
        <v>0.37883524993144391</v>
      </c>
      <c r="EZ27" s="528">
        <f t="shared" si="92"/>
        <v>1.7596035325341779</v>
      </c>
      <c r="FA27" s="528">
        <f t="shared" si="93"/>
        <v>5.646666666666667E-3</v>
      </c>
      <c r="FB27" s="460">
        <f t="shared" si="127"/>
        <v>1765.2501992008445</v>
      </c>
      <c r="FC27" s="173">
        <f t="shared" si="128"/>
        <v>4.2987024011396606</v>
      </c>
      <c r="FD27" s="5">
        <f t="shared" si="129"/>
        <v>33</v>
      </c>
      <c r="FE27" s="173">
        <f t="shared" si="130"/>
        <v>0.88474927747062004</v>
      </c>
      <c r="FF27" s="5">
        <f t="shared" si="131"/>
        <v>88.474927747061997</v>
      </c>
      <c r="FI27" s="562">
        <f t="shared" si="94"/>
        <v>-50</v>
      </c>
      <c r="FJ27">
        <f t="shared" si="95"/>
        <v>-50</v>
      </c>
      <c r="FL27">
        <f t="shared" si="96"/>
        <v>0.44000000000000006</v>
      </c>
    </row>
    <row r="28" spans="5:168">
      <c r="E28" s="170">
        <v>23</v>
      </c>
      <c r="F28" s="217">
        <f t="shared" si="97"/>
        <v>2.3000000000000003</v>
      </c>
      <c r="G28" s="217"/>
      <c r="H28" s="217">
        <f t="shared" si="0"/>
        <v>34.500000000000007</v>
      </c>
      <c r="I28" s="541">
        <f t="shared" si="1"/>
        <v>71.753268114390082</v>
      </c>
      <c r="J28" s="172">
        <f t="shared" si="2"/>
        <v>15.548039131365949</v>
      </c>
      <c r="K28" s="172">
        <f t="shared" si="3"/>
        <v>87.548039131365954</v>
      </c>
      <c r="L28" s="443"/>
      <c r="M28" s="217">
        <f t="shared" si="4"/>
        <v>0.17811475258435275</v>
      </c>
      <c r="N28" s="172">
        <f t="shared" si="5"/>
        <v>320.65811833659114</v>
      </c>
      <c r="O28" s="172">
        <f t="shared" si="98"/>
        <v>34.500000000000007</v>
      </c>
      <c r="P28" s="217">
        <f t="shared" si="6"/>
        <v>21.377207889106078</v>
      </c>
      <c r="Q28" s="217">
        <f t="shared" si="7"/>
        <v>15</v>
      </c>
      <c r="R28" s="217">
        <f t="shared" si="8"/>
        <v>21.300525995522193</v>
      </c>
      <c r="S28" s="172">
        <f t="shared" si="9"/>
        <v>708.21406265604378</v>
      </c>
      <c r="T28" s="172">
        <f t="shared" si="10"/>
        <v>15</v>
      </c>
      <c r="U28" s="217">
        <f t="shared" si="99"/>
        <v>5.5968883910063285</v>
      </c>
      <c r="V28" s="217">
        <f t="shared" si="11"/>
        <v>0.93602232284394715</v>
      </c>
      <c r="W28" s="217">
        <f t="shared" si="12"/>
        <v>4.3196868829963808</v>
      </c>
      <c r="X28" s="197">
        <f t="shared" si="13"/>
        <v>106.49159174915671</v>
      </c>
      <c r="Y28" s="443">
        <f t="shared" si="14"/>
        <v>183.29422670282747</v>
      </c>
      <c r="AA28" s="217">
        <f t="shared" si="15"/>
        <v>10</v>
      </c>
      <c r="AB28" s="173">
        <f t="shared" si="16"/>
        <v>7.7180150491078416</v>
      </c>
      <c r="AC28" s="173">
        <f t="shared" si="17"/>
        <v>4.1095185386172002</v>
      </c>
      <c r="AD28" s="173"/>
      <c r="AE28" s="173">
        <f t="shared" si="18"/>
        <v>7.7180150491078416</v>
      </c>
      <c r="AF28" s="545">
        <f t="shared" si="100"/>
        <v>59.600816670236135</v>
      </c>
      <c r="AG28" s="528">
        <f t="shared" si="19"/>
        <v>4.1095185386172002</v>
      </c>
      <c r="AI28" s="173">
        <f t="shared" si="20"/>
        <v>4.1265972377886131</v>
      </c>
      <c r="AJ28" s="173">
        <f t="shared" si="21"/>
        <v>10</v>
      </c>
      <c r="AK28" s="173">
        <f t="shared" si="22"/>
        <v>1.0340576095258491</v>
      </c>
      <c r="AM28" s="545">
        <f t="shared" si="23"/>
        <v>2300.0000000000005</v>
      </c>
      <c r="AN28" s="460">
        <f t="shared" si="24"/>
        <v>59.600816670236135</v>
      </c>
      <c r="AP28">
        <f t="shared" si="25"/>
        <v>2300.0000000000005</v>
      </c>
      <c r="AQ28" s="460">
        <f t="shared" si="26"/>
        <v>59.600816670236135</v>
      </c>
      <c r="AR28" s="460"/>
      <c r="AS28" s="5">
        <f t="shared" si="101"/>
        <v>16.77829358501705</v>
      </c>
      <c r="AT28" s="5">
        <f t="shared" si="27"/>
        <v>1.6723976921677532</v>
      </c>
      <c r="AU28" s="5">
        <f t="shared" si="102"/>
        <v>15.105895892849297</v>
      </c>
      <c r="AV28" s="5">
        <f t="shared" si="28"/>
        <v>7.7180150491078416</v>
      </c>
      <c r="AW28" s="173">
        <f t="shared" si="103"/>
        <v>9.9676268250616248E-2</v>
      </c>
      <c r="AX28" s="173">
        <f t="shared" si="29"/>
        <v>35.76049000214168</v>
      </c>
      <c r="AY28" s="173">
        <f t="shared" si="30"/>
        <v>4.5016186587469189</v>
      </c>
      <c r="AZ28" s="173">
        <f t="shared" si="104"/>
        <v>7.9439181132450818</v>
      </c>
      <c r="BA28" s="460">
        <f t="shared" si="31"/>
        <v>25.643431279905556</v>
      </c>
      <c r="BB28" s="5">
        <f t="shared" si="32"/>
        <v>2.0175364752587943</v>
      </c>
      <c r="BC28" s="5"/>
      <c r="BD28" s="173">
        <f t="shared" si="105"/>
        <v>1.8227842096695213</v>
      </c>
      <c r="BE28" s="173">
        <f t="shared" si="33"/>
        <v>5.4782105708262794</v>
      </c>
      <c r="BF28" s="173"/>
      <c r="BG28" s="528">
        <f t="shared" si="34"/>
        <v>6.6450845500410832E-2</v>
      </c>
      <c r="BH28" s="528">
        <f t="shared" si="35"/>
        <v>0.9783627431451003</v>
      </c>
      <c r="BI28" s="528">
        <f t="shared" si="36"/>
        <v>0.10691383445940157</v>
      </c>
      <c r="BJ28" s="528">
        <f t="shared" si="37"/>
        <v>4.5681994518153482E-2</v>
      </c>
      <c r="BK28">
        <f t="shared" si="38"/>
        <v>3.2288970651475533E-2</v>
      </c>
      <c r="BL28" s="460">
        <f t="shared" si="106"/>
        <v>139.20280511087711</v>
      </c>
      <c r="BM28" s="528">
        <f t="shared" si="39"/>
        <v>1.1262188667987236</v>
      </c>
      <c r="BN28" s="460">
        <f t="shared" si="107"/>
        <v>1126.2188667987236</v>
      </c>
      <c r="BO28" s="528">
        <f t="shared" si="108"/>
        <v>1.4288750000000001</v>
      </c>
      <c r="BP28" s="528"/>
      <c r="BR28" s="460">
        <f t="shared" si="109"/>
        <v>1428.8750000000002</v>
      </c>
      <c r="BS28" s="528">
        <f t="shared" si="40"/>
        <v>9.9676268250616235E-2</v>
      </c>
      <c r="BT28" s="528">
        <f t="shared" si="41"/>
        <v>0.90032373174938363</v>
      </c>
      <c r="BU28" s="528">
        <f t="shared" si="42"/>
        <v>0.51750000000000007</v>
      </c>
      <c r="BV28" s="528">
        <f t="shared" si="43"/>
        <v>1.9103260869565215</v>
      </c>
      <c r="BW28" s="528">
        <f t="shared" si="44"/>
        <v>5.9600816670236142E-3</v>
      </c>
      <c r="BX28" s="460">
        <f t="shared" si="110"/>
        <v>1916.2861686235451</v>
      </c>
      <c r="BY28" s="173">
        <f t="shared" si="45"/>
        <v>4.6105828405331462</v>
      </c>
      <c r="BZ28" s="5">
        <f t="shared" si="111"/>
        <v>34.500000000000007</v>
      </c>
      <c r="CA28" s="173">
        <f t="shared" si="112"/>
        <v>0.88211418737143277</v>
      </c>
      <c r="CB28" s="5">
        <f t="shared" si="113"/>
        <v>88.211418737143276</v>
      </c>
      <c r="CE28" s="562">
        <f t="shared" si="46"/>
        <v>-50</v>
      </c>
      <c r="CF28">
        <f t="shared" si="47"/>
        <v>-50</v>
      </c>
      <c r="CG28" s="173">
        <f t="shared" si="48"/>
        <v>0.46609298070950039</v>
      </c>
      <c r="CI28" s="170">
        <v>23</v>
      </c>
      <c r="CJ28" s="217">
        <f t="shared" si="114"/>
        <v>2.3000000000000003</v>
      </c>
      <c r="CK28" s="217"/>
      <c r="CL28" s="217">
        <f t="shared" si="49"/>
        <v>34.500000000000007</v>
      </c>
      <c r="CM28" s="541">
        <f t="shared" si="50"/>
        <v>72</v>
      </c>
      <c r="CN28" s="172">
        <f t="shared" si="51"/>
        <v>15.4</v>
      </c>
      <c r="CO28" s="443">
        <f t="shared" si="52"/>
        <v>87.4</v>
      </c>
      <c r="CP28" s="443"/>
      <c r="CQ28" s="217">
        <f t="shared" si="53"/>
        <v>0.17620137299771166</v>
      </c>
      <c r="CR28" s="172">
        <f t="shared" si="54"/>
        <v>318.30425629290613</v>
      </c>
      <c r="CS28" s="172">
        <f t="shared" si="115"/>
        <v>34.500000000000007</v>
      </c>
      <c r="CT28" s="217">
        <f t="shared" si="55"/>
        <v>21.220283752860407</v>
      </c>
      <c r="CU28" s="217">
        <f t="shared" si="56"/>
        <v>15</v>
      </c>
      <c r="CV28" s="217">
        <f t="shared" si="57"/>
        <v>21.144164759725399</v>
      </c>
      <c r="CW28" s="172">
        <f t="shared" si="58"/>
        <v>710.64919917855877</v>
      </c>
      <c r="CX28" s="172">
        <f t="shared" si="59"/>
        <v>15</v>
      </c>
      <c r="CY28" s="217">
        <f t="shared" si="60"/>
        <v>5.4388528138528152</v>
      </c>
      <c r="CZ28" s="217">
        <f t="shared" si="61"/>
        <v>0.90647546897546916</v>
      </c>
      <c r="DA28" s="217">
        <f t="shared" si="62"/>
        <v>4.2380671276775184</v>
      </c>
      <c r="DB28" s="197">
        <f t="shared" si="63"/>
        <v>105.72082379862701</v>
      </c>
      <c r="DC28" s="443">
        <f t="shared" si="116"/>
        <v>194.38074060278842</v>
      </c>
      <c r="DE28" s="217">
        <f t="shared" si="64"/>
        <v>9.9999999999999982</v>
      </c>
      <c r="DF28" s="173">
        <f t="shared" si="65"/>
        <v>7.7922077922077895</v>
      </c>
      <c r="DG28" s="173">
        <f t="shared" si="66"/>
        <v>4.118993135011439</v>
      </c>
      <c r="DH28" s="173"/>
      <c r="DI28" s="173">
        <f t="shared" si="67"/>
        <v>7.7922077922077913</v>
      </c>
      <c r="DJ28" s="545">
        <f t="shared" si="117"/>
        <v>59.033333333333346</v>
      </c>
      <c r="DK28" s="528">
        <f t="shared" si="68"/>
        <v>4.1189931350114417</v>
      </c>
      <c r="DM28" s="173">
        <f t="shared" si="69"/>
        <v>4.1069047550030513</v>
      </c>
      <c r="DN28" s="173">
        <f t="shared" si="70"/>
        <v>10</v>
      </c>
      <c r="DO28" s="173">
        <f t="shared" si="71"/>
        <v>1.0337333333333334</v>
      </c>
      <c r="DQ28" s="545">
        <f t="shared" si="72"/>
        <v>2300.0000000000005</v>
      </c>
      <c r="DR28" s="460">
        <f t="shared" si="73"/>
        <v>59.033333333333346</v>
      </c>
      <c r="DT28">
        <f t="shared" si="74"/>
        <v>2300.0000000000005</v>
      </c>
      <c r="DU28" s="460">
        <f t="shared" si="75"/>
        <v>59.033333333333346</v>
      </c>
      <c r="DV28" s="460"/>
      <c r="DW28" s="5">
        <f t="shared" si="118"/>
        <v>16.939582156973458</v>
      </c>
      <c r="DX28" s="5">
        <f t="shared" si="76"/>
        <v>1.6666666666666667</v>
      </c>
      <c r="DY28" s="5">
        <f t="shared" si="119"/>
        <v>15.272915490306792</v>
      </c>
      <c r="DZ28" s="5">
        <f t="shared" si="77"/>
        <v>7.7922077922077913</v>
      </c>
      <c r="EA28" s="173">
        <f t="shared" si="120"/>
        <v>9.8388888888888915E-2</v>
      </c>
      <c r="EB28" s="173">
        <f t="shared" si="78"/>
        <v>35.420000000000016</v>
      </c>
      <c r="EC28" s="173">
        <f t="shared" si="79"/>
        <v>4.5080555555555559</v>
      </c>
      <c r="ED28" s="173">
        <f t="shared" si="121"/>
        <v>7.8570460287140333</v>
      </c>
      <c r="EE28" s="460">
        <f t="shared" si="80"/>
        <v>25.555555555555561</v>
      </c>
      <c r="EF28" s="5">
        <f t="shared" si="81"/>
        <v>2.032853334936668</v>
      </c>
      <c r="EG28" s="5"/>
      <c r="EH28" s="173">
        <f t="shared" si="122"/>
        <v>1.8109747733277872</v>
      </c>
      <c r="EI28" s="173">
        <f t="shared" si="82"/>
        <v>5.4821258380033289</v>
      </c>
      <c r="EJ28" s="173"/>
      <c r="EK28" s="528">
        <f t="shared" si="83"/>
        <v>6.5592592592592605E-2</v>
      </c>
      <c r="EL28" s="528">
        <f t="shared" si="84"/>
        <v>1.0319026666666669</v>
      </c>
      <c r="EM28" s="528">
        <f t="shared" si="85"/>
        <v>7.3791666666666676E-3</v>
      </c>
      <c r="EN28" s="528">
        <f t="shared" si="86"/>
        <v>4.5094146533333351E-2</v>
      </c>
      <c r="EO28">
        <f t="shared" si="87"/>
        <v>3.2399999999999998E-2</v>
      </c>
      <c r="EP28" s="460">
        <f t="shared" si="123"/>
        <v>39.779166666666661</v>
      </c>
      <c r="EQ28" s="528">
        <f t="shared" si="88"/>
        <v>1.2190776538794397</v>
      </c>
      <c r="ER28" s="460">
        <f t="shared" si="124"/>
        <v>1219.0776538794396</v>
      </c>
      <c r="ES28" s="528">
        <f t="shared" si="125"/>
        <v>1.4288750000000001</v>
      </c>
      <c r="ET28" s="528"/>
      <c r="EV28" s="460">
        <f t="shared" si="126"/>
        <v>1428.8750000000002</v>
      </c>
      <c r="EW28" s="528">
        <f t="shared" si="89"/>
        <v>9.8388888888888901E-2</v>
      </c>
      <c r="EX28" s="528">
        <f t="shared" si="90"/>
        <v>0.90161111111111092</v>
      </c>
      <c r="EY28" s="528">
        <f t="shared" si="91"/>
        <v>0.42336336120559115</v>
      </c>
      <c r="EZ28" s="528">
        <f t="shared" si="92"/>
        <v>1.8080036534843378</v>
      </c>
      <c r="FA28" s="528">
        <f t="shared" si="93"/>
        <v>5.9033333333333351E-3</v>
      </c>
      <c r="FB28" s="460">
        <f t="shared" si="127"/>
        <v>1813.9069868176712</v>
      </c>
      <c r="FC28" s="173">
        <f t="shared" si="128"/>
        <v>4.4618596406971109</v>
      </c>
      <c r="FD28" s="5">
        <f t="shared" si="129"/>
        <v>34.500000000000007</v>
      </c>
      <c r="FE28" s="173">
        <f t="shared" si="130"/>
        <v>0.88548134812239465</v>
      </c>
      <c r="FF28" s="5">
        <f t="shared" si="131"/>
        <v>88.548134812239468</v>
      </c>
      <c r="FI28" s="562">
        <f t="shared" si="94"/>
        <v>-50</v>
      </c>
      <c r="FJ28">
        <f t="shared" si="95"/>
        <v>-50</v>
      </c>
      <c r="FL28">
        <f t="shared" si="96"/>
        <v>0.46000000000000008</v>
      </c>
    </row>
    <row r="29" spans="5:168">
      <c r="E29" s="170">
        <v>24</v>
      </c>
      <c r="F29" s="217">
        <f t="shared" si="97"/>
        <v>2.4</v>
      </c>
      <c r="G29" s="217"/>
      <c r="H29" s="217">
        <f t="shared" si="0"/>
        <v>36</v>
      </c>
      <c r="I29" s="541">
        <f t="shared" si="1"/>
        <v>71.753268114390082</v>
      </c>
      <c r="J29" s="172">
        <f t="shared" si="2"/>
        <v>15.548039131365949</v>
      </c>
      <c r="K29" s="172">
        <f t="shared" si="3"/>
        <v>87.548039131365954</v>
      </c>
      <c r="L29" s="443"/>
      <c r="M29" s="217">
        <f t="shared" si="4"/>
        <v>0.17811475258435275</v>
      </c>
      <c r="N29" s="172">
        <f t="shared" si="5"/>
        <v>320.65811833659114</v>
      </c>
      <c r="O29" s="172">
        <f t="shared" si="98"/>
        <v>36</v>
      </c>
      <c r="P29" s="217">
        <f t="shared" si="6"/>
        <v>21.377207889106078</v>
      </c>
      <c r="Q29" s="217">
        <f t="shared" si="7"/>
        <v>15</v>
      </c>
      <c r="R29" s="217">
        <f t="shared" si="8"/>
        <v>21.300525995522193</v>
      </c>
      <c r="S29" s="172">
        <f t="shared" si="9"/>
        <v>675.71905815589776</v>
      </c>
      <c r="T29" s="172">
        <f t="shared" si="10"/>
        <v>15</v>
      </c>
      <c r="U29" s="217">
        <f t="shared" si="99"/>
        <v>5.8402313645283419</v>
      </c>
      <c r="V29" s="217">
        <f t="shared" si="11"/>
        <v>0.97671894557629257</v>
      </c>
      <c r="W29" s="217">
        <f t="shared" si="12"/>
        <v>4.5074993561701362</v>
      </c>
      <c r="X29" s="197">
        <f t="shared" si="13"/>
        <v>106.49159174915671</v>
      </c>
      <c r="Y29" s="443">
        <f t="shared" si="14"/>
        <v>175.92568527721011</v>
      </c>
      <c r="AA29" s="217">
        <f t="shared" si="15"/>
        <v>10</v>
      </c>
      <c r="AB29" s="173">
        <f t="shared" si="16"/>
        <v>7.7180150491078416</v>
      </c>
      <c r="AC29" s="173">
        <f t="shared" si="17"/>
        <v>4.1095185386172002</v>
      </c>
      <c r="AD29" s="173"/>
      <c r="AE29" s="173">
        <f t="shared" si="18"/>
        <v>7.7180150491078416</v>
      </c>
      <c r="AF29" s="545">
        <f t="shared" si="100"/>
        <v>62.19215652546378</v>
      </c>
      <c r="AG29" s="528">
        <f t="shared" si="19"/>
        <v>4.1095185386172002</v>
      </c>
      <c r="AI29" s="173">
        <f t="shared" si="20"/>
        <v>4.2153514181742828</v>
      </c>
      <c r="AJ29" s="173">
        <f t="shared" si="21"/>
        <v>10</v>
      </c>
      <c r="AK29" s="173">
        <f t="shared" si="22"/>
        <v>1.0355383751574079</v>
      </c>
      <c r="AM29" s="545">
        <f t="shared" si="23"/>
        <v>2400</v>
      </c>
      <c r="AN29" s="460">
        <f t="shared" si="24"/>
        <v>62.19215652546378</v>
      </c>
      <c r="AP29">
        <f t="shared" si="25"/>
        <v>2400</v>
      </c>
      <c r="AQ29" s="460">
        <f t="shared" si="26"/>
        <v>62.19215652546378</v>
      </c>
      <c r="AR29" s="460"/>
      <c r="AS29" s="5">
        <f t="shared" si="101"/>
        <v>16.079198018974672</v>
      </c>
      <c r="AT29" s="5">
        <f t="shared" si="27"/>
        <v>1.6723976921677532</v>
      </c>
      <c r="AU29" s="5">
        <f t="shared" si="102"/>
        <v>14.40680032680692</v>
      </c>
      <c r="AV29" s="5">
        <f t="shared" si="28"/>
        <v>7.7180150491078416</v>
      </c>
      <c r="AW29" s="173">
        <f t="shared" si="103"/>
        <v>0.1040100190441213</v>
      </c>
      <c r="AX29" s="173">
        <f t="shared" si="29"/>
        <v>37.315293915278268</v>
      </c>
      <c r="AY29" s="173">
        <f t="shared" si="30"/>
        <v>4.4799499047793931</v>
      </c>
      <c r="AZ29" s="173">
        <f t="shared" si="104"/>
        <v>8.3293998166070544</v>
      </c>
      <c r="BA29" s="460">
        <f t="shared" si="31"/>
        <v>26.758363074684048</v>
      </c>
      <c r="BB29" s="5">
        <f t="shared" si="32"/>
        <v>2.0078249681727933</v>
      </c>
      <c r="BC29" s="5"/>
      <c r="BD29" s="173">
        <f t="shared" si="105"/>
        <v>1.861988355174125</v>
      </c>
      <c r="BE29" s="173">
        <f t="shared" si="33"/>
        <v>5.4650098534704661</v>
      </c>
      <c r="BF29" s="173"/>
      <c r="BG29" s="528">
        <f t="shared" si="34"/>
        <v>6.9340012696080866E-2</v>
      </c>
      <c r="BH29" s="528">
        <f t="shared" si="35"/>
        <v>1.0209002537166261</v>
      </c>
      <c r="BI29" s="528">
        <f t="shared" si="36"/>
        <v>0.11156226204459292</v>
      </c>
      <c r="BJ29" s="528">
        <f t="shared" si="37"/>
        <v>4.7668168192855798E-2</v>
      </c>
      <c r="BK29">
        <f t="shared" si="38"/>
        <v>3.2288970651475533E-2</v>
      </c>
      <c r="BL29" s="460">
        <f t="shared" si="106"/>
        <v>143.85123269606845</v>
      </c>
      <c r="BM29" s="528">
        <f t="shared" si="39"/>
        <v>1.1760051426918228</v>
      </c>
      <c r="BN29" s="460">
        <f t="shared" si="107"/>
        <v>1176.0051426918228</v>
      </c>
      <c r="BO29" s="528">
        <f t="shared" si="108"/>
        <v>1.4909999999999999</v>
      </c>
      <c r="BP29" s="528"/>
      <c r="BR29" s="460">
        <f t="shared" si="109"/>
        <v>1490.9999999999998</v>
      </c>
      <c r="BS29" s="528">
        <f t="shared" si="40"/>
        <v>0.10401001904412129</v>
      </c>
      <c r="BT29" s="528">
        <f t="shared" si="41"/>
        <v>0.89598998095587845</v>
      </c>
      <c r="BU29" s="528">
        <f t="shared" si="42"/>
        <v>0.54</v>
      </c>
      <c r="BV29" s="528">
        <f t="shared" si="43"/>
        <v>1.9347826086956519</v>
      </c>
      <c r="BW29" s="528">
        <f t="shared" si="44"/>
        <v>6.2192156525463791E-3</v>
      </c>
      <c r="BX29" s="460">
        <f t="shared" si="110"/>
        <v>1941.0018243481984</v>
      </c>
      <c r="BY29" s="173">
        <f t="shared" si="45"/>
        <v>4.7518581997360902</v>
      </c>
      <c r="BZ29" s="5">
        <f t="shared" si="111"/>
        <v>36</v>
      </c>
      <c r="CA29" s="173">
        <f t="shared" si="112"/>
        <v>0.88339530000212696</v>
      </c>
      <c r="CB29" s="5">
        <f t="shared" si="113"/>
        <v>88.33953000021269</v>
      </c>
      <c r="CE29" s="562">
        <f t="shared" si="46"/>
        <v>-50</v>
      </c>
      <c r="CF29">
        <f t="shared" si="47"/>
        <v>-50</v>
      </c>
      <c r="CG29" s="173">
        <f t="shared" si="48"/>
        <v>0.48635789291426124</v>
      </c>
      <c r="CI29" s="170">
        <v>24</v>
      </c>
      <c r="CJ29" s="217">
        <f t="shared" si="114"/>
        <v>2.4</v>
      </c>
      <c r="CK29" s="217"/>
      <c r="CL29" s="217">
        <f t="shared" si="49"/>
        <v>36</v>
      </c>
      <c r="CM29" s="541">
        <f t="shared" si="50"/>
        <v>72</v>
      </c>
      <c r="CN29" s="172">
        <f t="shared" si="51"/>
        <v>15.4</v>
      </c>
      <c r="CO29" s="443">
        <f t="shared" si="52"/>
        <v>87.4</v>
      </c>
      <c r="CP29" s="443"/>
      <c r="CQ29" s="217">
        <f t="shared" si="53"/>
        <v>0.17620137299771166</v>
      </c>
      <c r="CR29" s="172">
        <f t="shared" si="54"/>
        <v>318.30425629290613</v>
      </c>
      <c r="CS29" s="172">
        <f t="shared" si="115"/>
        <v>36</v>
      </c>
      <c r="CT29" s="217">
        <f t="shared" si="55"/>
        <v>21.220283752860407</v>
      </c>
      <c r="CU29" s="217">
        <f t="shared" si="56"/>
        <v>15</v>
      </c>
      <c r="CV29" s="217">
        <f t="shared" si="57"/>
        <v>21.144164759725399</v>
      </c>
      <c r="CW29" s="172">
        <f t="shared" si="58"/>
        <v>678.04245017391327</v>
      </c>
      <c r="CX29" s="172">
        <f t="shared" si="59"/>
        <v>15</v>
      </c>
      <c r="CY29" s="217">
        <f t="shared" si="60"/>
        <v>5.675324675324676</v>
      </c>
      <c r="CZ29" s="217">
        <f t="shared" si="61"/>
        <v>0.94588744588744611</v>
      </c>
      <c r="DA29" s="217">
        <f t="shared" si="62"/>
        <v>4.42233091583741</v>
      </c>
      <c r="DB29" s="197">
        <f t="shared" si="63"/>
        <v>105.72082379862701</v>
      </c>
      <c r="DC29" s="443">
        <f t="shared" si="116"/>
        <v>186.28154307767227</v>
      </c>
      <c r="DE29" s="217">
        <f t="shared" si="64"/>
        <v>9.9999999999999982</v>
      </c>
      <c r="DF29" s="173">
        <f t="shared" si="65"/>
        <v>7.7922077922077895</v>
      </c>
      <c r="DG29" s="173">
        <f t="shared" si="66"/>
        <v>4.118993135011439</v>
      </c>
      <c r="DH29" s="173"/>
      <c r="DI29" s="173">
        <f t="shared" si="67"/>
        <v>7.7922077922077913</v>
      </c>
      <c r="DJ29" s="545">
        <f t="shared" si="117"/>
        <v>61.6</v>
      </c>
      <c r="DK29" s="528">
        <f t="shared" si="68"/>
        <v>4.1189931350114417</v>
      </c>
      <c r="DM29" s="173">
        <f t="shared" si="69"/>
        <v>4.1952353926806065</v>
      </c>
      <c r="DN29" s="173">
        <f t="shared" si="70"/>
        <v>10</v>
      </c>
      <c r="DO29" s="173">
        <f t="shared" si="71"/>
        <v>1.0351999999999999</v>
      </c>
      <c r="DQ29" s="545">
        <f t="shared" si="72"/>
        <v>2400</v>
      </c>
      <c r="DR29" s="460">
        <f t="shared" si="73"/>
        <v>61.6</v>
      </c>
      <c r="DT29">
        <f t="shared" si="74"/>
        <v>2400</v>
      </c>
      <c r="DU29" s="460">
        <f t="shared" si="75"/>
        <v>61.6</v>
      </c>
      <c r="DV29" s="460"/>
      <c r="DW29" s="5">
        <f t="shared" si="118"/>
        <v>16.233766233766232</v>
      </c>
      <c r="DX29" s="5">
        <f t="shared" si="76"/>
        <v>1.6666666666666667</v>
      </c>
      <c r="DY29" s="5">
        <f t="shared" si="119"/>
        <v>14.567099567099566</v>
      </c>
      <c r="DZ29" s="5">
        <f t="shared" si="77"/>
        <v>7.7922077922077913</v>
      </c>
      <c r="EA29" s="173">
        <f t="shared" si="120"/>
        <v>0.10266666666666668</v>
      </c>
      <c r="EB29" s="173">
        <f t="shared" si="78"/>
        <v>36.960000000000008</v>
      </c>
      <c r="EC29" s="173">
        <f t="shared" si="79"/>
        <v>4.4866666666666664</v>
      </c>
      <c r="ED29" s="173">
        <f t="shared" si="121"/>
        <v>8.2377414561664217</v>
      </c>
      <c r="EE29" s="460">
        <f t="shared" si="80"/>
        <v>26.666666666666668</v>
      </c>
      <c r="EF29" s="5">
        <f t="shared" si="81"/>
        <v>2.0232082732082732</v>
      </c>
      <c r="EG29" s="5"/>
      <c r="EH29" s="173">
        <f t="shared" si="122"/>
        <v>1.849924923401548</v>
      </c>
      <c r="EI29" s="173">
        <f t="shared" si="82"/>
        <v>5.4691051471983156</v>
      </c>
      <c r="EJ29" s="173"/>
      <c r="EK29" s="528">
        <f t="shared" si="83"/>
        <v>6.8444444444444474E-2</v>
      </c>
      <c r="EL29" s="528">
        <f t="shared" si="84"/>
        <v>1.0767679999999999</v>
      </c>
      <c r="EM29" s="528">
        <f t="shared" si="85"/>
        <v>7.6999999999999994E-3</v>
      </c>
      <c r="EN29" s="528">
        <f t="shared" si="86"/>
        <v>4.7054761600000009E-2</v>
      </c>
      <c r="EO29">
        <f t="shared" si="87"/>
        <v>3.2399999999999998E-2</v>
      </c>
      <c r="EP29" s="460">
        <f t="shared" si="123"/>
        <v>40.099999999999994</v>
      </c>
      <c r="EQ29" s="528">
        <f t="shared" si="88"/>
        <v>1.2715252584067587</v>
      </c>
      <c r="ER29" s="460">
        <f t="shared" si="124"/>
        <v>1271.5252584067587</v>
      </c>
      <c r="ES29" s="528">
        <f t="shared" si="125"/>
        <v>1.4909999999999999</v>
      </c>
      <c r="ET29" s="528"/>
      <c r="EV29" s="460">
        <f t="shared" si="126"/>
        <v>1490.9999999999998</v>
      </c>
      <c r="EW29" s="528">
        <f t="shared" si="89"/>
        <v>0.1026666666666667</v>
      </c>
      <c r="EX29" s="528">
        <f t="shared" si="90"/>
        <v>0.89733333333333332</v>
      </c>
      <c r="EY29" s="528">
        <f t="shared" si="91"/>
        <v>0.47089251230131174</v>
      </c>
      <c r="EZ29" s="528">
        <f t="shared" si="92"/>
        <v>1.859665774240556</v>
      </c>
      <c r="FA29" s="528">
        <f t="shared" si="93"/>
        <v>6.1600000000000005E-3</v>
      </c>
      <c r="FB29" s="460">
        <f t="shared" si="127"/>
        <v>1865.825774240556</v>
      </c>
      <c r="FC29" s="173">
        <f t="shared" si="128"/>
        <v>4.6283510326473145</v>
      </c>
      <c r="FD29" s="5">
        <f t="shared" si="129"/>
        <v>36</v>
      </c>
      <c r="FE29" s="173">
        <f t="shared" si="130"/>
        <v>0.88608075604820491</v>
      </c>
      <c r="FF29" s="5">
        <f t="shared" si="131"/>
        <v>88.608075604820485</v>
      </c>
      <c r="FI29" s="562">
        <f t="shared" si="94"/>
        <v>-50</v>
      </c>
      <c r="FJ29">
        <f t="shared" si="95"/>
        <v>-50</v>
      </c>
      <c r="FL29">
        <f t="shared" si="96"/>
        <v>0.48000000000000004</v>
      </c>
    </row>
    <row r="30" spans="5:168">
      <c r="E30" s="170">
        <v>25</v>
      </c>
      <c r="F30" s="217">
        <f t="shared" si="97"/>
        <v>2.5</v>
      </c>
      <c r="G30" s="217"/>
      <c r="H30" s="217">
        <f t="shared" si="0"/>
        <v>37.5</v>
      </c>
      <c r="I30" s="541">
        <f t="shared" si="1"/>
        <v>71.753268114390082</v>
      </c>
      <c r="J30" s="172">
        <f t="shared" si="2"/>
        <v>15.548039131365949</v>
      </c>
      <c r="K30" s="172">
        <f t="shared" si="3"/>
        <v>87.548039131365954</v>
      </c>
      <c r="L30" s="443"/>
      <c r="M30" s="217">
        <f t="shared" si="4"/>
        <v>0.17811475258435275</v>
      </c>
      <c r="N30" s="172">
        <f t="shared" si="5"/>
        <v>320.65811833659114</v>
      </c>
      <c r="O30" s="172">
        <f t="shared" si="98"/>
        <v>37.5</v>
      </c>
      <c r="P30" s="217">
        <f t="shared" si="6"/>
        <v>21.377207889106078</v>
      </c>
      <c r="Q30" s="217">
        <f t="shared" si="7"/>
        <v>15</v>
      </c>
      <c r="R30" s="217">
        <f t="shared" si="8"/>
        <v>21.300525995522193</v>
      </c>
      <c r="S30" s="172">
        <f t="shared" si="9"/>
        <v>645.82382690911504</v>
      </c>
      <c r="T30" s="172">
        <f t="shared" si="10"/>
        <v>15</v>
      </c>
      <c r="U30" s="217">
        <f t="shared" si="99"/>
        <v>6.0835743380503562</v>
      </c>
      <c r="V30" s="217">
        <f t="shared" si="11"/>
        <v>1.0174155683086381</v>
      </c>
      <c r="W30" s="217">
        <f t="shared" si="12"/>
        <v>4.6953118293438925</v>
      </c>
      <c r="X30" s="197">
        <f t="shared" si="13"/>
        <v>106.49159174915671</v>
      </c>
      <c r="Y30" s="443">
        <f t="shared" si="14"/>
        <v>169.12668769357094</v>
      </c>
      <c r="AA30" s="217">
        <f t="shared" si="15"/>
        <v>10</v>
      </c>
      <c r="AB30" s="173">
        <f t="shared" si="16"/>
        <v>7.7180150491078416</v>
      </c>
      <c r="AC30" s="173">
        <f t="shared" si="17"/>
        <v>4.1095185386172002</v>
      </c>
      <c r="AD30" s="173"/>
      <c r="AE30" s="173">
        <f t="shared" si="18"/>
        <v>7.7180150491078416</v>
      </c>
      <c r="AF30" s="545">
        <f t="shared" si="100"/>
        <v>64.783496380691446</v>
      </c>
      <c r="AG30" s="528">
        <f t="shared" si="19"/>
        <v>4.1095185386172002</v>
      </c>
      <c r="AI30" s="173">
        <f t="shared" si="20"/>
        <v>4.3022750254351791</v>
      </c>
      <c r="AJ30" s="173">
        <f t="shared" si="21"/>
        <v>10</v>
      </c>
      <c r="AK30" s="173">
        <f t="shared" si="22"/>
        <v>1.0370191407889666</v>
      </c>
      <c r="AM30" s="545">
        <f t="shared" si="23"/>
        <v>2500</v>
      </c>
      <c r="AN30" s="460">
        <f t="shared" si="24"/>
        <v>64.783496380691446</v>
      </c>
      <c r="AP30">
        <f t="shared" si="25"/>
        <v>2500</v>
      </c>
      <c r="AQ30" s="460">
        <f t="shared" si="26"/>
        <v>64.783496380691446</v>
      </c>
      <c r="AR30" s="460"/>
      <c r="AS30" s="5">
        <f t="shared" si="101"/>
        <v>15.436030098215683</v>
      </c>
      <c r="AT30" s="5">
        <f t="shared" si="27"/>
        <v>1.6723976921677532</v>
      </c>
      <c r="AU30" s="5">
        <f t="shared" si="102"/>
        <v>13.763632406047931</v>
      </c>
      <c r="AV30" s="5">
        <f t="shared" si="28"/>
        <v>7.7180150491078416</v>
      </c>
      <c r="AW30" s="173">
        <f t="shared" si="103"/>
        <v>0.10834376983762638</v>
      </c>
      <c r="AX30" s="173">
        <f t="shared" si="29"/>
        <v>38.87009782841487</v>
      </c>
      <c r="AY30" s="173">
        <f t="shared" si="30"/>
        <v>4.4582811508118683</v>
      </c>
      <c r="AZ30" s="173">
        <f t="shared" si="104"/>
        <v>8.7186286628281611</v>
      </c>
      <c r="BA30" s="460">
        <f t="shared" si="31"/>
        <v>27.873294869462555</v>
      </c>
      <c r="BB30" s="5">
        <f t="shared" si="32"/>
        <v>1.9981134610867934</v>
      </c>
      <c r="BC30" s="5"/>
      <c r="BD30" s="173">
        <f t="shared" si="105"/>
        <v>1.9003839071586421</v>
      </c>
      <c r="BE30" s="173">
        <f t="shared" si="33"/>
        <v>5.4517771725140953</v>
      </c>
      <c r="BF30" s="173"/>
      <c r="BG30" s="528">
        <f t="shared" si="34"/>
        <v>7.2229179891750928E-2</v>
      </c>
      <c r="BH30" s="528">
        <f t="shared" si="35"/>
        <v>1.0634377642881523</v>
      </c>
      <c r="BI30" s="528">
        <f t="shared" si="36"/>
        <v>0.11621068962978431</v>
      </c>
      <c r="BJ30" s="528">
        <f t="shared" si="37"/>
        <v>4.9654341867558134E-2</v>
      </c>
      <c r="BK30">
        <f t="shared" si="38"/>
        <v>3.2288970651475533E-2</v>
      </c>
      <c r="BL30" s="460">
        <f t="shared" si="106"/>
        <v>148.49966028125985</v>
      </c>
      <c r="BM30" s="528">
        <f t="shared" si="39"/>
        <v>1.2258609653054671</v>
      </c>
      <c r="BN30" s="460">
        <f t="shared" si="107"/>
        <v>1225.8609653054671</v>
      </c>
      <c r="BO30" s="528">
        <f t="shared" si="108"/>
        <v>1.5531249999999999</v>
      </c>
      <c r="BP30" s="528"/>
      <c r="BR30" s="460">
        <f t="shared" si="109"/>
        <v>1553.1249999999998</v>
      </c>
      <c r="BS30" s="528">
        <f t="shared" si="40"/>
        <v>0.10834376983762639</v>
      </c>
      <c r="BT30" s="528">
        <f t="shared" si="41"/>
        <v>0.8916562301623735</v>
      </c>
      <c r="BU30" s="528">
        <f t="shared" si="42"/>
        <v>0.5625</v>
      </c>
      <c r="BV30" s="528">
        <f t="shared" si="43"/>
        <v>1.9592391304347823</v>
      </c>
      <c r="BW30" s="528">
        <f t="shared" si="44"/>
        <v>6.4783496380691448E-3</v>
      </c>
      <c r="BX30" s="460">
        <f t="shared" si="110"/>
        <v>1965.7174800728515</v>
      </c>
      <c r="BY30" s="173">
        <f t="shared" si="45"/>
        <v>4.8932031056595786</v>
      </c>
      <c r="BZ30" s="5">
        <f t="shared" si="111"/>
        <v>37.5</v>
      </c>
      <c r="CA30" s="173">
        <f t="shared" si="112"/>
        <v>0.88457576339622401</v>
      </c>
      <c r="CB30" s="5">
        <f t="shared" si="113"/>
        <v>88.457576339622406</v>
      </c>
      <c r="CE30" s="562">
        <f t="shared" si="46"/>
        <v>-50</v>
      </c>
      <c r="CF30">
        <f t="shared" si="47"/>
        <v>-50</v>
      </c>
      <c r="CG30" s="173">
        <f t="shared" si="48"/>
        <v>0.50662280511902213</v>
      </c>
      <c r="CI30" s="170">
        <v>25</v>
      </c>
      <c r="CJ30" s="217">
        <f t="shared" si="114"/>
        <v>2.5</v>
      </c>
      <c r="CK30" s="217"/>
      <c r="CL30" s="217">
        <f t="shared" si="49"/>
        <v>37.5</v>
      </c>
      <c r="CM30" s="541">
        <f t="shared" si="50"/>
        <v>72</v>
      </c>
      <c r="CN30" s="172">
        <f t="shared" si="51"/>
        <v>15.4</v>
      </c>
      <c r="CO30" s="443">
        <f t="shared" si="52"/>
        <v>87.4</v>
      </c>
      <c r="CP30" s="443"/>
      <c r="CQ30" s="217">
        <f t="shared" si="53"/>
        <v>0.17620137299771166</v>
      </c>
      <c r="CR30" s="172">
        <f t="shared" si="54"/>
        <v>318.30425629290613</v>
      </c>
      <c r="CS30" s="172">
        <f t="shared" si="115"/>
        <v>37.5</v>
      </c>
      <c r="CT30" s="217">
        <f t="shared" si="55"/>
        <v>21.220283752860407</v>
      </c>
      <c r="CU30" s="217">
        <f t="shared" si="56"/>
        <v>15</v>
      </c>
      <c r="CV30" s="217">
        <f t="shared" si="57"/>
        <v>21.144164759725399</v>
      </c>
      <c r="CW30" s="172">
        <f t="shared" si="58"/>
        <v>648.04441398426593</v>
      </c>
      <c r="CX30" s="172">
        <f t="shared" si="59"/>
        <v>15</v>
      </c>
      <c r="CY30" s="217">
        <f t="shared" si="60"/>
        <v>5.9117965367965368</v>
      </c>
      <c r="CZ30" s="217">
        <f t="shared" si="61"/>
        <v>0.98529942279942284</v>
      </c>
      <c r="DA30" s="217">
        <f t="shared" si="62"/>
        <v>4.6065947039973016</v>
      </c>
      <c r="DB30" s="197">
        <f t="shared" si="63"/>
        <v>105.72082379862701</v>
      </c>
      <c r="DC30" s="443">
        <f t="shared" si="116"/>
        <v>178.83028135456541</v>
      </c>
      <c r="DE30" s="217">
        <f t="shared" si="64"/>
        <v>9.9999999999999982</v>
      </c>
      <c r="DF30" s="173">
        <f t="shared" si="65"/>
        <v>7.7922077922077895</v>
      </c>
      <c r="DG30" s="173">
        <f t="shared" si="66"/>
        <v>4.118993135011439</v>
      </c>
      <c r="DH30" s="173"/>
      <c r="DI30" s="173">
        <f t="shared" si="67"/>
        <v>7.7922077922077913</v>
      </c>
      <c r="DJ30" s="545">
        <f t="shared" si="117"/>
        <v>64.166666666666671</v>
      </c>
      <c r="DK30" s="528">
        <f t="shared" si="68"/>
        <v>4.1189931350114417</v>
      </c>
      <c r="DM30" s="173">
        <f t="shared" si="69"/>
        <v>4.281744192888377</v>
      </c>
      <c r="DN30" s="173">
        <f t="shared" si="70"/>
        <v>10</v>
      </c>
      <c r="DO30" s="173">
        <f t="shared" si="71"/>
        <v>1.0366666666666666</v>
      </c>
      <c r="DQ30" s="545">
        <f t="shared" si="72"/>
        <v>2500</v>
      </c>
      <c r="DR30" s="460">
        <f t="shared" si="73"/>
        <v>64.166666666666671</v>
      </c>
      <c r="DT30">
        <f t="shared" si="74"/>
        <v>2500</v>
      </c>
      <c r="DU30" s="460">
        <f t="shared" si="75"/>
        <v>64.166666666666671</v>
      </c>
      <c r="DV30" s="460"/>
      <c r="DW30" s="5">
        <f t="shared" si="118"/>
        <v>15.584415584415583</v>
      </c>
      <c r="DX30" s="5">
        <f t="shared" si="76"/>
        <v>1.6666666666666667</v>
      </c>
      <c r="DY30" s="5">
        <f t="shared" si="119"/>
        <v>13.917748917748916</v>
      </c>
      <c r="DZ30" s="5">
        <f t="shared" si="77"/>
        <v>7.7922077922077913</v>
      </c>
      <c r="EA30" s="173">
        <f t="shared" si="120"/>
        <v>0.10694444444444447</v>
      </c>
      <c r="EB30" s="173">
        <f t="shared" si="78"/>
        <v>38.500000000000007</v>
      </c>
      <c r="EC30" s="173">
        <f t="shared" si="79"/>
        <v>4.4652777777777777</v>
      </c>
      <c r="ED30" s="173">
        <f t="shared" si="121"/>
        <v>8.6220839813374823</v>
      </c>
      <c r="EE30" s="460">
        <f t="shared" si="80"/>
        <v>27.777777777777779</v>
      </c>
      <c r="EF30" s="5">
        <f t="shared" si="81"/>
        <v>2.013563211479878</v>
      </c>
      <c r="EG30" s="5"/>
      <c r="EH30" s="173">
        <f t="shared" si="122"/>
        <v>1.8880717186629368</v>
      </c>
      <c r="EI30" s="173">
        <f t="shared" si="82"/>
        <v>5.4560533830341615</v>
      </c>
      <c r="EJ30" s="173"/>
      <c r="EK30" s="528">
        <f t="shared" si="83"/>
        <v>7.1296296296296316E-2</v>
      </c>
      <c r="EL30" s="528">
        <f t="shared" si="84"/>
        <v>1.1216333333333335</v>
      </c>
      <c r="EM30" s="528">
        <f t="shared" si="85"/>
        <v>8.0208333333333329E-3</v>
      </c>
      <c r="EN30" s="528">
        <f t="shared" si="86"/>
        <v>4.901537666666668E-2</v>
      </c>
      <c r="EO30">
        <f t="shared" si="87"/>
        <v>3.2399999999999998E-2</v>
      </c>
      <c r="EP30" s="460">
        <f t="shared" si="123"/>
        <v>40.420833333333327</v>
      </c>
      <c r="EQ30" s="528">
        <f t="shared" si="88"/>
        <v>1.3240451647199865</v>
      </c>
      <c r="ER30" s="460">
        <f t="shared" si="124"/>
        <v>1324.0451647199864</v>
      </c>
      <c r="ES30" s="528">
        <f t="shared" si="125"/>
        <v>1.5531249999999999</v>
      </c>
      <c r="ET30" s="528"/>
      <c r="EV30" s="460">
        <f t="shared" si="126"/>
        <v>1553.1249999999998</v>
      </c>
      <c r="EW30" s="528">
        <f t="shared" si="89"/>
        <v>0.10694444444444447</v>
      </c>
      <c r="EX30" s="528">
        <f t="shared" si="90"/>
        <v>0.89305555555555549</v>
      </c>
      <c r="EY30" s="528">
        <f t="shared" si="91"/>
        <v>0.52148725894977166</v>
      </c>
      <c r="EZ30" s="528">
        <f t="shared" si="92"/>
        <v>1.9146600640758387</v>
      </c>
      <c r="FA30" s="528">
        <f t="shared" si="93"/>
        <v>6.4166666666666677E-3</v>
      </c>
      <c r="FB30" s="460">
        <f t="shared" si="127"/>
        <v>1921.0767307425053</v>
      </c>
      <c r="FC30" s="173">
        <f t="shared" si="128"/>
        <v>4.7982468954624915</v>
      </c>
      <c r="FD30" s="5">
        <f t="shared" si="129"/>
        <v>37.5</v>
      </c>
      <c r="FE30" s="173">
        <f t="shared" si="130"/>
        <v>0.88656156584169876</v>
      </c>
      <c r="FF30" s="5">
        <f t="shared" si="131"/>
        <v>88.656156584169878</v>
      </c>
      <c r="FI30" s="562">
        <f t="shared" si="94"/>
        <v>-50</v>
      </c>
      <c r="FJ30">
        <f t="shared" si="95"/>
        <v>-50</v>
      </c>
      <c r="FL30">
        <f t="shared" si="96"/>
        <v>0.5</v>
      </c>
    </row>
    <row r="31" spans="5:168">
      <c r="E31" s="170">
        <v>26</v>
      </c>
      <c r="F31" s="217">
        <f t="shared" si="97"/>
        <v>2.6</v>
      </c>
      <c r="G31" s="217"/>
      <c r="H31" s="217">
        <f t="shared" si="0"/>
        <v>39</v>
      </c>
      <c r="I31" s="541">
        <f t="shared" si="1"/>
        <v>71.753268114390082</v>
      </c>
      <c r="J31" s="172">
        <f t="shared" si="2"/>
        <v>15.548039131365949</v>
      </c>
      <c r="K31" s="172">
        <f t="shared" si="3"/>
        <v>87.548039131365954</v>
      </c>
      <c r="L31" s="443"/>
      <c r="M31" s="217">
        <f t="shared" si="4"/>
        <v>0.17811475258435275</v>
      </c>
      <c r="N31" s="172">
        <f t="shared" si="5"/>
        <v>320.65811833659114</v>
      </c>
      <c r="O31" s="172">
        <f t="shared" si="98"/>
        <v>39</v>
      </c>
      <c r="P31" s="217">
        <f t="shared" si="6"/>
        <v>21.377207889106078</v>
      </c>
      <c r="Q31" s="217">
        <f t="shared" si="7"/>
        <v>15</v>
      </c>
      <c r="R31" s="217">
        <f t="shared" si="8"/>
        <v>21.300525995522193</v>
      </c>
      <c r="S31" s="172">
        <f t="shared" si="9"/>
        <v>618.22839728539429</v>
      </c>
      <c r="T31" s="172">
        <f t="shared" si="10"/>
        <v>15</v>
      </c>
      <c r="U31" s="217">
        <f t="shared" si="99"/>
        <v>6.3269173115723705</v>
      </c>
      <c r="V31" s="217">
        <f t="shared" si="11"/>
        <v>1.0581121910409839</v>
      </c>
      <c r="W31" s="217">
        <f t="shared" si="12"/>
        <v>4.8831243025176478</v>
      </c>
      <c r="X31" s="197">
        <f t="shared" si="13"/>
        <v>106.49159174915671</v>
      </c>
      <c r="Y31" s="443">
        <f t="shared" si="14"/>
        <v>162.83365752953358</v>
      </c>
      <c r="AA31" s="217">
        <f t="shared" si="15"/>
        <v>10</v>
      </c>
      <c r="AB31" s="173">
        <f t="shared" si="16"/>
        <v>7.7180150491078416</v>
      </c>
      <c r="AC31" s="173">
        <f t="shared" si="17"/>
        <v>4.1095185386172002</v>
      </c>
      <c r="AD31" s="173"/>
      <c r="AE31" s="173">
        <f t="shared" si="18"/>
        <v>7.7180150491078416</v>
      </c>
      <c r="AF31" s="545">
        <f t="shared" si="100"/>
        <v>67.374836235919105</v>
      </c>
      <c r="AG31" s="528">
        <f t="shared" si="19"/>
        <v>4.1095185386172002</v>
      </c>
      <c r="AI31" s="173">
        <f t="shared" si="20"/>
        <v>4.3874768615073751</v>
      </c>
      <c r="AJ31" s="173">
        <f t="shared" si="21"/>
        <v>10</v>
      </c>
      <c r="AK31" s="173">
        <f t="shared" si="22"/>
        <v>1.0384999064205251</v>
      </c>
      <c r="AM31" s="545">
        <f t="shared" si="23"/>
        <v>2600</v>
      </c>
      <c r="AN31" s="460">
        <f t="shared" si="24"/>
        <v>67.374836235919105</v>
      </c>
      <c r="AP31">
        <f t="shared" si="25"/>
        <v>2600</v>
      </c>
      <c r="AQ31" s="460">
        <f t="shared" si="26"/>
        <v>67.374836235919105</v>
      </c>
      <c r="AR31" s="460"/>
      <c r="AS31" s="5">
        <f t="shared" si="101"/>
        <v>14.842336632899695</v>
      </c>
      <c r="AT31" s="5">
        <f t="shared" si="27"/>
        <v>1.6723976921677532</v>
      </c>
      <c r="AU31" s="5">
        <f t="shared" si="102"/>
        <v>13.169938940731942</v>
      </c>
      <c r="AV31" s="5">
        <f t="shared" si="28"/>
        <v>7.7180150491078416</v>
      </c>
      <c r="AW31" s="173">
        <f t="shared" si="103"/>
        <v>0.11267752063113144</v>
      </c>
      <c r="AX31" s="173">
        <f t="shared" si="29"/>
        <v>40.424901741551466</v>
      </c>
      <c r="AY31" s="173">
        <f t="shared" si="30"/>
        <v>4.4366123968443425</v>
      </c>
      <c r="AZ31" s="173">
        <f t="shared" si="104"/>
        <v>9.111659555904577</v>
      </c>
      <c r="BA31" s="460">
        <f t="shared" si="31"/>
        <v>28.988226664241058</v>
      </c>
      <c r="BB31" s="5">
        <f t="shared" si="32"/>
        <v>1.9884019540007931</v>
      </c>
      <c r="BC31" s="5"/>
      <c r="BD31" s="173">
        <f t="shared" si="105"/>
        <v>1.938018925183923</v>
      </c>
      <c r="BE31" s="173">
        <f t="shared" si="33"/>
        <v>5.4385122946410895</v>
      </c>
      <c r="BF31" s="173"/>
      <c r="BG31" s="528">
        <f t="shared" si="34"/>
        <v>7.5118347087420961E-2</v>
      </c>
      <c r="BH31" s="528">
        <f t="shared" si="35"/>
        <v>1.1059752748596785</v>
      </c>
      <c r="BI31" s="528">
        <f t="shared" si="36"/>
        <v>0.12085911721497568</v>
      </c>
      <c r="BJ31" s="528">
        <f t="shared" si="37"/>
        <v>5.1640515542260457E-2</v>
      </c>
      <c r="BK31">
        <f t="shared" si="38"/>
        <v>3.2288970651475533E-2</v>
      </c>
      <c r="BL31" s="460">
        <f t="shared" si="106"/>
        <v>153.14808786645119</v>
      </c>
      <c r="BM31" s="528">
        <f t="shared" si="39"/>
        <v>1.2757864804668002</v>
      </c>
      <c r="BN31" s="460">
        <f t="shared" si="107"/>
        <v>1275.7864804668002</v>
      </c>
      <c r="BO31" s="528">
        <f t="shared" si="108"/>
        <v>1.6152499999999999</v>
      </c>
      <c r="BP31" s="528"/>
      <c r="BR31" s="460">
        <f t="shared" si="109"/>
        <v>1615.2499999999998</v>
      </c>
      <c r="BS31" s="528">
        <f t="shared" si="40"/>
        <v>0.11267752063113144</v>
      </c>
      <c r="BT31" s="528">
        <f t="shared" si="41"/>
        <v>0.88732247936886866</v>
      </c>
      <c r="BU31" s="528">
        <f t="shared" si="42"/>
        <v>0.58499999999999996</v>
      </c>
      <c r="BV31" s="528">
        <f t="shared" si="43"/>
        <v>1.9836956521739129</v>
      </c>
      <c r="BW31" s="528">
        <f t="shared" si="44"/>
        <v>6.7374836235919106E-3</v>
      </c>
      <c r="BX31" s="460">
        <f t="shared" si="110"/>
        <v>1990.4331357975047</v>
      </c>
      <c r="BY31" s="173">
        <f t="shared" si="45"/>
        <v>5.0346177041307572</v>
      </c>
      <c r="BZ31" s="5">
        <f t="shared" si="111"/>
        <v>39</v>
      </c>
      <c r="CA31" s="173">
        <f t="shared" si="112"/>
        <v>0.88566682381669737</v>
      </c>
      <c r="CB31" s="5">
        <f t="shared" si="113"/>
        <v>88.566682381669736</v>
      </c>
      <c r="CE31" s="562">
        <f t="shared" si="46"/>
        <v>-50</v>
      </c>
      <c r="CF31">
        <f t="shared" si="47"/>
        <v>-50</v>
      </c>
      <c r="CG31" s="173">
        <f t="shared" si="48"/>
        <v>0.52688771732378314</v>
      </c>
      <c r="CI31" s="170">
        <v>26</v>
      </c>
      <c r="CJ31" s="217">
        <f t="shared" si="114"/>
        <v>2.6</v>
      </c>
      <c r="CK31" s="217"/>
      <c r="CL31" s="217">
        <f t="shared" si="49"/>
        <v>39</v>
      </c>
      <c r="CM31" s="541">
        <f t="shared" si="50"/>
        <v>72</v>
      </c>
      <c r="CN31" s="172">
        <f t="shared" si="51"/>
        <v>15.4</v>
      </c>
      <c r="CO31" s="443">
        <f t="shared" si="52"/>
        <v>87.4</v>
      </c>
      <c r="CP31" s="443"/>
      <c r="CQ31" s="217">
        <f t="shared" si="53"/>
        <v>0.17620137299771166</v>
      </c>
      <c r="CR31" s="172">
        <f t="shared" si="54"/>
        <v>318.30425629290613</v>
      </c>
      <c r="CS31" s="172">
        <f t="shared" si="115"/>
        <v>39</v>
      </c>
      <c r="CT31" s="217">
        <f t="shared" si="55"/>
        <v>21.220283752860407</v>
      </c>
      <c r="CU31" s="217">
        <f t="shared" si="56"/>
        <v>15</v>
      </c>
      <c r="CV31" s="217">
        <f t="shared" si="57"/>
        <v>21.144164759725399</v>
      </c>
      <c r="CW31" s="172">
        <f t="shared" si="58"/>
        <v>620.3540874915185</v>
      </c>
      <c r="CX31" s="172">
        <f t="shared" si="59"/>
        <v>15</v>
      </c>
      <c r="CY31" s="217">
        <f t="shared" si="60"/>
        <v>6.1482683982683985</v>
      </c>
      <c r="CZ31" s="217">
        <f t="shared" si="61"/>
        <v>1.0247113997113997</v>
      </c>
      <c r="DA31" s="217">
        <f t="shared" si="62"/>
        <v>4.7908584921571933</v>
      </c>
      <c r="DB31" s="197">
        <f t="shared" si="63"/>
        <v>105.72082379862701</v>
      </c>
      <c r="DC31" s="443">
        <f t="shared" si="116"/>
        <v>171.95219361015904</v>
      </c>
      <c r="DE31" s="217">
        <f t="shared" si="64"/>
        <v>9.9999999999999982</v>
      </c>
      <c r="DF31" s="173">
        <f t="shared" si="65"/>
        <v>7.7922077922077895</v>
      </c>
      <c r="DG31" s="173">
        <f t="shared" si="66"/>
        <v>4.118993135011439</v>
      </c>
      <c r="DH31" s="173"/>
      <c r="DI31" s="173">
        <f t="shared" si="67"/>
        <v>7.7922077922077913</v>
      </c>
      <c r="DJ31" s="545">
        <f t="shared" si="117"/>
        <v>66.733333333333348</v>
      </c>
      <c r="DK31" s="528">
        <f t="shared" si="68"/>
        <v>4.1189931350114417</v>
      </c>
      <c r="DM31" s="173">
        <f t="shared" si="69"/>
        <v>4.3665394383500846</v>
      </c>
      <c r="DN31" s="173">
        <f t="shared" si="70"/>
        <v>10</v>
      </c>
      <c r="DO31" s="173">
        <f t="shared" si="71"/>
        <v>1.0381333333333334</v>
      </c>
      <c r="DQ31" s="545">
        <f t="shared" si="72"/>
        <v>2600</v>
      </c>
      <c r="DR31" s="460">
        <f t="shared" si="73"/>
        <v>66.733333333333348</v>
      </c>
      <c r="DT31">
        <f t="shared" si="74"/>
        <v>2600</v>
      </c>
      <c r="DU31" s="460">
        <f t="shared" si="75"/>
        <v>66.733333333333348</v>
      </c>
      <c r="DV31" s="460"/>
      <c r="DW31" s="5">
        <f t="shared" si="118"/>
        <v>14.985014985014983</v>
      </c>
      <c r="DX31" s="5">
        <f t="shared" si="76"/>
        <v>1.6666666666666667</v>
      </c>
      <c r="DY31" s="5">
        <f t="shared" si="119"/>
        <v>13.318348318348317</v>
      </c>
      <c r="DZ31" s="5">
        <f t="shared" si="77"/>
        <v>7.7922077922077913</v>
      </c>
      <c r="EA31" s="173">
        <f t="shared" si="120"/>
        <v>0.11122222222222224</v>
      </c>
      <c r="EB31" s="173">
        <f t="shared" si="78"/>
        <v>40.040000000000013</v>
      </c>
      <c r="EC31" s="173">
        <f t="shared" si="79"/>
        <v>4.443888888888889</v>
      </c>
      <c r="ED31" s="173">
        <f t="shared" si="121"/>
        <v>9.0101262657832262</v>
      </c>
      <c r="EE31" s="460">
        <f t="shared" si="80"/>
        <v>28.888888888888893</v>
      </c>
      <c r="EF31" s="5">
        <f t="shared" si="81"/>
        <v>2.0039181497514824</v>
      </c>
      <c r="EG31" s="5"/>
      <c r="EH31" s="173">
        <f t="shared" si="122"/>
        <v>1.925462907304996</v>
      </c>
      <c r="EI31" s="173">
        <f t="shared" si="82"/>
        <v>5.4429703219773229</v>
      </c>
      <c r="EJ31" s="173"/>
      <c r="EK31" s="528">
        <f t="shared" si="83"/>
        <v>7.4148148148148157E-2</v>
      </c>
      <c r="EL31" s="528">
        <f t="shared" si="84"/>
        <v>1.166498666666667</v>
      </c>
      <c r="EM31" s="528">
        <f t="shared" si="85"/>
        <v>8.3416666666666691E-3</v>
      </c>
      <c r="EN31" s="528">
        <f t="shared" si="86"/>
        <v>5.0975991733333358E-2</v>
      </c>
      <c r="EO31">
        <f t="shared" si="87"/>
        <v>3.2399999999999998E-2</v>
      </c>
      <c r="EP31" s="460">
        <f t="shared" si="123"/>
        <v>40.741666666666667</v>
      </c>
      <c r="EQ31" s="528">
        <f t="shared" si="88"/>
        <v>1.3766375224299778</v>
      </c>
      <c r="ER31" s="460">
        <f t="shared" si="124"/>
        <v>1376.6375224299779</v>
      </c>
      <c r="ES31" s="528">
        <f t="shared" si="125"/>
        <v>1.6152499999999999</v>
      </c>
      <c r="ET31" s="528"/>
      <c r="EV31" s="460">
        <f t="shared" si="126"/>
        <v>1615.2499999999998</v>
      </c>
      <c r="EW31" s="528">
        <f t="shared" si="89"/>
        <v>0.11122222222222222</v>
      </c>
      <c r="EX31" s="528">
        <f t="shared" si="90"/>
        <v>0.88877777777777767</v>
      </c>
      <c r="EY31" s="528">
        <f t="shared" si="91"/>
        <v>0.57521082483361041</v>
      </c>
      <c r="EZ31" s="528">
        <f t="shared" si="92"/>
        <v>1.973055244384359</v>
      </c>
      <c r="FA31" s="528">
        <f t="shared" si="93"/>
        <v>6.6733333333333349E-3</v>
      </c>
      <c r="FB31" s="460">
        <f t="shared" si="127"/>
        <v>1979.7285777176924</v>
      </c>
      <c r="FC31" s="173">
        <f t="shared" si="128"/>
        <v>4.9716161001476706</v>
      </c>
      <c r="FD31" s="5">
        <f t="shared" si="129"/>
        <v>39</v>
      </c>
      <c r="FE31" s="173">
        <f t="shared" si="130"/>
        <v>0.88693578855904331</v>
      </c>
      <c r="FF31" s="5">
        <f t="shared" si="131"/>
        <v>88.693578855904335</v>
      </c>
      <c r="FI31" s="562">
        <f t="shared" si="94"/>
        <v>-50</v>
      </c>
      <c r="FJ31">
        <f t="shared" si="95"/>
        <v>-50</v>
      </c>
      <c r="FL31">
        <f t="shared" si="96"/>
        <v>0.52</v>
      </c>
    </row>
    <row r="32" spans="5:168">
      <c r="E32" s="170">
        <v>27</v>
      </c>
      <c r="F32" s="217">
        <f t="shared" si="97"/>
        <v>2.7</v>
      </c>
      <c r="G32" s="217"/>
      <c r="H32" s="217">
        <f t="shared" si="0"/>
        <v>40.5</v>
      </c>
      <c r="I32" s="541">
        <f t="shared" si="1"/>
        <v>71.753268114390082</v>
      </c>
      <c r="J32" s="172">
        <f t="shared" si="2"/>
        <v>15.548039131365949</v>
      </c>
      <c r="K32" s="172">
        <f t="shared" si="3"/>
        <v>87.548039131365954</v>
      </c>
      <c r="L32" s="443"/>
      <c r="M32" s="217">
        <f t="shared" si="4"/>
        <v>0.17811475258435275</v>
      </c>
      <c r="N32" s="172">
        <f t="shared" si="5"/>
        <v>320.65811833659114</v>
      </c>
      <c r="O32" s="172">
        <f t="shared" si="98"/>
        <v>40.5</v>
      </c>
      <c r="P32" s="217">
        <f t="shared" si="6"/>
        <v>21.377207889106078</v>
      </c>
      <c r="Q32" s="217">
        <f t="shared" si="7"/>
        <v>15</v>
      </c>
      <c r="R32" s="217">
        <f t="shared" si="8"/>
        <v>21.300525995522193</v>
      </c>
      <c r="S32" s="172">
        <f t="shared" si="9"/>
        <v>592.67723793346454</v>
      </c>
      <c r="T32" s="172">
        <f t="shared" si="10"/>
        <v>15</v>
      </c>
      <c r="U32" s="217">
        <f t="shared" si="99"/>
        <v>6.5702602850943856</v>
      </c>
      <c r="V32" s="217">
        <f t="shared" si="11"/>
        <v>1.0988088137733294</v>
      </c>
      <c r="W32" s="217">
        <f t="shared" si="12"/>
        <v>5.0709367756914041</v>
      </c>
      <c r="X32" s="197">
        <f t="shared" si="13"/>
        <v>106.49159174915671</v>
      </c>
      <c r="Y32" s="443">
        <f t="shared" si="14"/>
        <v>156.99214135866808</v>
      </c>
      <c r="AA32" s="217">
        <f t="shared" si="15"/>
        <v>10</v>
      </c>
      <c r="AB32" s="173">
        <f t="shared" si="16"/>
        <v>7.7180150491078416</v>
      </c>
      <c r="AC32" s="173">
        <f t="shared" si="17"/>
        <v>4.1095185386172002</v>
      </c>
      <c r="AD32" s="173"/>
      <c r="AE32" s="173">
        <f t="shared" si="18"/>
        <v>7.7180150491078416</v>
      </c>
      <c r="AF32" s="545">
        <f t="shared" si="100"/>
        <v>69.966176091146764</v>
      </c>
      <c r="AG32" s="528">
        <f t="shared" si="19"/>
        <v>4.1095185386172002</v>
      </c>
      <c r="AI32" s="173">
        <f t="shared" si="20"/>
        <v>4.4710553593130484</v>
      </c>
      <c r="AJ32" s="173">
        <f t="shared" si="21"/>
        <v>10</v>
      </c>
      <c r="AK32" s="173">
        <f t="shared" si="22"/>
        <v>1.0399806720520839</v>
      </c>
      <c r="AM32" s="545">
        <f t="shared" si="23"/>
        <v>2700</v>
      </c>
      <c r="AN32" s="460">
        <f t="shared" si="24"/>
        <v>69.966176091146764</v>
      </c>
      <c r="AP32">
        <f t="shared" si="25"/>
        <v>2700</v>
      </c>
      <c r="AQ32" s="460">
        <f t="shared" si="26"/>
        <v>69.966176091146764</v>
      </c>
      <c r="AR32" s="460"/>
      <c r="AS32" s="5">
        <f t="shared" si="101"/>
        <v>14.292620461310818</v>
      </c>
      <c r="AT32" s="5">
        <f t="shared" si="27"/>
        <v>1.6723976921677532</v>
      </c>
      <c r="AU32" s="5">
        <f t="shared" si="102"/>
        <v>12.620222769143066</v>
      </c>
      <c r="AV32" s="5">
        <f t="shared" si="28"/>
        <v>7.7180150491078416</v>
      </c>
      <c r="AW32" s="173">
        <f t="shared" si="103"/>
        <v>0.11701127142463648</v>
      </c>
      <c r="AX32" s="173">
        <f t="shared" si="29"/>
        <v>41.979705654688061</v>
      </c>
      <c r="AY32" s="173">
        <f t="shared" si="30"/>
        <v>4.4149436428768176</v>
      </c>
      <c r="AZ32" s="173">
        <f t="shared" si="104"/>
        <v>9.5085484777182128</v>
      </c>
      <c r="BA32" s="460">
        <f t="shared" si="31"/>
        <v>30.103158459019564</v>
      </c>
      <c r="BB32" s="5">
        <f t="shared" si="32"/>
        <v>1.978690446914793</v>
      </c>
      <c r="BC32" s="5"/>
      <c r="BD32" s="173">
        <f t="shared" si="105"/>
        <v>1.9749368886510144</v>
      </c>
      <c r="BE32" s="173">
        <f t="shared" si="33"/>
        <v>5.4252149836830235</v>
      </c>
      <c r="BF32" s="173"/>
      <c r="BG32" s="528">
        <f t="shared" si="34"/>
        <v>7.8007514283090981E-2</v>
      </c>
      <c r="BH32" s="528">
        <f t="shared" si="35"/>
        <v>1.1485127854312045</v>
      </c>
      <c r="BI32" s="528">
        <f t="shared" si="36"/>
        <v>0.12550754480016704</v>
      </c>
      <c r="BJ32" s="528">
        <f t="shared" si="37"/>
        <v>5.3626689216962786E-2</v>
      </c>
      <c r="BK32">
        <f t="shared" si="38"/>
        <v>3.2288970651475533E-2</v>
      </c>
      <c r="BL32" s="460">
        <f t="shared" si="106"/>
        <v>157.79651545164259</v>
      </c>
      <c r="BM32" s="528">
        <f t="shared" si="39"/>
        <v>1.3257818344109491</v>
      </c>
      <c r="BN32" s="460">
        <f t="shared" si="107"/>
        <v>1325.7818344109492</v>
      </c>
      <c r="BO32" s="528">
        <f t="shared" si="108"/>
        <v>1.6773749999999998</v>
      </c>
      <c r="BP32" s="528"/>
      <c r="BR32" s="460">
        <f t="shared" si="109"/>
        <v>1677.3749999999998</v>
      </c>
      <c r="BS32" s="528">
        <f t="shared" si="40"/>
        <v>0.11701127142463646</v>
      </c>
      <c r="BT32" s="528">
        <f t="shared" si="41"/>
        <v>0.8829887285753637</v>
      </c>
      <c r="BU32" s="528">
        <f t="shared" si="42"/>
        <v>0.60749999999999993</v>
      </c>
      <c r="BV32" s="528">
        <f t="shared" si="43"/>
        <v>2.0081521739130439</v>
      </c>
      <c r="BW32" s="528">
        <f t="shared" si="44"/>
        <v>6.9966176091146772E-3</v>
      </c>
      <c r="BX32" s="460">
        <f t="shared" si="110"/>
        <v>2015.1487915221585</v>
      </c>
      <c r="BY32" s="173">
        <f t="shared" si="45"/>
        <v>5.1761021413847512</v>
      </c>
      <c r="BZ32" s="5">
        <f t="shared" si="111"/>
        <v>40.5</v>
      </c>
      <c r="CA32" s="173">
        <f t="shared" si="112"/>
        <v>0.88667811177576483</v>
      </c>
      <c r="CB32" s="5">
        <f t="shared" si="113"/>
        <v>88.667811177576482</v>
      </c>
      <c r="CE32" s="562">
        <f t="shared" si="46"/>
        <v>-50</v>
      </c>
      <c r="CF32">
        <f t="shared" si="47"/>
        <v>-50</v>
      </c>
      <c r="CG32" s="173">
        <f t="shared" si="48"/>
        <v>0.54715262952854382</v>
      </c>
      <c r="CI32" s="170">
        <v>27</v>
      </c>
      <c r="CJ32" s="217">
        <f t="shared" si="114"/>
        <v>2.7</v>
      </c>
      <c r="CK32" s="217"/>
      <c r="CL32" s="217">
        <f t="shared" si="49"/>
        <v>40.5</v>
      </c>
      <c r="CM32" s="541">
        <f t="shared" si="50"/>
        <v>72</v>
      </c>
      <c r="CN32" s="172">
        <f t="shared" si="51"/>
        <v>15.4</v>
      </c>
      <c r="CO32" s="443">
        <f t="shared" si="52"/>
        <v>87.4</v>
      </c>
      <c r="CP32" s="443"/>
      <c r="CQ32" s="217">
        <f t="shared" si="53"/>
        <v>0.17620137299771166</v>
      </c>
      <c r="CR32" s="172">
        <f t="shared" si="54"/>
        <v>318.30425629290613</v>
      </c>
      <c r="CS32" s="172">
        <f t="shared" si="115"/>
        <v>40.5</v>
      </c>
      <c r="CT32" s="217">
        <f t="shared" si="55"/>
        <v>21.220283752860407</v>
      </c>
      <c r="CU32" s="217">
        <f t="shared" si="56"/>
        <v>15</v>
      </c>
      <c r="CV32" s="217">
        <f t="shared" si="57"/>
        <v>21.144164759725399</v>
      </c>
      <c r="CW32" s="172">
        <f t="shared" si="58"/>
        <v>594.71506066961388</v>
      </c>
      <c r="CX32" s="172">
        <f t="shared" si="59"/>
        <v>15</v>
      </c>
      <c r="CY32" s="217">
        <f t="shared" si="60"/>
        <v>6.3847402597402603</v>
      </c>
      <c r="CZ32" s="217">
        <f t="shared" si="61"/>
        <v>1.0641233766233769</v>
      </c>
      <c r="DA32" s="217">
        <f t="shared" si="62"/>
        <v>4.9751222803170867</v>
      </c>
      <c r="DB32" s="197">
        <f t="shared" si="63"/>
        <v>105.72082379862701</v>
      </c>
      <c r="DC32" s="443">
        <f t="shared" si="116"/>
        <v>165.58359384681975</v>
      </c>
      <c r="DE32" s="217">
        <f t="shared" si="64"/>
        <v>9.9999999999999982</v>
      </c>
      <c r="DF32" s="173">
        <f t="shared" si="65"/>
        <v>7.7922077922077895</v>
      </c>
      <c r="DG32" s="173">
        <f t="shared" si="66"/>
        <v>4.118993135011439</v>
      </c>
      <c r="DH32" s="173"/>
      <c r="DI32" s="173">
        <f t="shared" si="67"/>
        <v>7.7922077922077913</v>
      </c>
      <c r="DJ32" s="545">
        <f t="shared" si="117"/>
        <v>69.3</v>
      </c>
      <c r="DK32" s="528">
        <f t="shared" si="68"/>
        <v>4.1189931350114417</v>
      </c>
      <c r="DM32" s="173">
        <f t="shared" si="69"/>
        <v>4.4497190922573981</v>
      </c>
      <c r="DN32" s="173">
        <f t="shared" si="70"/>
        <v>10</v>
      </c>
      <c r="DO32" s="173">
        <f t="shared" si="71"/>
        <v>1.0396000000000001</v>
      </c>
      <c r="DQ32" s="545">
        <f t="shared" si="72"/>
        <v>2700</v>
      </c>
      <c r="DR32" s="460">
        <f t="shared" si="73"/>
        <v>69.3</v>
      </c>
      <c r="DT32">
        <f t="shared" si="74"/>
        <v>2700</v>
      </c>
      <c r="DU32" s="460">
        <f t="shared" si="75"/>
        <v>69.3</v>
      </c>
      <c r="DV32" s="460"/>
      <c r="DW32" s="5">
        <f t="shared" si="118"/>
        <v>14.430014430014429</v>
      </c>
      <c r="DX32" s="5">
        <f t="shared" si="76"/>
        <v>1.6666666666666667</v>
      </c>
      <c r="DY32" s="5">
        <f t="shared" si="119"/>
        <v>12.763347763347763</v>
      </c>
      <c r="DZ32" s="5">
        <f t="shared" si="77"/>
        <v>7.7922077922077913</v>
      </c>
      <c r="EA32" s="173">
        <f t="shared" si="120"/>
        <v>0.11550000000000001</v>
      </c>
      <c r="EB32" s="173">
        <f t="shared" si="78"/>
        <v>41.58</v>
      </c>
      <c r="EC32" s="173">
        <f t="shared" si="79"/>
        <v>4.4224999999999994</v>
      </c>
      <c r="ED32" s="173">
        <f t="shared" si="121"/>
        <v>9.4019219898247606</v>
      </c>
      <c r="EE32" s="460">
        <f t="shared" si="80"/>
        <v>30.000000000000007</v>
      </c>
      <c r="EF32" s="5">
        <f t="shared" si="81"/>
        <v>1.9942730880230881</v>
      </c>
      <c r="EG32" s="5"/>
      <c r="EH32" s="173">
        <f t="shared" si="122"/>
        <v>1.9621416870348585</v>
      </c>
      <c r="EI32" s="173">
        <f t="shared" si="82"/>
        <v>5.4298557378012653</v>
      </c>
      <c r="EJ32" s="173"/>
      <c r="EK32" s="528">
        <f t="shared" si="83"/>
        <v>7.7000000000000013E-2</v>
      </c>
      <c r="EL32" s="528">
        <f t="shared" si="84"/>
        <v>1.2113640000000001</v>
      </c>
      <c r="EM32" s="528">
        <f t="shared" si="85"/>
        <v>8.6624999999999983E-3</v>
      </c>
      <c r="EN32" s="528">
        <f t="shared" si="86"/>
        <v>5.2936606800000015E-2</v>
      </c>
      <c r="EO32">
        <f t="shared" si="87"/>
        <v>3.2399999999999998E-2</v>
      </c>
      <c r="EP32" s="460">
        <f t="shared" si="123"/>
        <v>41.062499999999993</v>
      </c>
      <c r="EQ32" s="528">
        <f t="shared" si="88"/>
        <v>1.4293024815606485</v>
      </c>
      <c r="ER32" s="460">
        <f t="shared" si="124"/>
        <v>1429.3024815606486</v>
      </c>
      <c r="ES32" s="528">
        <f t="shared" si="125"/>
        <v>1.6773749999999998</v>
      </c>
      <c r="ET32" s="528"/>
      <c r="EV32" s="460">
        <f t="shared" si="126"/>
        <v>1677.3749999999998</v>
      </c>
      <c r="EW32" s="528">
        <f t="shared" si="89"/>
        <v>0.11550000000000001</v>
      </c>
      <c r="EX32" s="528">
        <f t="shared" si="90"/>
        <v>0.88449999999999973</v>
      </c>
      <c r="EY32" s="528">
        <f t="shared" si="91"/>
        <v>0.63212518081210267</v>
      </c>
      <c r="EZ32" s="528">
        <f t="shared" si="92"/>
        <v>2.0349186747957635</v>
      </c>
      <c r="FA32" s="528">
        <f t="shared" si="93"/>
        <v>6.9300000000000004E-3</v>
      </c>
      <c r="FB32" s="460">
        <f t="shared" si="127"/>
        <v>2041.8486747957636</v>
      </c>
      <c r="FC32" s="173">
        <f t="shared" si="128"/>
        <v>5.1485261563564118</v>
      </c>
      <c r="FD32" s="5">
        <f t="shared" si="129"/>
        <v>40.5</v>
      </c>
      <c r="FE32" s="173">
        <f t="shared" si="130"/>
        <v>0.88721374839744971</v>
      </c>
      <c r="FF32" s="5">
        <f t="shared" si="131"/>
        <v>88.721374839744968</v>
      </c>
      <c r="FI32" s="562">
        <f t="shared" si="94"/>
        <v>-50</v>
      </c>
      <c r="FJ32">
        <f t="shared" si="95"/>
        <v>-50</v>
      </c>
      <c r="FL32">
        <f t="shared" si="96"/>
        <v>0.54</v>
      </c>
    </row>
    <row r="33" spans="5:168">
      <c r="E33" s="170">
        <v>28</v>
      </c>
      <c r="F33" s="217">
        <f t="shared" si="97"/>
        <v>2.8000000000000003</v>
      </c>
      <c r="G33" s="217"/>
      <c r="H33" s="217">
        <f t="shared" si="0"/>
        <v>42.000000000000007</v>
      </c>
      <c r="I33" s="541">
        <f t="shared" si="1"/>
        <v>71.753268114390082</v>
      </c>
      <c r="J33" s="172">
        <f t="shared" si="2"/>
        <v>15.548039131365949</v>
      </c>
      <c r="K33" s="172">
        <f t="shared" si="3"/>
        <v>87.548039131365954</v>
      </c>
      <c r="L33" s="443"/>
      <c r="M33" s="217">
        <f t="shared" si="4"/>
        <v>0.17811475258435275</v>
      </c>
      <c r="N33" s="172">
        <f t="shared" si="5"/>
        <v>320.65811833659114</v>
      </c>
      <c r="O33" s="172">
        <f t="shared" si="98"/>
        <v>42.000000000000007</v>
      </c>
      <c r="P33" s="217">
        <f t="shared" si="6"/>
        <v>21.377207889106078</v>
      </c>
      <c r="Q33" s="217">
        <f t="shared" si="7"/>
        <v>15</v>
      </c>
      <c r="R33" s="217">
        <f t="shared" si="8"/>
        <v>21.300525995522193</v>
      </c>
      <c r="S33" s="172">
        <f t="shared" si="9"/>
        <v>568.95132201776926</v>
      </c>
      <c r="T33" s="172">
        <f t="shared" si="10"/>
        <v>15</v>
      </c>
      <c r="U33" s="217">
        <f t="shared" si="99"/>
        <v>6.8136032586163999</v>
      </c>
      <c r="V33" s="217">
        <f t="shared" si="11"/>
        <v>1.1395054365056749</v>
      </c>
      <c r="W33" s="217">
        <f t="shared" si="12"/>
        <v>5.2587492488651604</v>
      </c>
      <c r="X33" s="197">
        <f t="shared" si="13"/>
        <v>106.49159174915671</v>
      </c>
      <c r="Y33" s="443">
        <f t="shared" si="14"/>
        <v>151.55522902399122</v>
      </c>
      <c r="AA33" s="217">
        <f t="shared" si="15"/>
        <v>10</v>
      </c>
      <c r="AB33" s="173">
        <f t="shared" si="16"/>
        <v>7.7180150491078416</v>
      </c>
      <c r="AC33" s="173">
        <f t="shared" si="17"/>
        <v>4.1095185386172002</v>
      </c>
      <c r="AD33" s="173"/>
      <c r="AE33" s="173">
        <f t="shared" si="18"/>
        <v>7.7180150491078416</v>
      </c>
      <c r="AF33" s="545">
        <f t="shared" si="100"/>
        <v>72.557515946374423</v>
      </c>
      <c r="AG33" s="528">
        <f t="shared" si="19"/>
        <v>4.1095185386172002</v>
      </c>
      <c r="AI33" s="173">
        <f t="shared" si="20"/>
        <v>4.5530999156422283</v>
      </c>
      <c r="AJ33" s="173">
        <f t="shared" si="21"/>
        <v>10</v>
      </c>
      <c r="AK33" s="173">
        <f t="shared" si="22"/>
        <v>1.0414614376836426</v>
      </c>
      <c r="AM33" s="545">
        <f t="shared" si="23"/>
        <v>2800.0000000000005</v>
      </c>
      <c r="AN33" s="460">
        <f t="shared" si="24"/>
        <v>72.557515946374423</v>
      </c>
      <c r="AP33">
        <f t="shared" si="25"/>
        <v>2800.0000000000005</v>
      </c>
      <c r="AQ33" s="460">
        <f t="shared" si="26"/>
        <v>72.557515946374423</v>
      </c>
      <c r="AR33" s="460"/>
      <c r="AS33" s="5">
        <f t="shared" si="101"/>
        <v>13.782169730549716</v>
      </c>
      <c r="AT33" s="5">
        <f t="shared" si="27"/>
        <v>1.6723976921677532</v>
      </c>
      <c r="AU33" s="5">
        <f t="shared" si="102"/>
        <v>12.109772038381964</v>
      </c>
      <c r="AV33" s="5">
        <f t="shared" si="28"/>
        <v>7.7180150491078416</v>
      </c>
      <c r="AW33" s="173">
        <f t="shared" si="103"/>
        <v>0.12134502221814154</v>
      </c>
      <c r="AX33" s="173">
        <f t="shared" si="29"/>
        <v>43.534509567824657</v>
      </c>
      <c r="AY33" s="173">
        <f t="shared" si="30"/>
        <v>4.3932748889092919</v>
      </c>
      <c r="AZ33" s="173">
        <f t="shared" si="104"/>
        <v>9.9093525146187407</v>
      </c>
      <c r="BA33" s="460">
        <f t="shared" si="31"/>
        <v>31.218090253798064</v>
      </c>
      <c r="BB33" s="5">
        <f t="shared" si="32"/>
        <v>1.9689789398287929</v>
      </c>
      <c r="BC33" s="5"/>
      <c r="BD33" s="173">
        <f t="shared" si="105"/>
        <v>2.0111772855564105</v>
      </c>
      <c r="BE33" s="173">
        <f t="shared" si="33"/>
        <v>5.4118850005700665</v>
      </c>
      <c r="BF33" s="173"/>
      <c r="BG33" s="528">
        <f t="shared" si="34"/>
        <v>8.0896681478761043E-2</v>
      </c>
      <c r="BH33" s="528">
        <f t="shared" si="35"/>
        <v>1.1910502960027307</v>
      </c>
      <c r="BI33" s="528">
        <f t="shared" si="36"/>
        <v>0.13015597238535842</v>
      </c>
      <c r="BJ33" s="528">
        <f t="shared" si="37"/>
        <v>5.5612862891665116E-2</v>
      </c>
      <c r="BK33">
        <f t="shared" si="38"/>
        <v>3.2288970651475533E-2</v>
      </c>
      <c r="BL33" s="460">
        <f t="shared" si="106"/>
        <v>162.44494303683396</v>
      </c>
      <c r="BM33" s="528">
        <f t="shared" si="39"/>
        <v>1.3758471737824518</v>
      </c>
      <c r="BN33" s="460">
        <f t="shared" si="107"/>
        <v>1375.8471737824518</v>
      </c>
      <c r="BO33" s="528">
        <f t="shared" si="108"/>
        <v>1.7394999999999998</v>
      </c>
      <c r="BP33" s="528"/>
      <c r="BR33" s="460">
        <f t="shared" si="109"/>
        <v>1739.4999999999998</v>
      </c>
      <c r="BS33" s="528">
        <f t="shared" si="40"/>
        <v>0.12134502221814156</v>
      </c>
      <c r="BT33" s="528">
        <f t="shared" si="41"/>
        <v>0.87865497778185808</v>
      </c>
      <c r="BU33" s="528">
        <f t="shared" si="42"/>
        <v>0.63000000000000012</v>
      </c>
      <c r="BV33" s="528">
        <f t="shared" si="43"/>
        <v>2.0326086956521734</v>
      </c>
      <c r="BW33" s="528">
        <f t="shared" si="44"/>
        <v>7.255751594637443E-3</v>
      </c>
      <c r="BX33" s="460">
        <f t="shared" si="110"/>
        <v>2039.8644472468109</v>
      </c>
      <c r="BY33" s="173">
        <f t="shared" si="45"/>
        <v>5.3176565640660973</v>
      </c>
      <c r="BZ33" s="5">
        <f t="shared" si="111"/>
        <v>42.000000000000007</v>
      </c>
      <c r="CA33" s="173">
        <f t="shared" si="112"/>
        <v>0.88761792214146917</v>
      </c>
      <c r="CB33" s="5">
        <f t="shared" si="113"/>
        <v>88.761792214146922</v>
      </c>
      <c r="CE33" s="562">
        <f t="shared" si="46"/>
        <v>-50</v>
      </c>
      <c r="CF33">
        <f t="shared" si="47"/>
        <v>-50</v>
      </c>
      <c r="CG33" s="173">
        <f t="shared" si="48"/>
        <v>0.56741754173330483</v>
      </c>
      <c r="CI33" s="170">
        <v>28</v>
      </c>
      <c r="CJ33" s="217">
        <f t="shared" si="114"/>
        <v>2.8000000000000003</v>
      </c>
      <c r="CK33" s="217"/>
      <c r="CL33" s="217">
        <f t="shared" si="49"/>
        <v>42.000000000000007</v>
      </c>
      <c r="CM33" s="541">
        <f t="shared" si="50"/>
        <v>72</v>
      </c>
      <c r="CN33" s="172">
        <f t="shared" si="51"/>
        <v>15.4</v>
      </c>
      <c r="CO33" s="443">
        <f t="shared" si="52"/>
        <v>87.4</v>
      </c>
      <c r="CP33" s="443"/>
      <c r="CQ33" s="217">
        <f t="shared" si="53"/>
        <v>0.17620137299771166</v>
      </c>
      <c r="CR33" s="172">
        <f t="shared" si="54"/>
        <v>318.30425629290613</v>
      </c>
      <c r="CS33" s="172">
        <f t="shared" si="115"/>
        <v>42.000000000000007</v>
      </c>
      <c r="CT33" s="217">
        <f t="shared" si="55"/>
        <v>21.220283752860407</v>
      </c>
      <c r="CU33" s="217">
        <f t="shared" si="56"/>
        <v>15</v>
      </c>
      <c r="CV33" s="217">
        <f t="shared" si="57"/>
        <v>21.144164759725399</v>
      </c>
      <c r="CW33" s="172">
        <f t="shared" si="58"/>
        <v>570.90755353318218</v>
      </c>
      <c r="CX33" s="172">
        <f t="shared" si="59"/>
        <v>15</v>
      </c>
      <c r="CY33" s="217">
        <f t="shared" si="60"/>
        <v>6.6212121212121229</v>
      </c>
      <c r="CZ33" s="217">
        <f t="shared" si="61"/>
        <v>1.103535353535354</v>
      </c>
      <c r="DA33" s="217">
        <f t="shared" si="62"/>
        <v>5.1593860684769783</v>
      </c>
      <c r="DB33" s="197">
        <f t="shared" si="63"/>
        <v>105.72082379862701</v>
      </c>
      <c r="DC33" s="443">
        <f t="shared" si="116"/>
        <v>159.66989406657623</v>
      </c>
      <c r="DE33" s="217">
        <f t="shared" si="64"/>
        <v>9.9999999999999982</v>
      </c>
      <c r="DF33" s="173">
        <f t="shared" si="65"/>
        <v>7.7922077922077895</v>
      </c>
      <c r="DG33" s="173">
        <f t="shared" si="66"/>
        <v>4.118993135011439</v>
      </c>
      <c r="DH33" s="173"/>
      <c r="DI33" s="173">
        <f t="shared" si="67"/>
        <v>7.7922077922077913</v>
      </c>
      <c r="DJ33" s="545">
        <f t="shared" si="117"/>
        <v>71.866666666666674</v>
      </c>
      <c r="DK33" s="528">
        <f t="shared" si="68"/>
        <v>4.1189931350114417</v>
      </c>
      <c r="DM33" s="173">
        <f t="shared" si="69"/>
        <v>4.5313721247910479</v>
      </c>
      <c r="DN33" s="173">
        <f t="shared" si="70"/>
        <v>10</v>
      </c>
      <c r="DO33" s="173">
        <f t="shared" si="71"/>
        <v>1.0410666666666666</v>
      </c>
      <c r="DQ33" s="545">
        <f t="shared" si="72"/>
        <v>2800.0000000000005</v>
      </c>
      <c r="DR33" s="460">
        <f t="shared" si="73"/>
        <v>71.866666666666674</v>
      </c>
      <c r="DT33">
        <f t="shared" si="74"/>
        <v>2800.0000000000005</v>
      </c>
      <c r="DU33" s="460">
        <f t="shared" si="75"/>
        <v>71.866666666666674</v>
      </c>
      <c r="DV33" s="460"/>
      <c r="DW33" s="5">
        <f t="shared" si="118"/>
        <v>13.914656771799628</v>
      </c>
      <c r="DX33" s="5">
        <f t="shared" si="76"/>
        <v>1.6666666666666667</v>
      </c>
      <c r="DY33" s="5">
        <f t="shared" si="119"/>
        <v>12.247990105132962</v>
      </c>
      <c r="DZ33" s="5">
        <f t="shared" si="77"/>
        <v>7.7922077922077913</v>
      </c>
      <c r="EA33" s="173">
        <f t="shared" si="120"/>
        <v>0.11977777777777779</v>
      </c>
      <c r="EB33" s="173">
        <f t="shared" si="78"/>
        <v>43.120000000000005</v>
      </c>
      <c r="EC33" s="173">
        <f t="shared" si="79"/>
        <v>4.4011111111111116</v>
      </c>
      <c r="ED33" s="173">
        <f t="shared" si="121"/>
        <v>9.7975258773037108</v>
      </c>
      <c r="EE33" s="460">
        <f t="shared" si="80"/>
        <v>31.111111111111114</v>
      </c>
      <c r="EF33" s="5">
        <f t="shared" si="81"/>
        <v>1.9846280262946934</v>
      </c>
      <c r="EG33" s="5"/>
      <c r="EH33" s="173">
        <f t="shared" si="122"/>
        <v>1.9981472900145756</v>
      </c>
      <c r="EI33" s="173">
        <f t="shared" si="82"/>
        <v>5.4167094015408228</v>
      </c>
      <c r="EJ33" s="173"/>
      <c r="EK33" s="528">
        <f t="shared" si="83"/>
        <v>7.9851851851851854E-2</v>
      </c>
      <c r="EL33" s="528">
        <f t="shared" si="84"/>
        <v>1.2562293333333334</v>
      </c>
      <c r="EM33" s="528">
        <f t="shared" si="85"/>
        <v>8.9833333333333345E-3</v>
      </c>
      <c r="EN33" s="528">
        <f t="shared" si="86"/>
        <v>5.4897221866666686E-2</v>
      </c>
      <c r="EO33">
        <f t="shared" si="87"/>
        <v>3.2399999999999998E-2</v>
      </c>
      <c r="EP33" s="460">
        <f t="shared" si="123"/>
        <v>41.383333333333333</v>
      </c>
      <c r="EQ33" s="528">
        <f t="shared" si="88"/>
        <v>1.4820401925504059</v>
      </c>
      <c r="ER33" s="460">
        <f t="shared" si="124"/>
        <v>1482.0401925504059</v>
      </c>
      <c r="ES33" s="528">
        <f t="shared" si="125"/>
        <v>1.7394999999999998</v>
      </c>
      <c r="ET33" s="528"/>
      <c r="EV33" s="460">
        <f t="shared" si="126"/>
        <v>1739.4999999999998</v>
      </c>
      <c r="EW33" s="528">
        <f t="shared" si="89"/>
        <v>0.11977777777777777</v>
      </c>
      <c r="EX33" s="528">
        <f t="shared" si="90"/>
        <v>0.88022222222222213</v>
      </c>
      <c r="EY33" s="528">
        <f t="shared" si="91"/>
        <v>0.692291116589282</v>
      </c>
      <c r="EZ33" s="528">
        <f t="shared" si="92"/>
        <v>2.100316431075306</v>
      </c>
      <c r="FA33" s="528">
        <f t="shared" si="93"/>
        <v>7.1866666666666685E-3</v>
      </c>
      <c r="FB33" s="460">
        <f t="shared" si="127"/>
        <v>2107.5030977419729</v>
      </c>
      <c r="FC33" s="173">
        <f t="shared" si="128"/>
        <v>5.3290432902923781</v>
      </c>
      <c r="FD33" s="5">
        <f t="shared" si="129"/>
        <v>42.000000000000007</v>
      </c>
      <c r="FE33" s="173">
        <f t="shared" si="130"/>
        <v>0.88740437330189159</v>
      </c>
      <c r="FF33" s="5">
        <f t="shared" si="131"/>
        <v>88.740437330189152</v>
      </c>
      <c r="FI33" s="562">
        <f t="shared" si="94"/>
        <v>-50</v>
      </c>
      <c r="FJ33">
        <f t="shared" si="95"/>
        <v>-50</v>
      </c>
      <c r="FL33">
        <f t="shared" si="96"/>
        <v>0.56000000000000005</v>
      </c>
    </row>
    <row r="34" spans="5:168">
      <c r="E34" s="170">
        <v>29</v>
      </c>
      <c r="F34" s="217">
        <f t="shared" si="97"/>
        <v>2.9</v>
      </c>
      <c r="G34" s="217"/>
      <c r="H34" s="217">
        <f t="shared" si="0"/>
        <v>43.5</v>
      </c>
      <c r="I34" s="541">
        <f t="shared" si="1"/>
        <v>71.753268114390082</v>
      </c>
      <c r="J34" s="172">
        <f t="shared" si="2"/>
        <v>15.548039131365949</v>
      </c>
      <c r="K34" s="172">
        <f t="shared" si="3"/>
        <v>87.548039131365954</v>
      </c>
      <c r="L34" s="443"/>
      <c r="M34" s="217">
        <f t="shared" si="4"/>
        <v>0.17811475258435275</v>
      </c>
      <c r="N34" s="172">
        <f t="shared" si="5"/>
        <v>320.65811833659114</v>
      </c>
      <c r="O34" s="172">
        <f t="shared" si="98"/>
        <v>43.5</v>
      </c>
      <c r="P34" s="217">
        <f t="shared" si="6"/>
        <v>21.377207889106078</v>
      </c>
      <c r="Q34" s="217">
        <f t="shared" si="7"/>
        <v>15</v>
      </c>
      <c r="R34" s="217">
        <f t="shared" si="8"/>
        <v>21.300525995522193</v>
      </c>
      <c r="S34" s="172">
        <f t="shared" si="9"/>
        <v>546.86183333723409</v>
      </c>
      <c r="T34" s="172">
        <f t="shared" si="10"/>
        <v>15</v>
      </c>
      <c r="U34" s="217">
        <f t="shared" si="99"/>
        <v>7.0569462321384124</v>
      </c>
      <c r="V34" s="217">
        <f t="shared" si="11"/>
        <v>1.1802020592380202</v>
      </c>
      <c r="W34" s="217">
        <f t="shared" si="12"/>
        <v>5.4465617220389149</v>
      </c>
      <c r="X34" s="197">
        <f t="shared" si="13"/>
        <v>106.49159174915671</v>
      </c>
      <c r="Y34" s="443">
        <f t="shared" si="14"/>
        <v>146.4822911761789</v>
      </c>
      <c r="AA34" s="217">
        <f t="shared" si="15"/>
        <v>10</v>
      </c>
      <c r="AB34" s="173">
        <f t="shared" si="16"/>
        <v>7.7180150491078416</v>
      </c>
      <c r="AC34" s="173">
        <f t="shared" si="17"/>
        <v>4.1095185386172002</v>
      </c>
      <c r="AD34" s="173"/>
      <c r="AE34" s="173">
        <f t="shared" si="18"/>
        <v>7.7180150491078416</v>
      </c>
      <c r="AF34" s="545">
        <f t="shared" si="100"/>
        <v>75.148855801602068</v>
      </c>
      <c r="AG34" s="528">
        <f t="shared" si="19"/>
        <v>4.1095185386172002</v>
      </c>
      <c r="AI34" s="173">
        <f t="shared" si="20"/>
        <v>4.6336920115174456</v>
      </c>
      <c r="AJ34" s="173">
        <f t="shared" si="21"/>
        <v>10</v>
      </c>
      <c r="AK34" s="173">
        <f t="shared" si="22"/>
        <v>1.0429422033152012</v>
      </c>
      <c r="AM34" s="545">
        <f t="shared" si="23"/>
        <v>2900</v>
      </c>
      <c r="AN34" s="460">
        <f t="shared" si="24"/>
        <v>75.148855801602068</v>
      </c>
      <c r="AP34">
        <f t="shared" si="25"/>
        <v>2900</v>
      </c>
      <c r="AQ34" s="460">
        <f t="shared" si="26"/>
        <v>75.148855801602068</v>
      </c>
      <c r="AR34" s="460"/>
      <c r="AS34" s="5">
        <f t="shared" si="101"/>
        <v>13.306922498461798</v>
      </c>
      <c r="AT34" s="5">
        <f t="shared" si="27"/>
        <v>1.6723976921677532</v>
      </c>
      <c r="AU34" s="5">
        <f t="shared" si="102"/>
        <v>11.634524806294046</v>
      </c>
      <c r="AV34" s="5">
        <f t="shared" si="28"/>
        <v>7.7180150491078416</v>
      </c>
      <c r="AW34" s="173">
        <f t="shared" si="103"/>
        <v>0.12567877301164657</v>
      </c>
      <c r="AX34" s="173">
        <f t="shared" si="29"/>
        <v>45.089313480961245</v>
      </c>
      <c r="AY34" s="173">
        <f t="shared" si="30"/>
        <v>4.371606134941767</v>
      </c>
      <c r="AZ34" s="173">
        <f t="shared" si="104"/>
        <v>10.31412988479619</v>
      </c>
      <c r="BA34" s="460">
        <f t="shared" si="31"/>
        <v>32.333022048576559</v>
      </c>
      <c r="BB34" s="5">
        <f t="shared" si="32"/>
        <v>1.9592674327427935</v>
      </c>
      <c r="BC34" s="5"/>
      <c r="BD34" s="173">
        <f t="shared" si="105"/>
        <v>2.0467761073750963</v>
      </c>
      <c r="BE34" s="173">
        <f t="shared" si="33"/>
        <v>5.3985221032808397</v>
      </c>
      <c r="BF34" s="173"/>
      <c r="BG34" s="528">
        <f t="shared" si="34"/>
        <v>8.3785848674431049E-2</v>
      </c>
      <c r="BH34" s="528">
        <f t="shared" si="35"/>
        <v>1.2335878065742565</v>
      </c>
      <c r="BI34" s="528">
        <f t="shared" si="36"/>
        <v>0.13480439997054977</v>
      </c>
      <c r="BJ34" s="528">
        <f t="shared" si="37"/>
        <v>5.7599036566367431E-2</v>
      </c>
      <c r="BK34">
        <f t="shared" si="38"/>
        <v>3.2288970651475533E-2</v>
      </c>
      <c r="BL34" s="460">
        <f t="shared" si="106"/>
        <v>167.0933706220253</v>
      </c>
      <c r="BM34" s="528">
        <f t="shared" si="39"/>
        <v>1.4259826456366915</v>
      </c>
      <c r="BN34" s="460">
        <f t="shared" si="107"/>
        <v>1425.9826456366916</v>
      </c>
      <c r="BO34" s="528">
        <f t="shared" si="108"/>
        <v>1.8016249999999998</v>
      </c>
      <c r="BP34" s="528"/>
      <c r="BR34" s="460">
        <f t="shared" si="109"/>
        <v>1801.6249999999998</v>
      </c>
      <c r="BS34" s="528">
        <f t="shared" si="40"/>
        <v>0.12567877301164657</v>
      </c>
      <c r="BT34" s="528">
        <f t="shared" si="41"/>
        <v>0.87432122698835335</v>
      </c>
      <c r="BU34" s="528">
        <f t="shared" si="42"/>
        <v>0.65249999999999997</v>
      </c>
      <c r="BV34" s="528">
        <f t="shared" si="43"/>
        <v>2.0570652173913038</v>
      </c>
      <c r="BW34" s="528">
        <f t="shared" si="44"/>
        <v>7.514885580160207E-3</v>
      </c>
      <c r="BX34" s="460">
        <f t="shared" si="110"/>
        <v>2064.5801029714639</v>
      </c>
      <c r="BY34" s="173">
        <f t="shared" si="45"/>
        <v>5.4592811192301811</v>
      </c>
      <c r="BZ34" s="5">
        <f t="shared" si="111"/>
        <v>43.5</v>
      </c>
      <c r="CA34" s="173">
        <f t="shared" si="112"/>
        <v>0.88849343792578905</v>
      </c>
      <c r="CB34" s="5">
        <f t="shared" si="113"/>
        <v>88.849343792578907</v>
      </c>
      <c r="CE34" s="562">
        <f t="shared" si="46"/>
        <v>-50</v>
      </c>
      <c r="CF34">
        <f t="shared" si="47"/>
        <v>-50</v>
      </c>
      <c r="CG34" s="173">
        <f t="shared" si="48"/>
        <v>0.58768245393806562</v>
      </c>
      <c r="CI34" s="170">
        <v>29</v>
      </c>
      <c r="CJ34" s="217">
        <f t="shared" si="114"/>
        <v>2.9</v>
      </c>
      <c r="CK34" s="217"/>
      <c r="CL34" s="217">
        <f t="shared" si="49"/>
        <v>43.5</v>
      </c>
      <c r="CM34" s="541">
        <f t="shared" si="50"/>
        <v>72</v>
      </c>
      <c r="CN34" s="172">
        <f t="shared" si="51"/>
        <v>15.4</v>
      </c>
      <c r="CO34" s="443">
        <f t="shared" si="52"/>
        <v>87.4</v>
      </c>
      <c r="CP34" s="443"/>
      <c r="CQ34" s="217">
        <f t="shared" si="53"/>
        <v>0.17620137299771166</v>
      </c>
      <c r="CR34" s="172">
        <f t="shared" si="54"/>
        <v>318.30425629290613</v>
      </c>
      <c r="CS34" s="172">
        <f t="shared" si="115"/>
        <v>43.5</v>
      </c>
      <c r="CT34" s="217">
        <f t="shared" si="55"/>
        <v>21.220283752860407</v>
      </c>
      <c r="CU34" s="217">
        <f t="shared" si="56"/>
        <v>15</v>
      </c>
      <c r="CV34" s="217">
        <f t="shared" si="57"/>
        <v>21.144164759725399</v>
      </c>
      <c r="CW34" s="172">
        <f t="shared" si="58"/>
        <v>548.74210061407234</v>
      </c>
      <c r="CX34" s="172">
        <f t="shared" si="59"/>
        <v>15</v>
      </c>
      <c r="CY34" s="217">
        <f t="shared" si="60"/>
        <v>6.8576839826839828</v>
      </c>
      <c r="CZ34" s="217">
        <f t="shared" si="61"/>
        <v>1.1429473304473305</v>
      </c>
      <c r="DA34" s="217">
        <f t="shared" si="62"/>
        <v>5.34364985663687</v>
      </c>
      <c r="DB34" s="197">
        <f t="shared" si="63"/>
        <v>105.72082379862701</v>
      </c>
      <c r="DC34" s="443">
        <f t="shared" si="116"/>
        <v>154.16403565048742</v>
      </c>
      <c r="DE34" s="217">
        <f t="shared" si="64"/>
        <v>9.9999999999999982</v>
      </c>
      <c r="DF34" s="173">
        <f t="shared" si="65"/>
        <v>7.7922077922077895</v>
      </c>
      <c r="DG34" s="173">
        <f t="shared" si="66"/>
        <v>4.118993135011439</v>
      </c>
      <c r="DH34" s="173"/>
      <c r="DI34" s="173">
        <f t="shared" si="67"/>
        <v>7.7922077922077913</v>
      </c>
      <c r="DJ34" s="545">
        <f t="shared" si="117"/>
        <v>74.433333333333323</v>
      </c>
      <c r="DK34" s="528">
        <f t="shared" si="68"/>
        <v>4.1189931350114417</v>
      </c>
      <c r="DM34" s="173">
        <f t="shared" si="69"/>
        <v>4.6115796281390038</v>
      </c>
      <c r="DN34" s="173">
        <f t="shared" si="70"/>
        <v>10</v>
      </c>
      <c r="DO34" s="173">
        <f t="shared" si="71"/>
        <v>1.0425333333333333</v>
      </c>
      <c r="DQ34" s="545">
        <f t="shared" si="72"/>
        <v>2900</v>
      </c>
      <c r="DR34" s="460">
        <f t="shared" si="73"/>
        <v>74.433333333333323</v>
      </c>
      <c r="DT34">
        <f t="shared" si="74"/>
        <v>2900</v>
      </c>
      <c r="DU34" s="460">
        <f t="shared" si="75"/>
        <v>74.433333333333323</v>
      </c>
      <c r="DV34" s="460"/>
      <c r="DW34" s="5">
        <f t="shared" si="118"/>
        <v>13.434841021047919</v>
      </c>
      <c r="DX34" s="5">
        <f t="shared" si="76"/>
        <v>1.6666666666666667</v>
      </c>
      <c r="DY34" s="5">
        <f t="shared" si="119"/>
        <v>11.768174354381253</v>
      </c>
      <c r="DZ34" s="5">
        <f t="shared" si="77"/>
        <v>7.7922077922077913</v>
      </c>
      <c r="EA34" s="173">
        <f t="shared" si="120"/>
        <v>0.12405555555555554</v>
      </c>
      <c r="EB34" s="173">
        <f t="shared" si="78"/>
        <v>44.66</v>
      </c>
      <c r="EC34" s="173">
        <f t="shared" si="79"/>
        <v>4.3797222222222221</v>
      </c>
      <c r="ED34" s="173">
        <f t="shared" si="121"/>
        <v>10.196993721062979</v>
      </c>
      <c r="EE34" s="460">
        <f t="shared" si="80"/>
        <v>32.222222222222221</v>
      </c>
      <c r="EF34" s="5">
        <f t="shared" si="81"/>
        <v>1.9749829645662982</v>
      </c>
      <c r="EG34" s="5"/>
      <c r="EH34" s="173">
        <f t="shared" si="122"/>
        <v>2.0335154745379209</v>
      </c>
      <c r="EI34" s="173">
        <f t="shared" si="82"/>
        <v>5.4035310814455526</v>
      </c>
      <c r="EJ34" s="173"/>
      <c r="EK34" s="528">
        <f t="shared" si="83"/>
        <v>8.270370370370371E-2</v>
      </c>
      <c r="EL34" s="528">
        <f t="shared" si="84"/>
        <v>1.3010946666666665</v>
      </c>
      <c r="EM34" s="528">
        <f t="shared" si="85"/>
        <v>9.3041666666666654E-3</v>
      </c>
      <c r="EN34" s="528">
        <f t="shared" si="86"/>
        <v>5.6857836933333343E-2</v>
      </c>
      <c r="EO34">
        <f t="shared" si="87"/>
        <v>3.2399999999999998E-2</v>
      </c>
      <c r="EP34" s="460">
        <f t="shared" si="123"/>
        <v>41.704166666666666</v>
      </c>
      <c r="EQ34" s="528">
        <f t="shared" si="88"/>
        <v>1.5348508062535753</v>
      </c>
      <c r="ER34" s="460">
        <f t="shared" si="124"/>
        <v>1534.8508062535752</v>
      </c>
      <c r="ES34" s="528">
        <f t="shared" si="125"/>
        <v>1.8016249999999998</v>
      </c>
      <c r="ET34" s="528"/>
      <c r="EV34" s="460">
        <f t="shared" si="126"/>
        <v>1801.6249999999998</v>
      </c>
      <c r="EW34" s="528">
        <f t="shared" si="89"/>
        <v>0.12405555555555556</v>
      </c>
      <c r="EX34" s="528">
        <f t="shared" si="90"/>
        <v>0.87594444444444419</v>
      </c>
      <c r="EY34" s="528">
        <f t="shared" si="91"/>
        <v>0.75576830579749188</v>
      </c>
      <c r="EZ34" s="528">
        <f t="shared" si="92"/>
        <v>2.1693133758668388</v>
      </c>
      <c r="FA34" s="528">
        <f t="shared" si="93"/>
        <v>7.4433333333333331E-3</v>
      </c>
      <c r="FB34" s="460">
        <f t="shared" si="127"/>
        <v>2176.7567092001723</v>
      </c>
      <c r="FC34" s="173">
        <f t="shared" si="128"/>
        <v>5.5132325154537476</v>
      </c>
      <c r="FD34" s="5">
        <f t="shared" si="129"/>
        <v>43.5</v>
      </c>
      <c r="FE34" s="173">
        <f t="shared" si="130"/>
        <v>0.88751542731413513</v>
      </c>
      <c r="FF34" s="5">
        <f t="shared" si="131"/>
        <v>88.751542731413508</v>
      </c>
      <c r="FI34" s="562">
        <f t="shared" si="94"/>
        <v>-50</v>
      </c>
      <c r="FJ34">
        <f t="shared" si="95"/>
        <v>-50</v>
      </c>
      <c r="FL34">
        <f t="shared" si="96"/>
        <v>0.57999999999999985</v>
      </c>
    </row>
    <row r="35" spans="5:168">
      <c r="E35" s="170">
        <v>30</v>
      </c>
      <c r="F35" s="217">
        <f t="shared" si="97"/>
        <v>3</v>
      </c>
      <c r="G35" s="217"/>
      <c r="H35" s="217">
        <f t="shared" si="0"/>
        <v>45</v>
      </c>
      <c r="I35" s="541">
        <f t="shared" si="1"/>
        <v>71.753268114390082</v>
      </c>
      <c r="J35" s="172">
        <f t="shared" si="2"/>
        <v>15.548039131365949</v>
      </c>
      <c r="K35" s="172">
        <f t="shared" si="3"/>
        <v>87.548039131365954</v>
      </c>
      <c r="L35" s="443"/>
      <c r="M35" s="217">
        <f t="shared" si="4"/>
        <v>0.17811475258435275</v>
      </c>
      <c r="N35" s="172">
        <f t="shared" si="5"/>
        <v>320.65811833659114</v>
      </c>
      <c r="O35" s="172">
        <f t="shared" si="98"/>
        <v>45</v>
      </c>
      <c r="P35" s="217">
        <f t="shared" si="6"/>
        <v>21.377207889106078</v>
      </c>
      <c r="Q35" s="217">
        <f t="shared" si="7"/>
        <v>15</v>
      </c>
      <c r="R35" s="217">
        <f t="shared" si="8"/>
        <v>21.300525995522193</v>
      </c>
      <c r="S35" s="172">
        <f t="shared" si="9"/>
        <v>526.24513122030248</v>
      </c>
      <c r="T35" s="172">
        <f t="shared" si="10"/>
        <v>15</v>
      </c>
      <c r="U35" s="217">
        <f t="shared" si="99"/>
        <v>7.3002892056604276</v>
      </c>
      <c r="V35" s="217">
        <f t="shared" si="11"/>
        <v>1.220898681970366</v>
      </c>
      <c r="W35" s="217">
        <f t="shared" si="12"/>
        <v>5.634374195212672</v>
      </c>
      <c r="X35" s="197">
        <f t="shared" si="13"/>
        <v>106.49159174915671</v>
      </c>
      <c r="Y35" s="443">
        <f t="shared" si="14"/>
        <v>141.73796214658537</v>
      </c>
      <c r="AA35" s="217">
        <f t="shared" si="15"/>
        <v>10</v>
      </c>
      <c r="AB35" s="173">
        <f t="shared" si="16"/>
        <v>7.7180150491078416</v>
      </c>
      <c r="AC35" s="173">
        <f t="shared" si="17"/>
        <v>4.1095185386172002</v>
      </c>
      <c r="AD35" s="173"/>
      <c r="AE35" s="173">
        <f t="shared" si="18"/>
        <v>7.7180150491078416</v>
      </c>
      <c r="AF35" s="545">
        <f t="shared" si="100"/>
        <v>77.740195656829727</v>
      </c>
      <c r="AG35" s="528">
        <f t="shared" si="19"/>
        <v>4.1095185386172002</v>
      </c>
      <c r="AI35" s="173">
        <f t="shared" si="20"/>
        <v>4.7129061600439197</v>
      </c>
      <c r="AJ35" s="173">
        <f t="shared" si="21"/>
        <v>10</v>
      </c>
      <c r="AK35" s="173">
        <f t="shared" si="22"/>
        <v>1.0444229689467599</v>
      </c>
      <c r="AM35" s="545">
        <f t="shared" si="23"/>
        <v>3000</v>
      </c>
      <c r="AN35" s="460">
        <f t="shared" si="24"/>
        <v>77.740195656829727</v>
      </c>
      <c r="AP35">
        <f t="shared" si="25"/>
        <v>3000</v>
      </c>
      <c r="AQ35" s="460">
        <f t="shared" si="26"/>
        <v>77.740195656829727</v>
      </c>
      <c r="AR35" s="460"/>
      <c r="AS35" s="5">
        <f t="shared" si="101"/>
        <v>12.863358415179738</v>
      </c>
      <c r="AT35" s="5">
        <f t="shared" si="27"/>
        <v>1.6723976921677532</v>
      </c>
      <c r="AU35" s="5">
        <f t="shared" si="102"/>
        <v>11.190960723011985</v>
      </c>
      <c r="AV35" s="5">
        <f t="shared" si="28"/>
        <v>7.7180150491078416</v>
      </c>
      <c r="AW35" s="173">
        <f t="shared" si="103"/>
        <v>0.13001252380515163</v>
      </c>
      <c r="AX35" s="173">
        <f t="shared" si="29"/>
        <v>46.64411739409784</v>
      </c>
      <c r="AY35" s="173">
        <f t="shared" si="30"/>
        <v>4.3499373809742421</v>
      </c>
      <c r="AZ35" s="173">
        <f t="shared" si="104"/>
        <v>10.722939966471678</v>
      </c>
      <c r="BA35" s="460">
        <f t="shared" si="31"/>
        <v>33.447953843355059</v>
      </c>
      <c r="BB35" s="5">
        <f t="shared" si="32"/>
        <v>1.9495559256567929</v>
      </c>
      <c r="BC35" s="5"/>
      <c r="BD35" s="173">
        <f t="shared" si="105"/>
        <v>2.0817662677411826</v>
      </c>
      <c r="BE35" s="173">
        <f t="shared" si="33"/>
        <v>5.3851260467911306</v>
      </c>
      <c r="BF35" s="173"/>
      <c r="BG35" s="528">
        <f t="shared" si="34"/>
        <v>8.6675015870101055E-2</v>
      </c>
      <c r="BH35" s="528">
        <f t="shared" si="35"/>
        <v>1.2761253171457827</v>
      </c>
      <c r="BI35" s="528">
        <f t="shared" si="36"/>
        <v>0.13945282755574115</v>
      </c>
      <c r="BJ35" s="528">
        <f t="shared" si="37"/>
        <v>5.9585210241069754E-2</v>
      </c>
      <c r="BK35">
        <f t="shared" si="38"/>
        <v>3.2288970651475533E-2</v>
      </c>
      <c r="BL35" s="460">
        <f t="shared" si="106"/>
        <v>171.74179820721668</v>
      </c>
      <c r="BM35" s="528">
        <f t="shared" si="39"/>
        <v>1.4761883974413363</v>
      </c>
      <c r="BN35" s="460">
        <f t="shared" si="107"/>
        <v>1476.1883974413363</v>
      </c>
      <c r="BO35" s="528">
        <f t="shared" si="108"/>
        <v>1.8637499999999996</v>
      </c>
      <c r="BP35" s="528"/>
      <c r="BR35" s="460">
        <f t="shared" si="109"/>
        <v>1863.7499999999995</v>
      </c>
      <c r="BS35" s="528">
        <f t="shared" si="40"/>
        <v>0.13001252380515158</v>
      </c>
      <c r="BT35" s="528">
        <f t="shared" si="41"/>
        <v>0.86998747619484806</v>
      </c>
      <c r="BU35" s="528">
        <f t="shared" si="42"/>
        <v>0.67499999999999993</v>
      </c>
      <c r="BV35" s="528">
        <f t="shared" si="43"/>
        <v>2.0815217391304341</v>
      </c>
      <c r="BW35" s="528">
        <f t="shared" si="44"/>
        <v>7.7740195656829736E-3</v>
      </c>
      <c r="BX35" s="460">
        <f t="shared" si="110"/>
        <v>2089.295758696117</v>
      </c>
      <c r="BY35" s="173">
        <f t="shared" si="45"/>
        <v>5.60097595434467</v>
      </c>
      <c r="BZ35" s="5">
        <f t="shared" si="111"/>
        <v>45</v>
      </c>
      <c r="CA35" s="173">
        <f t="shared" si="112"/>
        <v>0.88931091053662248</v>
      </c>
      <c r="CB35" s="5">
        <f t="shared" si="113"/>
        <v>88.931091053662243</v>
      </c>
      <c r="CE35" s="562">
        <f t="shared" si="46"/>
        <v>-50</v>
      </c>
      <c r="CF35">
        <f t="shared" si="47"/>
        <v>-50</v>
      </c>
      <c r="CG35" s="173">
        <f t="shared" si="48"/>
        <v>0.60794736614282663</v>
      </c>
      <c r="CI35" s="170">
        <v>30</v>
      </c>
      <c r="CJ35" s="217">
        <f t="shared" si="114"/>
        <v>3</v>
      </c>
      <c r="CK35" s="217"/>
      <c r="CL35" s="217">
        <f t="shared" si="49"/>
        <v>45</v>
      </c>
      <c r="CM35" s="541">
        <f t="shared" si="50"/>
        <v>72</v>
      </c>
      <c r="CN35" s="172">
        <f t="shared" si="51"/>
        <v>15.4</v>
      </c>
      <c r="CO35" s="443">
        <f t="shared" si="52"/>
        <v>87.4</v>
      </c>
      <c r="CP35" s="443"/>
      <c r="CQ35" s="217">
        <f t="shared" si="53"/>
        <v>0.17620137299771166</v>
      </c>
      <c r="CR35" s="172">
        <f t="shared" si="54"/>
        <v>318.30425629290613</v>
      </c>
      <c r="CS35" s="172">
        <f t="shared" si="115"/>
        <v>45</v>
      </c>
      <c r="CT35" s="217">
        <f t="shared" si="55"/>
        <v>21.220283752860407</v>
      </c>
      <c r="CU35" s="217">
        <f t="shared" si="56"/>
        <v>15</v>
      </c>
      <c r="CV35" s="217">
        <f t="shared" si="57"/>
        <v>21.144164759725399</v>
      </c>
      <c r="CW35" s="172">
        <f t="shared" si="58"/>
        <v>528.05449854259814</v>
      </c>
      <c r="CX35" s="172">
        <f t="shared" si="59"/>
        <v>15</v>
      </c>
      <c r="CY35" s="217">
        <f t="shared" si="60"/>
        <v>7.0941558441558445</v>
      </c>
      <c r="CZ35" s="217">
        <f t="shared" si="61"/>
        <v>1.1823593073593075</v>
      </c>
      <c r="DA35" s="217">
        <f t="shared" si="62"/>
        <v>5.5279136447967625</v>
      </c>
      <c r="DB35" s="197">
        <f t="shared" si="63"/>
        <v>105.72082379862701</v>
      </c>
      <c r="DC35" s="443">
        <f t="shared" si="116"/>
        <v>149.0252344621378</v>
      </c>
      <c r="DE35" s="217">
        <f t="shared" si="64"/>
        <v>9.9999999999999982</v>
      </c>
      <c r="DF35" s="173">
        <f t="shared" si="65"/>
        <v>7.7922077922077895</v>
      </c>
      <c r="DG35" s="173">
        <f t="shared" si="66"/>
        <v>4.118993135011439</v>
      </c>
      <c r="DH35" s="173"/>
      <c r="DI35" s="173">
        <f t="shared" si="67"/>
        <v>7.7922077922077913</v>
      </c>
      <c r="DJ35" s="545">
        <f t="shared" si="117"/>
        <v>77</v>
      </c>
      <c r="DK35" s="528">
        <f t="shared" si="68"/>
        <v>4.1189931350114417</v>
      </c>
      <c r="DM35" s="173">
        <f t="shared" si="69"/>
        <v>4.6904157598234297</v>
      </c>
      <c r="DN35" s="173">
        <f t="shared" si="70"/>
        <v>10</v>
      </c>
      <c r="DO35" s="173">
        <f t="shared" si="71"/>
        <v>1.044</v>
      </c>
      <c r="DQ35" s="545">
        <f t="shared" si="72"/>
        <v>3000</v>
      </c>
      <c r="DR35" s="460">
        <f t="shared" si="73"/>
        <v>77</v>
      </c>
      <c r="DT35">
        <f t="shared" si="74"/>
        <v>3000</v>
      </c>
      <c r="DU35" s="460">
        <f t="shared" si="75"/>
        <v>77</v>
      </c>
      <c r="DV35" s="460"/>
      <c r="DW35" s="5">
        <f t="shared" si="118"/>
        <v>12.987012987012989</v>
      </c>
      <c r="DX35" s="5">
        <f t="shared" si="76"/>
        <v>1.6666666666666667</v>
      </c>
      <c r="DY35" s="5">
        <f t="shared" si="119"/>
        <v>11.320346320346323</v>
      </c>
      <c r="DZ35" s="5">
        <f t="shared" si="77"/>
        <v>7.7922077922077913</v>
      </c>
      <c r="EA35" s="173">
        <f t="shared" si="120"/>
        <v>0.12833333333333333</v>
      </c>
      <c r="EB35" s="173">
        <f t="shared" si="78"/>
        <v>46.2</v>
      </c>
      <c r="EC35" s="173">
        <f t="shared" si="79"/>
        <v>4.3583333333333334</v>
      </c>
      <c r="ED35" s="173">
        <f t="shared" si="121"/>
        <v>10.60038240917782</v>
      </c>
      <c r="EE35" s="460">
        <f t="shared" si="80"/>
        <v>33.333333333333336</v>
      </c>
      <c r="EF35" s="5">
        <f t="shared" si="81"/>
        <v>1.9653379028379032</v>
      </c>
      <c r="EG35" s="5"/>
      <c r="EH35" s="173">
        <f t="shared" si="122"/>
        <v>2.0682789409984763</v>
      </c>
      <c r="EI35" s="173">
        <f t="shared" si="82"/>
        <v>5.3903205429320771</v>
      </c>
      <c r="EJ35" s="173"/>
      <c r="EK35" s="528">
        <f t="shared" si="83"/>
        <v>8.5555555555555579E-2</v>
      </c>
      <c r="EL35" s="528">
        <f t="shared" si="84"/>
        <v>1.34596</v>
      </c>
      <c r="EM35" s="528">
        <f t="shared" si="85"/>
        <v>9.6249999999999999E-3</v>
      </c>
      <c r="EN35" s="528">
        <f t="shared" si="86"/>
        <v>5.8818452000000014E-2</v>
      </c>
      <c r="EO35">
        <f t="shared" si="87"/>
        <v>3.2399999999999998E-2</v>
      </c>
      <c r="EP35" s="460">
        <f t="shared" si="123"/>
        <v>42.024999999999999</v>
      </c>
      <c r="EQ35" s="528">
        <f t="shared" si="88"/>
        <v>1.5877344739418453</v>
      </c>
      <c r="ER35" s="460">
        <f t="shared" si="124"/>
        <v>1587.7344739418454</v>
      </c>
      <c r="ES35" s="528">
        <f t="shared" si="125"/>
        <v>1.8637499999999996</v>
      </c>
      <c r="ET35" s="528"/>
      <c r="EV35" s="460">
        <f t="shared" si="126"/>
        <v>1863.7499999999995</v>
      </c>
      <c r="EW35" s="528">
        <f t="shared" si="89"/>
        <v>0.12833333333333335</v>
      </c>
      <c r="EX35" s="528">
        <f t="shared" si="90"/>
        <v>0.87166666666666681</v>
      </c>
      <c r="EY35" s="528">
        <f t="shared" si="91"/>
        <v>0.82261536531358459</v>
      </c>
      <c r="EZ35" s="528">
        <f t="shared" si="92"/>
        <v>2.2419732231669403</v>
      </c>
      <c r="FA35" s="528">
        <f t="shared" si="93"/>
        <v>7.7000000000000011E-3</v>
      </c>
      <c r="FB35" s="460">
        <f t="shared" si="127"/>
        <v>2249.6732231669403</v>
      </c>
      <c r="FC35" s="173">
        <f t="shared" si="128"/>
        <v>5.7011576971087852</v>
      </c>
      <c r="FD35" s="5">
        <f t="shared" si="129"/>
        <v>45</v>
      </c>
      <c r="FE35" s="173">
        <f t="shared" si="130"/>
        <v>0.88755369786292104</v>
      </c>
      <c r="FF35" s="5">
        <f t="shared" si="131"/>
        <v>88.755369786292107</v>
      </c>
      <c r="FI35" s="562">
        <f t="shared" si="94"/>
        <v>-50</v>
      </c>
      <c r="FJ35">
        <f t="shared" si="95"/>
        <v>-50</v>
      </c>
      <c r="FL35">
        <f t="shared" si="96"/>
        <v>0.6</v>
      </c>
    </row>
    <row r="36" spans="5:168">
      <c r="E36" s="170">
        <v>31</v>
      </c>
      <c r="F36" s="217">
        <f t="shared" si="97"/>
        <v>3.1</v>
      </c>
      <c r="G36" s="217"/>
      <c r="H36" s="217">
        <f t="shared" si="0"/>
        <v>46.5</v>
      </c>
      <c r="I36" s="541">
        <f t="shared" si="1"/>
        <v>71.753268114390082</v>
      </c>
      <c r="J36" s="172">
        <f t="shared" si="2"/>
        <v>15.548039131365949</v>
      </c>
      <c r="K36" s="172">
        <f t="shared" si="3"/>
        <v>87.548039131365954</v>
      </c>
      <c r="L36" s="443"/>
      <c r="M36" s="217">
        <f t="shared" si="4"/>
        <v>0.17811475258435275</v>
      </c>
      <c r="N36" s="172">
        <f t="shared" si="5"/>
        <v>320.65811833659114</v>
      </c>
      <c r="O36" s="172">
        <f t="shared" si="98"/>
        <v>46.5</v>
      </c>
      <c r="P36" s="217">
        <f t="shared" si="6"/>
        <v>21.377207889106078</v>
      </c>
      <c r="Q36" s="217">
        <f t="shared" si="7"/>
        <v>15</v>
      </c>
      <c r="R36" s="217">
        <f t="shared" si="8"/>
        <v>21.300525995522193</v>
      </c>
      <c r="S36" s="172">
        <f t="shared" si="9"/>
        <v>506.95868995643588</v>
      </c>
      <c r="T36" s="172">
        <f t="shared" si="10"/>
        <v>15</v>
      </c>
      <c r="U36" s="217">
        <f t="shared" si="99"/>
        <v>7.5436321791824419</v>
      </c>
      <c r="V36" s="217">
        <f t="shared" si="11"/>
        <v>1.2615953047027113</v>
      </c>
      <c r="W36" s="217">
        <f t="shared" si="12"/>
        <v>5.8221866683864256</v>
      </c>
      <c r="X36" s="197">
        <f t="shared" si="13"/>
        <v>106.49159174915671</v>
      </c>
      <c r="Y36" s="443">
        <f t="shared" si="14"/>
        <v>137.29131427802588</v>
      </c>
      <c r="AA36" s="217">
        <f t="shared" si="15"/>
        <v>10</v>
      </c>
      <c r="AB36" s="173">
        <f t="shared" si="16"/>
        <v>7.7180150491078416</v>
      </c>
      <c r="AC36" s="173">
        <f t="shared" si="17"/>
        <v>4.1095185386172002</v>
      </c>
      <c r="AD36" s="173"/>
      <c r="AE36" s="173">
        <f t="shared" si="18"/>
        <v>7.7180150491078416</v>
      </c>
      <c r="AF36" s="545">
        <f t="shared" si="100"/>
        <v>80.3315355120574</v>
      </c>
      <c r="AG36" s="528">
        <f t="shared" si="19"/>
        <v>4.1095185386172002</v>
      </c>
      <c r="AI36" s="173">
        <f t="shared" si="20"/>
        <v>4.7908107131423234</v>
      </c>
      <c r="AJ36" s="173">
        <f t="shared" si="21"/>
        <v>10</v>
      </c>
      <c r="AK36" s="173">
        <f t="shared" si="22"/>
        <v>1.0459037345783184</v>
      </c>
      <c r="AM36" s="545">
        <f t="shared" si="23"/>
        <v>3100</v>
      </c>
      <c r="AN36" s="460">
        <f t="shared" si="24"/>
        <v>80.3315355120574</v>
      </c>
      <c r="AP36">
        <f t="shared" si="25"/>
        <v>3100</v>
      </c>
      <c r="AQ36" s="460">
        <f t="shared" si="26"/>
        <v>80.3315355120574</v>
      </c>
      <c r="AR36" s="460"/>
      <c r="AS36" s="5">
        <f t="shared" si="101"/>
        <v>12.448411369528777</v>
      </c>
      <c r="AT36" s="5">
        <f t="shared" si="27"/>
        <v>1.6723976921677532</v>
      </c>
      <c r="AU36" s="5">
        <f t="shared" si="102"/>
        <v>10.776013677361025</v>
      </c>
      <c r="AV36" s="5">
        <f t="shared" si="28"/>
        <v>7.7180150491078416</v>
      </c>
      <c r="AW36" s="173">
        <f t="shared" si="103"/>
        <v>0.1343462745986567</v>
      </c>
      <c r="AX36" s="173">
        <f t="shared" si="29"/>
        <v>48.198921307234443</v>
      </c>
      <c r="AY36" s="173">
        <f t="shared" si="30"/>
        <v>4.3282686270067163</v>
      </c>
      <c r="AZ36" s="173">
        <f t="shared" si="104"/>
        <v>11.135843326934904</v>
      </c>
      <c r="BA36" s="460">
        <f t="shared" si="31"/>
        <v>34.562885638133565</v>
      </c>
      <c r="BB36" s="5">
        <f t="shared" si="32"/>
        <v>1.9398444185707928</v>
      </c>
      <c r="BC36" s="5"/>
      <c r="BD36" s="173">
        <f t="shared" si="105"/>
        <v>2.1161779587947125</v>
      </c>
      <c r="BE36" s="173">
        <f t="shared" si="33"/>
        <v>5.3716965830214924</v>
      </c>
      <c r="BF36" s="173"/>
      <c r="BG36" s="528">
        <f t="shared" si="34"/>
        <v>8.9564183065771116E-2</v>
      </c>
      <c r="BH36" s="528">
        <f t="shared" si="35"/>
        <v>1.3186628277173089</v>
      </c>
      <c r="BI36" s="528">
        <f t="shared" si="36"/>
        <v>0.14410125514093255</v>
      </c>
      <c r="BJ36" s="528">
        <f t="shared" si="37"/>
        <v>6.1571383915772097E-2</v>
      </c>
      <c r="BK36">
        <f t="shared" si="38"/>
        <v>3.2288970651475533E-2</v>
      </c>
      <c r="BL36" s="460">
        <f t="shared" si="106"/>
        <v>176.3902257924081</v>
      </c>
      <c r="BM36" s="528">
        <f t="shared" si="39"/>
        <v>1.5264645770777849</v>
      </c>
      <c r="BN36" s="460">
        <f t="shared" si="107"/>
        <v>1526.464577077785</v>
      </c>
      <c r="BO36" s="528">
        <f t="shared" si="108"/>
        <v>1.9258749999999998</v>
      </c>
      <c r="BP36" s="528"/>
      <c r="BR36" s="460">
        <f t="shared" si="109"/>
        <v>1925.8749999999998</v>
      </c>
      <c r="BS36" s="528">
        <f t="shared" si="40"/>
        <v>0.13434627459865667</v>
      </c>
      <c r="BT36" s="528">
        <f t="shared" si="41"/>
        <v>0.86565372540134333</v>
      </c>
      <c r="BU36" s="528">
        <f t="shared" si="42"/>
        <v>0.69750000000000001</v>
      </c>
      <c r="BV36" s="528">
        <f t="shared" si="43"/>
        <v>2.105978260869565</v>
      </c>
      <c r="BW36" s="528">
        <f t="shared" si="44"/>
        <v>8.0331535512057402E-3</v>
      </c>
      <c r="BX36" s="460">
        <f t="shared" si="110"/>
        <v>2114.0114144207705</v>
      </c>
      <c r="BY36" s="173">
        <f t="shared" si="45"/>
        <v>5.7427412172909635</v>
      </c>
      <c r="BZ36" s="5">
        <f t="shared" si="111"/>
        <v>46.5</v>
      </c>
      <c r="CA36" s="173">
        <f t="shared" si="112"/>
        <v>0.89007580606451275</v>
      </c>
      <c r="CB36" s="5">
        <f t="shared" si="113"/>
        <v>89.00758060645127</v>
      </c>
      <c r="CE36" s="562">
        <f t="shared" si="46"/>
        <v>-50</v>
      </c>
      <c r="CF36">
        <f t="shared" si="47"/>
        <v>-50</v>
      </c>
      <c r="CG36" s="173">
        <f t="shared" si="48"/>
        <v>0.62821227834758753</v>
      </c>
      <c r="CI36" s="170">
        <v>31</v>
      </c>
      <c r="CJ36" s="217">
        <f t="shared" si="114"/>
        <v>3.1</v>
      </c>
      <c r="CK36" s="217"/>
      <c r="CL36" s="217">
        <f t="shared" si="49"/>
        <v>46.5</v>
      </c>
      <c r="CM36" s="541">
        <f t="shared" si="50"/>
        <v>72</v>
      </c>
      <c r="CN36" s="172">
        <f t="shared" si="51"/>
        <v>15.4</v>
      </c>
      <c r="CO36" s="443">
        <f t="shared" si="52"/>
        <v>87.4</v>
      </c>
      <c r="CP36" s="443"/>
      <c r="CQ36" s="217">
        <f t="shared" si="53"/>
        <v>0.17620137299771166</v>
      </c>
      <c r="CR36" s="172">
        <f t="shared" si="54"/>
        <v>318.30425629290613</v>
      </c>
      <c r="CS36" s="172">
        <f t="shared" si="115"/>
        <v>46.5</v>
      </c>
      <c r="CT36" s="217">
        <f t="shared" si="55"/>
        <v>21.220283752860407</v>
      </c>
      <c r="CU36" s="217">
        <f t="shared" si="56"/>
        <v>15</v>
      </c>
      <c r="CV36" s="217">
        <f t="shared" si="57"/>
        <v>21.144164759725399</v>
      </c>
      <c r="CW36" s="172">
        <f t="shared" si="58"/>
        <v>508.70173151630513</v>
      </c>
      <c r="CX36" s="172">
        <f t="shared" si="59"/>
        <v>15</v>
      </c>
      <c r="CY36" s="217">
        <f t="shared" si="60"/>
        <v>7.3306277056277063</v>
      </c>
      <c r="CZ36" s="217">
        <f t="shared" si="61"/>
        <v>1.2217712842712845</v>
      </c>
      <c r="DA36" s="217">
        <f t="shared" si="62"/>
        <v>5.7121774329566541</v>
      </c>
      <c r="DB36" s="197">
        <f t="shared" si="63"/>
        <v>105.72082379862701</v>
      </c>
      <c r="DC36" s="443">
        <f t="shared" si="116"/>
        <v>144.21796883432691</v>
      </c>
      <c r="DE36" s="217">
        <f t="shared" si="64"/>
        <v>9.9999999999999982</v>
      </c>
      <c r="DF36" s="173">
        <f t="shared" si="65"/>
        <v>7.7922077922077895</v>
      </c>
      <c r="DG36" s="173">
        <f t="shared" si="66"/>
        <v>4.118993135011439</v>
      </c>
      <c r="DH36" s="173"/>
      <c r="DI36" s="173">
        <f t="shared" si="67"/>
        <v>7.7922077922077913</v>
      </c>
      <c r="DJ36" s="545">
        <f t="shared" si="117"/>
        <v>79.566666666666677</v>
      </c>
      <c r="DK36" s="528">
        <f t="shared" si="68"/>
        <v>4.1189931350114417</v>
      </c>
      <c r="DM36" s="173">
        <f t="shared" si="69"/>
        <v>4.7679485455836597</v>
      </c>
      <c r="DN36" s="173">
        <f t="shared" si="70"/>
        <v>10</v>
      </c>
      <c r="DO36" s="173">
        <f t="shared" si="71"/>
        <v>1.0454666666666668</v>
      </c>
      <c r="DQ36" s="545">
        <f t="shared" si="72"/>
        <v>3100</v>
      </c>
      <c r="DR36" s="460">
        <f t="shared" si="73"/>
        <v>79.566666666666677</v>
      </c>
      <c r="DT36">
        <f t="shared" si="74"/>
        <v>3100</v>
      </c>
      <c r="DU36" s="460">
        <f t="shared" si="75"/>
        <v>79.566666666666677</v>
      </c>
      <c r="DV36" s="460"/>
      <c r="DW36" s="5">
        <f t="shared" si="118"/>
        <v>12.568077084206115</v>
      </c>
      <c r="DX36" s="5">
        <f t="shared" si="76"/>
        <v>1.6666666666666667</v>
      </c>
      <c r="DY36" s="5">
        <f t="shared" si="119"/>
        <v>10.901410417539449</v>
      </c>
      <c r="DZ36" s="5">
        <f t="shared" si="77"/>
        <v>7.7922077922077913</v>
      </c>
      <c r="EA36" s="173">
        <f t="shared" si="120"/>
        <v>0.13261111111111112</v>
      </c>
      <c r="EB36" s="173">
        <f t="shared" si="78"/>
        <v>47.740000000000009</v>
      </c>
      <c r="EC36" s="173">
        <f t="shared" si="79"/>
        <v>4.3369444444444447</v>
      </c>
      <c r="ED36" s="173">
        <f t="shared" si="121"/>
        <v>11.00774995196311</v>
      </c>
      <c r="EE36" s="460">
        <f t="shared" si="80"/>
        <v>34.444444444444443</v>
      </c>
      <c r="EF36" s="5">
        <f t="shared" si="81"/>
        <v>1.9556928411095076</v>
      </c>
      <c r="EG36" s="5"/>
      <c r="EH36" s="173">
        <f t="shared" si="122"/>
        <v>2.102467685927746</v>
      </c>
      <c r="EI36" s="173">
        <f t="shared" si="82"/>
        <v>5.377077548535353</v>
      </c>
      <c r="EJ36" s="173"/>
      <c r="EK36" s="528">
        <f t="shared" si="83"/>
        <v>8.8407407407407421E-2</v>
      </c>
      <c r="EL36" s="528">
        <f t="shared" si="84"/>
        <v>1.3908253333333334</v>
      </c>
      <c r="EM36" s="528">
        <f t="shared" si="85"/>
        <v>9.9458333333333343E-3</v>
      </c>
      <c r="EN36" s="528">
        <f t="shared" si="86"/>
        <v>6.0779067066666692E-2</v>
      </c>
      <c r="EO36">
        <f t="shared" si="87"/>
        <v>3.2399999999999998E-2</v>
      </c>
      <c r="EP36" s="460">
        <f t="shared" si="123"/>
        <v>42.345833333333331</v>
      </c>
      <c r="EQ36" s="528">
        <f t="shared" si="88"/>
        <v>1.6406913473057054</v>
      </c>
      <c r="ER36" s="460">
        <f t="shared" si="124"/>
        <v>1640.6913473057054</v>
      </c>
      <c r="ES36" s="528">
        <f t="shared" si="125"/>
        <v>1.9258749999999998</v>
      </c>
      <c r="ET36" s="528"/>
      <c r="EV36" s="460">
        <f t="shared" si="126"/>
        <v>1925.8749999999998</v>
      </c>
      <c r="EW36" s="528">
        <f t="shared" si="89"/>
        <v>0.13261111111111112</v>
      </c>
      <c r="EX36" s="528">
        <f t="shared" si="90"/>
        <v>0.86738888888888876</v>
      </c>
      <c r="EY36" s="528">
        <f t="shared" si="91"/>
        <v>0.89288990949903424</v>
      </c>
      <c r="EZ36" s="528">
        <f t="shared" si="92"/>
        <v>2.3183585972815584</v>
      </c>
      <c r="FA36" s="528">
        <f t="shared" si="93"/>
        <v>7.9566666666666674E-3</v>
      </c>
      <c r="FB36" s="460">
        <f t="shared" si="127"/>
        <v>2326.315263948225</v>
      </c>
      <c r="FC36" s="173">
        <f t="shared" si="128"/>
        <v>5.8928816112539302</v>
      </c>
      <c r="FD36" s="5">
        <f t="shared" si="129"/>
        <v>46.5</v>
      </c>
      <c r="FE36" s="173">
        <f t="shared" si="130"/>
        <v>0.88752514788214776</v>
      </c>
      <c r="FF36" s="5">
        <f t="shared" si="131"/>
        <v>88.752514788214782</v>
      </c>
      <c r="FI36" s="562">
        <f t="shared" si="94"/>
        <v>-50</v>
      </c>
      <c r="FJ36">
        <f t="shared" si="95"/>
        <v>-50</v>
      </c>
      <c r="FL36">
        <f t="shared" si="96"/>
        <v>0.62</v>
      </c>
    </row>
    <row r="37" spans="5:168">
      <c r="E37" s="170">
        <v>32</v>
      </c>
      <c r="F37" s="217">
        <f t="shared" si="97"/>
        <v>3.2</v>
      </c>
      <c r="G37" s="217"/>
      <c r="H37" s="217">
        <f t="shared" ref="H37:H68" si="132">F37*Vout</f>
        <v>48</v>
      </c>
      <c r="I37" s="541">
        <f t="shared" ref="I37:I68" si="133">Vin-F37*(Rdcr_pri+RON/1000)/CG37/Nps</f>
        <v>71.753268114390082</v>
      </c>
      <c r="J37" s="172">
        <f t="shared" ref="J37:J68" si="134">(T37+Vfwd1+F37/CG37*Rdcr_sec)*Nps</f>
        <v>15.548039131365949</v>
      </c>
      <c r="K37" s="172">
        <f t="shared" ref="K37:K68" si="135">(Vout+Vfwd1+F37/CG37*Rdcr_sec)*Nps+VIN_nom</f>
        <v>87.548039131365954</v>
      </c>
      <c r="L37" s="443"/>
      <c r="M37" s="217">
        <f t="shared" ref="M37:M68" si="136">(Vout+Vfwd1+F37/FL37*Rdcr_sec)*Nps/((Vout+Vfwd1+F37/FL37*Rdcr_sec)*Nps+I37)</f>
        <v>0.17811475258435275</v>
      </c>
      <c r="N37" s="172">
        <f t="shared" ref="N37:N68" si="137">M37*I37*(Isw_max+VIN_nom/Lmag*ILIM_delay)*0.5*Efficiency</f>
        <v>320.65811833659114</v>
      </c>
      <c r="O37" s="172">
        <f t="shared" si="98"/>
        <v>48</v>
      </c>
      <c r="P37" s="217">
        <f t="shared" ref="P37:P68" si="138">N37/Vout</f>
        <v>21.377207889106078</v>
      </c>
      <c r="Q37" s="217">
        <f t="shared" ref="Q37:Q68" si="139">MIN(Vout,N37/F37)</f>
        <v>15</v>
      </c>
      <c r="R37" s="217">
        <f t="shared" ref="R37:R68" si="140">Isw_max/2*I37*Nps*(Q37+Vfwd1+F37/FL37*Rdcr_sec)/Q37/(I37+Nps*(Q37+Vfwd1+F37/FL37*Rdcr_sec))</f>
        <v>21.300525995522193</v>
      </c>
      <c r="S37" s="172">
        <f t="shared" ref="S37:S68" si="141">(SQRT(Isw_max^2*Nps^2*I37^2+4*Isw_max*F37/Efficiency*(Nps^2*Vfwd1*I37-Nps*I37^2)+4*(F37/Efficiency)^2*Nps^2*Vfwd1^2+8*(F37/Efficiency)^2*Nps*Vfwd1*I37+4*(F37/Efficiency)^2*I37^2)-2*F37/Efficiency*I37-2*F37/Efficiency*Nps*Vfwd1+Isw_max*Nps*I37)/(4*F37/Efficiency*Nps)</f>
        <v>488.87779958422715</v>
      </c>
      <c r="T37" s="172">
        <f t="shared" ref="T37:T68" si="142">MIN(Vout, S37)</f>
        <v>15</v>
      </c>
      <c r="U37" s="217">
        <f t="shared" ref="U37:U68" si="143">MIN(2*(Vout+Vfwd1+F37/FL37*Rdcr_sec)*F37/(I37*M37), Isw_max)</f>
        <v>7.7869751527044562</v>
      </c>
      <c r="V37" s="217">
        <f t="shared" si="11"/>
        <v>1.3022919274350568</v>
      </c>
      <c r="W37" s="217">
        <f t="shared" ref="W37:W68" si="144">L*U37/J37*1000000</f>
        <v>6.0099991415601819</v>
      </c>
      <c r="X37" s="197">
        <f t="shared" ref="X37:X68" si="145">IF(1/((350000*L)*(1/I37+1/J37))&gt;Isw_min, 350, 0.001/((Isw_min*L)*(1/I37+1/J37)))</f>
        <v>106.49159174915671</v>
      </c>
      <c r="Y37" s="443">
        <f t="shared" si="14"/>
        <v>133.11518294694469</v>
      </c>
      <c r="AA37" s="217">
        <f t="shared" ref="AA37:AA68" si="146">1/((X37*1000*L)*(1/I37+1/J37))</f>
        <v>10</v>
      </c>
      <c r="AB37" s="173">
        <f t="shared" ref="AB37:AB68" si="147">L*AA37/J37*1000000</f>
        <v>7.7180150491078416</v>
      </c>
      <c r="AC37" s="173">
        <f t="shared" ref="AC37:AC68" si="148">0.5*AB37*AA37*Nps*X37/1000</f>
        <v>4.1095185386172002</v>
      </c>
      <c r="AD37" s="173"/>
      <c r="AE37" s="173">
        <f t="shared" ref="AE37:AE68" si="149">L*Isw_min/J37*1000000</f>
        <v>7.7180150491078416</v>
      </c>
      <c r="AF37" s="545">
        <f t="shared" ref="AF37:AF68" si="150">MAX(12, F37/(0.5*AE37/1000000*Isw_min*Nps)/1000)</f>
        <v>82.922875367285059</v>
      </c>
      <c r="AG37" s="528">
        <f t="shared" ref="AG37:AG68" si="151">0.5*AE37/1000000*Isw_min*Nps*X37*1000</f>
        <v>4.1095185386172002</v>
      </c>
      <c r="AI37" s="173">
        <f t="shared" ref="AI37:AI68" si="152">SQRT(F37/Efficiency/(0.5*L/J37*Fsw_DCM*Nps))</f>
        <v>4.8674685520235865</v>
      </c>
      <c r="AJ37" s="173">
        <f t="shared" ref="AJ37:AJ71" si="153">MAX(IF(F37&gt;AC37,U37,AI37),Isw_min)</f>
        <v>10</v>
      </c>
      <c r="AK37" s="173">
        <f t="shared" ref="AK37:AK68" si="154">IF(F37&gt;AG37, (AJ37-Isw_min)/1.08*0.8+1.2, AF37*0.2/350+1)</f>
        <v>1.0473845002098772</v>
      </c>
      <c r="AM37" s="545">
        <f t="shared" ref="AM37:AM68" si="155">F37*1000</f>
        <v>3200</v>
      </c>
      <c r="AN37" s="460">
        <f t="shared" ref="AN37:AN68" si="156">IF(F37&gt;AG37, Y37, AF37)</f>
        <v>82.922875367285059</v>
      </c>
      <c r="AP37">
        <f t="shared" ref="AP37:AP68" si="157">IF(H37&gt;N37, "",AM37)</f>
        <v>3200</v>
      </c>
      <c r="AQ37" s="460">
        <f t="shared" ref="AQ37:AQ68" si="158">IF(H37&gt;N37, "",AN37)</f>
        <v>82.922875367285059</v>
      </c>
      <c r="AR37" s="460"/>
      <c r="AS37" s="5">
        <f t="shared" si="101"/>
        <v>12.059398514231003</v>
      </c>
      <c r="AT37" s="5">
        <f t="shared" ref="AT37:AT68" si="159">L*AJ37/I37*1000000</f>
        <v>1.6723976921677532</v>
      </c>
      <c r="AU37" s="5">
        <f t="shared" si="102"/>
        <v>10.38700082206325</v>
      </c>
      <c r="AV37" s="5">
        <f t="shared" ref="AV37:AV68" si="160">L*AJ37/J37*1000000</f>
        <v>7.7180150491078416</v>
      </c>
      <c r="AW37" s="173">
        <f t="shared" si="103"/>
        <v>0.13868002539216176</v>
      </c>
      <c r="AX37" s="173">
        <f t="shared" ref="AX37:AX68" si="161">0.5*L*AJ37^2*AN37*1000</f>
        <v>49.753725220371038</v>
      </c>
      <c r="AY37" s="173">
        <f t="shared" ref="AY37:AY68" si="162">AJ37*Nps/2*(1-AW37)</f>
        <v>4.3065998730391915</v>
      </c>
      <c r="AZ37" s="173">
        <f t="shared" si="104"/>
        <v>11.55290175245827</v>
      </c>
      <c r="BA37" s="460">
        <f t="shared" ref="BA37:BA68" si="163">F37*AT37/Vout_ripple*1000</f>
        <v>35.677817432912065</v>
      </c>
      <c r="BB37" s="5">
        <f t="shared" ref="BB37:BB68" si="164">H37/Efficiency/I37*AU37/Vinripple1</f>
        <v>1.9301329114847925</v>
      </c>
      <c r="BC37" s="5"/>
      <c r="BD37" s="173">
        <f t="shared" si="105"/>
        <v>2.1500389561754591</v>
      </c>
      <c r="BE37" s="173">
        <f t="shared" ref="BE37:BE68" si="165">AJ37*Nps*SQRT((1-AW37)/3)</f>
        <v>5.3582334607836266</v>
      </c>
      <c r="BF37" s="173"/>
      <c r="BG37" s="528">
        <f t="shared" ref="BG37:BG68" si="166">Rdson*BD37^2</f>
        <v>9.245335026144115E-2</v>
      </c>
      <c r="BH37" s="528">
        <f t="shared" ref="BH37:BH68" si="167">0.5*K37*AJ37*AN37*1000*Tfall</f>
        <v>1.3612003382888349</v>
      </c>
      <c r="BI37" s="528">
        <f t="shared" ref="BI37:BI68" si="168">Qg*Vdd*AN37*1000*0+Qg*I37*AN37*1000</f>
        <v>0.14874968272612393</v>
      </c>
      <c r="BJ37" s="528">
        <f t="shared" ref="BJ37:BJ68" si="169">0.5*(Coss+Csw)*K37^2*AN37*1000</f>
        <v>6.355755759047442E-2</v>
      </c>
      <c r="BK37">
        <f t="shared" ref="BK37:BK68" si="170">I37*IQ</f>
        <v>3.2288970651475533E-2</v>
      </c>
      <c r="BL37" s="460">
        <f t="shared" si="106"/>
        <v>181.03865337759947</v>
      </c>
      <c r="BM37" s="528">
        <f t="shared" ref="BM37:BM68" si="171">(BH37+BI37*0+BJ37+BK37*0+BG37*(1+RdsonTC*(Ta-25)))/(1-BG37*RdsonTC*ThetaJA)</f>
        <v>1.5768113328426179</v>
      </c>
      <c r="BN37" s="460">
        <f t="shared" si="107"/>
        <v>1576.811332842618</v>
      </c>
      <c r="BO37" s="528">
        <f t="shared" ref="BO37:BO68" si="172">Vfwd2*F37*(1+Diode_TC/1000*(Ta-25))</f>
        <v>1.9879999999999998</v>
      </c>
      <c r="BP37" s="528"/>
      <c r="BR37" s="460">
        <f t="shared" si="109"/>
        <v>1987.9999999999998</v>
      </c>
      <c r="BS37" s="528">
        <f t="shared" ref="BS37:BS68" si="173">Rdcr_pri*BD37^2</f>
        <v>0.13868002539216173</v>
      </c>
      <c r="BT37" s="528">
        <f t="shared" ref="BT37:BT68" si="174">Rdcr_sec*BE37^2</f>
        <v>0.86131997460783838</v>
      </c>
      <c r="BU37" s="528">
        <f t="shared" ref="BU37:BU68" si="175">AJ37^2.5*AN37^2.5*k_core*0+BZ37*0.015</f>
        <v>0.72</v>
      </c>
      <c r="BV37" s="528">
        <f t="shared" ref="BV37:BV68" si="176">(BU37+(BS37+BT37)*(1+Ltc*(Ta-25)))/(1-(BS37+BT37)*Ltc*ThetaCa)</f>
        <v>2.1304347826086953</v>
      </c>
      <c r="BW37" s="528">
        <f t="shared" ref="BW37:BW68" si="177">0.5*Lleak*0.000000001*AJ37^2*AN37*1000</f>
        <v>8.292287536728506E-3</v>
      </c>
      <c r="BX37" s="460">
        <f t="shared" si="110"/>
        <v>2138.727070145424</v>
      </c>
      <c r="BY37" s="173">
        <f t="shared" si="45"/>
        <v>5.8845770563656421</v>
      </c>
      <c r="BZ37" s="5">
        <f t="shared" si="111"/>
        <v>48</v>
      </c>
      <c r="CA37" s="173">
        <f t="shared" si="112"/>
        <v>0.89079292484359451</v>
      </c>
      <c r="CB37" s="5">
        <f t="shared" si="113"/>
        <v>89.079292484359456</v>
      </c>
      <c r="CE37" s="562">
        <f t="shared" ref="CE37:CE68" si="178">IF(ABS(F37-Ioutmax_Vinnom)&lt;Iout/200, AN37, -50)</f>
        <v>-50</v>
      </c>
      <c r="CF37">
        <f t="shared" ref="CF37:CF68" si="179">IF(ABS(F37-Ioutmax_Vinnom)&lt;Iout/200, N37*CA37, -50)</f>
        <v>-50</v>
      </c>
      <c r="CG37" s="173">
        <f t="shared" ref="CG37:CG68" si="180">MIN(SQRT(2*DU37*1000*Ls1_*CL37)/CU37,1-EA37-0.00000005*DU37*1000)</f>
        <v>0.64847719055234843</v>
      </c>
      <c r="CI37" s="170">
        <v>32</v>
      </c>
      <c r="CJ37" s="217">
        <f t="shared" si="114"/>
        <v>3.2</v>
      </c>
      <c r="CK37" s="217"/>
      <c r="CL37" s="217">
        <f t="shared" si="49"/>
        <v>48</v>
      </c>
      <c r="CM37" s="541">
        <f t="shared" si="50"/>
        <v>72</v>
      </c>
      <c r="CN37" s="172">
        <f t="shared" si="51"/>
        <v>15.4</v>
      </c>
      <c r="CO37" s="443">
        <f t="shared" si="52"/>
        <v>87.4</v>
      </c>
      <c r="CP37" s="443"/>
      <c r="CQ37" s="217">
        <f t="shared" si="53"/>
        <v>0.17620137299771166</v>
      </c>
      <c r="CR37" s="172">
        <f t="shared" si="54"/>
        <v>318.30425629290613</v>
      </c>
      <c r="CS37" s="172">
        <f t="shared" si="115"/>
        <v>48</v>
      </c>
      <c r="CT37" s="217">
        <f t="shared" si="55"/>
        <v>21.220283752860407</v>
      </c>
      <c r="CU37" s="217">
        <f t="shared" si="56"/>
        <v>15</v>
      </c>
      <c r="CV37" s="217">
        <f t="shared" si="57"/>
        <v>21.144164759725399</v>
      </c>
      <c r="CW37" s="172">
        <f t="shared" si="58"/>
        <v>490.55866074336365</v>
      </c>
      <c r="CX37" s="172">
        <f t="shared" si="59"/>
        <v>15</v>
      </c>
      <c r="CY37" s="217">
        <f t="shared" si="60"/>
        <v>7.567099567099568</v>
      </c>
      <c r="CZ37" s="217">
        <f t="shared" si="61"/>
        <v>1.2611832611832616</v>
      </c>
      <c r="DA37" s="217">
        <f t="shared" si="62"/>
        <v>5.8964412211165467</v>
      </c>
      <c r="DB37" s="197">
        <f t="shared" si="63"/>
        <v>105.72082379862701</v>
      </c>
      <c r="DC37" s="443">
        <f t="shared" si="116"/>
        <v>139.7111573082542</v>
      </c>
      <c r="DE37" s="217">
        <f t="shared" si="64"/>
        <v>9.9999999999999982</v>
      </c>
      <c r="DF37" s="173">
        <f t="shared" si="65"/>
        <v>7.7922077922077895</v>
      </c>
      <c r="DG37" s="173">
        <f t="shared" si="66"/>
        <v>4.118993135011439</v>
      </c>
      <c r="DH37" s="173"/>
      <c r="DI37" s="173">
        <f t="shared" si="67"/>
        <v>7.7922077922077913</v>
      </c>
      <c r="DJ37" s="545">
        <f t="shared" si="117"/>
        <v>82.13333333333334</v>
      </c>
      <c r="DK37" s="528">
        <f t="shared" si="68"/>
        <v>4.1189931350114417</v>
      </c>
      <c r="DM37" s="173">
        <f t="shared" si="69"/>
        <v>4.8442405665559871</v>
      </c>
      <c r="DN37" s="173">
        <f t="shared" si="70"/>
        <v>10</v>
      </c>
      <c r="DO37" s="173">
        <f t="shared" si="71"/>
        <v>1.0469333333333333</v>
      </c>
      <c r="DQ37" s="545">
        <f t="shared" si="72"/>
        <v>3200</v>
      </c>
      <c r="DR37" s="460">
        <f t="shared" si="73"/>
        <v>82.13333333333334</v>
      </c>
      <c r="DT37">
        <f t="shared" si="74"/>
        <v>3200</v>
      </c>
      <c r="DU37" s="460">
        <f t="shared" si="75"/>
        <v>82.13333333333334</v>
      </c>
      <c r="DV37" s="460"/>
      <c r="DW37" s="5">
        <f t="shared" si="118"/>
        <v>12.175324675324674</v>
      </c>
      <c r="DX37" s="5">
        <f t="shared" si="76"/>
        <v>1.6666666666666667</v>
      </c>
      <c r="DY37" s="5">
        <f t="shared" si="119"/>
        <v>10.508658008658008</v>
      </c>
      <c r="DZ37" s="5">
        <f t="shared" si="77"/>
        <v>7.7922077922077913</v>
      </c>
      <c r="EA37" s="173">
        <f t="shared" si="120"/>
        <v>0.13688888888888892</v>
      </c>
      <c r="EB37" s="173">
        <f t="shared" si="78"/>
        <v>49.280000000000008</v>
      </c>
      <c r="EC37" s="173">
        <f t="shared" si="79"/>
        <v>4.3155555555555551</v>
      </c>
      <c r="ED37" s="173">
        <f t="shared" si="121"/>
        <v>11.419155509783732</v>
      </c>
      <c r="EE37" s="460">
        <f t="shared" si="80"/>
        <v>35.555555555555564</v>
      </c>
      <c r="EF37" s="5">
        <f t="shared" si="81"/>
        <v>1.9460477793811126</v>
      </c>
      <c r="EG37" s="5"/>
      <c r="EH37" s="173">
        <f t="shared" si="122"/>
        <v>2.1361093050129627</v>
      </c>
      <c r="EI37" s="173">
        <f t="shared" si="82"/>
        <v>5.3638018578588795</v>
      </c>
      <c r="EJ37" s="173"/>
      <c r="EK37" s="528">
        <f t="shared" si="83"/>
        <v>9.1259259259259248E-2</v>
      </c>
      <c r="EL37" s="528">
        <f t="shared" si="84"/>
        <v>1.4356906666666669</v>
      </c>
      <c r="EM37" s="528">
        <f t="shared" si="85"/>
        <v>1.0266666666666667E-2</v>
      </c>
      <c r="EN37" s="528">
        <f t="shared" si="86"/>
        <v>6.2739682133333349E-2</v>
      </c>
      <c r="EO37">
        <f t="shared" si="87"/>
        <v>3.2399999999999998E-2</v>
      </c>
      <c r="EP37" s="460">
        <f t="shared" si="123"/>
        <v>42.666666666666664</v>
      </c>
      <c r="EQ37" s="528">
        <f t="shared" si="88"/>
        <v>1.693721578455901</v>
      </c>
      <c r="ER37" s="460">
        <f t="shared" si="124"/>
        <v>1693.721578455901</v>
      </c>
      <c r="ES37" s="528">
        <f t="shared" si="125"/>
        <v>1.9879999999999998</v>
      </c>
      <c r="ET37" s="528"/>
      <c r="EV37" s="460">
        <f t="shared" si="126"/>
        <v>1987.9999999999998</v>
      </c>
      <c r="EW37" s="528">
        <f t="shared" si="89"/>
        <v>0.13688888888888887</v>
      </c>
      <c r="EX37" s="528">
        <f t="shared" si="90"/>
        <v>0.86311111111111105</v>
      </c>
      <c r="EY37" s="528">
        <f t="shared" si="91"/>
        <v>0.96664859995214658</v>
      </c>
      <c r="EZ37" s="528">
        <f t="shared" si="92"/>
        <v>2.3985310869045064</v>
      </c>
      <c r="FA37" s="528">
        <f t="shared" si="93"/>
        <v>8.2133333333333346E-3</v>
      </c>
      <c r="FB37" s="460">
        <f t="shared" si="127"/>
        <v>2406.7444202378397</v>
      </c>
      <c r="FC37" s="173">
        <f t="shared" si="128"/>
        <v>6.0884659986937395</v>
      </c>
      <c r="FD37" s="5">
        <f t="shared" si="129"/>
        <v>48</v>
      </c>
      <c r="FE37" s="173">
        <f t="shared" si="130"/>
        <v>0.8874350402386938</v>
      </c>
      <c r="FF37" s="5">
        <f t="shared" si="131"/>
        <v>88.743504023869377</v>
      </c>
      <c r="FI37" s="562">
        <f t="shared" si="94"/>
        <v>-50</v>
      </c>
      <c r="FJ37">
        <f t="shared" si="95"/>
        <v>-50</v>
      </c>
      <c r="FL37">
        <f t="shared" ref="FL37:FL68" si="181">MIN(SQRT(2*L*DR37*1000*CJ37*(CX37+Vfwd1))/(Nps*(CX37+Vfwd1)), 1-EA37)</f>
        <v>0.64000000000000012</v>
      </c>
    </row>
    <row r="38" spans="5:168">
      <c r="E38" s="170">
        <v>33</v>
      </c>
      <c r="F38" s="217">
        <f t="shared" ref="F38:F69" si="182">IF(PLOT_TYPE=1, E38/100*Iout_max, min_I*EXP(N38*rr/100))</f>
        <v>3.3000000000000003</v>
      </c>
      <c r="G38" s="217"/>
      <c r="H38" s="217">
        <f t="shared" si="132"/>
        <v>49.500000000000007</v>
      </c>
      <c r="I38" s="541">
        <f t="shared" si="133"/>
        <v>71.753268114390082</v>
      </c>
      <c r="J38" s="172">
        <f t="shared" si="134"/>
        <v>15.548039131365949</v>
      </c>
      <c r="K38" s="172">
        <f t="shared" si="135"/>
        <v>87.548039131365954</v>
      </c>
      <c r="L38" s="443"/>
      <c r="M38" s="217">
        <f t="shared" si="136"/>
        <v>0.17811475258435275</v>
      </c>
      <c r="N38" s="172">
        <f t="shared" si="137"/>
        <v>320.65811833659114</v>
      </c>
      <c r="O38" s="172">
        <f t="shared" si="98"/>
        <v>49.500000000000007</v>
      </c>
      <c r="P38" s="217">
        <f t="shared" si="138"/>
        <v>21.377207889106078</v>
      </c>
      <c r="Q38" s="217">
        <f t="shared" si="139"/>
        <v>15</v>
      </c>
      <c r="R38" s="217">
        <f t="shared" si="140"/>
        <v>21.300525995522193</v>
      </c>
      <c r="S38" s="172">
        <f t="shared" si="141"/>
        <v>471.89286653624112</v>
      </c>
      <c r="T38" s="172">
        <f t="shared" si="142"/>
        <v>15</v>
      </c>
      <c r="U38" s="217">
        <f t="shared" si="143"/>
        <v>8.0303181262264705</v>
      </c>
      <c r="V38" s="217">
        <f t="shared" si="11"/>
        <v>1.3429885501674026</v>
      </c>
      <c r="W38" s="217">
        <f t="shared" si="144"/>
        <v>6.1978116147339382</v>
      </c>
      <c r="X38" s="197">
        <f t="shared" si="145"/>
        <v>106.49159174915671</v>
      </c>
      <c r="Y38" s="443">
        <f t="shared" si="14"/>
        <v>129.18561113801152</v>
      </c>
      <c r="AA38" s="217">
        <f t="shared" si="146"/>
        <v>10</v>
      </c>
      <c r="AB38" s="173">
        <f t="shared" si="147"/>
        <v>7.7180150491078416</v>
      </c>
      <c r="AC38" s="173">
        <f t="shared" si="148"/>
        <v>4.1095185386172002</v>
      </c>
      <c r="AD38" s="173"/>
      <c r="AE38" s="173">
        <f t="shared" si="149"/>
        <v>7.7180150491078416</v>
      </c>
      <c r="AF38" s="545">
        <f t="shared" si="150"/>
        <v>85.514215222512703</v>
      </c>
      <c r="AG38" s="528">
        <f t="shared" si="151"/>
        <v>4.1095185386172002</v>
      </c>
      <c r="AI38" s="173">
        <f t="shared" si="152"/>
        <v>4.942937681249675</v>
      </c>
      <c r="AJ38" s="173">
        <f t="shared" si="153"/>
        <v>10</v>
      </c>
      <c r="AK38" s="173">
        <f t="shared" si="154"/>
        <v>1.0488652658414359</v>
      </c>
      <c r="AM38" s="545">
        <f t="shared" si="155"/>
        <v>3300.0000000000005</v>
      </c>
      <c r="AN38" s="460">
        <f t="shared" si="156"/>
        <v>85.514215222512703</v>
      </c>
      <c r="AP38">
        <f t="shared" si="157"/>
        <v>3300.0000000000005</v>
      </c>
      <c r="AQ38" s="460">
        <f t="shared" si="158"/>
        <v>85.514215222512703</v>
      </c>
      <c r="AR38" s="460"/>
      <c r="AS38" s="5">
        <f t="shared" si="101"/>
        <v>11.693962195617942</v>
      </c>
      <c r="AT38" s="5">
        <f t="shared" si="159"/>
        <v>1.6723976921677532</v>
      </c>
      <c r="AU38" s="5">
        <f t="shared" si="102"/>
        <v>10.02156450345019</v>
      </c>
      <c r="AV38" s="5">
        <f t="shared" si="160"/>
        <v>7.7180150491078416</v>
      </c>
      <c r="AW38" s="173">
        <f t="shared" si="103"/>
        <v>0.14301377618566682</v>
      </c>
      <c r="AX38" s="173">
        <f t="shared" si="161"/>
        <v>51.308529133507626</v>
      </c>
      <c r="AY38" s="173">
        <f t="shared" si="162"/>
        <v>4.2849311190716657</v>
      </c>
      <c r="AZ38" s="173">
        <f t="shared" si="104"/>
        <v>11.974178279118677</v>
      </c>
      <c r="BA38" s="460">
        <f t="shared" si="163"/>
        <v>36.792749227690571</v>
      </c>
      <c r="BB38" s="5">
        <f t="shared" si="164"/>
        <v>1.9204214043987931</v>
      </c>
      <c r="BC38" s="5"/>
      <c r="BD38" s="173">
        <f t="shared" si="105"/>
        <v>2.1833748814291054</v>
      </c>
      <c r="BE38" s="173">
        <f t="shared" si="165"/>
        <v>5.3447364257255723</v>
      </c>
      <c r="BF38" s="173"/>
      <c r="BG38" s="528">
        <f t="shared" si="166"/>
        <v>9.5342517457111212E-2</v>
      </c>
      <c r="BH38" s="528">
        <f t="shared" si="167"/>
        <v>1.4037378488603609</v>
      </c>
      <c r="BI38" s="528">
        <f t="shared" si="168"/>
        <v>0.15339811031131526</v>
      </c>
      <c r="BJ38" s="528">
        <f t="shared" si="169"/>
        <v>6.5543731265176722E-2</v>
      </c>
      <c r="BK38">
        <f t="shared" si="170"/>
        <v>3.2288970651475533E-2</v>
      </c>
      <c r="BL38" s="460">
        <f t="shared" si="106"/>
        <v>185.68708096279079</v>
      </c>
      <c r="BM38" s="528">
        <f t="shared" si="171"/>
        <v>1.6272288134490573</v>
      </c>
      <c r="BN38" s="460">
        <f t="shared" si="107"/>
        <v>1627.2288134490573</v>
      </c>
      <c r="BO38" s="528">
        <f t="shared" si="172"/>
        <v>2.050125</v>
      </c>
      <c r="BP38" s="528"/>
      <c r="BR38" s="460">
        <f t="shared" si="109"/>
        <v>2050.125</v>
      </c>
      <c r="BS38" s="528">
        <f t="shared" si="173"/>
        <v>0.1430137761856668</v>
      </c>
      <c r="BT38" s="528">
        <f t="shared" si="174"/>
        <v>0.85698622381433298</v>
      </c>
      <c r="BU38" s="528">
        <f t="shared" si="175"/>
        <v>0.74250000000000005</v>
      </c>
      <c r="BV38" s="528">
        <f t="shared" si="176"/>
        <v>2.1548913043478257</v>
      </c>
      <c r="BW38" s="528">
        <f t="shared" si="177"/>
        <v>8.55142152225127E-3</v>
      </c>
      <c r="BX38" s="460">
        <f t="shared" si="110"/>
        <v>2163.4427258700766</v>
      </c>
      <c r="BY38" s="173">
        <f t="shared" si="45"/>
        <v>6.0264836202819261</v>
      </c>
      <c r="BZ38" s="5">
        <f t="shared" si="111"/>
        <v>49.500000000000007</v>
      </c>
      <c r="CA38" s="173">
        <f t="shared" si="112"/>
        <v>0.89146649981486203</v>
      </c>
      <c r="CB38" s="5">
        <f t="shared" si="113"/>
        <v>89.146649981486206</v>
      </c>
      <c r="CE38" s="562">
        <f t="shared" si="178"/>
        <v>-50</v>
      </c>
      <c r="CF38">
        <f t="shared" si="179"/>
        <v>-50</v>
      </c>
      <c r="CG38" s="173">
        <f t="shared" si="180"/>
        <v>0.66874210275710932</v>
      </c>
      <c r="CI38" s="170">
        <v>33</v>
      </c>
      <c r="CJ38" s="217">
        <f t="shared" si="114"/>
        <v>3.3000000000000003</v>
      </c>
      <c r="CK38" s="217"/>
      <c r="CL38" s="217">
        <f t="shared" si="49"/>
        <v>49.500000000000007</v>
      </c>
      <c r="CM38" s="541">
        <f t="shared" si="50"/>
        <v>72</v>
      </c>
      <c r="CN38" s="172">
        <f t="shared" si="51"/>
        <v>15.4</v>
      </c>
      <c r="CO38" s="443">
        <f t="shared" si="52"/>
        <v>87.4</v>
      </c>
      <c r="CP38" s="443"/>
      <c r="CQ38" s="217">
        <f t="shared" si="53"/>
        <v>0.17620137299771166</v>
      </c>
      <c r="CR38" s="172">
        <f t="shared" si="54"/>
        <v>318.30425629290613</v>
      </c>
      <c r="CS38" s="172">
        <f t="shared" si="115"/>
        <v>49.500000000000007</v>
      </c>
      <c r="CT38" s="217">
        <f t="shared" si="55"/>
        <v>21.220283752860407</v>
      </c>
      <c r="CU38" s="217">
        <f t="shared" si="56"/>
        <v>15</v>
      </c>
      <c r="CV38" s="217">
        <f t="shared" si="57"/>
        <v>21.144164759725399</v>
      </c>
      <c r="CW38" s="172">
        <f t="shared" si="58"/>
        <v>473.51531580536448</v>
      </c>
      <c r="CX38" s="172">
        <f t="shared" si="59"/>
        <v>15</v>
      </c>
      <c r="CY38" s="217">
        <f t="shared" si="60"/>
        <v>7.8035714285714306</v>
      </c>
      <c r="CZ38" s="217">
        <f t="shared" si="61"/>
        <v>1.3005952380952384</v>
      </c>
      <c r="DA38" s="217">
        <f t="shared" si="62"/>
        <v>6.0807050092764401</v>
      </c>
      <c r="DB38" s="197">
        <f t="shared" si="63"/>
        <v>105.72082379862701</v>
      </c>
      <c r="DC38" s="443">
        <f t="shared" si="116"/>
        <v>135.47748587467072</v>
      </c>
      <c r="DE38" s="217">
        <f t="shared" si="64"/>
        <v>9.9999999999999982</v>
      </c>
      <c r="DF38" s="173">
        <f t="shared" si="65"/>
        <v>7.7922077922077895</v>
      </c>
      <c r="DG38" s="173">
        <f t="shared" si="66"/>
        <v>4.118993135011439</v>
      </c>
      <c r="DH38" s="173"/>
      <c r="DI38" s="173">
        <f t="shared" si="67"/>
        <v>7.7922077922077913</v>
      </c>
      <c r="DJ38" s="545">
        <f t="shared" si="117"/>
        <v>84.700000000000017</v>
      </c>
      <c r="DK38" s="528">
        <f t="shared" si="68"/>
        <v>4.1189931350114417</v>
      </c>
      <c r="DM38" s="173">
        <f t="shared" si="69"/>
        <v>4.9193495504995379</v>
      </c>
      <c r="DN38" s="173">
        <f t="shared" si="70"/>
        <v>10</v>
      </c>
      <c r="DO38" s="173">
        <f t="shared" si="71"/>
        <v>1.0484</v>
      </c>
      <c r="DQ38" s="545">
        <f t="shared" si="72"/>
        <v>3300.0000000000005</v>
      </c>
      <c r="DR38" s="460">
        <f t="shared" si="73"/>
        <v>84.700000000000017</v>
      </c>
      <c r="DT38">
        <f t="shared" si="74"/>
        <v>3300.0000000000005</v>
      </c>
      <c r="DU38" s="460">
        <f t="shared" si="75"/>
        <v>84.700000000000017</v>
      </c>
      <c r="DV38" s="460"/>
      <c r="DW38" s="5">
        <f t="shared" si="118"/>
        <v>11.806375442739077</v>
      </c>
      <c r="DX38" s="5">
        <f t="shared" si="76"/>
        <v>1.6666666666666667</v>
      </c>
      <c r="DY38" s="5">
        <f t="shared" si="119"/>
        <v>10.139708776072411</v>
      </c>
      <c r="DZ38" s="5">
        <f t="shared" si="77"/>
        <v>7.7922077922077913</v>
      </c>
      <c r="EA38" s="173">
        <f t="shared" si="120"/>
        <v>0.14116666666666669</v>
      </c>
      <c r="EB38" s="173">
        <f t="shared" si="78"/>
        <v>50.820000000000014</v>
      </c>
      <c r="EC38" s="173">
        <f t="shared" si="79"/>
        <v>4.2941666666666665</v>
      </c>
      <c r="ED38" s="173">
        <f t="shared" si="121"/>
        <v>11.834659421696104</v>
      </c>
      <c r="EE38" s="460">
        <f t="shared" si="80"/>
        <v>36.666666666666671</v>
      </c>
      <c r="EF38" s="5">
        <f t="shared" si="81"/>
        <v>1.9364027176527174</v>
      </c>
      <c r="EG38" s="5"/>
      <c r="EH38" s="173">
        <f t="shared" si="122"/>
        <v>2.1692292538031928</v>
      </c>
      <c r="EI38" s="173">
        <f t="shared" si="82"/>
        <v>5.3504932275237751</v>
      </c>
      <c r="EJ38" s="173"/>
      <c r="EK38" s="528">
        <f t="shared" si="83"/>
        <v>9.4111111111111131E-2</v>
      </c>
      <c r="EL38" s="528">
        <f t="shared" si="84"/>
        <v>1.4805560000000004</v>
      </c>
      <c r="EM38" s="528">
        <f t="shared" si="85"/>
        <v>1.0587500000000001E-2</v>
      </c>
      <c r="EN38" s="528">
        <f t="shared" si="86"/>
        <v>6.4700297200000034E-2</v>
      </c>
      <c r="EO38">
        <f t="shared" si="87"/>
        <v>3.2399999999999998E-2</v>
      </c>
      <c r="EP38" s="460">
        <f t="shared" si="123"/>
        <v>42.987499999999997</v>
      </c>
      <c r="EQ38" s="528">
        <f t="shared" si="88"/>
        <v>1.746825319924888</v>
      </c>
      <c r="ER38" s="460">
        <f t="shared" si="124"/>
        <v>1746.8253199248879</v>
      </c>
      <c r="ES38" s="528">
        <f t="shared" si="125"/>
        <v>2.050125</v>
      </c>
      <c r="ET38" s="528"/>
      <c r="EV38" s="460">
        <f t="shared" si="126"/>
        <v>2050.125</v>
      </c>
      <c r="EW38" s="528">
        <f t="shared" si="89"/>
        <v>0.14116666666666669</v>
      </c>
      <c r="EX38" s="528">
        <f t="shared" si="90"/>
        <v>0.85883333333333345</v>
      </c>
      <c r="EY38" s="528">
        <f t="shared" si="91"/>
        <v>1.043947191275747</v>
      </c>
      <c r="EZ38" s="528">
        <f t="shared" si="92"/>
        <v>2.4825512948649426</v>
      </c>
      <c r="FA38" s="528">
        <f t="shared" si="93"/>
        <v>8.4700000000000018E-3</v>
      </c>
      <c r="FB38" s="460">
        <f t="shared" si="127"/>
        <v>2491.0212948649428</v>
      </c>
      <c r="FC38" s="173">
        <f t="shared" si="128"/>
        <v>6.2879716147898312</v>
      </c>
      <c r="FD38" s="5">
        <f t="shared" si="129"/>
        <v>49.500000000000007</v>
      </c>
      <c r="FE38" s="173">
        <f t="shared" si="130"/>
        <v>0.88728804018529972</v>
      </c>
      <c r="FF38" s="5">
        <f t="shared" si="131"/>
        <v>88.728804018529971</v>
      </c>
      <c r="FI38" s="562">
        <f t="shared" si="94"/>
        <v>-50</v>
      </c>
      <c r="FJ38">
        <f t="shared" si="95"/>
        <v>-50</v>
      </c>
      <c r="FL38">
        <f t="shared" si="181"/>
        <v>0.66</v>
      </c>
    </row>
    <row r="39" spans="5:168">
      <c r="E39" s="170">
        <v>34</v>
      </c>
      <c r="F39" s="217">
        <f t="shared" si="182"/>
        <v>3.4000000000000004</v>
      </c>
      <c r="G39" s="217"/>
      <c r="H39" s="217">
        <f t="shared" si="132"/>
        <v>51.000000000000007</v>
      </c>
      <c r="I39" s="541">
        <f t="shared" si="133"/>
        <v>71.753268114390082</v>
      </c>
      <c r="J39" s="172">
        <f t="shared" si="134"/>
        <v>15.548039131365949</v>
      </c>
      <c r="K39" s="172">
        <f t="shared" si="135"/>
        <v>87.548039131365954</v>
      </c>
      <c r="L39" s="443"/>
      <c r="M39" s="217">
        <f t="shared" si="136"/>
        <v>0.17811475258435275</v>
      </c>
      <c r="N39" s="172">
        <f t="shared" si="137"/>
        <v>320.65811833659114</v>
      </c>
      <c r="O39" s="172">
        <f t="shared" si="98"/>
        <v>51.000000000000007</v>
      </c>
      <c r="P39" s="217">
        <f t="shared" si="138"/>
        <v>21.377207889106078</v>
      </c>
      <c r="Q39" s="217">
        <f t="shared" si="139"/>
        <v>15</v>
      </c>
      <c r="R39" s="217">
        <f t="shared" si="140"/>
        <v>21.300525995522193</v>
      </c>
      <c r="S39" s="172">
        <f t="shared" si="141"/>
        <v>455.90719064066803</v>
      </c>
      <c r="T39" s="172">
        <f t="shared" si="142"/>
        <v>15</v>
      </c>
      <c r="U39" s="217">
        <f t="shared" si="143"/>
        <v>8.2736610997484838</v>
      </c>
      <c r="V39" s="217">
        <f t="shared" si="11"/>
        <v>1.3836851728997481</v>
      </c>
      <c r="W39" s="217">
        <f t="shared" si="144"/>
        <v>6.3856240879076935</v>
      </c>
      <c r="X39" s="197">
        <f t="shared" si="145"/>
        <v>106.49159174915671</v>
      </c>
      <c r="Y39" s="443">
        <f t="shared" si="14"/>
        <v>125.48138957512123</v>
      </c>
      <c r="AA39" s="217">
        <f t="shared" si="146"/>
        <v>10</v>
      </c>
      <c r="AB39" s="173">
        <f t="shared" si="147"/>
        <v>7.7180150491078416</v>
      </c>
      <c r="AC39" s="173">
        <f t="shared" si="148"/>
        <v>4.1095185386172002</v>
      </c>
      <c r="AD39" s="173"/>
      <c r="AE39" s="173">
        <f t="shared" si="149"/>
        <v>7.7180150491078416</v>
      </c>
      <c r="AF39" s="545">
        <f t="shared" si="150"/>
        <v>88.105555077740377</v>
      </c>
      <c r="AG39" s="528">
        <f t="shared" si="151"/>
        <v>4.1095185386172002</v>
      </c>
      <c r="AI39" s="173">
        <f t="shared" si="152"/>
        <v>5.0172717423413742</v>
      </c>
      <c r="AJ39" s="173">
        <f t="shared" si="153"/>
        <v>10</v>
      </c>
      <c r="AK39" s="173">
        <f t="shared" si="154"/>
        <v>1.0503460314729944</v>
      </c>
      <c r="AM39" s="545">
        <f t="shared" si="155"/>
        <v>3400.0000000000005</v>
      </c>
      <c r="AN39" s="460">
        <f t="shared" si="156"/>
        <v>88.105555077740377</v>
      </c>
      <c r="AP39">
        <f t="shared" si="157"/>
        <v>3400.0000000000005</v>
      </c>
      <c r="AQ39" s="460">
        <f t="shared" si="158"/>
        <v>88.105555077740377</v>
      </c>
      <c r="AR39" s="460"/>
      <c r="AS39" s="5">
        <f t="shared" si="101"/>
        <v>11.350022131040943</v>
      </c>
      <c r="AT39" s="5">
        <f t="shared" si="159"/>
        <v>1.6723976921677532</v>
      </c>
      <c r="AU39" s="5">
        <f t="shared" si="102"/>
        <v>9.67762443887319</v>
      </c>
      <c r="AV39" s="5">
        <f t="shared" si="160"/>
        <v>7.7180150491078416</v>
      </c>
      <c r="AW39" s="173">
        <f t="shared" si="103"/>
        <v>0.14734752697917189</v>
      </c>
      <c r="AX39" s="173">
        <f t="shared" si="161"/>
        <v>52.863333046644229</v>
      </c>
      <c r="AY39" s="173">
        <f t="shared" si="162"/>
        <v>4.2632623651041408</v>
      </c>
      <c r="AZ39" s="173">
        <f t="shared" si="104"/>
        <v>12.399737224559228</v>
      </c>
      <c r="BA39" s="460">
        <f t="shared" si="163"/>
        <v>37.907681022469077</v>
      </c>
      <c r="BB39" s="5">
        <f t="shared" si="164"/>
        <v>1.9107098973127925</v>
      </c>
      <c r="BC39" s="5"/>
      <c r="BD39" s="173">
        <f t="shared" si="105"/>
        <v>2.2162094288760397</v>
      </c>
      <c r="BE39" s="173">
        <f t="shared" si="165"/>
        <v>5.3312052202756437</v>
      </c>
      <c r="BF39" s="173"/>
      <c r="BG39" s="528">
        <f t="shared" si="166"/>
        <v>9.8231684652781245E-2</v>
      </c>
      <c r="BH39" s="528">
        <f t="shared" si="167"/>
        <v>1.4462753594318873</v>
      </c>
      <c r="BI39" s="528">
        <f t="shared" si="168"/>
        <v>0.15804653789650666</v>
      </c>
      <c r="BJ39" s="528">
        <f t="shared" si="169"/>
        <v>6.7529904939879065E-2</v>
      </c>
      <c r="BK39">
        <f t="shared" si="170"/>
        <v>3.2288970651475533E-2</v>
      </c>
      <c r="BL39" s="460">
        <f t="shared" si="106"/>
        <v>190.33550854798222</v>
      </c>
      <c r="BM39" s="528">
        <f t="shared" si="171"/>
        <v>1.6777171680284295</v>
      </c>
      <c r="BN39" s="460">
        <f t="shared" si="107"/>
        <v>1677.7171680284296</v>
      </c>
      <c r="BO39" s="528">
        <f t="shared" si="172"/>
        <v>2.11225</v>
      </c>
      <c r="BP39" s="528"/>
      <c r="BR39" s="460">
        <f t="shared" si="109"/>
        <v>2112.25</v>
      </c>
      <c r="BS39" s="528">
        <f t="shared" si="173"/>
        <v>0.14734752697917186</v>
      </c>
      <c r="BT39" s="528">
        <f t="shared" si="174"/>
        <v>0.85265247302082825</v>
      </c>
      <c r="BU39" s="528">
        <f t="shared" si="175"/>
        <v>0.76500000000000012</v>
      </c>
      <c r="BV39" s="528">
        <f t="shared" si="176"/>
        <v>2.1793478260869561</v>
      </c>
      <c r="BW39" s="528">
        <f t="shared" si="177"/>
        <v>8.8105555077740375E-3</v>
      </c>
      <c r="BX39" s="460">
        <f t="shared" si="110"/>
        <v>2188.1583815947301</v>
      </c>
      <c r="BY39" s="173">
        <f t="shared" si="45"/>
        <v>6.1684610581711423</v>
      </c>
      <c r="BZ39" s="5">
        <f t="shared" si="111"/>
        <v>51.000000000000007</v>
      </c>
      <c r="CA39" s="173">
        <f t="shared" si="112"/>
        <v>0.8921002779505558</v>
      </c>
      <c r="CB39" s="5">
        <f t="shared" si="113"/>
        <v>89.210027795055581</v>
      </c>
      <c r="CE39" s="562">
        <f t="shared" si="178"/>
        <v>-50</v>
      </c>
      <c r="CF39">
        <f t="shared" si="179"/>
        <v>-50</v>
      </c>
      <c r="CG39" s="173">
        <f t="shared" si="180"/>
        <v>0.68900701496187022</v>
      </c>
      <c r="CI39" s="170">
        <v>34</v>
      </c>
      <c r="CJ39" s="217">
        <f t="shared" si="114"/>
        <v>3.4000000000000004</v>
      </c>
      <c r="CK39" s="217"/>
      <c r="CL39" s="217">
        <f t="shared" si="49"/>
        <v>51.000000000000007</v>
      </c>
      <c r="CM39" s="541">
        <f t="shared" si="50"/>
        <v>72</v>
      </c>
      <c r="CN39" s="172">
        <f t="shared" si="51"/>
        <v>15.4</v>
      </c>
      <c r="CO39" s="443">
        <f t="shared" si="52"/>
        <v>87.4</v>
      </c>
      <c r="CP39" s="443"/>
      <c r="CQ39" s="217">
        <f t="shared" si="53"/>
        <v>0.17620137299771166</v>
      </c>
      <c r="CR39" s="172">
        <f t="shared" si="54"/>
        <v>318.30425629290613</v>
      </c>
      <c r="CS39" s="172">
        <f t="shared" si="115"/>
        <v>51.000000000000007</v>
      </c>
      <c r="CT39" s="217">
        <f t="shared" si="55"/>
        <v>21.220283752860407</v>
      </c>
      <c r="CU39" s="217">
        <f t="shared" si="56"/>
        <v>15</v>
      </c>
      <c r="CV39" s="217">
        <f t="shared" si="57"/>
        <v>21.144164759725399</v>
      </c>
      <c r="CW39" s="172">
        <f t="shared" si="58"/>
        <v>457.47466401493659</v>
      </c>
      <c r="CX39" s="172">
        <f t="shared" si="59"/>
        <v>15</v>
      </c>
      <c r="CY39" s="217">
        <f t="shared" si="60"/>
        <v>8.0400432900432914</v>
      </c>
      <c r="CZ39" s="217">
        <f t="shared" si="61"/>
        <v>1.3400072150072153</v>
      </c>
      <c r="DA39" s="217">
        <f t="shared" si="62"/>
        <v>6.2649687974363308</v>
      </c>
      <c r="DB39" s="197">
        <f t="shared" si="63"/>
        <v>105.72082379862701</v>
      </c>
      <c r="DC39" s="443">
        <f t="shared" si="116"/>
        <v>131.4928539371804</v>
      </c>
      <c r="DE39" s="217">
        <f t="shared" si="64"/>
        <v>9.9999999999999982</v>
      </c>
      <c r="DF39" s="173">
        <f t="shared" si="65"/>
        <v>7.7922077922077895</v>
      </c>
      <c r="DG39" s="173">
        <f t="shared" si="66"/>
        <v>4.118993135011439</v>
      </c>
      <c r="DH39" s="173"/>
      <c r="DI39" s="173">
        <f t="shared" si="67"/>
        <v>7.7922077922077913</v>
      </c>
      <c r="DJ39" s="545">
        <f t="shared" si="117"/>
        <v>87.26666666666668</v>
      </c>
      <c r="DK39" s="528">
        <f t="shared" si="68"/>
        <v>4.1189931350114417</v>
      </c>
      <c r="DM39" s="173">
        <f t="shared" si="69"/>
        <v>4.993328882953068</v>
      </c>
      <c r="DN39" s="173">
        <f t="shared" si="70"/>
        <v>10</v>
      </c>
      <c r="DO39" s="173">
        <f t="shared" si="71"/>
        <v>1.0498666666666667</v>
      </c>
      <c r="DQ39" s="545">
        <f t="shared" si="72"/>
        <v>3400.0000000000005</v>
      </c>
      <c r="DR39" s="460">
        <f t="shared" si="73"/>
        <v>87.26666666666668</v>
      </c>
      <c r="DT39">
        <f t="shared" si="74"/>
        <v>3400.0000000000005</v>
      </c>
      <c r="DU39" s="460">
        <f t="shared" si="75"/>
        <v>87.26666666666668</v>
      </c>
      <c r="DV39" s="460"/>
      <c r="DW39" s="5">
        <f t="shared" si="118"/>
        <v>11.459129106187929</v>
      </c>
      <c r="DX39" s="5">
        <f t="shared" si="76"/>
        <v>1.6666666666666667</v>
      </c>
      <c r="DY39" s="5">
        <f t="shared" si="119"/>
        <v>9.7924624395212625</v>
      </c>
      <c r="DZ39" s="5">
        <f t="shared" si="77"/>
        <v>7.7922077922077913</v>
      </c>
      <c r="EA39" s="173">
        <f t="shared" si="120"/>
        <v>0.14544444444444446</v>
      </c>
      <c r="EB39" s="173">
        <f t="shared" si="78"/>
        <v>52.360000000000014</v>
      </c>
      <c r="EC39" s="173">
        <f t="shared" si="79"/>
        <v>4.2727777777777778</v>
      </c>
      <c r="ED39" s="173">
        <f t="shared" si="121"/>
        <v>12.254323234949945</v>
      </c>
      <c r="EE39" s="460">
        <f t="shared" si="80"/>
        <v>37.777777777777786</v>
      </c>
      <c r="EF39" s="5">
        <f t="shared" si="81"/>
        <v>1.9267576559243229</v>
      </c>
      <c r="EG39" s="5"/>
      <c r="EH39" s="173">
        <f t="shared" si="122"/>
        <v>2.2018510731082945</v>
      </c>
      <c r="EI39" s="173">
        <f t="shared" si="82"/>
        <v>5.3371514111167198</v>
      </c>
      <c r="EJ39" s="173"/>
      <c r="EK39" s="528">
        <f t="shared" si="83"/>
        <v>9.6962962962962959E-2</v>
      </c>
      <c r="EL39" s="528">
        <f t="shared" si="84"/>
        <v>1.5254213333333337</v>
      </c>
      <c r="EM39" s="528">
        <f t="shared" si="85"/>
        <v>1.0908333333333336E-2</v>
      </c>
      <c r="EN39" s="528">
        <f t="shared" si="86"/>
        <v>6.6660912266666691E-2</v>
      </c>
      <c r="EO39">
        <f t="shared" si="87"/>
        <v>3.2399999999999998E-2</v>
      </c>
      <c r="EP39" s="460">
        <f t="shared" si="123"/>
        <v>43.308333333333337</v>
      </c>
      <c r="EQ39" s="528">
        <f t="shared" si="88"/>
        <v>1.8000027246682946</v>
      </c>
      <c r="ER39" s="460">
        <f t="shared" si="124"/>
        <v>1800.0027246682946</v>
      </c>
      <c r="ES39" s="528">
        <f t="shared" si="125"/>
        <v>2.11225</v>
      </c>
      <c r="ET39" s="528"/>
      <c r="EV39" s="460">
        <f t="shared" si="126"/>
        <v>2112.25</v>
      </c>
      <c r="EW39" s="528">
        <f t="shared" si="89"/>
        <v>0.14544444444444443</v>
      </c>
      <c r="EX39" s="528">
        <f t="shared" si="90"/>
        <v>0.85455555555555585</v>
      </c>
      <c r="EY39" s="528">
        <f t="shared" si="91"/>
        <v>1.1248405732933582</v>
      </c>
      <c r="EZ39" s="528">
        <f t="shared" si="92"/>
        <v>2.5704788840145203</v>
      </c>
      <c r="FA39" s="528">
        <f t="shared" si="93"/>
        <v>8.726666666666669E-3</v>
      </c>
      <c r="FB39" s="460">
        <f t="shared" si="127"/>
        <v>2579.2055506811867</v>
      </c>
      <c r="FC39" s="173">
        <f t="shared" si="128"/>
        <v>6.4914582753494825</v>
      </c>
      <c r="FD39" s="5">
        <f t="shared" si="129"/>
        <v>51.000000000000007</v>
      </c>
      <c r="FE39" s="173">
        <f t="shared" si="130"/>
        <v>0.88708830024350227</v>
      </c>
      <c r="FF39" s="5">
        <f t="shared" si="131"/>
        <v>88.70883002435022</v>
      </c>
      <c r="FI39" s="562">
        <f t="shared" si="94"/>
        <v>-50</v>
      </c>
      <c r="FJ39">
        <f t="shared" si="95"/>
        <v>-50</v>
      </c>
      <c r="FL39">
        <f t="shared" si="181"/>
        <v>0.68</v>
      </c>
    </row>
    <row r="40" spans="5:168">
      <c r="E40" s="170">
        <v>35</v>
      </c>
      <c r="F40" s="217">
        <f t="shared" si="182"/>
        <v>3.5</v>
      </c>
      <c r="G40" s="217"/>
      <c r="H40" s="217">
        <f t="shared" si="132"/>
        <v>52.5</v>
      </c>
      <c r="I40" s="541">
        <f t="shared" si="133"/>
        <v>71.753268114390082</v>
      </c>
      <c r="J40" s="172">
        <f t="shared" si="134"/>
        <v>15.548039131365949</v>
      </c>
      <c r="K40" s="172">
        <f t="shared" si="135"/>
        <v>87.548039131365954</v>
      </c>
      <c r="L40" s="443"/>
      <c r="M40" s="217">
        <f t="shared" si="136"/>
        <v>0.17811475258435275</v>
      </c>
      <c r="N40" s="172">
        <f t="shared" si="137"/>
        <v>320.65811833659114</v>
      </c>
      <c r="O40" s="172">
        <f t="shared" si="98"/>
        <v>52.5</v>
      </c>
      <c r="P40" s="217">
        <f t="shared" si="138"/>
        <v>21.377207889106078</v>
      </c>
      <c r="Q40" s="217">
        <f t="shared" si="139"/>
        <v>15</v>
      </c>
      <c r="R40" s="217">
        <f t="shared" si="140"/>
        <v>21.300525995522193</v>
      </c>
      <c r="S40" s="172">
        <f t="shared" si="141"/>
        <v>440.83512320842783</v>
      </c>
      <c r="T40" s="172">
        <f t="shared" si="142"/>
        <v>15</v>
      </c>
      <c r="U40" s="217">
        <f t="shared" si="143"/>
        <v>8.517004073270499</v>
      </c>
      <c r="V40" s="217">
        <f t="shared" si="11"/>
        <v>1.4243817956320934</v>
      </c>
      <c r="W40" s="217">
        <f t="shared" si="144"/>
        <v>6.5734365610814498</v>
      </c>
      <c r="X40" s="197">
        <f t="shared" si="145"/>
        <v>106.49159174915671</v>
      </c>
      <c r="Y40" s="443">
        <f t="shared" si="14"/>
        <v>121.98367376377124</v>
      </c>
      <c r="AA40" s="217">
        <f t="shared" si="146"/>
        <v>10</v>
      </c>
      <c r="AB40" s="173">
        <f t="shared" si="147"/>
        <v>7.7180150491078416</v>
      </c>
      <c r="AC40" s="173">
        <f t="shared" si="148"/>
        <v>4.1095185386172002</v>
      </c>
      <c r="AD40" s="173"/>
      <c r="AE40" s="173">
        <f t="shared" si="149"/>
        <v>7.7180150491078416</v>
      </c>
      <c r="AF40" s="545">
        <f t="shared" si="150"/>
        <v>90.696894932968021</v>
      </c>
      <c r="AG40" s="528">
        <f t="shared" si="151"/>
        <v>4.1095185386172002</v>
      </c>
      <c r="AI40" s="173">
        <f t="shared" si="152"/>
        <v>5.0905204598622902</v>
      </c>
      <c r="AJ40" s="173">
        <f t="shared" si="153"/>
        <v>10</v>
      </c>
      <c r="AK40" s="173">
        <f t="shared" si="154"/>
        <v>1.0518267971045532</v>
      </c>
      <c r="AM40" s="545">
        <f t="shared" si="155"/>
        <v>3500</v>
      </c>
      <c r="AN40" s="460">
        <f t="shared" si="156"/>
        <v>90.696894932968021</v>
      </c>
      <c r="AP40">
        <f t="shared" si="157"/>
        <v>3500</v>
      </c>
      <c r="AQ40" s="460">
        <f t="shared" si="158"/>
        <v>90.696894932968021</v>
      </c>
      <c r="AR40" s="460"/>
      <c r="AS40" s="5">
        <f t="shared" si="101"/>
        <v>11.025735784439775</v>
      </c>
      <c r="AT40" s="5">
        <f t="shared" si="159"/>
        <v>1.6723976921677532</v>
      </c>
      <c r="AU40" s="5">
        <f t="shared" si="102"/>
        <v>9.353338092272022</v>
      </c>
      <c r="AV40" s="5">
        <f t="shared" si="160"/>
        <v>7.7180150491078416</v>
      </c>
      <c r="AW40" s="173">
        <f t="shared" si="103"/>
        <v>0.15168127777267693</v>
      </c>
      <c r="AX40" s="173">
        <f t="shared" si="161"/>
        <v>54.418136959780817</v>
      </c>
      <c r="AY40" s="173">
        <f t="shared" si="162"/>
        <v>4.241593611136615</v>
      </c>
      <c r="AZ40" s="173">
        <f t="shared" si="104"/>
        <v>12.829644220724497</v>
      </c>
      <c r="BA40" s="460">
        <f t="shared" si="163"/>
        <v>39.022612817247577</v>
      </c>
      <c r="BB40" s="5">
        <f t="shared" si="164"/>
        <v>1.9009983902267924</v>
      </c>
      <c r="BC40" s="5"/>
      <c r="BD40" s="173">
        <f t="shared" si="105"/>
        <v>2.2485645626538195</v>
      </c>
      <c r="BE40" s="173">
        <f t="shared" si="165"/>
        <v>5.3176395835850681</v>
      </c>
      <c r="BF40" s="173"/>
      <c r="BG40" s="528">
        <f t="shared" si="166"/>
        <v>0.10112085184845127</v>
      </c>
      <c r="BH40" s="528">
        <f t="shared" si="167"/>
        <v>1.4888128700034133</v>
      </c>
      <c r="BI40" s="528">
        <f t="shared" si="168"/>
        <v>0.16269496548169801</v>
      </c>
      <c r="BJ40" s="528">
        <f t="shared" si="169"/>
        <v>6.9516078614581381E-2</v>
      </c>
      <c r="BK40">
        <f t="shared" si="170"/>
        <v>3.2288970651475533E-2</v>
      </c>
      <c r="BL40" s="460">
        <f t="shared" si="106"/>
        <v>194.98393613317356</v>
      </c>
      <c r="BM40" s="528">
        <f t="shared" si="171"/>
        <v>1.7282765461316363</v>
      </c>
      <c r="BN40" s="460">
        <f t="shared" si="107"/>
        <v>1728.2765461316362</v>
      </c>
      <c r="BO40" s="528">
        <f t="shared" si="172"/>
        <v>2.1743749999999995</v>
      </c>
      <c r="BP40" s="528"/>
      <c r="BR40" s="460">
        <f t="shared" si="109"/>
        <v>2174.3749999999995</v>
      </c>
      <c r="BS40" s="528">
        <f t="shared" si="173"/>
        <v>0.1516812777726769</v>
      </c>
      <c r="BT40" s="528">
        <f t="shared" si="174"/>
        <v>0.84831872222732319</v>
      </c>
      <c r="BU40" s="528">
        <f t="shared" si="175"/>
        <v>0.78749999999999998</v>
      </c>
      <c r="BV40" s="528">
        <f t="shared" si="176"/>
        <v>2.2038043478260869</v>
      </c>
      <c r="BW40" s="528">
        <f t="shared" si="177"/>
        <v>9.0696894932968033E-3</v>
      </c>
      <c r="BX40" s="460">
        <f t="shared" si="110"/>
        <v>2212.8740373193837</v>
      </c>
      <c r="BY40" s="173">
        <f t="shared" si="45"/>
        <v>6.3105095195841931</v>
      </c>
      <c r="BZ40" s="5">
        <f t="shared" si="111"/>
        <v>52.5</v>
      </c>
      <c r="CA40" s="173">
        <f t="shared" si="112"/>
        <v>0.89269758804788513</v>
      </c>
      <c r="CB40" s="5">
        <f t="shared" si="113"/>
        <v>89.269758804788509</v>
      </c>
      <c r="CE40" s="562">
        <f t="shared" si="178"/>
        <v>-50</v>
      </c>
      <c r="CF40">
        <f t="shared" si="179"/>
        <v>-50</v>
      </c>
      <c r="CG40" s="173">
        <f t="shared" si="180"/>
        <v>0.70927192716663101</v>
      </c>
      <c r="CI40" s="170">
        <v>35</v>
      </c>
      <c r="CJ40" s="217">
        <f t="shared" si="114"/>
        <v>3.5</v>
      </c>
      <c r="CK40" s="217"/>
      <c r="CL40" s="217">
        <f t="shared" si="49"/>
        <v>52.5</v>
      </c>
      <c r="CM40" s="541">
        <f t="shared" si="50"/>
        <v>72</v>
      </c>
      <c r="CN40" s="172">
        <f t="shared" si="51"/>
        <v>15.4</v>
      </c>
      <c r="CO40" s="443">
        <f t="shared" si="52"/>
        <v>87.4</v>
      </c>
      <c r="CP40" s="443"/>
      <c r="CQ40" s="217">
        <f t="shared" si="53"/>
        <v>0.17620137299771166</v>
      </c>
      <c r="CR40" s="172">
        <f t="shared" si="54"/>
        <v>318.30425629290613</v>
      </c>
      <c r="CS40" s="172">
        <f t="shared" si="115"/>
        <v>52.5</v>
      </c>
      <c r="CT40" s="217">
        <f t="shared" si="55"/>
        <v>21.220283752860407</v>
      </c>
      <c r="CU40" s="217">
        <f t="shared" si="56"/>
        <v>15</v>
      </c>
      <c r="CV40" s="217">
        <f t="shared" si="57"/>
        <v>21.144164759725399</v>
      </c>
      <c r="CW40" s="172">
        <f t="shared" si="58"/>
        <v>442.35076216922073</v>
      </c>
      <c r="CX40" s="172">
        <f t="shared" si="59"/>
        <v>15</v>
      </c>
      <c r="CY40" s="217">
        <f t="shared" si="60"/>
        <v>8.2765151515151523</v>
      </c>
      <c r="CZ40" s="217">
        <f t="shared" si="61"/>
        <v>1.3794191919191923</v>
      </c>
      <c r="DA40" s="217">
        <f t="shared" si="62"/>
        <v>6.4492325855962234</v>
      </c>
      <c r="DB40" s="197">
        <f t="shared" si="63"/>
        <v>105.72082379862701</v>
      </c>
      <c r="DC40" s="443">
        <f t="shared" si="116"/>
        <v>127.73591525326097</v>
      </c>
      <c r="DE40" s="217">
        <f t="shared" si="64"/>
        <v>9.9999999999999982</v>
      </c>
      <c r="DF40" s="173">
        <f t="shared" si="65"/>
        <v>7.7922077922077895</v>
      </c>
      <c r="DG40" s="173">
        <f t="shared" si="66"/>
        <v>4.118993135011439</v>
      </c>
      <c r="DH40" s="173"/>
      <c r="DI40" s="173">
        <f t="shared" si="67"/>
        <v>7.7922077922077913</v>
      </c>
      <c r="DJ40" s="545">
        <f t="shared" si="117"/>
        <v>89.833333333333343</v>
      </c>
      <c r="DK40" s="528">
        <f t="shared" si="68"/>
        <v>4.1189931350114417</v>
      </c>
      <c r="DM40" s="173">
        <f t="shared" si="69"/>
        <v>5.0662280511902216</v>
      </c>
      <c r="DN40" s="173">
        <f t="shared" si="70"/>
        <v>10</v>
      </c>
      <c r="DO40" s="173">
        <f t="shared" si="71"/>
        <v>1.0513333333333335</v>
      </c>
      <c r="DQ40" s="545">
        <f t="shared" si="72"/>
        <v>3500</v>
      </c>
      <c r="DR40" s="460">
        <f t="shared" si="73"/>
        <v>89.833333333333343</v>
      </c>
      <c r="DT40">
        <f t="shared" si="74"/>
        <v>3500</v>
      </c>
      <c r="DU40" s="460">
        <f t="shared" si="75"/>
        <v>89.833333333333343</v>
      </c>
      <c r="DV40" s="460"/>
      <c r="DW40" s="5">
        <f t="shared" si="118"/>
        <v>11.131725417439702</v>
      </c>
      <c r="DX40" s="5">
        <f t="shared" si="76"/>
        <v>1.6666666666666667</v>
      </c>
      <c r="DY40" s="5">
        <f t="shared" si="119"/>
        <v>9.4650587507730357</v>
      </c>
      <c r="DZ40" s="5">
        <f t="shared" si="77"/>
        <v>7.7922077922077913</v>
      </c>
      <c r="EA40" s="173">
        <f t="shared" si="120"/>
        <v>0.14972222222222226</v>
      </c>
      <c r="EB40" s="173">
        <f t="shared" si="78"/>
        <v>53.900000000000013</v>
      </c>
      <c r="EC40" s="173">
        <f t="shared" si="79"/>
        <v>4.2513888888888882</v>
      </c>
      <c r="ED40" s="173">
        <f t="shared" si="121"/>
        <v>12.6782097353806</v>
      </c>
      <c r="EE40" s="460">
        <f t="shared" si="80"/>
        <v>38.888888888888893</v>
      </c>
      <c r="EF40" s="5">
        <f t="shared" si="81"/>
        <v>1.9171125941959273</v>
      </c>
      <c r="EG40" s="5"/>
      <c r="EH40" s="173">
        <f t="shared" si="122"/>
        <v>2.2339965847647889</v>
      </c>
      <c r="EI40" s="173">
        <f t="shared" si="82"/>
        <v>5.3237761591367256</v>
      </c>
      <c r="EJ40" s="173"/>
      <c r="EK40" s="528">
        <f t="shared" si="83"/>
        <v>9.9814814814814815E-2</v>
      </c>
      <c r="EL40" s="528">
        <f t="shared" si="84"/>
        <v>1.5702866666666668</v>
      </c>
      <c r="EM40" s="528">
        <f t="shared" si="85"/>
        <v>1.1229166666666667E-2</v>
      </c>
      <c r="EN40" s="528">
        <f t="shared" si="86"/>
        <v>6.8621527333333349E-2</v>
      </c>
      <c r="EO40">
        <f t="shared" si="87"/>
        <v>3.2399999999999998E-2</v>
      </c>
      <c r="EP40" s="460">
        <f t="shared" si="123"/>
        <v>43.629166666666663</v>
      </c>
      <c r="EQ40" s="528">
        <f t="shared" si="88"/>
        <v>1.8532539460663919</v>
      </c>
      <c r="ER40" s="460">
        <f t="shared" si="124"/>
        <v>1853.253946066392</v>
      </c>
      <c r="ES40" s="528">
        <f t="shared" si="125"/>
        <v>2.1743749999999995</v>
      </c>
      <c r="ET40" s="528"/>
      <c r="EV40" s="460">
        <f t="shared" si="126"/>
        <v>2174.3749999999995</v>
      </c>
      <c r="EW40" s="528">
        <f t="shared" si="89"/>
        <v>0.1497222222222222</v>
      </c>
      <c r="EX40" s="528">
        <f t="shared" si="90"/>
        <v>0.85027777777777758</v>
      </c>
      <c r="EY40" s="528">
        <f t="shared" si="91"/>
        <v>1.2093828100881767</v>
      </c>
      <c r="EZ40" s="528">
        <f t="shared" si="92"/>
        <v>2.6623726196610611</v>
      </c>
      <c r="FA40" s="528">
        <f t="shared" si="93"/>
        <v>8.9833333333333345E-3</v>
      </c>
      <c r="FB40" s="460">
        <f t="shared" si="127"/>
        <v>2671.3559529943941</v>
      </c>
      <c r="FC40" s="173">
        <f t="shared" si="128"/>
        <v>6.6989848990607861</v>
      </c>
      <c r="FD40" s="5">
        <f t="shared" si="129"/>
        <v>52.5</v>
      </c>
      <c r="FE40" s="173">
        <f t="shared" si="130"/>
        <v>0.88683953093987811</v>
      </c>
      <c r="FF40" s="5">
        <f t="shared" si="131"/>
        <v>88.68395309398781</v>
      </c>
      <c r="FI40" s="562">
        <f t="shared" si="94"/>
        <v>-50</v>
      </c>
      <c r="FJ40">
        <f t="shared" si="95"/>
        <v>-50</v>
      </c>
      <c r="FL40">
        <f t="shared" si="181"/>
        <v>0.70000000000000007</v>
      </c>
    </row>
    <row r="41" spans="5:168">
      <c r="E41" s="170">
        <v>36</v>
      </c>
      <c r="F41" s="217">
        <f t="shared" si="182"/>
        <v>3.5999999999999996</v>
      </c>
      <c r="G41" s="217"/>
      <c r="H41" s="217">
        <f t="shared" si="132"/>
        <v>53.999999999999993</v>
      </c>
      <c r="I41" s="541">
        <f t="shared" si="133"/>
        <v>71.753268114390082</v>
      </c>
      <c r="J41" s="172">
        <f t="shared" si="134"/>
        <v>15.548039131365949</v>
      </c>
      <c r="K41" s="172">
        <f t="shared" si="135"/>
        <v>87.548039131365954</v>
      </c>
      <c r="L41" s="443"/>
      <c r="M41" s="217">
        <f t="shared" si="136"/>
        <v>0.17811475258435275</v>
      </c>
      <c r="N41" s="172">
        <f t="shared" si="137"/>
        <v>320.65811833659114</v>
      </c>
      <c r="O41" s="172">
        <f t="shared" si="98"/>
        <v>53.999999999999993</v>
      </c>
      <c r="P41" s="217">
        <f t="shared" si="138"/>
        <v>21.377207889106078</v>
      </c>
      <c r="Q41" s="217">
        <f t="shared" si="139"/>
        <v>15</v>
      </c>
      <c r="R41" s="217">
        <f t="shared" si="140"/>
        <v>21.300525995522193</v>
      </c>
      <c r="S41" s="172">
        <f t="shared" si="141"/>
        <v>426.60053210577718</v>
      </c>
      <c r="T41" s="172">
        <f t="shared" si="142"/>
        <v>15</v>
      </c>
      <c r="U41" s="217">
        <f t="shared" si="143"/>
        <v>8.7603470467925124</v>
      </c>
      <c r="V41" s="217">
        <f t="shared" si="11"/>
        <v>1.465078418364439</v>
      </c>
      <c r="W41" s="217">
        <f t="shared" si="144"/>
        <v>6.7612490342552043</v>
      </c>
      <c r="X41" s="197">
        <f t="shared" si="145"/>
        <v>106.49159174915671</v>
      </c>
      <c r="Y41" s="443">
        <f t="shared" si="14"/>
        <v>118.67566334478401</v>
      </c>
      <c r="AA41" s="217">
        <f t="shared" si="146"/>
        <v>10</v>
      </c>
      <c r="AB41" s="173">
        <f t="shared" si="147"/>
        <v>7.7180150491078416</v>
      </c>
      <c r="AC41" s="173">
        <f t="shared" si="148"/>
        <v>4.1095185386172002</v>
      </c>
      <c r="AD41" s="173"/>
      <c r="AE41" s="173">
        <f t="shared" si="149"/>
        <v>7.7180150491078416</v>
      </c>
      <c r="AF41" s="545">
        <f t="shared" si="150"/>
        <v>93.288234788195666</v>
      </c>
      <c r="AG41" s="528">
        <f t="shared" si="151"/>
        <v>4.1095185386172002</v>
      </c>
      <c r="AI41" s="173">
        <f t="shared" si="152"/>
        <v>5.1627300305222148</v>
      </c>
      <c r="AJ41" s="173">
        <f t="shared" si="153"/>
        <v>10</v>
      </c>
      <c r="AK41" s="173">
        <f t="shared" si="154"/>
        <v>1.0533075627361117</v>
      </c>
      <c r="AM41" s="545">
        <f t="shared" si="155"/>
        <v>3599.9999999999995</v>
      </c>
      <c r="AN41" s="460">
        <f t="shared" si="156"/>
        <v>93.288234788195666</v>
      </c>
      <c r="AP41">
        <f t="shared" si="157"/>
        <v>3599.9999999999995</v>
      </c>
      <c r="AQ41" s="460">
        <f t="shared" si="158"/>
        <v>93.288234788195666</v>
      </c>
      <c r="AR41" s="460"/>
      <c r="AS41" s="5">
        <f t="shared" si="101"/>
        <v>10.719465345983116</v>
      </c>
      <c r="AT41" s="5">
        <f t="shared" si="159"/>
        <v>1.6723976921677532</v>
      </c>
      <c r="AU41" s="5">
        <f t="shared" si="102"/>
        <v>9.0470676538153629</v>
      </c>
      <c r="AV41" s="5">
        <f t="shared" si="160"/>
        <v>7.7180150491078416</v>
      </c>
      <c r="AW41" s="173">
        <f t="shared" si="103"/>
        <v>0.15601502856618196</v>
      </c>
      <c r="AX41" s="173">
        <f t="shared" si="161"/>
        <v>55.972940872917405</v>
      </c>
      <c r="AY41" s="173">
        <f t="shared" si="162"/>
        <v>4.2199248571690902</v>
      </c>
      <c r="AZ41" s="173">
        <f t="shared" si="104"/>
        <v>13.263966247604346</v>
      </c>
      <c r="BA41" s="460">
        <f t="shared" si="163"/>
        <v>40.137544612026076</v>
      </c>
      <c r="BB41" s="5">
        <f t="shared" si="164"/>
        <v>1.8912868831407925</v>
      </c>
      <c r="BC41" s="5"/>
      <c r="BD41" s="173">
        <f t="shared" si="105"/>
        <v>2.2804606885903702</v>
      </c>
      <c r="BE41" s="173">
        <f t="shared" si="165"/>
        <v>5.3040392514693231</v>
      </c>
      <c r="BF41" s="173"/>
      <c r="BG41" s="528">
        <f t="shared" si="166"/>
        <v>0.10401001904412133</v>
      </c>
      <c r="BH41" s="528">
        <f t="shared" si="167"/>
        <v>1.5313503805749393</v>
      </c>
      <c r="BI41" s="528">
        <f t="shared" si="168"/>
        <v>0.16734339306688936</v>
      </c>
      <c r="BJ41" s="528">
        <f t="shared" si="169"/>
        <v>7.1502252289283696E-2</v>
      </c>
      <c r="BK41">
        <f t="shared" si="170"/>
        <v>3.2288970651475533E-2</v>
      </c>
      <c r="BL41" s="460">
        <f t="shared" si="106"/>
        <v>199.6323637183649</v>
      </c>
      <c r="BM41" s="528">
        <f t="shared" si="171"/>
        <v>1.7789070977306312</v>
      </c>
      <c r="BN41" s="460">
        <f t="shared" si="107"/>
        <v>1778.9070977306312</v>
      </c>
      <c r="BO41" s="528">
        <f t="shared" si="172"/>
        <v>2.2364999999999995</v>
      </c>
      <c r="BP41" s="528"/>
      <c r="BR41" s="460">
        <f t="shared" si="109"/>
        <v>2236.4999999999995</v>
      </c>
      <c r="BS41" s="528">
        <f t="shared" si="173"/>
        <v>0.15601502856618196</v>
      </c>
      <c r="BT41" s="528">
        <f t="shared" si="174"/>
        <v>0.84398497143381768</v>
      </c>
      <c r="BU41" s="528">
        <f t="shared" si="175"/>
        <v>0.80999999999999983</v>
      </c>
      <c r="BV41" s="528">
        <f t="shared" si="176"/>
        <v>2.2282608695652164</v>
      </c>
      <c r="BW41" s="528">
        <f t="shared" si="177"/>
        <v>9.3288234788195673E-3</v>
      </c>
      <c r="BX41" s="460">
        <f t="shared" si="110"/>
        <v>2237.5896930440358</v>
      </c>
      <c r="BY41" s="173">
        <f t="shared" si="45"/>
        <v>6.4526291544930316</v>
      </c>
      <c r="BZ41" s="5">
        <f t="shared" si="111"/>
        <v>53.999999999999993</v>
      </c>
      <c r="CA41" s="173">
        <f t="shared" si="112"/>
        <v>0.89326139748194144</v>
      </c>
      <c r="CB41" s="5">
        <f t="shared" si="113"/>
        <v>89.326139748194151</v>
      </c>
      <c r="CE41" s="562">
        <f t="shared" si="178"/>
        <v>-50</v>
      </c>
      <c r="CF41">
        <f t="shared" si="179"/>
        <v>-50</v>
      </c>
      <c r="CG41" s="173">
        <f t="shared" si="180"/>
        <v>0.7295368393713918</v>
      </c>
      <c r="CI41" s="170">
        <v>36</v>
      </c>
      <c r="CJ41" s="217">
        <f t="shared" si="114"/>
        <v>3.5999999999999996</v>
      </c>
      <c r="CK41" s="217"/>
      <c r="CL41" s="217">
        <f t="shared" si="49"/>
        <v>53.999999999999993</v>
      </c>
      <c r="CM41" s="541">
        <f t="shared" si="50"/>
        <v>72</v>
      </c>
      <c r="CN41" s="172">
        <f t="shared" si="51"/>
        <v>15.4</v>
      </c>
      <c r="CO41" s="443">
        <f t="shared" si="52"/>
        <v>87.4</v>
      </c>
      <c r="CP41" s="443"/>
      <c r="CQ41" s="217">
        <f t="shared" si="53"/>
        <v>0.17620137299771166</v>
      </c>
      <c r="CR41" s="172">
        <f t="shared" si="54"/>
        <v>318.30425629290613</v>
      </c>
      <c r="CS41" s="172">
        <f t="shared" si="115"/>
        <v>53.999999999999993</v>
      </c>
      <c r="CT41" s="217">
        <f t="shared" si="55"/>
        <v>21.220283752860407</v>
      </c>
      <c r="CU41" s="217">
        <f t="shared" si="56"/>
        <v>15</v>
      </c>
      <c r="CV41" s="217">
        <f t="shared" si="57"/>
        <v>21.144164759725399</v>
      </c>
      <c r="CW41" s="172">
        <f t="shared" si="58"/>
        <v>428.06721634445154</v>
      </c>
      <c r="CX41" s="172">
        <f t="shared" si="59"/>
        <v>15</v>
      </c>
      <c r="CY41" s="217">
        <f t="shared" si="60"/>
        <v>8.5129870129870131</v>
      </c>
      <c r="CZ41" s="217">
        <f t="shared" si="61"/>
        <v>1.418831168831169</v>
      </c>
      <c r="DA41" s="217">
        <f t="shared" si="62"/>
        <v>6.6334963737561132</v>
      </c>
      <c r="DB41" s="197">
        <f t="shared" si="63"/>
        <v>105.72082379862701</v>
      </c>
      <c r="DC41" s="443">
        <f t="shared" si="116"/>
        <v>124.18769538511486</v>
      </c>
      <c r="DE41" s="217">
        <f t="shared" si="64"/>
        <v>9.9999999999999982</v>
      </c>
      <c r="DF41" s="173">
        <f t="shared" si="65"/>
        <v>7.7922077922077895</v>
      </c>
      <c r="DG41" s="173">
        <f t="shared" si="66"/>
        <v>4.118993135011439</v>
      </c>
      <c r="DH41" s="173"/>
      <c r="DI41" s="173">
        <f t="shared" si="67"/>
        <v>7.7922077922077913</v>
      </c>
      <c r="DJ41" s="545">
        <f t="shared" si="117"/>
        <v>92.4</v>
      </c>
      <c r="DK41" s="528">
        <f t="shared" si="68"/>
        <v>4.1189931350114417</v>
      </c>
      <c r="DM41" s="173">
        <f t="shared" si="69"/>
        <v>5.1380930314660516</v>
      </c>
      <c r="DN41" s="173">
        <f t="shared" si="70"/>
        <v>10</v>
      </c>
      <c r="DO41" s="173">
        <f t="shared" si="71"/>
        <v>1.0528</v>
      </c>
      <c r="DQ41" s="545">
        <f t="shared" si="72"/>
        <v>3599.9999999999995</v>
      </c>
      <c r="DR41" s="460">
        <f t="shared" si="73"/>
        <v>92.4</v>
      </c>
      <c r="DT41">
        <f t="shared" si="74"/>
        <v>3599.9999999999995</v>
      </c>
      <c r="DU41" s="460">
        <f t="shared" si="75"/>
        <v>92.4</v>
      </c>
      <c r="DV41" s="460"/>
      <c r="DW41" s="5">
        <f t="shared" si="118"/>
        <v>10.822510822510822</v>
      </c>
      <c r="DX41" s="5">
        <f t="shared" si="76"/>
        <v>1.6666666666666667</v>
      </c>
      <c r="DY41" s="5">
        <f t="shared" si="119"/>
        <v>9.1558441558441555</v>
      </c>
      <c r="DZ41" s="5">
        <f t="shared" si="77"/>
        <v>7.7922077922077913</v>
      </c>
      <c r="EA41" s="173">
        <f t="shared" si="120"/>
        <v>0.15400000000000003</v>
      </c>
      <c r="EB41" s="173">
        <f t="shared" si="78"/>
        <v>55.440000000000012</v>
      </c>
      <c r="EC41" s="173">
        <f t="shared" si="79"/>
        <v>4.2299999999999995</v>
      </c>
      <c r="ED41" s="173">
        <f t="shared" si="121"/>
        <v>13.106382978723408</v>
      </c>
      <c r="EE41" s="460">
        <f t="shared" si="80"/>
        <v>40</v>
      </c>
      <c r="EF41" s="5">
        <f t="shared" si="81"/>
        <v>1.9074675324675319</v>
      </c>
      <c r="EG41" s="5"/>
      <c r="EH41" s="173">
        <f t="shared" si="122"/>
        <v>2.2656860623955239</v>
      </c>
      <c r="EI41" s="173">
        <f t="shared" si="82"/>
        <v>5.3103672189407014</v>
      </c>
      <c r="EJ41" s="173"/>
      <c r="EK41" s="528">
        <f t="shared" si="83"/>
        <v>0.10266666666666668</v>
      </c>
      <c r="EL41" s="528">
        <f t="shared" si="84"/>
        <v>1.6151520000000001</v>
      </c>
      <c r="EM41" s="528">
        <f t="shared" si="85"/>
        <v>1.155E-2</v>
      </c>
      <c r="EN41" s="528">
        <f t="shared" si="86"/>
        <v>7.058214240000002E-2</v>
      </c>
      <c r="EO41">
        <f t="shared" si="87"/>
        <v>3.2399999999999998E-2</v>
      </c>
      <c r="EP41" s="460">
        <f t="shared" si="123"/>
        <v>43.949999999999996</v>
      </c>
      <c r="EQ41" s="528">
        <f t="shared" si="88"/>
        <v>1.9065791379255679</v>
      </c>
      <c r="ER41" s="460">
        <f t="shared" si="124"/>
        <v>1906.5791379255679</v>
      </c>
      <c r="ES41" s="528">
        <f t="shared" si="125"/>
        <v>2.2364999999999995</v>
      </c>
      <c r="ET41" s="528"/>
      <c r="EV41" s="460">
        <f t="shared" si="126"/>
        <v>2236.4999999999995</v>
      </c>
      <c r="EW41" s="528">
        <f t="shared" si="89"/>
        <v>0.154</v>
      </c>
      <c r="EX41" s="528">
        <f t="shared" si="90"/>
        <v>0.84599999999999997</v>
      </c>
      <c r="EY41" s="528">
        <f t="shared" si="91"/>
        <v>1.2976271761898954</v>
      </c>
      <c r="EZ41" s="528">
        <f t="shared" si="92"/>
        <v>2.7582904089020599</v>
      </c>
      <c r="FA41" s="528">
        <f t="shared" si="93"/>
        <v>9.2400000000000017E-3</v>
      </c>
      <c r="FB41" s="460">
        <f t="shared" si="127"/>
        <v>2767.5304089020601</v>
      </c>
      <c r="FC41" s="173">
        <f t="shared" si="128"/>
        <v>6.9106095468276276</v>
      </c>
      <c r="FD41" s="5">
        <f t="shared" si="129"/>
        <v>53.999999999999993</v>
      </c>
      <c r="FE41" s="173">
        <f t="shared" si="130"/>
        <v>0.88654506007668821</v>
      </c>
      <c r="FF41" s="5">
        <f t="shared" si="131"/>
        <v>88.654506007668815</v>
      </c>
      <c r="FI41" s="562">
        <f t="shared" si="94"/>
        <v>-50</v>
      </c>
      <c r="FJ41">
        <f t="shared" si="95"/>
        <v>-50</v>
      </c>
      <c r="FL41">
        <f t="shared" si="181"/>
        <v>0.72</v>
      </c>
    </row>
    <row r="42" spans="5:168">
      <c r="E42" s="170">
        <v>37</v>
      </c>
      <c r="F42" s="217">
        <f t="shared" si="182"/>
        <v>3.7</v>
      </c>
      <c r="G42" s="217"/>
      <c r="H42" s="217">
        <f t="shared" si="132"/>
        <v>55.5</v>
      </c>
      <c r="I42" s="541">
        <f t="shared" si="133"/>
        <v>71.753268114390082</v>
      </c>
      <c r="J42" s="172">
        <f t="shared" si="134"/>
        <v>15.548039131365949</v>
      </c>
      <c r="K42" s="172">
        <f t="shared" si="135"/>
        <v>87.548039131365954</v>
      </c>
      <c r="L42" s="443"/>
      <c r="M42" s="217">
        <f t="shared" si="136"/>
        <v>0.17811475258435275</v>
      </c>
      <c r="N42" s="172">
        <f t="shared" si="137"/>
        <v>320.65811833659114</v>
      </c>
      <c r="O42" s="172">
        <f t="shared" si="98"/>
        <v>55.5</v>
      </c>
      <c r="P42" s="217">
        <f t="shared" si="138"/>
        <v>21.377207889106078</v>
      </c>
      <c r="Q42" s="217">
        <f t="shared" si="139"/>
        <v>15</v>
      </c>
      <c r="R42" s="217">
        <f t="shared" si="140"/>
        <v>21.300525995522193</v>
      </c>
      <c r="S42" s="172">
        <f t="shared" si="141"/>
        <v>413.13551573408171</v>
      </c>
      <c r="T42" s="172">
        <f t="shared" si="142"/>
        <v>15</v>
      </c>
      <c r="U42" s="217">
        <f t="shared" si="143"/>
        <v>9.0036900203145276</v>
      </c>
      <c r="V42" s="217">
        <f t="shared" si="11"/>
        <v>1.5057750410967847</v>
      </c>
      <c r="W42" s="217">
        <f t="shared" si="144"/>
        <v>6.9490615074289614</v>
      </c>
      <c r="X42" s="197">
        <f t="shared" si="145"/>
        <v>106.49159174915671</v>
      </c>
      <c r="Y42" s="443">
        <f t="shared" si="14"/>
        <v>115.54233224315932</v>
      </c>
      <c r="AA42" s="217">
        <f t="shared" si="146"/>
        <v>10</v>
      </c>
      <c r="AB42" s="173">
        <f t="shared" si="147"/>
        <v>7.7180150491078416</v>
      </c>
      <c r="AC42" s="173">
        <f t="shared" si="148"/>
        <v>4.1095185386172002</v>
      </c>
      <c r="AD42" s="173"/>
      <c r="AE42" s="173">
        <f t="shared" si="149"/>
        <v>7.7180150491078416</v>
      </c>
      <c r="AF42" s="545">
        <f t="shared" si="150"/>
        <v>95.879574643423339</v>
      </c>
      <c r="AG42" s="528">
        <f t="shared" si="151"/>
        <v>4.1095185386172002</v>
      </c>
      <c r="AI42" s="173">
        <f t="shared" si="152"/>
        <v>5.2339434639509852</v>
      </c>
      <c r="AJ42" s="173">
        <f t="shared" si="153"/>
        <v>10</v>
      </c>
      <c r="AK42" s="173">
        <f t="shared" si="154"/>
        <v>1.0547883283676704</v>
      </c>
      <c r="AM42" s="545">
        <f t="shared" si="155"/>
        <v>3700</v>
      </c>
      <c r="AN42" s="460">
        <f t="shared" si="156"/>
        <v>95.879574643423339</v>
      </c>
      <c r="AP42">
        <f t="shared" si="157"/>
        <v>3700</v>
      </c>
      <c r="AQ42" s="460">
        <f t="shared" si="158"/>
        <v>95.879574643423339</v>
      </c>
      <c r="AR42" s="460"/>
      <c r="AS42" s="5">
        <f t="shared" si="101"/>
        <v>10.429750066361949</v>
      </c>
      <c r="AT42" s="5">
        <f t="shared" si="159"/>
        <v>1.6723976921677532</v>
      </c>
      <c r="AU42" s="5">
        <f t="shared" si="102"/>
        <v>8.7573523741941965</v>
      </c>
      <c r="AV42" s="5">
        <f t="shared" si="160"/>
        <v>7.7180150491078416</v>
      </c>
      <c r="AW42" s="173">
        <f t="shared" si="103"/>
        <v>0.16034877935968703</v>
      </c>
      <c r="AX42" s="173">
        <f t="shared" si="161"/>
        <v>57.527744786054015</v>
      </c>
      <c r="AY42" s="173">
        <f t="shared" si="162"/>
        <v>4.1982561032015644</v>
      </c>
      <c r="AZ42" s="173">
        <f t="shared" si="104"/>
        <v>13.702771668022756</v>
      </c>
      <c r="BA42" s="460">
        <f t="shared" si="163"/>
        <v>41.25247640680459</v>
      </c>
      <c r="BB42" s="5">
        <f t="shared" si="164"/>
        <v>1.8815753760547924</v>
      </c>
      <c r="BC42" s="5"/>
      <c r="BD42" s="173">
        <f t="shared" si="105"/>
        <v>2.3119168047292633</v>
      </c>
      <c r="BE42" s="173">
        <f t="shared" si="165"/>
        <v>5.2904039563481131</v>
      </c>
      <c r="BF42" s="173"/>
      <c r="BG42" s="528">
        <f t="shared" si="166"/>
        <v>0.10689918623979133</v>
      </c>
      <c r="BH42" s="528">
        <f t="shared" si="167"/>
        <v>1.5738878911464653</v>
      </c>
      <c r="BI42" s="528">
        <f t="shared" si="168"/>
        <v>0.17199182065208077</v>
      </c>
      <c r="BJ42" s="528">
        <f t="shared" si="169"/>
        <v>7.348842596398604E-2</v>
      </c>
      <c r="BK42">
        <f t="shared" si="170"/>
        <v>3.2288970651475533E-2</v>
      </c>
      <c r="BL42" s="460">
        <f t="shared" si="106"/>
        <v>204.2807913035563</v>
      </c>
      <c r="BM42" s="528">
        <f t="shared" si="171"/>
        <v>1.8296089732199028</v>
      </c>
      <c r="BN42" s="460">
        <f t="shared" si="107"/>
        <v>1829.6089732199027</v>
      </c>
      <c r="BO42" s="528">
        <f t="shared" si="172"/>
        <v>2.2986249999999999</v>
      </c>
      <c r="BP42" s="528"/>
      <c r="BR42" s="460">
        <f t="shared" si="109"/>
        <v>2298.625</v>
      </c>
      <c r="BS42" s="528">
        <f t="shared" si="173"/>
        <v>0.160348779359687</v>
      </c>
      <c r="BT42" s="528">
        <f t="shared" si="174"/>
        <v>0.83965122064031295</v>
      </c>
      <c r="BU42" s="528">
        <f t="shared" si="175"/>
        <v>0.83250000000000002</v>
      </c>
      <c r="BV42" s="528">
        <f t="shared" si="176"/>
        <v>2.2527173913043477</v>
      </c>
      <c r="BW42" s="528">
        <f t="shared" si="177"/>
        <v>9.5879574643423348E-3</v>
      </c>
      <c r="BX42" s="460">
        <f t="shared" si="110"/>
        <v>2262.3053487686898</v>
      </c>
      <c r="BY42" s="173">
        <f t="shared" si="45"/>
        <v>6.5948201132921493</v>
      </c>
      <c r="BZ42" s="5">
        <f t="shared" si="111"/>
        <v>55.5</v>
      </c>
      <c r="CA42" s="173">
        <f t="shared" si="112"/>
        <v>0.89379435996014023</v>
      </c>
      <c r="CB42" s="5">
        <f t="shared" si="113"/>
        <v>89.379435996014024</v>
      </c>
      <c r="CE42" s="562">
        <f t="shared" si="178"/>
        <v>-50</v>
      </c>
      <c r="CF42">
        <f t="shared" si="179"/>
        <v>-50</v>
      </c>
      <c r="CG42" s="173">
        <f t="shared" si="180"/>
        <v>0.74980175157615281</v>
      </c>
      <c r="CI42" s="170">
        <v>37</v>
      </c>
      <c r="CJ42" s="217">
        <f t="shared" si="114"/>
        <v>3.7</v>
      </c>
      <c r="CK42" s="217"/>
      <c r="CL42" s="217">
        <f t="shared" si="49"/>
        <v>55.5</v>
      </c>
      <c r="CM42" s="541">
        <f t="shared" si="50"/>
        <v>72</v>
      </c>
      <c r="CN42" s="172">
        <f t="shared" si="51"/>
        <v>15.4</v>
      </c>
      <c r="CO42" s="443">
        <f t="shared" si="52"/>
        <v>87.4</v>
      </c>
      <c r="CP42" s="443"/>
      <c r="CQ42" s="217">
        <f t="shared" si="53"/>
        <v>0.17620137299771166</v>
      </c>
      <c r="CR42" s="172">
        <f t="shared" si="54"/>
        <v>318.30425629290613</v>
      </c>
      <c r="CS42" s="172">
        <f t="shared" si="115"/>
        <v>55.5</v>
      </c>
      <c r="CT42" s="217">
        <f t="shared" si="55"/>
        <v>21.220283752860407</v>
      </c>
      <c r="CU42" s="217">
        <f t="shared" si="56"/>
        <v>15</v>
      </c>
      <c r="CV42" s="217">
        <f t="shared" si="57"/>
        <v>21.144164759725399</v>
      </c>
      <c r="CW42" s="172">
        <f t="shared" si="58"/>
        <v>414.55589145360022</v>
      </c>
      <c r="CX42" s="172">
        <f t="shared" si="59"/>
        <v>15</v>
      </c>
      <c r="CY42" s="217">
        <f t="shared" si="60"/>
        <v>8.7494588744588757</v>
      </c>
      <c r="CZ42" s="217">
        <f t="shared" si="61"/>
        <v>1.458243145743146</v>
      </c>
      <c r="DA42" s="217">
        <f t="shared" si="62"/>
        <v>6.8177601619160066</v>
      </c>
      <c r="DB42" s="197">
        <f t="shared" si="63"/>
        <v>105.72082379862701</v>
      </c>
      <c r="DC42" s="443">
        <f t="shared" si="116"/>
        <v>120.83127118551715</v>
      </c>
      <c r="DE42" s="217">
        <f t="shared" si="64"/>
        <v>9.9999999999999982</v>
      </c>
      <c r="DF42" s="173">
        <f t="shared" si="65"/>
        <v>7.7922077922077895</v>
      </c>
      <c r="DG42" s="173">
        <f t="shared" si="66"/>
        <v>4.118993135011439</v>
      </c>
      <c r="DH42" s="173"/>
      <c r="DI42" s="173">
        <f t="shared" si="67"/>
        <v>7.7922077922077913</v>
      </c>
      <c r="DJ42" s="545">
        <f t="shared" si="117"/>
        <v>94.966666666666669</v>
      </c>
      <c r="DK42" s="528">
        <f t="shared" si="68"/>
        <v>4.1189931350114417</v>
      </c>
      <c r="DM42" s="173">
        <f t="shared" si="69"/>
        <v>5.2089666281646823</v>
      </c>
      <c r="DN42" s="173">
        <f t="shared" si="70"/>
        <v>10</v>
      </c>
      <c r="DO42" s="173">
        <f t="shared" si="71"/>
        <v>1.0542666666666667</v>
      </c>
      <c r="DQ42" s="545">
        <f t="shared" si="72"/>
        <v>3700</v>
      </c>
      <c r="DR42" s="460">
        <f t="shared" si="73"/>
        <v>94.966666666666669</v>
      </c>
      <c r="DT42">
        <f t="shared" si="74"/>
        <v>3700</v>
      </c>
      <c r="DU42" s="460">
        <f t="shared" si="75"/>
        <v>94.966666666666669</v>
      </c>
      <c r="DV42" s="460"/>
      <c r="DW42" s="5">
        <f t="shared" si="118"/>
        <v>10.53001053001053</v>
      </c>
      <c r="DX42" s="5">
        <f t="shared" si="76"/>
        <v>1.6666666666666667</v>
      </c>
      <c r="DY42" s="5">
        <f t="shared" si="119"/>
        <v>8.8633438633438644</v>
      </c>
      <c r="DZ42" s="5">
        <f t="shared" si="77"/>
        <v>7.7922077922077913</v>
      </c>
      <c r="EA42" s="173">
        <f t="shared" si="120"/>
        <v>0.15827777777777777</v>
      </c>
      <c r="EB42" s="173">
        <f t="shared" si="78"/>
        <v>56.980000000000011</v>
      </c>
      <c r="EC42" s="173">
        <f t="shared" si="79"/>
        <v>4.2086111111111109</v>
      </c>
      <c r="ED42" s="173">
        <f t="shared" si="121"/>
        <v>13.538908322882982</v>
      </c>
      <c r="EE42" s="460">
        <f t="shared" si="80"/>
        <v>41.111111111111114</v>
      </c>
      <c r="EF42" s="5">
        <f t="shared" si="81"/>
        <v>1.8978224707391376</v>
      </c>
      <c r="EG42" s="5"/>
      <c r="EH42" s="173">
        <f t="shared" si="122"/>
        <v>2.2969383809597343</v>
      </c>
      <c r="EI42" s="173">
        <f t="shared" si="82"/>
        <v>5.2969243346877635</v>
      </c>
      <c r="EJ42" s="173"/>
      <c r="EK42" s="528">
        <f t="shared" si="83"/>
        <v>0.10551851851851853</v>
      </c>
      <c r="EL42" s="528">
        <f t="shared" si="84"/>
        <v>1.6600173333333335</v>
      </c>
      <c r="EM42" s="528">
        <f t="shared" si="85"/>
        <v>1.1870833333333334E-2</v>
      </c>
      <c r="EN42" s="528">
        <f t="shared" si="86"/>
        <v>7.2542757466666691E-2</v>
      </c>
      <c r="EO42">
        <f t="shared" si="87"/>
        <v>3.2399999999999998E-2</v>
      </c>
      <c r="EP42" s="460">
        <f t="shared" si="123"/>
        <v>44.270833333333329</v>
      </c>
      <c r="EQ42" s="528">
        <f t="shared" si="88"/>
        <v>1.9599784544798058</v>
      </c>
      <c r="ER42" s="460">
        <f t="shared" si="124"/>
        <v>1959.9784544798058</v>
      </c>
      <c r="ES42" s="528">
        <f t="shared" si="125"/>
        <v>2.2986249999999999</v>
      </c>
      <c r="ET42" s="528"/>
      <c r="EV42" s="460">
        <f t="shared" si="126"/>
        <v>2298.625</v>
      </c>
      <c r="EW42" s="528">
        <f t="shared" si="89"/>
        <v>0.15827777777777777</v>
      </c>
      <c r="EX42" s="528">
        <f t="shared" si="90"/>
        <v>0.84172222222222215</v>
      </c>
      <c r="EY42" s="528">
        <f t="shared" si="91"/>
        <v>1.3896261901929081</v>
      </c>
      <c r="EZ42" s="528">
        <f t="shared" si="92"/>
        <v>2.8582893371662039</v>
      </c>
      <c r="FA42" s="528">
        <f t="shared" si="93"/>
        <v>9.4966666666666689E-3</v>
      </c>
      <c r="FB42" s="460">
        <f t="shared" si="127"/>
        <v>2867.7860038328708</v>
      </c>
      <c r="FC42" s="173">
        <f t="shared" si="128"/>
        <v>7.1263894583126755</v>
      </c>
      <c r="FD42" s="5">
        <f t="shared" si="129"/>
        <v>55.5</v>
      </c>
      <c r="FE42" s="173">
        <f t="shared" si="130"/>
        <v>0.88620788265214678</v>
      </c>
      <c r="FF42" s="5">
        <f t="shared" si="131"/>
        <v>88.620788265214685</v>
      </c>
      <c r="FI42" s="562">
        <f t="shared" si="94"/>
        <v>-50</v>
      </c>
      <c r="FJ42">
        <f t="shared" si="95"/>
        <v>-50</v>
      </c>
      <c r="FL42">
        <f t="shared" si="181"/>
        <v>0.74</v>
      </c>
    </row>
    <row r="43" spans="5:168">
      <c r="E43" s="170">
        <v>38</v>
      </c>
      <c r="F43" s="217">
        <f t="shared" si="182"/>
        <v>3.8</v>
      </c>
      <c r="G43" s="217"/>
      <c r="H43" s="217">
        <f t="shared" si="132"/>
        <v>57</v>
      </c>
      <c r="I43" s="541">
        <f t="shared" si="133"/>
        <v>71.753268114390082</v>
      </c>
      <c r="J43" s="172">
        <f t="shared" si="134"/>
        <v>15.548039131365949</v>
      </c>
      <c r="K43" s="172">
        <f t="shared" si="135"/>
        <v>87.548039131365954</v>
      </c>
      <c r="L43" s="443"/>
      <c r="M43" s="217">
        <f t="shared" si="136"/>
        <v>0.17811475258435275</v>
      </c>
      <c r="N43" s="172">
        <f t="shared" si="137"/>
        <v>320.65811833659114</v>
      </c>
      <c r="O43" s="172">
        <f t="shared" si="98"/>
        <v>57</v>
      </c>
      <c r="P43" s="217">
        <f t="shared" si="138"/>
        <v>21.377207889106078</v>
      </c>
      <c r="Q43" s="217">
        <f t="shared" si="139"/>
        <v>15</v>
      </c>
      <c r="R43" s="217">
        <f t="shared" si="140"/>
        <v>21.300525995522193</v>
      </c>
      <c r="S43" s="172">
        <f t="shared" si="141"/>
        <v>400.37932006543389</v>
      </c>
      <c r="T43" s="172">
        <f t="shared" si="142"/>
        <v>15</v>
      </c>
      <c r="U43" s="217">
        <f t="shared" si="143"/>
        <v>9.247032993836541</v>
      </c>
      <c r="V43" s="217">
        <f t="shared" si="11"/>
        <v>1.5464716638291303</v>
      </c>
      <c r="W43" s="217">
        <f t="shared" si="144"/>
        <v>7.1368739806027168</v>
      </c>
      <c r="X43" s="197">
        <f t="shared" si="145"/>
        <v>106.49159174915671</v>
      </c>
      <c r="Y43" s="443">
        <f t="shared" si="14"/>
        <v>112.57020046572296</v>
      </c>
      <c r="AA43" s="217">
        <f t="shared" si="146"/>
        <v>10</v>
      </c>
      <c r="AB43" s="173">
        <f t="shared" si="147"/>
        <v>7.7180150491078416</v>
      </c>
      <c r="AC43" s="173">
        <f t="shared" si="148"/>
        <v>4.1095185386172002</v>
      </c>
      <c r="AD43" s="173"/>
      <c r="AE43" s="173">
        <f t="shared" si="149"/>
        <v>7.7180150491078416</v>
      </c>
      <c r="AF43" s="545">
        <f t="shared" si="150"/>
        <v>98.470914498650998</v>
      </c>
      <c r="AG43" s="528">
        <f t="shared" si="151"/>
        <v>4.1095185386172002</v>
      </c>
      <c r="AI43" s="173">
        <f t="shared" si="152"/>
        <v>5.3042008822832658</v>
      </c>
      <c r="AJ43" s="173">
        <f t="shared" si="153"/>
        <v>10</v>
      </c>
      <c r="AK43" s="173">
        <f t="shared" si="154"/>
        <v>1.0562690939992292</v>
      </c>
      <c r="AM43" s="545">
        <f t="shared" si="155"/>
        <v>3800</v>
      </c>
      <c r="AN43" s="460">
        <f t="shared" si="156"/>
        <v>98.470914498650998</v>
      </c>
      <c r="AP43">
        <f t="shared" si="157"/>
        <v>3800</v>
      </c>
      <c r="AQ43" s="460">
        <f t="shared" si="158"/>
        <v>98.470914498650998</v>
      </c>
      <c r="AR43" s="460"/>
      <c r="AS43" s="5">
        <f t="shared" si="101"/>
        <v>10.155282959352423</v>
      </c>
      <c r="AT43" s="5">
        <f t="shared" si="159"/>
        <v>1.6723976921677532</v>
      </c>
      <c r="AU43" s="5">
        <f t="shared" si="102"/>
        <v>8.4828852671846704</v>
      </c>
      <c r="AV43" s="5">
        <f t="shared" si="160"/>
        <v>7.7180150491078416</v>
      </c>
      <c r="AW43" s="173">
        <f t="shared" si="103"/>
        <v>0.16468253015319209</v>
      </c>
      <c r="AX43" s="173">
        <f t="shared" si="161"/>
        <v>59.08254869919061</v>
      </c>
      <c r="AY43" s="173">
        <f t="shared" si="162"/>
        <v>4.1765873492340395</v>
      </c>
      <c r="AZ43" s="173">
        <f t="shared" si="104"/>
        <v>14.146130263509511</v>
      </c>
      <c r="BA43" s="460">
        <f t="shared" si="163"/>
        <v>42.367408201583082</v>
      </c>
      <c r="BB43" s="5">
        <f t="shared" si="164"/>
        <v>1.8718638689687919</v>
      </c>
      <c r="BC43" s="5"/>
      <c r="BD43" s="173">
        <f t="shared" si="105"/>
        <v>2.3429506336611254</v>
      </c>
      <c r="BE43" s="173">
        <f t="shared" si="165"/>
        <v>5.276733427183931</v>
      </c>
      <c r="BF43" s="173"/>
      <c r="BG43" s="528">
        <f t="shared" si="166"/>
        <v>0.10978835343546139</v>
      </c>
      <c r="BH43" s="528">
        <f t="shared" si="167"/>
        <v>1.6164254017179915</v>
      </c>
      <c r="BI43" s="528">
        <f t="shared" si="168"/>
        <v>0.17664024823727215</v>
      </c>
      <c r="BJ43" s="528">
        <f t="shared" si="169"/>
        <v>7.5474599638688369E-2</v>
      </c>
      <c r="BK43">
        <f t="shared" si="170"/>
        <v>3.2288970651475533E-2</v>
      </c>
      <c r="BL43" s="460">
        <f t="shared" si="106"/>
        <v>208.9292188887477</v>
      </c>
      <c r="BM43" s="528">
        <f t="shared" si="171"/>
        <v>1.880382323417964</v>
      </c>
      <c r="BN43" s="460">
        <f t="shared" si="107"/>
        <v>1880.382323417964</v>
      </c>
      <c r="BO43" s="528">
        <f t="shared" si="172"/>
        <v>2.3607499999999995</v>
      </c>
      <c r="BP43" s="528"/>
      <c r="BR43" s="460">
        <f t="shared" si="109"/>
        <v>2360.7499999999995</v>
      </c>
      <c r="BS43" s="528">
        <f t="shared" si="173"/>
        <v>0.16468253015319209</v>
      </c>
      <c r="BT43" s="528">
        <f t="shared" si="174"/>
        <v>0.83531746984680821</v>
      </c>
      <c r="BU43" s="528">
        <f t="shared" si="175"/>
        <v>0.85499999999999998</v>
      </c>
      <c r="BV43" s="528">
        <f t="shared" si="176"/>
        <v>2.2771739130434785</v>
      </c>
      <c r="BW43" s="528">
        <f t="shared" si="177"/>
        <v>9.8470914498651006E-3</v>
      </c>
      <c r="BX43" s="460">
        <f t="shared" si="110"/>
        <v>2287.0210044933438</v>
      </c>
      <c r="BY43" s="173">
        <f t="shared" si="45"/>
        <v>6.737082546800055</v>
      </c>
      <c r="BZ43" s="5">
        <f t="shared" si="111"/>
        <v>57</v>
      </c>
      <c r="CA43" s="173">
        <f t="shared" si="112"/>
        <v>0.89429885589988789</v>
      </c>
      <c r="CB43" s="5">
        <f t="shared" si="113"/>
        <v>89.429885589988785</v>
      </c>
      <c r="CE43" s="562">
        <f t="shared" si="178"/>
        <v>-50</v>
      </c>
      <c r="CF43">
        <f t="shared" si="179"/>
        <v>-50</v>
      </c>
      <c r="CG43" s="173">
        <f t="shared" si="180"/>
        <v>0.77006666378091349</v>
      </c>
      <c r="CI43" s="170">
        <v>38</v>
      </c>
      <c r="CJ43" s="217">
        <f t="shared" si="114"/>
        <v>3.8</v>
      </c>
      <c r="CK43" s="217"/>
      <c r="CL43" s="217">
        <f t="shared" si="49"/>
        <v>57</v>
      </c>
      <c r="CM43" s="541">
        <f t="shared" si="50"/>
        <v>72</v>
      </c>
      <c r="CN43" s="172">
        <f t="shared" si="51"/>
        <v>15.4</v>
      </c>
      <c r="CO43" s="443">
        <f t="shared" si="52"/>
        <v>87.4</v>
      </c>
      <c r="CP43" s="443"/>
      <c r="CQ43" s="217">
        <f t="shared" si="53"/>
        <v>0.17620137299771166</v>
      </c>
      <c r="CR43" s="172">
        <f t="shared" si="54"/>
        <v>318.30425629290613</v>
      </c>
      <c r="CS43" s="172">
        <f t="shared" si="115"/>
        <v>57</v>
      </c>
      <c r="CT43" s="217">
        <f t="shared" si="55"/>
        <v>21.220283752860407</v>
      </c>
      <c r="CU43" s="217">
        <f t="shared" si="56"/>
        <v>15</v>
      </c>
      <c r="CV43" s="217">
        <f t="shared" si="57"/>
        <v>21.144164759725399</v>
      </c>
      <c r="CW43" s="172">
        <f t="shared" si="58"/>
        <v>401.75582455809479</v>
      </c>
      <c r="CX43" s="172">
        <f t="shared" si="59"/>
        <v>15</v>
      </c>
      <c r="CY43" s="217">
        <f t="shared" si="60"/>
        <v>8.9859307359307365</v>
      </c>
      <c r="CZ43" s="217">
        <f t="shared" si="61"/>
        <v>1.4976551226551229</v>
      </c>
      <c r="DA43" s="217">
        <f t="shared" si="62"/>
        <v>7.0020239500758992</v>
      </c>
      <c r="DB43" s="197">
        <f t="shared" si="63"/>
        <v>105.72082379862701</v>
      </c>
      <c r="DC43" s="443">
        <f t="shared" si="116"/>
        <v>117.65150089116145</v>
      </c>
      <c r="DE43" s="217">
        <f t="shared" si="64"/>
        <v>9.9999999999999982</v>
      </c>
      <c r="DF43" s="173">
        <f t="shared" si="65"/>
        <v>7.7922077922077895</v>
      </c>
      <c r="DG43" s="173">
        <f t="shared" si="66"/>
        <v>4.118993135011439</v>
      </c>
      <c r="DH43" s="173"/>
      <c r="DI43" s="173">
        <f t="shared" si="67"/>
        <v>7.7922077922077913</v>
      </c>
      <c r="DJ43" s="545">
        <f t="shared" si="117"/>
        <v>97.533333333333331</v>
      </c>
      <c r="DK43" s="528">
        <f t="shared" si="68"/>
        <v>4.1189931350114417</v>
      </c>
      <c r="DM43" s="173">
        <f t="shared" si="69"/>
        <v>5.2788887719544411</v>
      </c>
      <c r="DN43" s="173">
        <f t="shared" si="70"/>
        <v>10</v>
      </c>
      <c r="DO43" s="173">
        <f t="shared" si="71"/>
        <v>1.0557333333333334</v>
      </c>
      <c r="DQ43" s="545">
        <f t="shared" si="72"/>
        <v>3800</v>
      </c>
      <c r="DR43" s="460">
        <f t="shared" si="73"/>
        <v>97.533333333333331</v>
      </c>
      <c r="DT43">
        <f t="shared" si="74"/>
        <v>3800</v>
      </c>
      <c r="DU43" s="460">
        <f t="shared" si="75"/>
        <v>97.533333333333331</v>
      </c>
      <c r="DV43" s="460"/>
      <c r="DW43" s="5">
        <f t="shared" si="118"/>
        <v>10.252904989747096</v>
      </c>
      <c r="DX43" s="5">
        <f t="shared" si="76"/>
        <v>1.6666666666666667</v>
      </c>
      <c r="DY43" s="5">
        <f t="shared" si="119"/>
        <v>8.5862383230804298</v>
      </c>
      <c r="DZ43" s="5">
        <f t="shared" si="77"/>
        <v>7.7922077922077913</v>
      </c>
      <c r="EA43" s="173">
        <f t="shared" si="120"/>
        <v>0.16255555555555554</v>
      </c>
      <c r="EB43" s="173">
        <f t="shared" si="78"/>
        <v>58.52</v>
      </c>
      <c r="EC43" s="173">
        <f t="shared" si="79"/>
        <v>4.1872222222222222</v>
      </c>
      <c r="ED43" s="173">
        <f t="shared" si="121"/>
        <v>13.975852461191456</v>
      </c>
      <c r="EE43" s="460">
        <f t="shared" si="80"/>
        <v>42.222222222222221</v>
      </c>
      <c r="EF43" s="5">
        <f t="shared" si="81"/>
        <v>1.8881774090107426</v>
      </c>
      <c r="EG43" s="5"/>
      <c r="EH43" s="173">
        <f t="shared" si="122"/>
        <v>2.3277711482271011</v>
      </c>
      <c r="EI43" s="173">
        <f t="shared" si="82"/>
        <v>5.2834472472822904</v>
      </c>
      <c r="EJ43" s="173"/>
      <c r="EK43" s="528">
        <f t="shared" si="83"/>
        <v>0.10837037037037034</v>
      </c>
      <c r="EL43" s="528">
        <f t="shared" si="84"/>
        <v>1.7048826666666665</v>
      </c>
      <c r="EM43" s="528">
        <f t="shared" si="85"/>
        <v>1.2191666666666665E-2</v>
      </c>
      <c r="EN43" s="528">
        <f t="shared" si="86"/>
        <v>7.4503372533333348E-2</v>
      </c>
      <c r="EO43">
        <f t="shared" si="87"/>
        <v>3.2399999999999998E-2</v>
      </c>
      <c r="EP43" s="460">
        <f t="shared" si="123"/>
        <v>44.591666666666661</v>
      </c>
      <c r="EQ43" s="528">
        <f t="shared" si="88"/>
        <v>2.0134520503921749</v>
      </c>
      <c r="ER43" s="460">
        <f t="shared" si="124"/>
        <v>2013.4520503921749</v>
      </c>
      <c r="ES43" s="528">
        <f t="shared" si="125"/>
        <v>2.3607499999999995</v>
      </c>
      <c r="ET43" s="528"/>
      <c r="EV43" s="460">
        <f t="shared" si="126"/>
        <v>2360.7499999999995</v>
      </c>
      <c r="EW43" s="528">
        <f t="shared" si="89"/>
        <v>0.16255555555555551</v>
      </c>
      <c r="EX43" s="528">
        <f t="shared" si="90"/>
        <v>0.83744444444444432</v>
      </c>
      <c r="EY43" s="528">
        <f t="shared" si="91"/>
        <v>1.4854316460541377</v>
      </c>
      <c r="EZ43" s="528">
        <f t="shared" si="92"/>
        <v>2.9624257022327583</v>
      </c>
      <c r="FA43" s="528">
        <f t="shared" si="93"/>
        <v>9.7533333333333343E-3</v>
      </c>
      <c r="FB43" s="460">
        <f t="shared" si="127"/>
        <v>2972.1790355660914</v>
      </c>
      <c r="FC43" s="173">
        <f t="shared" si="128"/>
        <v>7.3463810859582663</v>
      </c>
      <c r="FD43" s="5">
        <f t="shared" si="129"/>
        <v>57</v>
      </c>
      <c r="FE43" s="173">
        <f t="shared" si="130"/>
        <v>0.88583070311064616</v>
      </c>
      <c r="FF43" s="5">
        <f t="shared" si="131"/>
        <v>88.583070311064617</v>
      </c>
      <c r="FI43" s="562">
        <f t="shared" si="94"/>
        <v>-50</v>
      </c>
      <c r="FJ43">
        <f t="shared" si="95"/>
        <v>-50</v>
      </c>
      <c r="FL43">
        <f t="shared" si="181"/>
        <v>0.76</v>
      </c>
    </row>
    <row r="44" spans="5:168">
      <c r="E44" s="170">
        <v>39</v>
      </c>
      <c r="F44" s="217">
        <f t="shared" si="182"/>
        <v>3.9000000000000004</v>
      </c>
      <c r="G44" s="217"/>
      <c r="H44" s="217">
        <f t="shared" si="132"/>
        <v>58.500000000000007</v>
      </c>
      <c r="I44" s="541">
        <f t="shared" si="133"/>
        <v>71.753268114390082</v>
      </c>
      <c r="J44" s="172">
        <f t="shared" si="134"/>
        <v>15.548039131365949</v>
      </c>
      <c r="K44" s="172">
        <f t="shared" si="135"/>
        <v>87.548039131365954</v>
      </c>
      <c r="L44" s="443"/>
      <c r="M44" s="217">
        <f t="shared" si="136"/>
        <v>0.17811475258435275</v>
      </c>
      <c r="N44" s="172">
        <f t="shared" si="137"/>
        <v>320.65811833659114</v>
      </c>
      <c r="O44" s="172">
        <f t="shared" si="98"/>
        <v>58.500000000000007</v>
      </c>
      <c r="P44" s="217">
        <f t="shared" si="138"/>
        <v>21.377207889106078</v>
      </c>
      <c r="Q44" s="217">
        <f t="shared" si="139"/>
        <v>15</v>
      </c>
      <c r="R44" s="217">
        <f t="shared" si="140"/>
        <v>21.300525995522193</v>
      </c>
      <c r="S44" s="172">
        <f t="shared" si="141"/>
        <v>388.27742228819625</v>
      </c>
      <c r="T44" s="172">
        <f t="shared" si="142"/>
        <v>15</v>
      </c>
      <c r="U44" s="217">
        <f t="shared" si="143"/>
        <v>9.4903759673585562</v>
      </c>
      <c r="V44" s="217">
        <f t="shared" si="11"/>
        <v>1.5871682865614756</v>
      </c>
      <c r="W44" s="217">
        <f t="shared" si="144"/>
        <v>7.3246864537764731</v>
      </c>
      <c r="X44" s="197">
        <f t="shared" si="145"/>
        <v>106.49159174915671</v>
      </c>
      <c r="Y44" s="443">
        <f t="shared" si="14"/>
        <v>109.74714023622715</v>
      </c>
      <c r="AA44" s="217">
        <f t="shared" si="146"/>
        <v>10</v>
      </c>
      <c r="AB44" s="173">
        <f t="shared" si="147"/>
        <v>7.7180150491078416</v>
      </c>
      <c r="AC44" s="173">
        <f t="shared" si="148"/>
        <v>4.1095185386172002</v>
      </c>
      <c r="AD44" s="173"/>
      <c r="AE44" s="173">
        <f t="shared" si="149"/>
        <v>7.7180150491078416</v>
      </c>
      <c r="AF44" s="545">
        <f t="shared" si="150"/>
        <v>101.06225435387866</v>
      </c>
      <c r="AG44" s="528">
        <f t="shared" si="151"/>
        <v>4.1095185386172002</v>
      </c>
      <c r="AI44" s="173">
        <f t="shared" si="152"/>
        <v>5.3735397844804229</v>
      </c>
      <c r="AJ44" s="173">
        <f t="shared" si="153"/>
        <v>10</v>
      </c>
      <c r="AK44" s="173">
        <f t="shared" si="154"/>
        <v>1.0577498596307877</v>
      </c>
      <c r="AM44" s="545">
        <f t="shared" si="155"/>
        <v>3900.0000000000005</v>
      </c>
      <c r="AN44" s="460">
        <f t="shared" si="156"/>
        <v>101.06225435387866</v>
      </c>
      <c r="AP44">
        <f t="shared" si="157"/>
        <v>3900.0000000000005</v>
      </c>
      <c r="AQ44" s="460">
        <f t="shared" si="158"/>
        <v>101.06225435387866</v>
      </c>
      <c r="AR44" s="460"/>
      <c r="AS44" s="5">
        <f t="shared" si="101"/>
        <v>9.8948910885997972</v>
      </c>
      <c r="AT44" s="5">
        <f t="shared" si="159"/>
        <v>1.6723976921677532</v>
      </c>
      <c r="AU44" s="5">
        <f t="shared" si="102"/>
        <v>8.2224933964320446</v>
      </c>
      <c r="AV44" s="5">
        <f t="shared" si="160"/>
        <v>7.7180150491078416</v>
      </c>
      <c r="AW44" s="173">
        <f t="shared" si="103"/>
        <v>0.16901628094669716</v>
      </c>
      <c r="AX44" s="173">
        <f t="shared" si="161"/>
        <v>60.637352612327199</v>
      </c>
      <c r="AY44" s="173">
        <f t="shared" si="162"/>
        <v>4.1549185952665137</v>
      </c>
      <c r="AZ44" s="173">
        <f t="shared" si="104"/>
        <v>14.594113271294468</v>
      </c>
      <c r="BA44" s="460">
        <f t="shared" si="163"/>
        <v>43.482339996361588</v>
      </c>
      <c r="BB44" s="5">
        <f t="shared" si="164"/>
        <v>1.8621523618827922</v>
      </c>
      <c r="BC44" s="5"/>
      <c r="BD44" s="173">
        <f t="shared" si="105"/>
        <v>2.3735787392788494</v>
      </c>
      <c r="BE44" s="173">
        <f t="shared" si="165"/>
        <v>5.2630273894192072</v>
      </c>
      <c r="BF44" s="173"/>
      <c r="BG44" s="528">
        <f t="shared" si="166"/>
        <v>0.11267752063113146</v>
      </c>
      <c r="BH44" s="528">
        <f t="shared" si="167"/>
        <v>1.6589629122895178</v>
      </c>
      <c r="BI44" s="528">
        <f t="shared" si="168"/>
        <v>0.18128867582246352</v>
      </c>
      <c r="BJ44" s="528">
        <f t="shared" si="169"/>
        <v>7.7460773313390699E-2</v>
      </c>
      <c r="BK44">
        <f t="shared" si="170"/>
        <v>3.2288970651475533E-2</v>
      </c>
      <c r="BL44" s="460">
        <f t="shared" si="106"/>
        <v>213.57764647393907</v>
      </c>
      <c r="BM44" s="528">
        <f t="shared" si="171"/>
        <v>1.9312272995688455</v>
      </c>
      <c r="BN44" s="460">
        <f t="shared" si="107"/>
        <v>1931.2272995688456</v>
      </c>
      <c r="BO44" s="528">
        <f t="shared" si="172"/>
        <v>2.4228749999999999</v>
      </c>
      <c r="BP44" s="528"/>
      <c r="BR44" s="460">
        <f t="shared" si="109"/>
        <v>2422.875</v>
      </c>
      <c r="BS44" s="528">
        <f t="shared" si="173"/>
        <v>0.16901628094669716</v>
      </c>
      <c r="BT44" s="528">
        <f t="shared" si="174"/>
        <v>0.83098371905330271</v>
      </c>
      <c r="BU44" s="528">
        <f t="shared" si="175"/>
        <v>0.87750000000000006</v>
      </c>
      <c r="BV44" s="528">
        <f t="shared" si="176"/>
        <v>2.3016304347826084</v>
      </c>
      <c r="BW44" s="528">
        <f t="shared" si="177"/>
        <v>1.0106225435387868E-2</v>
      </c>
      <c r="BX44" s="460">
        <f t="shared" si="110"/>
        <v>2311.7366602179964</v>
      </c>
      <c r="BY44" s="173">
        <f t="shared" si="45"/>
        <v>6.8794166062607811</v>
      </c>
      <c r="BZ44" s="5">
        <f t="shared" si="111"/>
        <v>58.500000000000007</v>
      </c>
      <c r="CA44" s="173">
        <f t="shared" si="112"/>
        <v>0.89477702672553361</v>
      </c>
      <c r="CB44" s="5">
        <f t="shared" si="113"/>
        <v>89.477702672553363</v>
      </c>
      <c r="CE44" s="562">
        <f t="shared" si="178"/>
        <v>-50</v>
      </c>
      <c r="CF44">
        <f t="shared" si="179"/>
        <v>-50</v>
      </c>
      <c r="CG44" s="173">
        <f t="shared" si="180"/>
        <v>0.79033157598567472</v>
      </c>
      <c r="CI44" s="170">
        <v>39</v>
      </c>
      <c r="CJ44" s="217">
        <f t="shared" si="114"/>
        <v>3.9000000000000004</v>
      </c>
      <c r="CK44" s="217"/>
      <c r="CL44" s="217">
        <f t="shared" si="49"/>
        <v>58.500000000000007</v>
      </c>
      <c r="CM44" s="541">
        <f t="shared" si="50"/>
        <v>72</v>
      </c>
      <c r="CN44" s="172">
        <f t="shared" si="51"/>
        <v>15.4</v>
      </c>
      <c r="CO44" s="443">
        <f t="shared" si="52"/>
        <v>87.4</v>
      </c>
      <c r="CP44" s="443"/>
      <c r="CQ44" s="217">
        <f t="shared" si="53"/>
        <v>0.17620137299771166</v>
      </c>
      <c r="CR44" s="172">
        <f t="shared" si="54"/>
        <v>318.30425629290613</v>
      </c>
      <c r="CS44" s="172">
        <f t="shared" si="115"/>
        <v>58.500000000000007</v>
      </c>
      <c r="CT44" s="217">
        <f t="shared" si="55"/>
        <v>21.220283752860407</v>
      </c>
      <c r="CU44" s="217">
        <f t="shared" si="56"/>
        <v>15</v>
      </c>
      <c r="CV44" s="217">
        <f t="shared" si="57"/>
        <v>21.144164759725399</v>
      </c>
      <c r="CW44" s="172">
        <f t="shared" si="58"/>
        <v>389.61230536237179</v>
      </c>
      <c r="CX44" s="172">
        <f t="shared" si="59"/>
        <v>15</v>
      </c>
      <c r="CY44" s="217">
        <f t="shared" si="60"/>
        <v>9.2224025974025992</v>
      </c>
      <c r="CZ44" s="217">
        <f t="shared" si="61"/>
        <v>1.5370670995670999</v>
      </c>
      <c r="DA44" s="217">
        <f t="shared" si="62"/>
        <v>7.1862877382357917</v>
      </c>
      <c r="DB44" s="197">
        <f t="shared" si="63"/>
        <v>105.72082379862701</v>
      </c>
      <c r="DC44" s="443">
        <f t="shared" si="116"/>
        <v>114.63479574010601</v>
      </c>
      <c r="DE44" s="217">
        <f t="shared" si="64"/>
        <v>9.9999999999999982</v>
      </c>
      <c r="DF44" s="173">
        <f t="shared" si="65"/>
        <v>7.7922077922077895</v>
      </c>
      <c r="DG44" s="173">
        <f t="shared" si="66"/>
        <v>4.118993135011439</v>
      </c>
      <c r="DH44" s="173"/>
      <c r="DI44" s="173">
        <f t="shared" si="67"/>
        <v>7.7922077922077913</v>
      </c>
      <c r="DJ44" s="545">
        <f t="shared" si="117"/>
        <v>100.10000000000001</v>
      </c>
      <c r="DK44" s="528">
        <f t="shared" si="68"/>
        <v>4.1189931350114417</v>
      </c>
      <c r="DM44" s="173">
        <f t="shared" si="69"/>
        <v>5.3478967828483759</v>
      </c>
      <c r="DN44" s="173">
        <f t="shared" si="70"/>
        <v>10</v>
      </c>
      <c r="DO44" s="173">
        <f t="shared" si="71"/>
        <v>1.0571999999999999</v>
      </c>
      <c r="DQ44" s="545">
        <f t="shared" si="72"/>
        <v>3900.0000000000005</v>
      </c>
      <c r="DR44" s="460">
        <f t="shared" si="73"/>
        <v>100.10000000000001</v>
      </c>
      <c r="DT44">
        <f t="shared" si="74"/>
        <v>3900.0000000000005</v>
      </c>
      <c r="DU44" s="460">
        <f t="shared" si="75"/>
        <v>100.10000000000001</v>
      </c>
      <c r="DV44" s="460"/>
      <c r="DW44" s="5">
        <f t="shared" si="118"/>
        <v>9.9900099900099892</v>
      </c>
      <c r="DX44" s="5">
        <f t="shared" si="76"/>
        <v>1.6666666666666667</v>
      </c>
      <c r="DY44" s="5">
        <f t="shared" si="119"/>
        <v>8.3233433233433232</v>
      </c>
      <c r="DZ44" s="5">
        <f t="shared" si="77"/>
        <v>7.7922077922077913</v>
      </c>
      <c r="EA44" s="173">
        <f t="shared" si="120"/>
        <v>0.16683333333333336</v>
      </c>
      <c r="EB44" s="173">
        <f t="shared" si="78"/>
        <v>60.060000000000009</v>
      </c>
      <c r="EC44" s="173">
        <f t="shared" si="79"/>
        <v>4.1658333333333335</v>
      </c>
      <c r="ED44" s="173">
        <f t="shared" si="121"/>
        <v>14.41728345669134</v>
      </c>
      <c r="EE44" s="460">
        <f t="shared" si="80"/>
        <v>43.333333333333343</v>
      </c>
      <c r="EF44" s="5">
        <f t="shared" si="81"/>
        <v>1.8785323472823474</v>
      </c>
      <c r="EG44" s="5"/>
      <c r="EH44" s="173">
        <f t="shared" si="122"/>
        <v>2.3582008207765326</v>
      </c>
      <c r="EI44" s="173">
        <f t="shared" si="82"/>
        <v>5.269935694315655</v>
      </c>
      <c r="EJ44" s="173"/>
      <c r="EK44" s="528">
        <f t="shared" si="83"/>
        <v>0.11122222222222224</v>
      </c>
      <c r="EL44" s="528">
        <f t="shared" si="84"/>
        <v>1.7497480000000003</v>
      </c>
      <c r="EM44" s="528">
        <f t="shared" si="85"/>
        <v>1.2512500000000001E-2</v>
      </c>
      <c r="EN44" s="528">
        <f t="shared" si="86"/>
        <v>7.6463987600000019E-2</v>
      </c>
      <c r="EO44">
        <f t="shared" si="87"/>
        <v>3.2399999999999998E-2</v>
      </c>
      <c r="EP44" s="460">
        <f t="shared" si="123"/>
        <v>44.912500000000001</v>
      </c>
      <c r="EQ44" s="528">
        <f t="shared" si="88"/>
        <v>2.0670000807563214</v>
      </c>
      <c r="ER44" s="460">
        <f t="shared" si="124"/>
        <v>2067.0000807563215</v>
      </c>
      <c r="ES44" s="528">
        <f t="shared" si="125"/>
        <v>2.4228749999999999</v>
      </c>
      <c r="ET44" s="528"/>
      <c r="EV44" s="460">
        <f t="shared" si="126"/>
        <v>2422.875</v>
      </c>
      <c r="EW44" s="528">
        <f t="shared" si="89"/>
        <v>0.16683333333333333</v>
      </c>
      <c r="EX44" s="528">
        <f t="shared" si="90"/>
        <v>0.83316666666666672</v>
      </c>
      <c r="EY44" s="528">
        <f t="shared" si="91"/>
        <v>1.5850946422887529</v>
      </c>
      <c r="EZ44" s="528">
        <f t="shared" si="92"/>
        <v>3.0707550459660355</v>
      </c>
      <c r="FA44" s="528">
        <f t="shared" si="93"/>
        <v>1.0010000000000003E-2</v>
      </c>
      <c r="FB44" s="460">
        <f t="shared" si="127"/>
        <v>3080.7650459660354</v>
      </c>
      <c r="FC44" s="173">
        <f t="shared" si="128"/>
        <v>7.5706401267223571</v>
      </c>
      <c r="FD44" s="5">
        <f t="shared" si="129"/>
        <v>58.500000000000007</v>
      </c>
      <c r="FE44" s="173">
        <f t="shared" si="130"/>
        <v>0.88541597126648086</v>
      </c>
      <c r="FF44" s="5">
        <f t="shared" si="131"/>
        <v>88.541597126648085</v>
      </c>
      <c r="FI44" s="562">
        <f t="shared" si="94"/>
        <v>-50</v>
      </c>
      <c r="FJ44">
        <f t="shared" si="95"/>
        <v>-50</v>
      </c>
      <c r="FL44">
        <f t="shared" si="181"/>
        <v>0.78</v>
      </c>
    </row>
    <row r="45" spans="5:168">
      <c r="E45" s="170">
        <v>40</v>
      </c>
      <c r="F45" s="217">
        <f t="shared" si="182"/>
        <v>4</v>
      </c>
      <c r="G45" s="217"/>
      <c r="H45" s="217">
        <f t="shared" si="132"/>
        <v>60</v>
      </c>
      <c r="I45" s="541">
        <f t="shared" si="133"/>
        <v>71.753268114390082</v>
      </c>
      <c r="J45" s="172">
        <f t="shared" si="134"/>
        <v>15.548039131365949</v>
      </c>
      <c r="K45" s="172">
        <f t="shared" si="135"/>
        <v>87.548039131365954</v>
      </c>
      <c r="L45" s="443"/>
      <c r="M45" s="217">
        <f t="shared" si="136"/>
        <v>0.17811475258435275</v>
      </c>
      <c r="N45" s="172">
        <f t="shared" si="137"/>
        <v>320.65811833659114</v>
      </c>
      <c r="O45" s="172">
        <f t="shared" si="98"/>
        <v>60</v>
      </c>
      <c r="P45" s="217">
        <f t="shared" si="138"/>
        <v>21.377207889106078</v>
      </c>
      <c r="Q45" s="217">
        <f t="shared" si="139"/>
        <v>15</v>
      </c>
      <c r="R45" s="217">
        <f t="shared" si="140"/>
        <v>21.300525995522193</v>
      </c>
      <c r="S45" s="172">
        <f t="shared" si="141"/>
        <v>376.78075190573384</v>
      </c>
      <c r="T45" s="172">
        <f t="shared" si="142"/>
        <v>15</v>
      </c>
      <c r="U45" s="217">
        <f t="shared" si="143"/>
        <v>9.7337189408805695</v>
      </c>
      <c r="V45" s="217">
        <f t="shared" si="11"/>
        <v>1.6278649092938211</v>
      </c>
      <c r="W45" s="217">
        <f t="shared" si="144"/>
        <v>7.5124989269502276</v>
      </c>
      <c r="X45" s="197">
        <f t="shared" si="145"/>
        <v>106.49159174915671</v>
      </c>
      <c r="Y45" s="443">
        <f t="shared" si="14"/>
        <v>107.06221058751824</v>
      </c>
      <c r="AA45" s="217">
        <f t="shared" si="146"/>
        <v>10</v>
      </c>
      <c r="AB45" s="173">
        <f t="shared" si="147"/>
        <v>7.7180150491078416</v>
      </c>
      <c r="AC45" s="173">
        <f t="shared" si="148"/>
        <v>4.1095185386172002</v>
      </c>
      <c r="AD45" s="173"/>
      <c r="AE45" s="173">
        <f t="shared" si="149"/>
        <v>7.7180150491078416</v>
      </c>
      <c r="AF45" s="545">
        <f t="shared" si="150"/>
        <v>103.6535942091063</v>
      </c>
      <c r="AG45" s="528">
        <f t="shared" si="151"/>
        <v>4.1095185386172002</v>
      </c>
      <c r="AI45" s="173">
        <f t="shared" si="152"/>
        <v>5.4419952803336047</v>
      </c>
      <c r="AJ45" s="173">
        <f t="shared" si="153"/>
        <v>10</v>
      </c>
      <c r="AK45" s="173">
        <f t="shared" si="154"/>
        <v>1.0592306252623465</v>
      </c>
      <c r="AM45" s="545">
        <f t="shared" si="155"/>
        <v>4000</v>
      </c>
      <c r="AN45" s="460">
        <f t="shared" si="156"/>
        <v>103.6535942091063</v>
      </c>
      <c r="AP45">
        <f t="shared" si="157"/>
        <v>4000</v>
      </c>
      <c r="AQ45" s="460">
        <f t="shared" si="158"/>
        <v>103.6535942091063</v>
      </c>
      <c r="AR45" s="460"/>
      <c r="AS45" s="5">
        <f t="shared" si="101"/>
        <v>9.6475188113848045</v>
      </c>
      <c r="AT45" s="5">
        <f t="shared" si="159"/>
        <v>1.6723976921677532</v>
      </c>
      <c r="AU45" s="5">
        <f t="shared" si="102"/>
        <v>7.975121119217051</v>
      </c>
      <c r="AV45" s="5">
        <f t="shared" si="160"/>
        <v>7.7180150491078416</v>
      </c>
      <c r="AW45" s="173">
        <f t="shared" si="103"/>
        <v>0.17335003174020217</v>
      </c>
      <c r="AX45" s="173">
        <f t="shared" si="161"/>
        <v>62.192156525463787</v>
      </c>
      <c r="AY45" s="173">
        <f t="shared" si="162"/>
        <v>4.1332498412989889</v>
      </c>
      <c r="AZ45" s="173">
        <f t="shared" si="104"/>
        <v>15.046793422465401</v>
      </c>
      <c r="BA45" s="460">
        <f t="shared" si="163"/>
        <v>44.597271791140088</v>
      </c>
      <c r="BB45" s="5">
        <f t="shared" si="164"/>
        <v>1.8524408547967921</v>
      </c>
      <c r="BC45" s="5"/>
      <c r="BD45" s="173">
        <f t="shared" si="105"/>
        <v>2.4038166301405091</v>
      </c>
      <c r="BE45" s="173">
        <f t="shared" si="165"/>
        <v>5.249285564911979</v>
      </c>
      <c r="BF45" s="173"/>
      <c r="BG45" s="528">
        <f t="shared" si="166"/>
        <v>0.11556668782680146</v>
      </c>
      <c r="BH45" s="528">
        <f t="shared" si="167"/>
        <v>1.7015004228610435</v>
      </c>
      <c r="BI45" s="528">
        <f t="shared" si="168"/>
        <v>0.18593710340765487</v>
      </c>
      <c r="BJ45" s="528">
        <f t="shared" si="169"/>
        <v>7.9446946988093001E-2</v>
      </c>
      <c r="BK45">
        <f t="shared" si="170"/>
        <v>3.2288970651475533E-2</v>
      </c>
      <c r="BL45" s="460">
        <f t="shared" si="106"/>
        <v>218.22607405913041</v>
      </c>
      <c r="BM45" s="528">
        <f t="shared" si="171"/>
        <v>1.9821440533435997</v>
      </c>
      <c r="BN45" s="460">
        <f t="shared" si="107"/>
        <v>1982.1440533435996</v>
      </c>
      <c r="BO45" s="528">
        <f t="shared" si="172"/>
        <v>2.4849999999999999</v>
      </c>
      <c r="BP45" s="528"/>
      <c r="BR45" s="460">
        <f t="shared" si="109"/>
        <v>2485</v>
      </c>
      <c r="BS45" s="528">
        <f t="shared" si="173"/>
        <v>0.17335003174020219</v>
      </c>
      <c r="BT45" s="528">
        <f t="shared" si="174"/>
        <v>0.8266499682597982</v>
      </c>
      <c r="BU45" s="528">
        <f t="shared" si="175"/>
        <v>0.89999999999999991</v>
      </c>
      <c r="BV45" s="528">
        <f t="shared" si="176"/>
        <v>2.3260869565217401</v>
      </c>
      <c r="BW45" s="528">
        <f t="shared" si="177"/>
        <v>1.0365359420910632E-2</v>
      </c>
      <c r="BX45" s="460">
        <f t="shared" si="110"/>
        <v>2336.4523159426508</v>
      </c>
      <c r="BY45" s="173">
        <f t="shared" si="45"/>
        <v>7.0218224433453811</v>
      </c>
      <c r="BZ45" s="5">
        <f t="shared" si="111"/>
        <v>60</v>
      </c>
      <c r="CA45" s="173">
        <f t="shared" si="112"/>
        <v>0.89523080412680445</v>
      </c>
      <c r="CB45" s="5">
        <f t="shared" si="113"/>
        <v>89.523080412680443</v>
      </c>
      <c r="CE45" s="562">
        <f t="shared" si="178"/>
        <v>-50</v>
      </c>
      <c r="CF45">
        <f t="shared" si="179"/>
        <v>-50</v>
      </c>
      <c r="CG45" s="173">
        <f t="shared" si="180"/>
        <v>0.81059648819043539</v>
      </c>
      <c r="CI45" s="170">
        <v>40</v>
      </c>
      <c r="CJ45" s="217">
        <f t="shared" si="114"/>
        <v>4</v>
      </c>
      <c r="CK45" s="217"/>
      <c r="CL45" s="217">
        <f t="shared" si="49"/>
        <v>60</v>
      </c>
      <c r="CM45" s="541">
        <f t="shared" si="50"/>
        <v>72</v>
      </c>
      <c r="CN45" s="172">
        <f t="shared" si="51"/>
        <v>15.4</v>
      </c>
      <c r="CO45" s="443">
        <f t="shared" si="52"/>
        <v>87.4</v>
      </c>
      <c r="CP45" s="443"/>
      <c r="CQ45" s="217">
        <f t="shared" si="53"/>
        <v>0.17620137299771166</v>
      </c>
      <c r="CR45" s="172">
        <f t="shared" si="54"/>
        <v>318.30425629290613</v>
      </c>
      <c r="CS45" s="172">
        <f t="shared" si="115"/>
        <v>60</v>
      </c>
      <c r="CT45" s="217">
        <f t="shared" si="55"/>
        <v>21.220283752860407</v>
      </c>
      <c r="CU45" s="217">
        <f t="shared" si="56"/>
        <v>15</v>
      </c>
      <c r="CV45" s="217">
        <f t="shared" si="57"/>
        <v>21.144164759725399</v>
      </c>
      <c r="CW45" s="172">
        <f t="shared" si="58"/>
        <v>378.07609463426706</v>
      </c>
      <c r="CX45" s="172">
        <f t="shared" si="59"/>
        <v>15</v>
      </c>
      <c r="CY45" s="217">
        <f t="shared" si="60"/>
        <v>9.45887445887446</v>
      </c>
      <c r="CZ45" s="217">
        <f t="shared" si="61"/>
        <v>1.5764790764790768</v>
      </c>
      <c r="DA45" s="217">
        <f t="shared" si="62"/>
        <v>7.3705515263956825</v>
      </c>
      <c r="DB45" s="197">
        <f t="shared" si="63"/>
        <v>105.72082379862701</v>
      </c>
      <c r="DC45" s="443">
        <f t="shared" si="116"/>
        <v>111.76892584660337</v>
      </c>
      <c r="DE45" s="217">
        <f t="shared" si="64"/>
        <v>9.9999999999999982</v>
      </c>
      <c r="DF45" s="173">
        <f t="shared" si="65"/>
        <v>7.7922077922077895</v>
      </c>
      <c r="DG45" s="173">
        <f t="shared" si="66"/>
        <v>4.118993135011439</v>
      </c>
      <c r="DH45" s="173"/>
      <c r="DI45" s="173">
        <f t="shared" si="67"/>
        <v>7.7922077922077913</v>
      </c>
      <c r="DJ45" s="545">
        <f t="shared" si="117"/>
        <v>102.66666666666667</v>
      </c>
      <c r="DK45" s="528">
        <f t="shared" si="68"/>
        <v>4.1189931350114417</v>
      </c>
      <c r="DM45" s="173">
        <f t="shared" si="69"/>
        <v>5.4160256030906408</v>
      </c>
      <c r="DN45" s="173">
        <f t="shared" si="70"/>
        <v>10</v>
      </c>
      <c r="DO45" s="173">
        <f t="shared" si="71"/>
        <v>1.0586666666666666</v>
      </c>
      <c r="DQ45" s="545">
        <f t="shared" si="72"/>
        <v>4000</v>
      </c>
      <c r="DR45" s="460">
        <f t="shared" si="73"/>
        <v>102.66666666666667</v>
      </c>
      <c r="DT45">
        <f t="shared" si="74"/>
        <v>4000</v>
      </c>
      <c r="DU45" s="460">
        <f t="shared" si="75"/>
        <v>102.66666666666667</v>
      </c>
      <c r="DV45" s="460"/>
      <c r="DW45" s="5">
        <f t="shared" si="118"/>
        <v>9.7402597402597397</v>
      </c>
      <c r="DX45" s="5">
        <f t="shared" si="76"/>
        <v>1.6666666666666667</v>
      </c>
      <c r="DY45" s="5">
        <f t="shared" si="119"/>
        <v>8.0735930735930737</v>
      </c>
      <c r="DZ45" s="5">
        <f t="shared" si="77"/>
        <v>7.7922077922077913</v>
      </c>
      <c r="EA45" s="173">
        <f t="shared" si="120"/>
        <v>0.17111111111111113</v>
      </c>
      <c r="EB45" s="173">
        <f t="shared" si="78"/>
        <v>61.600000000000009</v>
      </c>
      <c r="EC45" s="173">
        <f t="shared" si="79"/>
        <v>4.1444444444444448</v>
      </c>
      <c r="ED45" s="173">
        <f t="shared" si="121"/>
        <v>14.863270777479894</v>
      </c>
      <c r="EE45" s="460">
        <f t="shared" si="80"/>
        <v>44.444444444444443</v>
      </c>
      <c r="EF45" s="5">
        <f t="shared" si="81"/>
        <v>1.8688872855539524</v>
      </c>
      <c r="EG45" s="5"/>
      <c r="EH45" s="173">
        <f t="shared" si="122"/>
        <v>2.3882428066894086</v>
      </c>
      <c r="EI45" s="173">
        <f t="shared" si="82"/>
        <v>5.2563894100066104</v>
      </c>
      <c r="EJ45" s="173"/>
      <c r="EK45" s="528">
        <f t="shared" si="83"/>
        <v>0.11407407407407409</v>
      </c>
      <c r="EL45" s="528">
        <f t="shared" si="84"/>
        <v>1.7946133333333334</v>
      </c>
      <c r="EM45" s="528">
        <f t="shared" si="85"/>
        <v>1.2833333333333334E-2</v>
      </c>
      <c r="EN45" s="528">
        <f t="shared" si="86"/>
        <v>7.842460266666669E-2</v>
      </c>
      <c r="EO45">
        <f t="shared" si="87"/>
        <v>3.2399999999999998E-2</v>
      </c>
      <c r="EP45" s="460">
        <f t="shared" si="123"/>
        <v>45.233333333333334</v>
      </c>
      <c r="EQ45" s="528">
        <f t="shared" si="88"/>
        <v>2.1206227010979668</v>
      </c>
      <c r="ER45" s="460">
        <f t="shared" si="124"/>
        <v>2120.6227010979669</v>
      </c>
      <c r="ES45" s="528">
        <f t="shared" si="125"/>
        <v>2.4849999999999999</v>
      </c>
      <c r="ET45" s="528"/>
      <c r="EV45" s="460">
        <f t="shared" si="126"/>
        <v>2485</v>
      </c>
      <c r="EW45" s="528">
        <f t="shared" si="89"/>
        <v>0.17111111111111113</v>
      </c>
      <c r="EX45" s="528">
        <f t="shared" si="90"/>
        <v>0.82888888888888923</v>
      </c>
      <c r="EY45" s="528">
        <f t="shared" si="91"/>
        <v>1.6886656092562493</v>
      </c>
      <c r="EZ45" s="528">
        <f t="shared" si="92"/>
        <v>3.1833321839741844</v>
      </c>
      <c r="FA45" s="528">
        <f t="shared" si="93"/>
        <v>1.0266666666666667E-2</v>
      </c>
      <c r="FB45" s="460">
        <f t="shared" si="127"/>
        <v>3193.5988506408512</v>
      </c>
      <c r="FC45" s="173">
        <f t="shared" si="128"/>
        <v>7.7992215517388175</v>
      </c>
      <c r="FD45" s="5">
        <f t="shared" si="129"/>
        <v>60</v>
      </c>
      <c r="FE45" s="173">
        <f t="shared" si="130"/>
        <v>0.88496591298194949</v>
      </c>
      <c r="FF45" s="5">
        <f t="shared" si="131"/>
        <v>88.496591298194943</v>
      </c>
      <c r="FI45" s="562">
        <f t="shared" si="94"/>
        <v>-50</v>
      </c>
      <c r="FJ45">
        <f t="shared" si="95"/>
        <v>-50</v>
      </c>
      <c r="FL45">
        <f t="shared" si="181"/>
        <v>0.8</v>
      </c>
    </row>
    <row r="46" spans="5:168">
      <c r="E46" s="170">
        <v>41</v>
      </c>
      <c r="F46" s="217">
        <f t="shared" si="182"/>
        <v>4.0999999999999996</v>
      </c>
      <c r="G46" s="217"/>
      <c r="H46" s="217">
        <f t="shared" si="132"/>
        <v>61.499999999999993</v>
      </c>
      <c r="I46" s="541">
        <f t="shared" si="133"/>
        <v>71.749801502411472</v>
      </c>
      <c r="J46" s="172">
        <f t="shared" si="134"/>
        <v>15.55011909855312</v>
      </c>
      <c r="K46" s="172">
        <f t="shared" si="135"/>
        <v>87.550119098553125</v>
      </c>
      <c r="L46" s="443"/>
      <c r="M46" s="217">
        <f t="shared" si="136"/>
        <v>0.17812182539235746</v>
      </c>
      <c r="N46" s="172">
        <f t="shared" si="137"/>
        <v>320.65535888408448</v>
      </c>
      <c r="O46" s="172">
        <f t="shared" si="98"/>
        <v>61.499999999999993</v>
      </c>
      <c r="P46" s="217">
        <f t="shared" si="138"/>
        <v>21.377023925605631</v>
      </c>
      <c r="Q46" s="217">
        <f t="shared" si="139"/>
        <v>15</v>
      </c>
      <c r="R46" s="217">
        <f t="shared" si="140"/>
        <v>21.300342691914736</v>
      </c>
      <c r="S46" s="172">
        <f t="shared" si="141"/>
        <v>365.82735454983407</v>
      </c>
      <c r="T46" s="172">
        <f t="shared" si="142"/>
        <v>15</v>
      </c>
      <c r="U46" s="217">
        <f t="shared" si="143"/>
        <v>9.9771477736522289</v>
      </c>
      <c r="V46" s="217">
        <f t="shared" si="11"/>
        <v>1.6686565088239698</v>
      </c>
      <c r="W46" s="217">
        <f t="shared" si="144"/>
        <v>7.6993476721967218</v>
      </c>
      <c r="X46" s="197">
        <f t="shared" si="145"/>
        <v>106.50238386812043</v>
      </c>
      <c r="Y46" s="443">
        <f t="shared" si="14"/>
        <v>104.51500449630056</v>
      </c>
      <c r="AA46" s="217">
        <f t="shared" si="146"/>
        <v>10</v>
      </c>
      <c r="AB46" s="173">
        <f t="shared" si="147"/>
        <v>7.7169826957251768</v>
      </c>
      <c r="AC46" s="173">
        <f t="shared" si="148"/>
        <v>4.109385266818828</v>
      </c>
      <c r="AD46" s="173"/>
      <c r="AE46" s="173">
        <f t="shared" si="149"/>
        <v>7.7169826957251768</v>
      </c>
      <c r="AF46" s="545">
        <f t="shared" si="150"/>
        <v>106.25914717344631</v>
      </c>
      <c r="AG46" s="528">
        <f t="shared" si="151"/>
        <v>4.109385266818828</v>
      </c>
      <c r="AI46" s="173">
        <f t="shared" si="152"/>
        <v>5.5099688143645942</v>
      </c>
      <c r="AJ46" s="173">
        <f t="shared" si="153"/>
        <v>10</v>
      </c>
      <c r="AK46" s="173">
        <f t="shared" si="154"/>
        <v>1.0607195126705407</v>
      </c>
      <c r="AM46" s="545">
        <f t="shared" si="155"/>
        <v>4100</v>
      </c>
      <c r="AN46" s="460">
        <f t="shared" si="156"/>
        <v>106.25914717344631</v>
      </c>
      <c r="AP46">
        <f t="shared" si="157"/>
        <v>4100</v>
      </c>
      <c r="AQ46" s="460">
        <f t="shared" si="158"/>
        <v>106.25914717344631</v>
      </c>
      <c r="AR46" s="460"/>
      <c r="AS46" s="5">
        <f t="shared" si="101"/>
        <v>9.4109545069819234</v>
      </c>
      <c r="AT46" s="5">
        <f t="shared" si="159"/>
        <v>1.6724784945358611</v>
      </c>
      <c r="AU46" s="5">
        <f t="shared" si="102"/>
        <v>7.7384760124460623</v>
      </c>
      <c r="AV46" s="5">
        <f t="shared" si="160"/>
        <v>7.7169826957251768</v>
      </c>
      <c r="AW46" s="173">
        <f t="shared" si="103"/>
        <v>0.17771613849530998</v>
      </c>
      <c r="AX46" s="173">
        <f t="shared" si="161"/>
        <v>63.755488304067796</v>
      </c>
      <c r="AY46" s="173">
        <f t="shared" si="162"/>
        <v>4.11141930752345</v>
      </c>
      <c r="AZ46" s="173">
        <f t="shared" si="104"/>
        <v>15.506929246404566</v>
      </c>
      <c r="BA46" s="460">
        <f t="shared" si="163"/>
        <v>45.714412183980194</v>
      </c>
      <c r="BB46" s="5">
        <f t="shared" si="164"/>
        <v>1.8424993859833476</v>
      </c>
      <c r="BC46" s="5"/>
      <c r="BD46" s="173">
        <f t="shared" si="105"/>
        <v>2.4339004258960553</v>
      </c>
      <c r="BE46" s="173">
        <f t="shared" si="165"/>
        <v>5.2354046691880782</v>
      </c>
      <c r="BF46" s="173"/>
      <c r="BG46" s="528">
        <f t="shared" si="166"/>
        <v>0.11847742566353998</v>
      </c>
      <c r="BH46" s="528">
        <f t="shared" si="167"/>
        <v>1.7443126856898581</v>
      </c>
      <c r="BI46" s="528">
        <f t="shared" si="168"/>
        <v>0.19060181793775749</v>
      </c>
      <c r="BJ46" s="528">
        <f t="shared" si="169"/>
        <v>8.144788446787421E-2</v>
      </c>
      <c r="BK46">
        <f t="shared" si="170"/>
        <v>3.2287410676085163E-2</v>
      </c>
      <c r="BL46" s="460">
        <f t="shared" si="106"/>
        <v>222.88922861384265</v>
      </c>
      <c r="BM46" s="528">
        <f t="shared" si="171"/>
        <v>2.0334695491442685</v>
      </c>
      <c r="BN46" s="460">
        <f t="shared" si="107"/>
        <v>2033.4695491442685</v>
      </c>
      <c r="BO46" s="528">
        <f t="shared" si="172"/>
        <v>2.5471249999999994</v>
      </c>
      <c r="BP46" s="528"/>
      <c r="BR46" s="460">
        <f t="shared" si="109"/>
        <v>2547.1249999999995</v>
      </c>
      <c r="BS46" s="528">
        <f t="shared" si="173"/>
        <v>0.17771613849530998</v>
      </c>
      <c r="BT46" s="528">
        <f t="shared" si="174"/>
        <v>0.82228386150468991</v>
      </c>
      <c r="BU46" s="528">
        <f t="shared" si="175"/>
        <v>0.92249999999999988</v>
      </c>
      <c r="BV46" s="528">
        <f t="shared" si="176"/>
        <v>2.3505434782608692</v>
      </c>
      <c r="BW46" s="528">
        <f t="shared" si="177"/>
        <v>1.0625914717344632E-2</v>
      </c>
      <c r="BX46" s="460">
        <f t="shared" si="110"/>
        <v>2361.1693929782136</v>
      </c>
      <c r="BY46" s="173">
        <f t="shared" si="45"/>
        <v>7.1646531707363241</v>
      </c>
      <c r="BZ46" s="5">
        <f t="shared" si="111"/>
        <v>61.499999999999993</v>
      </c>
      <c r="CA46" s="173">
        <f t="shared" si="112"/>
        <v>0.89565733110278389</v>
      </c>
      <c r="CB46" s="5">
        <f t="shared" si="113"/>
        <v>89.565733110278387</v>
      </c>
      <c r="CE46" s="562">
        <f t="shared" si="178"/>
        <v>-50</v>
      </c>
      <c r="CF46">
        <f t="shared" si="179"/>
        <v>-50</v>
      </c>
      <c r="CG46" s="173">
        <f t="shared" si="180"/>
        <v>0.81934944444444435</v>
      </c>
      <c r="CI46" s="170">
        <v>41</v>
      </c>
      <c r="CJ46" s="217">
        <f t="shared" si="114"/>
        <v>4.0999999999999996</v>
      </c>
      <c r="CK46" s="217"/>
      <c r="CL46" s="217">
        <f t="shared" si="49"/>
        <v>61.499999999999993</v>
      </c>
      <c r="CM46" s="541">
        <f t="shared" si="50"/>
        <v>72</v>
      </c>
      <c r="CN46" s="172">
        <f t="shared" si="51"/>
        <v>15.4</v>
      </c>
      <c r="CO46" s="443">
        <f t="shared" si="52"/>
        <v>87.4</v>
      </c>
      <c r="CP46" s="443"/>
      <c r="CQ46" s="217">
        <f t="shared" si="53"/>
        <v>0.17620137299771166</v>
      </c>
      <c r="CR46" s="172">
        <f t="shared" si="54"/>
        <v>318.30425629290613</v>
      </c>
      <c r="CS46" s="172">
        <f t="shared" si="115"/>
        <v>61.499999999999993</v>
      </c>
      <c r="CT46" s="217">
        <f t="shared" si="55"/>
        <v>21.220283752860407</v>
      </c>
      <c r="CU46" s="217">
        <f t="shared" si="56"/>
        <v>15</v>
      </c>
      <c r="CV46" s="217">
        <f t="shared" si="57"/>
        <v>21.144164759725399</v>
      </c>
      <c r="CW46" s="172">
        <f t="shared" si="58"/>
        <v>367.10275700292999</v>
      </c>
      <c r="CX46" s="172">
        <f t="shared" si="59"/>
        <v>15</v>
      </c>
      <c r="CY46" s="217">
        <f t="shared" si="60"/>
        <v>9.695346320346319</v>
      </c>
      <c r="CZ46" s="217">
        <f t="shared" si="61"/>
        <v>1.6158910533910531</v>
      </c>
      <c r="DA46" s="217">
        <f t="shared" si="62"/>
        <v>7.5548153145555723</v>
      </c>
      <c r="DB46" s="197">
        <f t="shared" si="63"/>
        <v>105.72082379862701</v>
      </c>
      <c r="DC46" s="443">
        <f t="shared" si="116"/>
        <v>109.04285448449112</v>
      </c>
      <c r="DE46" s="217">
        <f t="shared" si="64"/>
        <v>9.9999999999999982</v>
      </c>
      <c r="DF46" s="173">
        <f t="shared" si="65"/>
        <v>7.7922077922077895</v>
      </c>
      <c r="DG46" s="173">
        <f t="shared" si="66"/>
        <v>4.118993135011439</v>
      </c>
      <c r="DH46" s="173"/>
      <c r="DI46" s="173">
        <f t="shared" si="67"/>
        <v>7.7922077922077913</v>
      </c>
      <c r="DJ46" s="545">
        <f t="shared" si="117"/>
        <v>105.23333333333333</v>
      </c>
      <c r="DK46" s="528">
        <f t="shared" si="68"/>
        <v>4.1189931350114417</v>
      </c>
      <c r="DM46" s="173">
        <f t="shared" si="69"/>
        <v>5.4833080039941828</v>
      </c>
      <c r="DN46" s="173">
        <f t="shared" si="70"/>
        <v>10</v>
      </c>
      <c r="DO46" s="173">
        <f t="shared" si="71"/>
        <v>1.0601333333333334</v>
      </c>
      <c r="DQ46" s="545">
        <f t="shared" si="72"/>
        <v>4100</v>
      </c>
      <c r="DR46" s="460">
        <f t="shared" si="73"/>
        <v>105.23333333333333</v>
      </c>
      <c r="DT46">
        <f t="shared" si="74"/>
        <v>4100</v>
      </c>
      <c r="DU46" s="460">
        <f t="shared" si="75"/>
        <v>105.23333333333333</v>
      </c>
      <c r="DV46" s="460"/>
      <c r="DW46" s="5">
        <f t="shared" si="118"/>
        <v>9.5026924295216979</v>
      </c>
      <c r="DX46" s="5">
        <f t="shared" si="76"/>
        <v>1.6666666666666667</v>
      </c>
      <c r="DY46" s="5">
        <f t="shared" si="119"/>
        <v>7.8360257628550309</v>
      </c>
      <c r="DZ46" s="5">
        <f t="shared" si="77"/>
        <v>7.7922077922077913</v>
      </c>
      <c r="EA46" s="173">
        <f t="shared" si="120"/>
        <v>0.1753888888888889</v>
      </c>
      <c r="EB46" s="173">
        <f t="shared" si="78"/>
        <v>63.14</v>
      </c>
      <c r="EC46" s="173">
        <f t="shared" si="79"/>
        <v>4.1230555555555553</v>
      </c>
      <c r="ED46" s="173">
        <f t="shared" si="121"/>
        <v>15.313885333153676</v>
      </c>
      <c r="EE46" s="460">
        <f t="shared" si="80"/>
        <v>45.55555555555555</v>
      </c>
      <c r="EF46" s="5">
        <f t="shared" si="81"/>
        <v>1.8592422238255568</v>
      </c>
      <c r="EG46" s="5"/>
      <c r="EH46" s="173">
        <f t="shared" si="122"/>
        <v>2.4179115567564287</v>
      </c>
      <c r="EI46" s="173">
        <f t="shared" si="82"/>
        <v>5.2428081251402894</v>
      </c>
      <c r="EJ46" s="173"/>
      <c r="EK46" s="528">
        <f t="shared" si="83"/>
        <v>0.11692592592592593</v>
      </c>
      <c r="EL46" s="528">
        <f t="shared" si="84"/>
        <v>1.8394786666666667</v>
      </c>
      <c r="EM46" s="528">
        <f t="shared" si="85"/>
        <v>1.3154166666666666E-2</v>
      </c>
      <c r="EN46" s="528">
        <f t="shared" si="86"/>
        <v>8.0385217733333347E-2</v>
      </c>
      <c r="EO46">
        <f t="shared" si="87"/>
        <v>3.2399999999999998E-2</v>
      </c>
      <c r="EP46" s="460">
        <f t="shared" si="123"/>
        <v>45.554166666666667</v>
      </c>
      <c r="EQ46" s="528">
        <f t="shared" si="88"/>
        <v>2.1743200673764167</v>
      </c>
      <c r="ER46" s="460">
        <f t="shared" si="124"/>
        <v>2174.3200673764168</v>
      </c>
      <c r="ES46" s="528">
        <f t="shared" si="125"/>
        <v>2.5471249999999994</v>
      </c>
      <c r="ET46" s="528"/>
      <c r="EV46" s="460">
        <f t="shared" si="126"/>
        <v>2547.1249999999995</v>
      </c>
      <c r="EW46" s="528">
        <f t="shared" si="89"/>
        <v>0.1753888888888889</v>
      </c>
      <c r="EX46" s="528">
        <f t="shared" si="90"/>
        <v>0.82461111111111107</v>
      </c>
      <c r="EY46" s="528">
        <f t="shared" si="91"/>
        <v>1.7961943347074276</v>
      </c>
      <c r="EZ46" s="528">
        <f t="shared" si="92"/>
        <v>3.3002112333776386</v>
      </c>
      <c r="FA46" s="528">
        <f t="shared" si="93"/>
        <v>1.0523333333333334E-2</v>
      </c>
      <c r="FB46" s="460">
        <f t="shared" si="127"/>
        <v>3310.7345667109721</v>
      </c>
      <c r="FC46" s="173">
        <f t="shared" si="128"/>
        <v>8.0321796340873881</v>
      </c>
      <c r="FD46" s="5">
        <f t="shared" si="129"/>
        <v>61.499999999999993</v>
      </c>
      <c r="FE46" s="173">
        <f t="shared" si="130"/>
        <v>0.88448255647447438</v>
      </c>
      <c r="FF46" s="5">
        <f t="shared" si="131"/>
        <v>88.448255647447439</v>
      </c>
      <c r="FI46" s="562">
        <f t="shared" si="94"/>
        <v>-50</v>
      </c>
      <c r="FJ46">
        <f t="shared" si="95"/>
        <v>-50</v>
      </c>
      <c r="FL46">
        <f t="shared" si="181"/>
        <v>0.82</v>
      </c>
    </row>
    <row r="47" spans="5:168">
      <c r="E47" s="170">
        <v>42</v>
      </c>
      <c r="F47" s="217">
        <f t="shared" si="182"/>
        <v>4.2</v>
      </c>
      <c r="G47" s="217"/>
      <c r="H47" s="217">
        <f t="shared" si="132"/>
        <v>63</v>
      </c>
      <c r="I47" s="541">
        <f t="shared" si="133"/>
        <v>71.74304592862552</v>
      </c>
      <c r="J47" s="172">
        <f t="shared" si="134"/>
        <v>15.554172442824687</v>
      </c>
      <c r="K47" s="172">
        <f t="shared" si="135"/>
        <v>87.554172442824694</v>
      </c>
      <c r="L47" s="443"/>
      <c r="M47" s="217">
        <f t="shared" si="136"/>
        <v>0.17816550090635466</v>
      </c>
      <c r="N47" s="172">
        <f t="shared" si="137"/>
        <v>320.70378507482729</v>
      </c>
      <c r="O47" s="172">
        <f t="shared" si="98"/>
        <v>63</v>
      </c>
      <c r="P47" s="217">
        <f t="shared" si="138"/>
        <v>21.380252338321821</v>
      </c>
      <c r="Q47" s="217">
        <f t="shared" si="139"/>
        <v>15</v>
      </c>
      <c r="R47" s="217">
        <f t="shared" si="140"/>
        <v>21.30355952403529</v>
      </c>
      <c r="S47" s="172">
        <f t="shared" si="141"/>
        <v>355.37955423381641</v>
      </c>
      <c r="T47" s="172">
        <f t="shared" si="142"/>
        <v>15</v>
      </c>
      <c r="U47" s="217">
        <f t="shared" si="143"/>
        <v>10.221035998444799</v>
      </c>
      <c r="V47" s="217">
        <f t="shared" si="11"/>
        <v>1.7096072573132721</v>
      </c>
      <c r="W47" s="217">
        <f t="shared" si="144"/>
        <v>7.8855003332509988</v>
      </c>
      <c r="X47" s="197">
        <f t="shared" si="145"/>
        <v>106.5234120823831</v>
      </c>
      <c r="Y47" s="443">
        <f t="shared" si="14"/>
        <v>102.0917831431796</v>
      </c>
      <c r="AA47" s="217">
        <f t="shared" si="146"/>
        <v>10</v>
      </c>
      <c r="AB47" s="173">
        <f t="shared" si="147"/>
        <v>7.7149716862858453</v>
      </c>
      <c r="AC47" s="173">
        <f t="shared" si="148"/>
        <v>4.1091255407107257</v>
      </c>
      <c r="AD47" s="173"/>
      <c r="AE47" s="173">
        <f t="shared" si="149"/>
        <v>7.7149716862858453</v>
      </c>
      <c r="AF47" s="545">
        <f t="shared" si="150"/>
        <v>108.87920709977281</v>
      </c>
      <c r="AG47" s="528">
        <f t="shared" si="151"/>
        <v>4.1091255407107266</v>
      </c>
      <c r="AI47" s="173">
        <f t="shared" si="152"/>
        <v>5.5774855343290106</v>
      </c>
      <c r="AJ47" s="173">
        <f t="shared" si="153"/>
        <v>10.221035998444799</v>
      </c>
      <c r="AK47" s="173">
        <f t="shared" si="154"/>
        <v>1.36373036921837</v>
      </c>
      <c r="AM47" s="545">
        <f t="shared" si="155"/>
        <v>4200</v>
      </c>
      <c r="AN47" s="460">
        <f t="shared" si="156"/>
        <v>102.0917831431796</v>
      </c>
      <c r="AP47">
        <f t="shared" si="157"/>
        <v>4200</v>
      </c>
      <c r="AQ47" s="460">
        <f t="shared" si="158"/>
        <v>102.0917831431796</v>
      </c>
      <c r="AR47" s="460"/>
      <c r="AS47" s="5">
        <f t="shared" si="101"/>
        <v>9.795107590564271</v>
      </c>
      <c r="AT47" s="5">
        <f t="shared" si="159"/>
        <v>1.7096072573132721</v>
      </c>
      <c r="AU47" s="5">
        <f t="shared" si="102"/>
        <v>8.085500333250998</v>
      </c>
      <c r="AV47" s="5">
        <f t="shared" si="160"/>
        <v>7.8855003332509988</v>
      </c>
      <c r="AW47" s="173">
        <f t="shared" si="103"/>
        <v>0.17453685337363262</v>
      </c>
      <c r="AX47" s="173">
        <f t="shared" si="161"/>
        <v>63.992912328277711</v>
      </c>
      <c r="AY47" s="173">
        <f t="shared" si="162"/>
        <v>4.2185442685288095</v>
      </c>
      <c r="AZ47" s="173">
        <f t="shared" si="104"/>
        <v>15.169430081764872</v>
      </c>
      <c r="BA47" s="460">
        <f t="shared" si="163"/>
        <v>47.869003204771623</v>
      </c>
      <c r="BB47" s="5">
        <f t="shared" si="164"/>
        <v>1.9722644055656879</v>
      </c>
      <c r="BC47" s="5"/>
      <c r="BD47" s="173">
        <f t="shared" si="105"/>
        <v>2.4653459001509019</v>
      </c>
      <c r="BE47" s="173">
        <f t="shared" si="165"/>
        <v>5.3614607978091158</v>
      </c>
      <c r="BF47" s="173"/>
      <c r="BG47" s="528">
        <f t="shared" si="166"/>
        <v>0.12155860814781722</v>
      </c>
      <c r="BH47" s="528">
        <f t="shared" si="167"/>
        <v>1.7130254952754727</v>
      </c>
      <c r="BI47" s="528">
        <f t="shared" si="168"/>
        <v>0.18310938717441028</v>
      </c>
      <c r="BJ47" s="528">
        <f t="shared" si="169"/>
        <v>7.8260836251889301E-2</v>
      </c>
      <c r="BK47">
        <f t="shared" si="170"/>
        <v>3.2284370667881486E-2</v>
      </c>
      <c r="BL47" s="460">
        <f t="shared" si="106"/>
        <v>215.39375784229176</v>
      </c>
      <c r="BM47" s="528">
        <f t="shared" si="171"/>
        <v>2.003532439534661</v>
      </c>
      <c r="BN47" s="460">
        <f t="shared" si="107"/>
        <v>2003.5324395346611</v>
      </c>
      <c r="BO47" s="528">
        <f t="shared" si="172"/>
        <v>2.6092499999999998</v>
      </c>
      <c r="BP47" s="528"/>
      <c r="BR47" s="460">
        <f t="shared" si="109"/>
        <v>2609.25</v>
      </c>
      <c r="BS47" s="528">
        <f t="shared" si="173"/>
        <v>0.18233791222172582</v>
      </c>
      <c r="BT47" s="528">
        <f t="shared" si="174"/>
        <v>0.86235785659331876</v>
      </c>
      <c r="BU47" s="528">
        <f t="shared" si="175"/>
        <v>0.94499999999999995</v>
      </c>
      <c r="BV47" s="528">
        <f t="shared" si="176"/>
        <v>2.4447438366930458</v>
      </c>
      <c r="BW47" s="528">
        <f t="shared" si="177"/>
        <v>1.0665485388046283E-2</v>
      </c>
      <c r="BX47" s="460">
        <f t="shared" si="110"/>
        <v>2455.4093220810919</v>
      </c>
      <c r="BY47" s="173">
        <f t="shared" si="45"/>
        <v>7.283585519458045</v>
      </c>
      <c r="BZ47" s="5">
        <f t="shared" si="111"/>
        <v>63</v>
      </c>
      <c r="CA47" s="173">
        <f t="shared" si="112"/>
        <v>0.89636861202191254</v>
      </c>
      <c r="CB47" s="5">
        <f t="shared" si="113"/>
        <v>89.636861202191255</v>
      </c>
      <c r="CE47" s="562">
        <f t="shared" si="178"/>
        <v>-50</v>
      </c>
      <c r="CF47">
        <f t="shared" si="179"/>
        <v>-50</v>
      </c>
      <c r="CG47" s="173">
        <f t="shared" si="180"/>
        <v>0.81726667679047382</v>
      </c>
      <c r="CI47" s="170">
        <v>42</v>
      </c>
      <c r="CJ47" s="217">
        <f t="shared" si="114"/>
        <v>4.2</v>
      </c>
      <c r="CK47" s="217"/>
      <c r="CL47" s="217">
        <f t="shared" si="49"/>
        <v>63</v>
      </c>
      <c r="CM47" s="541">
        <f t="shared" si="50"/>
        <v>72</v>
      </c>
      <c r="CN47" s="172">
        <f t="shared" si="51"/>
        <v>15.4</v>
      </c>
      <c r="CO47" s="443">
        <f t="shared" si="52"/>
        <v>87.4</v>
      </c>
      <c r="CP47" s="443"/>
      <c r="CQ47" s="217">
        <f t="shared" si="53"/>
        <v>0.17620137299771166</v>
      </c>
      <c r="CR47" s="172">
        <f t="shared" si="54"/>
        <v>318.30425629290613</v>
      </c>
      <c r="CS47" s="172">
        <f t="shared" si="115"/>
        <v>63</v>
      </c>
      <c r="CT47" s="217">
        <f t="shared" si="55"/>
        <v>21.220283752860407</v>
      </c>
      <c r="CU47" s="217">
        <f t="shared" si="56"/>
        <v>15</v>
      </c>
      <c r="CV47" s="217">
        <f t="shared" si="57"/>
        <v>21.144164759725399</v>
      </c>
      <c r="CW47" s="172">
        <f t="shared" si="58"/>
        <v>356.65208907134303</v>
      </c>
      <c r="CX47" s="172">
        <f t="shared" si="59"/>
        <v>15</v>
      </c>
      <c r="CY47" s="217">
        <f t="shared" si="60"/>
        <v>9.9318181818181817</v>
      </c>
      <c r="CZ47" s="217">
        <f t="shared" si="61"/>
        <v>1.6553030303030303</v>
      </c>
      <c r="DA47" s="217">
        <f t="shared" si="62"/>
        <v>7.7390791027154666</v>
      </c>
      <c r="DB47" s="197">
        <f t="shared" si="63"/>
        <v>105.72082379862701</v>
      </c>
      <c r="DC47" s="443">
        <f t="shared" si="116"/>
        <v>106.44659604438418</v>
      </c>
      <c r="DE47" s="217">
        <f t="shared" si="64"/>
        <v>9.9999999999999982</v>
      </c>
      <c r="DF47" s="173">
        <f t="shared" si="65"/>
        <v>7.7922077922077895</v>
      </c>
      <c r="DG47" s="173">
        <f t="shared" si="66"/>
        <v>4.118993135011439</v>
      </c>
      <c r="DH47" s="173"/>
      <c r="DI47" s="173">
        <f t="shared" si="67"/>
        <v>7.7922077922077913</v>
      </c>
      <c r="DJ47" s="545">
        <f t="shared" si="117"/>
        <v>107.80000000000001</v>
      </c>
      <c r="DK47" s="528">
        <f t="shared" si="68"/>
        <v>4.1189931350114417</v>
      </c>
      <c r="DM47" s="173">
        <f t="shared" si="69"/>
        <v>5.5497747702046434</v>
      </c>
      <c r="DN47" s="173">
        <f t="shared" si="70"/>
        <v>10</v>
      </c>
      <c r="DO47" s="173">
        <f t="shared" si="71"/>
        <v>1.2</v>
      </c>
      <c r="DQ47" s="545">
        <f t="shared" si="72"/>
        <v>4200</v>
      </c>
      <c r="DR47" s="460">
        <f t="shared" si="73"/>
        <v>106.44659604438418</v>
      </c>
      <c r="DT47">
        <f t="shared" si="74"/>
        <v>4200</v>
      </c>
      <c r="DU47" s="460">
        <f t="shared" si="75"/>
        <v>106.44659604438418</v>
      </c>
      <c r="DV47" s="460"/>
      <c r="DW47" s="5">
        <f t="shared" si="118"/>
        <v>9.394382133018496</v>
      </c>
      <c r="DX47" s="5">
        <f t="shared" si="76"/>
        <v>1.6666666666666667</v>
      </c>
      <c r="DY47" s="5">
        <f t="shared" si="119"/>
        <v>7.727715466351829</v>
      </c>
      <c r="DZ47" s="5">
        <f t="shared" si="77"/>
        <v>7.7922077922077913</v>
      </c>
      <c r="EA47" s="173">
        <f t="shared" si="120"/>
        <v>0.17741099340730695</v>
      </c>
      <c r="EB47" s="173">
        <f t="shared" si="78"/>
        <v>63.867957626630513</v>
      </c>
      <c r="EC47" s="173">
        <f t="shared" si="79"/>
        <v>4.1129450329634656</v>
      </c>
      <c r="ED47" s="173">
        <f t="shared" si="121"/>
        <v>15.528522048011002</v>
      </c>
      <c r="EE47" s="460">
        <f t="shared" si="80"/>
        <v>46.666666666666679</v>
      </c>
      <c r="EF47" s="5">
        <f t="shared" si="81"/>
        <v>1.8782641758494028</v>
      </c>
      <c r="EG47" s="5"/>
      <c r="EH47" s="173">
        <f t="shared" si="122"/>
        <v>2.4318099802911339</v>
      </c>
      <c r="EI47" s="173">
        <f t="shared" si="82"/>
        <v>5.2363759942435166</v>
      </c>
      <c r="EJ47" s="173"/>
      <c r="EK47" s="528">
        <f t="shared" si="83"/>
        <v>0.1182739956048713</v>
      </c>
      <c r="EL47" s="528">
        <f t="shared" si="84"/>
        <v>1.8606864988558356</v>
      </c>
      <c r="EM47" s="528">
        <f t="shared" si="85"/>
        <v>1.3305824505548021E-2</v>
      </c>
      <c r="EN47" s="528">
        <f t="shared" si="86"/>
        <v>8.1312000000000023E-2</v>
      </c>
      <c r="EO47">
        <f t="shared" si="87"/>
        <v>3.2399999999999998E-2</v>
      </c>
      <c r="EP47" s="460">
        <f t="shared" si="123"/>
        <v>45.705824505548016</v>
      </c>
      <c r="EQ47" s="528">
        <f t="shared" si="88"/>
        <v>2.1997288612476766</v>
      </c>
      <c r="ER47" s="460">
        <f t="shared" si="124"/>
        <v>2199.7288612476768</v>
      </c>
      <c r="ES47" s="528">
        <f t="shared" si="125"/>
        <v>2.6092499999999998</v>
      </c>
      <c r="ET47" s="528"/>
      <c r="EV47" s="460">
        <f t="shared" si="126"/>
        <v>2609.25</v>
      </c>
      <c r="EW47" s="528">
        <f t="shared" si="89"/>
        <v>0.17741099340730695</v>
      </c>
      <c r="EX47" s="528">
        <f t="shared" si="90"/>
        <v>0.82258900659269329</v>
      </c>
      <c r="EY47" s="528">
        <f t="shared" si="91"/>
        <v>1.8484148527489803</v>
      </c>
      <c r="EZ47" s="528">
        <f t="shared" si="92"/>
        <v>3.3569726660315009</v>
      </c>
      <c r="FA47" s="528">
        <f t="shared" si="93"/>
        <v>1.064465960443842E-2</v>
      </c>
      <c r="FB47" s="460">
        <f t="shared" si="127"/>
        <v>3367.6173256359393</v>
      </c>
      <c r="FC47" s="173">
        <f t="shared" si="128"/>
        <v>8.1765961868836143</v>
      </c>
      <c r="FD47" s="5">
        <f t="shared" si="129"/>
        <v>63</v>
      </c>
      <c r="FE47" s="173">
        <f t="shared" si="130"/>
        <v>0.88512240504709061</v>
      </c>
      <c r="FF47" s="5">
        <f t="shared" si="131"/>
        <v>88.512240504709055</v>
      </c>
      <c r="FI47" s="562">
        <f t="shared" si="94"/>
        <v>-50</v>
      </c>
      <c r="FJ47">
        <f t="shared" si="95"/>
        <v>-50</v>
      </c>
      <c r="FL47">
        <f t="shared" si="181"/>
        <v>0.82258900659269307</v>
      </c>
    </row>
    <row r="48" spans="5:168">
      <c r="E48" s="170">
        <v>43</v>
      </c>
      <c r="F48" s="217">
        <f t="shared" si="182"/>
        <v>4.3</v>
      </c>
      <c r="G48" s="217"/>
      <c r="H48" s="217">
        <f t="shared" si="132"/>
        <v>64.5</v>
      </c>
      <c r="I48" s="541">
        <f t="shared" si="133"/>
        <v>71.737356485453475</v>
      </c>
      <c r="J48" s="172">
        <f t="shared" si="134"/>
        <v>15.557586108727918</v>
      </c>
      <c r="K48" s="172">
        <f t="shared" si="135"/>
        <v>87.557586108727918</v>
      </c>
      <c r="L48" s="443"/>
      <c r="M48" s="217">
        <f t="shared" si="136"/>
        <v>0.17820928020757462</v>
      </c>
      <c r="N48" s="172">
        <f t="shared" si="137"/>
        <v>320.75715022136524</v>
      </c>
      <c r="O48" s="172">
        <f t="shared" si="98"/>
        <v>64.5</v>
      </c>
      <c r="P48" s="217">
        <f t="shared" si="138"/>
        <v>21.383810014757682</v>
      </c>
      <c r="Q48" s="217">
        <f t="shared" si="139"/>
        <v>15</v>
      </c>
      <c r="R48" s="217">
        <f t="shared" si="140"/>
        <v>21.307104438778083</v>
      </c>
      <c r="S48" s="172">
        <f t="shared" si="141"/>
        <v>345.42327324144071</v>
      </c>
      <c r="T48" s="172">
        <f t="shared" si="142"/>
        <v>15</v>
      </c>
      <c r="U48" s="217">
        <f t="shared" si="143"/>
        <v>10.464951468632131</v>
      </c>
      <c r="V48" s="217">
        <f t="shared" si="11"/>
        <v>1.7505442600055927</v>
      </c>
      <c r="W48" s="217">
        <f t="shared" si="144"/>
        <v>8.0719088903602216</v>
      </c>
      <c r="X48" s="197">
        <f t="shared" si="145"/>
        <v>106.54111868420965</v>
      </c>
      <c r="Y48" s="443">
        <f t="shared" si="14"/>
        <v>99.775971510877127</v>
      </c>
      <c r="AA48" s="217">
        <f t="shared" si="146"/>
        <v>9.9999999999999982</v>
      </c>
      <c r="AB48" s="173">
        <f t="shared" si="147"/>
        <v>7.7132788571023303</v>
      </c>
      <c r="AC48" s="173">
        <f t="shared" si="148"/>
        <v>4.1089067907947214</v>
      </c>
      <c r="AD48" s="173"/>
      <c r="AE48" s="173">
        <f t="shared" si="149"/>
        <v>7.7132788571023321</v>
      </c>
      <c r="AF48" s="545">
        <f t="shared" si="150"/>
        <v>111.49603377921676</v>
      </c>
      <c r="AG48" s="528">
        <f t="shared" si="151"/>
        <v>4.1089067907947232</v>
      </c>
      <c r="AI48" s="173">
        <f t="shared" si="152"/>
        <v>5.644112831190105</v>
      </c>
      <c r="AJ48" s="173">
        <f t="shared" si="153"/>
        <v>10.464951468632131</v>
      </c>
      <c r="AK48" s="173">
        <f t="shared" si="154"/>
        <v>1.5444084952830603</v>
      </c>
      <c r="AM48" s="545">
        <f t="shared" si="155"/>
        <v>4300</v>
      </c>
      <c r="AN48" s="460">
        <f t="shared" si="156"/>
        <v>99.775971510877127</v>
      </c>
      <c r="AP48">
        <f t="shared" si="157"/>
        <v>4300</v>
      </c>
      <c r="AQ48" s="460">
        <f t="shared" si="158"/>
        <v>99.775971510877127</v>
      </c>
      <c r="AR48" s="460"/>
      <c r="AS48" s="5">
        <f t="shared" si="101"/>
        <v>10.022453150365813</v>
      </c>
      <c r="AT48" s="5">
        <f t="shared" si="159"/>
        <v>1.7505442600055927</v>
      </c>
      <c r="AU48" s="5">
        <f t="shared" si="102"/>
        <v>8.2719088903602191</v>
      </c>
      <c r="AV48" s="5">
        <f t="shared" si="160"/>
        <v>8.0719088903602216</v>
      </c>
      <c r="AW48" s="173">
        <f t="shared" si="103"/>
        <v>0.17466225421484749</v>
      </c>
      <c r="AX48" s="173">
        <f t="shared" si="161"/>
        <v>65.561918383322308</v>
      </c>
      <c r="AY48" s="173">
        <f t="shared" si="162"/>
        <v>4.3185597274359324</v>
      </c>
      <c r="AZ48" s="173">
        <f t="shared" si="104"/>
        <v>15.181431431133296</v>
      </c>
      <c r="BA48" s="460">
        <f t="shared" si="163"/>
        <v>50.182268786826988</v>
      </c>
      <c r="BB48" s="5">
        <f t="shared" si="164"/>
        <v>2.0659394428016431</v>
      </c>
      <c r="BC48" s="5"/>
      <c r="BD48" s="173">
        <f t="shared" si="105"/>
        <v>2.5250856960252084</v>
      </c>
      <c r="BE48" s="173">
        <f t="shared" si="165"/>
        <v>5.4889900687349416</v>
      </c>
      <c r="BF48" s="173"/>
      <c r="BG48" s="528">
        <f t="shared" si="166"/>
        <v>0.12752115544542222</v>
      </c>
      <c r="BH48" s="528">
        <f t="shared" si="167"/>
        <v>1.7141871523209102</v>
      </c>
      <c r="BI48" s="528">
        <f t="shared" si="168"/>
        <v>0.17894161092395605</v>
      </c>
      <c r="BJ48" s="528">
        <f t="shared" si="169"/>
        <v>7.6491561199340585E-2</v>
      </c>
      <c r="BK48">
        <f t="shared" si="170"/>
        <v>3.2281810418454064E-2</v>
      </c>
      <c r="BL48" s="460">
        <f t="shared" si="106"/>
        <v>211.22342134241012</v>
      </c>
      <c r="BM48" s="528">
        <f t="shared" si="171"/>
        <v>2.0136419724900518</v>
      </c>
      <c r="BN48" s="460">
        <f t="shared" si="107"/>
        <v>2013.6419724900518</v>
      </c>
      <c r="BO48" s="528">
        <f t="shared" si="172"/>
        <v>2.6713749999999998</v>
      </c>
      <c r="BP48" s="528"/>
      <c r="BR48" s="460">
        <f t="shared" si="109"/>
        <v>2671.375</v>
      </c>
      <c r="BS48" s="528">
        <f t="shared" si="173"/>
        <v>0.19128173316813332</v>
      </c>
      <c r="BT48" s="528">
        <f t="shared" si="174"/>
        <v>0.90387035924012449</v>
      </c>
      <c r="BU48" s="528">
        <f t="shared" si="175"/>
        <v>0.96749999999999992</v>
      </c>
      <c r="BV48" s="528">
        <f t="shared" si="176"/>
        <v>2.5487939574343828</v>
      </c>
      <c r="BW48" s="528">
        <f t="shared" si="177"/>
        <v>1.0926986397220385E-2</v>
      </c>
      <c r="BX48" s="460">
        <f t="shared" si="110"/>
        <v>2559.7209438316031</v>
      </c>
      <c r="BY48" s="173">
        <f t="shared" si="45"/>
        <v>7.455961337664065</v>
      </c>
      <c r="BZ48" s="5">
        <f t="shared" si="111"/>
        <v>64.5</v>
      </c>
      <c r="CA48" s="173">
        <f t="shared" si="112"/>
        <v>0.8963816034271872</v>
      </c>
      <c r="CB48" s="5">
        <f t="shared" si="113"/>
        <v>89.63816034271872</v>
      </c>
      <c r="CE48" s="562">
        <f t="shared" si="178"/>
        <v>-50</v>
      </c>
      <c r="CF48">
        <f t="shared" si="179"/>
        <v>-50</v>
      </c>
      <c r="CG48" s="173">
        <f t="shared" si="180"/>
        <v>0.81860007231174869</v>
      </c>
      <c r="CI48" s="170">
        <v>43</v>
      </c>
      <c r="CJ48" s="217">
        <f t="shared" si="114"/>
        <v>4.3</v>
      </c>
      <c r="CK48" s="217"/>
      <c r="CL48" s="217">
        <f t="shared" si="49"/>
        <v>64.5</v>
      </c>
      <c r="CM48" s="541">
        <f t="shared" si="50"/>
        <v>72</v>
      </c>
      <c r="CN48" s="172">
        <f t="shared" si="51"/>
        <v>15.4</v>
      </c>
      <c r="CO48" s="443">
        <f t="shared" si="52"/>
        <v>87.4</v>
      </c>
      <c r="CP48" s="443"/>
      <c r="CQ48" s="217">
        <f t="shared" si="53"/>
        <v>0.17620137299771166</v>
      </c>
      <c r="CR48" s="172">
        <f t="shared" si="54"/>
        <v>318.30425629290613</v>
      </c>
      <c r="CS48" s="172">
        <f t="shared" si="115"/>
        <v>64.5</v>
      </c>
      <c r="CT48" s="217">
        <f t="shared" si="55"/>
        <v>21.220283752860407</v>
      </c>
      <c r="CU48" s="217">
        <f t="shared" si="56"/>
        <v>15</v>
      </c>
      <c r="CV48" s="217">
        <f t="shared" si="57"/>
        <v>21.144164759725399</v>
      </c>
      <c r="CW48" s="172">
        <f t="shared" si="58"/>
        <v>346.68762732711497</v>
      </c>
      <c r="CX48" s="172">
        <f t="shared" si="59"/>
        <v>15</v>
      </c>
      <c r="CY48" s="217">
        <f t="shared" si="60"/>
        <v>10.168290043290044</v>
      </c>
      <c r="CZ48" s="217">
        <f t="shared" si="61"/>
        <v>1.6947150072150075</v>
      </c>
      <c r="DA48" s="217">
        <f t="shared" si="62"/>
        <v>7.92334289087536</v>
      </c>
      <c r="DB48" s="197">
        <f t="shared" si="63"/>
        <v>105.72082379862701</v>
      </c>
      <c r="DC48" s="443">
        <f t="shared" si="116"/>
        <v>103.97109381079382</v>
      </c>
      <c r="DE48" s="217">
        <f t="shared" si="64"/>
        <v>9.9999999999999982</v>
      </c>
      <c r="DF48" s="173">
        <f t="shared" si="65"/>
        <v>7.7922077922077895</v>
      </c>
      <c r="DG48" s="173">
        <f t="shared" si="66"/>
        <v>4.118993135011439</v>
      </c>
      <c r="DH48" s="173"/>
      <c r="DI48" s="173">
        <f t="shared" si="67"/>
        <v>7.7922077922077913</v>
      </c>
      <c r="DJ48" s="545">
        <f t="shared" si="117"/>
        <v>110.36666666666667</v>
      </c>
      <c r="DK48" s="528">
        <f t="shared" si="68"/>
        <v>4.1189931350114417</v>
      </c>
      <c r="DM48" s="173">
        <f t="shared" si="69"/>
        <v>5.6154548643305233</v>
      </c>
      <c r="DN48" s="173">
        <f t="shared" si="70"/>
        <v>10.168290043290044</v>
      </c>
      <c r="DO48" s="173">
        <f t="shared" si="71"/>
        <v>1.3246592913259587</v>
      </c>
      <c r="DQ48" s="545">
        <f t="shared" si="72"/>
        <v>4300</v>
      </c>
      <c r="DR48" s="460">
        <f t="shared" si="73"/>
        <v>103.97109381079382</v>
      </c>
      <c r="DT48">
        <f t="shared" si="74"/>
        <v>4300</v>
      </c>
      <c r="DU48" s="460">
        <f t="shared" si="75"/>
        <v>103.97109381079382</v>
      </c>
      <c r="DV48" s="460"/>
      <c r="DW48" s="5">
        <f t="shared" si="118"/>
        <v>9.6180578980903668</v>
      </c>
      <c r="DX48" s="5">
        <f t="shared" si="76"/>
        <v>1.6947150072150075</v>
      </c>
      <c r="DY48" s="5">
        <f t="shared" si="119"/>
        <v>7.9233428908753591</v>
      </c>
      <c r="DZ48" s="5">
        <f t="shared" si="77"/>
        <v>7.92334289087536</v>
      </c>
      <c r="EA48" s="173">
        <f t="shared" si="120"/>
        <v>0.17620137299771169</v>
      </c>
      <c r="EB48" s="173">
        <f t="shared" si="78"/>
        <v>64.5</v>
      </c>
      <c r="EC48" s="173">
        <f t="shared" si="79"/>
        <v>4.1883116883116891</v>
      </c>
      <c r="ED48" s="173">
        <f t="shared" si="121"/>
        <v>15.399999999999997</v>
      </c>
      <c r="EE48" s="460">
        <f t="shared" si="80"/>
        <v>48.581830206830212</v>
      </c>
      <c r="EF48" s="5">
        <f t="shared" si="81"/>
        <v>1.971665186965512</v>
      </c>
      <c r="EG48" s="5"/>
      <c r="EH48" s="173">
        <f t="shared" si="122"/>
        <v>2.4642907247022983</v>
      </c>
      <c r="EI48" s="173">
        <f t="shared" si="82"/>
        <v>5.3284123988579726</v>
      </c>
      <c r="EJ48" s="173"/>
      <c r="EK48" s="528">
        <f t="shared" si="83"/>
        <v>0.12145457551707557</v>
      </c>
      <c r="EL48" s="528">
        <f t="shared" si="84"/>
        <v>1.8479999999999996</v>
      </c>
      <c r="EM48" s="528">
        <f t="shared" si="85"/>
        <v>1.2996386726349226E-2</v>
      </c>
      <c r="EN48" s="528">
        <f t="shared" si="86"/>
        <v>7.9421023255813947E-2</v>
      </c>
      <c r="EO48">
        <f t="shared" si="87"/>
        <v>3.2399999999999998E-2</v>
      </c>
      <c r="EP48" s="460">
        <f t="shared" si="123"/>
        <v>45.396386726349228</v>
      </c>
      <c r="EQ48" s="528">
        <f t="shared" si="88"/>
        <v>2.1902706920567359</v>
      </c>
      <c r="ER48" s="460">
        <f t="shared" si="124"/>
        <v>2190.2706920567357</v>
      </c>
      <c r="ES48" s="528">
        <f t="shared" si="125"/>
        <v>2.6713749999999998</v>
      </c>
      <c r="ET48" s="528"/>
      <c r="EV48" s="460">
        <f t="shared" si="126"/>
        <v>2671.375</v>
      </c>
      <c r="EW48" s="528">
        <f t="shared" si="89"/>
        <v>0.18218186327561334</v>
      </c>
      <c r="EX48" s="528">
        <f t="shared" si="90"/>
        <v>0.85175936076910119</v>
      </c>
      <c r="EY48" s="528">
        <f t="shared" si="91"/>
        <v>1.8170687138587007</v>
      </c>
      <c r="EZ48" s="528">
        <f t="shared" si="92"/>
        <v>3.378619336677811</v>
      </c>
      <c r="FA48" s="528">
        <f t="shared" si="93"/>
        <v>1.0750000000000001E-2</v>
      </c>
      <c r="FB48" s="460">
        <f t="shared" si="127"/>
        <v>3389.3693366778107</v>
      </c>
      <c r="FC48" s="173">
        <f t="shared" si="128"/>
        <v>8.2510150287345461</v>
      </c>
      <c r="FD48" s="5">
        <f t="shared" si="129"/>
        <v>64.5</v>
      </c>
      <c r="FE48" s="173">
        <f t="shared" si="130"/>
        <v>0.88658556824979518</v>
      </c>
      <c r="FF48" s="5">
        <f t="shared" si="131"/>
        <v>88.658556824979513</v>
      </c>
      <c r="FI48" s="562">
        <f t="shared" si="94"/>
        <v>-50</v>
      </c>
      <c r="FJ48">
        <f t="shared" si="95"/>
        <v>-50</v>
      </c>
      <c r="FL48">
        <f t="shared" si="181"/>
        <v>0.82379862700228834</v>
      </c>
    </row>
    <row r="49" spans="5:168">
      <c r="E49" s="170">
        <v>44</v>
      </c>
      <c r="F49" s="217">
        <f t="shared" si="182"/>
        <v>4.4000000000000004</v>
      </c>
      <c r="G49" s="217"/>
      <c r="H49" s="217">
        <f t="shared" si="132"/>
        <v>66</v>
      </c>
      <c r="I49" s="541">
        <f t="shared" si="133"/>
        <v>71.731287280188397</v>
      </c>
      <c r="J49" s="172">
        <f t="shared" si="134"/>
        <v>15.561227631886961</v>
      </c>
      <c r="K49" s="172">
        <f t="shared" si="135"/>
        <v>87.561227631886965</v>
      </c>
      <c r="L49" s="443"/>
      <c r="M49" s="217">
        <f t="shared" si="136"/>
        <v>0.17825595457576446</v>
      </c>
      <c r="N49" s="172">
        <f t="shared" si="137"/>
        <v>320.81401479479644</v>
      </c>
      <c r="O49" s="172">
        <f t="shared" si="98"/>
        <v>66</v>
      </c>
      <c r="P49" s="217">
        <f t="shared" si="138"/>
        <v>21.387600986319761</v>
      </c>
      <c r="Q49" s="217">
        <f t="shared" si="139"/>
        <v>15</v>
      </c>
      <c r="R49" s="217">
        <f t="shared" si="140"/>
        <v>21.310881811797287</v>
      </c>
      <c r="S49" s="172">
        <f t="shared" si="141"/>
        <v>335.91815859972422</v>
      </c>
      <c r="T49" s="172">
        <f t="shared" si="142"/>
        <v>15</v>
      </c>
      <c r="U49" s="217">
        <f t="shared" si="143"/>
        <v>10.708930656694797</v>
      </c>
      <c r="V49" s="217">
        <f t="shared" si="11"/>
        <v>1.7915079005675423</v>
      </c>
      <c r="W49" s="217">
        <f t="shared" si="144"/>
        <v>8.2581638750023689</v>
      </c>
      <c r="X49" s="197">
        <f t="shared" si="145"/>
        <v>106.56000410607936</v>
      </c>
      <c r="Y49" s="443">
        <f t="shared" si="14"/>
        <v>97.564099797175928</v>
      </c>
      <c r="AA49" s="217">
        <f t="shared" si="146"/>
        <v>10</v>
      </c>
      <c r="AB49" s="173">
        <f t="shared" si="147"/>
        <v>7.7114738527508297</v>
      </c>
      <c r="AC49" s="173">
        <f t="shared" si="148"/>
        <v>4.108673427065261</v>
      </c>
      <c r="AD49" s="173"/>
      <c r="AE49" s="173">
        <f t="shared" si="149"/>
        <v>7.7114738527508297</v>
      </c>
      <c r="AF49" s="545">
        <f t="shared" si="150"/>
        <v>114.11566930050438</v>
      </c>
      <c r="AG49" s="528">
        <f t="shared" si="151"/>
        <v>4.1086734270652601</v>
      </c>
      <c r="AI49" s="173">
        <f t="shared" si="152"/>
        <v>5.7100330071726599</v>
      </c>
      <c r="AJ49" s="173">
        <f t="shared" si="153"/>
        <v>10.708930656694797</v>
      </c>
      <c r="AK49" s="173">
        <f t="shared" si="154"/>
        <v>1.7251338197739234</v>
      </c>
      <c r="AM49" s="545">
        <f t="shared" si="155"/>
        <v>4400</v>
      </c>
      <c r="AN49" s="460">
        <f t="shared" si="156"/>
        <v>97.564099797175928</v>
      </c>
      <c r="AP49">
        <f t="shared" si="157"/>
        <v>4400</v>
      </c>
      <c r="AQ49" s="460">
        <f t="shared" si="158"/>
        <v>97.564099797175928</v>
      </c>
      <c r="AR49" s="460"/>
      <c r="AS49" s="5">
        <f t="shared" si="101"/>
        <v>10.249671775569908</v>
      </c>
      <c r="AT49" s="5">
        <f t="shared" si="159"/>
        <v>1.7915079005675423</v>
      </c>
      <c r="AU49" s="5">
        <f t="shared" si="102"/>
        <v>8.4581638750023664</v>
      </c>
      <c r="AV49" s="5">
        <f t="shared" si="160"/>
        <v>8.2581638750023689</v>
      </c>
      <c r="AW49" s="173">
        <f t="shared" si="103"/>
        <v>0.17478685559840085</v>
      </c>
      <c r="AX49" s="173">
        <f t="shared" si="161"/>
        <v>67.132605797137984</v>
      </c>
      <c r="AY49" s="173">
        <f t="shared" si="162"/>
        <v>4.418575170194897</v>
      </c>
      <c r="AZ49" s="173">
        <f t="shared" si="104"/>
        <v>15.193270050032183</v>
      </c>
      <c r="BA49" s="460">
        <f t="shared" si="163"/>
        <v>52.550898416647911</v>
      </c>
      <c r="BB49" s="5">
        <f t="shared" si="164"/>
        <v>2.16176711150707</v>
      </c>
      <c r="BC49" s="5"/>
      <c r="BD49" s="173">
        <f t="shared" si="105"/>
        <v>2.5848768901617287</v>
      </c>
      <c r="BE49" s="173">
        <f t="shared" si="165"/>
        <v>5.6165360083127487</v>
      </c>
      <c r="BF49" s="173"/>
      <c r="BG49" s="528">
        <f t="shared" si="166"/>
        <v>0.1336317707458434</v>
      </c>
      <c r="BH49" s="528">
        <f t="shared" si="167"/>
        <v>1.7153362361074382</v>
      </c>
      <c r="BI49" s="528">
        <f t="shared" si="168"/>
        <v>0.17495996176960493</v>
      </c>
      <c r="BJ49" s="528">
        <f t="shared" si="169"/>
        <v>7.4802088811051923E-2</v>
      </c>
      <c r="BK49">
        <f t="shared" si="170"/>
        <v>3.2279079276084775E-2</v>
      </c>
      <c r="BL49" s="460">
        <f t="shared" si="106"/>
        <v>207.2390410456897</v>
      </c>
      <c r="BM49" s="528">
        <f t="shared" si="171"/>
        <v>2.0241182681550334</v>
      </c>
      <c r="BN49" s="460">
        <f t="shared" si="107"/>
        <v>2024.1182681550333</v>
      </c>
      <c r="BO49" s="528">
        <f t="shared" si="172"/>
        <v>2.7334999999999998</v>
      </c>
      <c r="BP49" s="528"/>
      <c r="BR49" s="460">
        <f t="shared" si="109"/>
        <v>2733.5</v>
      </c>
      <c r="BS49" s="528">
        <f t="shared" si="173"/>
        <v>0.20044765611876508</v>
      </c>
      <c r="BT49" s="528">
        <f t="shared" si="174"/>
        <v>0.94636430198021115</v>
      </c>
      <c r="BU49" s="528">
        <f t="shared" si="175"/>
        <v>0.99</v>
      </c>
      <c r="BV49" s="528">
        <f t="shared" si="176"/>
        <v>2.6556932941881928</v>
      </c>
      <c r="BW49" s="528">
        <f t="shared" si="177"/>
        <v>1.118876763285633E-2</v>
      </c>
      <c r="BX49" s="460">
        <f t="shared" si="110"/>
        <v>2666.8820618210489</v>
      </c>
      <c r="BY49" s="173">
        <f t="shared" si="45"/>
        <v>7.6317393710217729</v>
      </c>
      <c r="BZ49" s="5">
        <f t="shared" si="111"/>
        <v>66</v>
      </c>
      <c r="CA49" s="173">
        <f t="shared" si="112"/>
        <v>0.89635258604219126</v>
      </c>
      <c r="CB49" s="5">
        <f t="shared" si="113"/>
        <v>89.635258604219132</v>
      </c>
      <c r="CE49" s="562">
        <f t="shared" si="178"/>
        <v>-50</v>
      </c>
      <c r="CF49">
        <f t="shared" si="179"/>
        <v>-50</v>
      </c>
      <c r="CG49" s="173">
        <f t="shared" si="180"/>
        <v>0.81871822128198823</v>
      </c>
      <c r="CI49" s="170">
        <v>44</v>
      </c>
      <c r="CJ49" s="217">
        <f t="shared" si="114"/>
        <v>4.4000000000000004</v>
      </c>
      <c r="CK49" s="217"/>
      <c r="CL49" s="217">
        <f t="shared" si="49"/>
        <v>66</v>
      </c>
      <c r="CM49" s="541">
        <f t="shared" si="50"/>
        <v>72</v>
      </c>
      <c r="CN49" s="172">
        <f t="shared" si="51"/>
        <v>15.4</v>
      </c>
      <c r="CO49" s="443">
        <f t="shared" si="52"/>
        <v>87.4</v>
      </c>
      <c r="CP49" s="443"/>
      <c r="CQ49" s="217">
        <f t="shared" si="53"/>
        <v>0.17620137299771166</v>
      </c>
      <c r="CR49" s="172">
        <f t="shared" si="54"/>
        <v>318.30425629290613</v>
      </c>
      <c r="CS49" s="172">
        <f t="shared" si="115"/>
        <v>66</v>
      </c>
      <c r="CT49" s="217">
        <f t="shared" si="55"/>
        <v>21.220283752860407</v>
      </c>
      <c r="CU49" s="217">
        <f t="shared" si="56"/>
        <v>15</v>
      </c>
      <c r="CV49" s="217">
        <f t="shared" si="57"/>
        <v>21.144164759725399</v>
      </c>
      <c r="CW49" s="172">
        <f t="shared" si="58"/>
        <v>337.17622315636879</v>
      </c>
      <c r="CX49" s="172">
        <f t="shared" si="59"/>
        <v>15</v>
      </c>
      <c r="CY49" s="217">
        <f t="shared" si="60"/>
        <v>10.404761904761905</v>
      </c>
      <c r="CZ49" s="217">
        <f t="shared" si="61"/>
        <v>1.7341269841269844</v>
      </c>
      <c r="DA49" s="217">
        <f t="shared" si="62"/>
        <v>8.1076066790352517</v>
      </c>
      <c r="DB49" s="197">
        <f t="shared" si="63"/>
        <v>105.72082379862701</v>
      </c>
      <c r="DC49" s="443">
        <f t="shared" si="116"/>
        <v>101.60811440600305</v>
      </c>
      <c r="DE49" s="217">
        <f t="shared" si="64"/>
        <v>9.9999999999999982</v>
      </c>
      <c r="DF49" s="173">
        <f t="shared" si="65"/>
        <v>7.7922077922077895</v>
      </c>
      <c r="DG49" s="173">
        <f t="shared" si="66"/>
        <v>4.118993135011439</v>
      </c>
      <c r="DH49" s="173"/>
      <c r="DI49" s="173">
        <f t="shared" si="67"/>
        <v>7.7922077922077913</v>
      </c>
      <c r="DJ49" s="545">
        <f t="shared" si="117"/>
        <v>112.93333333333334</v>
      </c>
      <c r="DK49" s="528">
        <f t="shared" si="68"/>
        <v>4.1189931350114417</v>
      </c>
      <c r="DM49" s="173">
        <f t="shared" si="69"/>
        <v>5.6803755744375453</v>
      </c>
      <c r="DN49" s="173">
        <f t="shared" si="70"/>
        <v>10.404761904761905</v>
      </c>
      <c r="DO49" s="173">
        <f t="shared" si="71"/>
        <v>1.4998236331569668</v>
      </c>
      <c r="DQ49" s="545">
        <f t="shared" si="72"/>
        <v>4400</v>
      </c>
      <c r="DR49" s="460">
        <f t="shared" si="73"/>
        <v>101.60811440600305</v>
      </c>
      <c r="DT49">
        <f t="shared" si="74"/>
        <v>4400</v>
      </c>
      <c r="DU49" s="460">
        <f t="shared" si="75"/>
        <v>101.60811440600305</v>
      </c>
      <c r="DV49" s="460"/>
      <c r="DW49" s="5">
        <f t="shared" si="118"/>
        <v>9.8417336631622359</v>
      </c>
      <c r="DX49" s="5">
        <f t="shared" si="76"/>
        <v>1.7341269841269844</v>
      </c>
      <c r="DY49" s="5">
        <f t="shared" si="119"/>
        <v>8.1076066790352517</v>
      </c>
      <c r="DZ49" s="5">
        <f t="shared" si="77"/>
        <v>8.1076066790352517</v>
      </c>
      <c r="EA49" s="173">
        <f t="shared" si="120"/>
        <v>0.17620137299771169</v>
      </c>
      <c r="EB49" s="173">
        <f t="shared" si="78"/>
        <v>65.999999999999986</v>
      </c>
      <c r="EC49" s="173">
        <f t="shared" si="79"/>
        <v>4.2857142857142856</v>
      </c>
      <c r="ED49" s="173">
        <f t="shared" si="121"/>
        <v>15.399999999999997</v>
      </c>
      <c r="EE49" s="460">
        <f t="shared" si="80"/>
        <v>50.867724867724881</v>
      </c>
      <c r="EF49" s="5">
        <f t="shared" si="81"/>
        <v>2.0644368858654571</v>
      </c>
      <c r="EG49" s="5"/>
      <c r="EH49" s="173">
        <f t="shared" si="122"/>
        <v>2.5215998113232816</v>
      </c>
      <c r="EI49" s="173">
        <f t="shared" si="82"/>
        <v>5.4523289662732743</v>
      </c>
      <c r="EJ49" s="173"/>
      <c r="EK49" s="528">
        <f t="shared" si="83"/>
        <v>0.12716931216931218</v>
      </c>
      <c r="EL49" s="528">
        <f t="shared" si="84"/>
        <v>1.8480000000000001</v>
      </c>
      <c r="EM49" s="528">
        <f t="shared" si="85"/>
        <v>1.270101430075038E-2</v>
      </c>
      <c r="EN49" s="528">
        <f t="shared" si="86"/>
        <v>7.7616000000000004E-2</v>
      </c>
      <c r="EO49">
        <f t="shared" si="87"/>
        <v>3.2399999999999998E-2</v>
      </c>
      <c r="EP49" s="460">
        <f t="shared" si="123"/>
        <v>45.101014300750379</v>
      </c>
      <c r="EQ49" s="528">
        <f t="shared" si="88"/>
        <v>2.1986553545751306</v>
      </c>
      <c r="ER49" s="460">
        <f t="shared" si="124"/>
        <v>2198.6553545751308</v>
      </c>
      <c r="ES49" s="528">
        <f t="shared" si="125"/>
        <v>2.7334999999999998</v>
      </c>
      <c r="ET49" s="528"/>
      <c r="EV49" s="460">
        <f t="shared" si="126"/>
        <v>2733.5</v>
      </c>
      <c r="EW49" s="528">
        <f t="shared" si="89"/>
        <v>0.19075396825396826</v>
      </c>
      <c r="EX49" s="528">
        <f t="shared" si="90"/>
        <v>0.89183673469387781</v>
      </c>
      <c r="EY49" s="528">
        <f t="shared" si="91"/>
        <v>1.8170687138587012</v>
      </c>
      <c r="EZ49" s="528">
        <f t="shared" si="92"/>
        <v>3.4590609648304502</v>
      </c>
      <c r="FA49" s="528">
        <f t="shared" si="93"/>
        <v>1.0999999999999999E-2</v>
      </c>
      <c r="FB49" s="460">
        <f t="shared" si="127"/>
        <v>3470.0609648304503</v>
      </c>
      <c r="FC49" s="173">
        <f t="shared" si="128"/>
        <v>8.4022163194055786</v>
      </c>
      <c r="FD49" s="5">
        <f t="shared" si="129"/>
        <v>66</v>
      </c>
      <c r="FE49" s="173">
        <f t="shared" si="130"/>
        <v>0.88707034904262505</v>
      </c>
      <c r="FF49" s="5">
        <f t="shared" si="131"/>
        <v>88.7070349042625</v>
      </c>
      <c r="FI49" s="562">
        <f t="shared" si="94"/>
        <v>-50</v>
      </c>
      <c r="FJ49">
        <f t="shared" si="95"/>
        <v>-50</v>
      </c>
      <c r="FL49">
        <f t="shared" si="181"/>
        <v>0.82379862700228834</v>
      </c>
    </row>
    <row r="50" spans="5:168">
      <c r="E50" s="170">
        <v>45</v>
      </c>
      <c r="F50" s="217">
        <f t="shared" si="182"/>
        <v>4.5</v>
      </c>
      <c r="G50" s="217"/>
      <c r="H50" s="217">
        <f t="shared" si="132"/>
        <v>67.5</v>
      </c>
      <c r="I50" s="541">
        <f t="shared" si="133"/>
        <v>71.725218064228642</v>
      </c>
      <c r="J50" s="172">
        <f t="shared" si="134"/>
        <v>15.564869161462816</v>
      </c>
      <c r="K50" s="172">
        <f t="shared" si="135"/>
        <v>87.564869161462809</v>
      </c>
      <c r="L50" s="443"/>
      <c r="M50" s="217">
        <f t="shared" si="136"/>
        <v>0.17830263156185922</v>
      </c>
      <c r="N50" s="172">
        <f t="shared" si="137"/>
        <v>320.87086981672223</v>
      </c>
      <c r="O50" s="172">
        <f t="shared" si="98"/>
        <v>67.5</v>
      </c>
      <c r="P50" s="217">
        <f t="shared" si="138"/>
        <v>21.391391321114817</v>
      </c>
      <c r="Q50" s="217">
        <f t="shared" si="139"/>
        <v>15</v>
      </c>
      <c r="R50" s="217">
        <f t="shared" si="140"/>
        <v>21.314658550333615</v>
      </c>
      <c r="S50" s="172">
        <f t="shared" si="141"/>
        <v>326.83588964987808</v>
      </c>
      <c r="T50" s="172">
        <f t="shared" si="142"/>
        <v>15</v>
      </c>
      <c r="U50" s="217">
        <f t="shared" si="143"/>
        <v>10.952937596851436</v>
      </c>
      <c r="V50" s="217">
        <f t="shared" si="11"/>
        <v>1.8324831169494575</v>
      </c>
      <c r="W50" s="217">
        <f t="shared" si="144"/>
        <v>8.4443531004834167</v>
      </c>
      <c r="X50" s="197">
        <f t="shared" si="145"/>
        <v>106.57888639182238</v>
      </c>
      <c r="Y50" s="443">
        <f t="shared" si="14"/>
        <v>95.448662100497046</v>
      </c>
      <c r="AA50" s="217">
        <f t="shared" si="146"/>
        <v>10</v>
      </c>
      <c r="AB50" s="173">
        <f t="shared" si="147"/>
        <v>7.7096696898107542</v>
      </c>
      <c r="AC50" s="173">
        <f t="shared" si="148"/>
        <v>4.1084400499440843</v>
      </c>
      <c r="AD50" s="173"/>
      <c r="AE50" s="173">
        <f t="shared" si="149"/>
        <v>7.7096696898107542</v>
      </c>
      <c r="AF50" s="545">
        <f t="shared" si="150"/>
        <v>116.73651871097111</v>
      </c>
      <c r="AG50" s="528">
        <f t="shared" si="151"/>
        <v>4.1084400499440852</v>
      </c>
      <c r="AI50" s="173">
        <f t="shared" si="152"/>
        <v>5.7752308231167229</v>
      </c>
      <c r="AJ50" s="173">
        <f t="shared" si="153"/>
        <v>10.952937596851436</v>
      </c>
      <c r="AK50" s="173">
        <f t="shared" si="154"/>
        <v>1.9058797013714341</v>
      </c>
      <c r="AM50" s="545">
        <f t="shared" si="155"/>
        <v>4500</v>
      </c>
      <c r="AN50" s="460">
        <f t="shared" si="156"/>
        <v>95.448662100497046</v>
      </c>
      <c r="AP50">
        <f t="shared" si="157"/>
        <v>4500</v>
      </c>
      <c r="AQ50" s="460">
        <f t="shared" si="158"/>
        <v>95.448662100497046</v>
      </c>
      <c r="AR50" s="460"/>
      <c r="AS50" s="5">
        <f t="shared" si="101"/>
        <v>10.476836217432874</v>
      </c>
      <c r="AT50" s="5">
        <f t="shared" si="159"/>
        <v>1.8324831169494575</v>
      </c>
      <c r="AU50" s="5">
        <f t="shared" si="102"/>
        <v>8.644353100483416</v>
      </c>
      <c r="AV50" s="5">
        <f t="shared" si="160"/>
        <v>8.4443531004834167</v>
      </c>
      <c r="AW50" s="173">
        <f t="shared" si="103"/>
        <v>0.17490806183457439</v>
      </c>
      <c r="AX50" s="173">
        <f t="shared" si="161"/>
        <v>68.704047392229086</v>
      </c>
      <c r="AY50" s="173">
        <f t="shared" si="162"/>
        <v>4.518590255195555</v>
      </c>
      <c r="AZ50" s="173">
        <f t="shared" si="104"/>
        <v>15.204752702069403</v>
      </c>
      <c r="BA50" s="460">
        <f t="shared" si="163"/>
        <v>54.974493508483725</v>
      </c>
      <c r="BB50" s="5">
        <f t="shared" si="164"/>
        <v>2.2597577952139911</v>
      </c>
      <c r="BC50" s="5"/>
      <c r="BD50" s="173">
        <f t="shared" si="105"/>
        <v>2.6446907707534772</v>
      </c>
      <c r="BE50" s="173">
        <f t="shared" si="165"/>
        <v>5.7440889669815016</v>
      </c>
      <c r="BF50" s="173"/>
      <c r="BG50" s="528">
        <f t="shared" si="166"/>
        <v>0.13988778545817243</v>
      </c>
      <c r="BH50" s="528">
        <f t="shared" si="167"/>
        <v>1.7164518843593366</v>
      </c>
      <c r="BI50" s="528">
        <f t="shared" si="168"/>
        <v>0.17115190257742563</v>
      </c>
      <c r="BJ50" s="528">
        <f t="shared" si="169"/>
        <v>7.3186276392348565E-2</v>
      </c>
      <c r="BK50">
        <f t="shared" si="170"/>
        <v>3.2276348128902885E-2</v>
      </c>
      <c r="BL50" s="460">
        <f t="shared" si="106"/>
        <v>203.42825070632853</v>
      </c>
      <c r="BM50" s="528">
        <f t="shared" si="171"/>
        <v>2.0349313489800145</v>
      </c>
      <c r="BN50" s="460">
        <f t="shared" si="107"/>
        <v>2034.9313489800145</v>
      </c>
      <c r="BO50" s="528">
        <f t="shared" si="172"/>
        <v>2.7956249999999998</v>
      </c>
      <c r="BP50" s="528"/>
      <c r="BR50" s="460">
        <f t="shared" si="109"/>
        <v>2795.625</v>
      </c>
      <c r="BS50" s="528">
        <f t="shared" si="173"/>
        <v>0.20983167818725865</v>
      </c>
      <c r="BT50" s="528">
        <f t="shared" si="174"/>
        <v>0.98983674181795833</v>
      </c>
      <c r="BU50" s="528">
        <f t="shared" si="175"/>
        <v>1.0125</v>
      </c>
      <c r="BV50" s="528">
        <f t="shared" si="176"/>
        <v>2.7655038517104549</v>
      </c>
      <c r="BW50" s="528">
        <f t="shared" si="177"/>
        <v>1.1450674565371513E-2</v>
      </c>
      <c r="BX50" s="460">
        <f t="shared" si="110"/>
        <v>2776.9545262758265</v>
      </c>
      <c r="BY50" s="173">
        <f t="shared" si="45"/>
        <v>7.810939125962169</v>
      </c>
      <c r="BZ50" s="5">
        <f t="shared" si="111"/>
        <v>67.5</v>
      </c>
      <c r="CA50" s="173">
        <f t="shared" si="112"/>
        <v>0.89628413592216805</v>
      </c>
      <c r="CB50" s="5">
        <f t="shared" si="113"/>
        <v>89.628413592216802</v>
      </c>
      <c r="CE50" s="562">
        <f t="shared" si="178"/>
        <v>-50</v>
      </c>
      <c r="CF50">
        <f t="shared" si="179"/>
        <v>-50</v>
      </c>
      <c r="CG50" s="173">
        <f t="shared" si="180"/>
        <v>0.81883111918688378</v>
      </c>
      <c r="CI50" s="170">
        <v>45</v>
      </c>
      <c r="CJ50" s="217">
        <f t="shared" si="114"/>
        <v>4.5</v>
      </c>
      <c r="CK50" s="217"/>
      <c r="CL50" s="217">
        <f t="shared" si="49"/>
        <v>67.5</v>
      </c>
      <c r="CM50" s="541">
        <f t="shared" si="50"/>
        <v>72</v>
      </c>
      <c r="CN50" s="172">
        <f t="shared" si="51"/>
        <v>15.4</v>
      </c>
      <c r="CO50" s="443">
        <f t="shared" si="52"/>
        <v>87.4</v>
      </c>
      <c r="CP50" s="443"/>
      <c r="CQ50" s="217">
        <f t="shared" si="53"/>
        <v>0.17620137299771166</v>
      </c>
      <c r="CR50" s="172">
        <f t="shared" si="54"/>
        <v>318.30425629290613</v>
      </c>
      <c r="CS50" s="172">
        <f t="shared" si="115"/>
        <v>67.5</v>
      </c>
      <c r="CT50" s="217">
        <f t="shared" si="55"/>
        <v>21.220283752860407</v>
      </c>
      <c r="CU50" s="217">
        <f t="shared" si="56"/>
        <v>15</v>
      </c>
      <c r="CV50" s="217">
        <f t="shared" si="57"/>
        <v>21.144164759725399</v>
      </c>
      <c r="CW50" s="172">
        <f t="shared" si="58"/>
        <v>328.08767452246684</v>
      </c>
      <c r="CX50" s="172">
        <f t="shared" si="59"/>
        <v>15</v>
      </c>
      <c r="CY50" s="217">
        <f t="shared" si="60"/>
        <v>10.641233766233768</v>
      </c>
      <c r="CZ50" s="217">
        <f t="shared" si="61"/>
        <v>1.7735389610389614</v>
      </c>
      <c r="DA50" s="217">
        <f t="shared" si="62"/>
        <v>8.2918704671951442</v>
      </c>
      <c r="DB50" s="197">
        <f t="shared" si="63"/>
        <v>105.72082379862701</v>
      </c>
      <c r="DC50" s="443">
        <f t="shared" si="116"/>
        <v>99.350156308091883</v>
      </c>
      <c r="DE50" s="217">
        <f t="shared" si="64"/>
        <v>9.9999999999999982</v>
      </c>
      <c r="DF50" s="173">
        <f t="shared" si="65"/>
        <v>7.7922077922077895</v>
      </c>
      <c r="DG50" s="173">
        <f t="shared" si="66"/>
        <v>4.118993135011439</v>
      </c>
      <c r="DH50" s="173"/>
      <c r="DI50" s="173">
        <f t="shared" si="67"/>
        <v>7.7922077922077913</v>
      </c>
      <c r="DJ50" s="545">
        <f t="shared" si="117"/>
        <v>115.5</v>
      </c>
      <c r="DK50" s="528">
        <f t="shared" si="68"/>
        <v>4.1189931350114417</v>
      </c>
      <c r="DM50" s="173">
        <f t="shared" si="69"/>
        <v>5.7445626465380286</v>
      </c>
      <c r="DN50" s="173">
        <f t="shared" si="70"/>
        <v>10.641233766233768</v>
      </c>
      <c r="DO50" s="173">
        <f t="shared" si="71"/>
        <v>1.6749879749879761</v>
      </c>
      <c r="DQ50" s="545">
        <f t="shared" si="72"/>
        <v>4500</v>
      </c>
      <c r="DR50" s="460">
        <f t="shared" si="73"/>
        <v>99.350156308091883</v>
      </c>
      <c r="DT50">
        <f t="shared" si="74"/>
        <v>4500</v>
      </c>
      <c r="DU50" s="460">
        <f t="shared" si="75"/>
        <v>99.350156308091883</v>
      </c>
      <c r="DV50" s="460"/>
      <c r="DW50" s="5">
        <f t="shared" si="118"/>
        <v>10.065409428234103</v>
      </c>
      <c r="DX50" s="5">
        <f t="shared" si="76"/>
        <v>1.7735389610389614</v>
      </c>
      <c r="DY50" s="5">
        <f t="shared" si="119"/>
        <v>8.2918704671951424</v>
      </c>
      <c r="DZ50" s="5">
        <f t="shared" si="77"/>
        <v>8.2918704671951442</v>
      </c>
      <c r="EA50" s="173">
        <f t="shared" si="120"/>
        <v>0.17620137299771171</v>
      </c>
      <c r="EB50" s="173">
        <f t="shared" si="78"/>
        <v>67.500000000000014</v>
      </c>
      <c r="EC50" s="173">
        <f t="shared" si="79"/>
        <v>4.3831168831168839</v>
      </c>
      <c r="ED50" s="173">
        <f t="shared" si="121"/>
        <v>15.4</v>
      </c>
      <c r="EE50" s="460">
        <f t="shared" si="80"/>
        <v>53.206168831168839</v>
      </c>
      <c r="EF50" s="5">
        <f t="shared" si="81"/>
        <v>2.1593412674987351</v>
      </c>
      <c r="EG50" s="5"/>
      <c r="EH50" s="173">
        <f t="shared" si="122"/>
        <v>2.5789088979442658</v>
      </c>
      <c r="EI50" s="173">
        <f t="shared" si="82"/>
        <v>5.5762455336885761</v>
      </c>
      <c r="EJ50" s="173"/>
      <c r="EK50" s="528">
        <f t="shared" si="83"/>
        <v>0.13301542207792216</v>
      </c>
      <c r="EL50" s="528">
        <f t="shared" si="84"/>
        <v>1.8480000000000003</v>
      </c>
      <c r="EM50" s="528">
        <f t="shared" si="85"/>
        <v>1.2418769538511485E-2</v>
      </c>
      <c r="EN50" s="528">
        <f t="shared" si="86"/>
        <v>7.5891200000000006E-2</v>
      </c>
      <c r="EO50">
        <f t="shared" si="87"/>
        <v>3.2399999999999998E-2</v>
      </c>
      <c r="EP50" s="460">
        <f t="shared" si="123"/>
        <v>44.818769538511482</v>
      </c>
      <c r="EQ50" s="528">
        <f t="shared" si="88"/>
        <v>2.2074033561098112</v>
      </c>
      <c r="ER50" s="460">
        <f t="shared" si="124"/>
        <v>2207.4033561098113</v>
      </c>
      <c r="ES50" s="528">
        <f t="shared" si="125"/>
        <v>2.7956249999999998</v>
      </c>
      <c r="ET50" s="528"/>
      <c r="EV50" s="460">
        <f t="shared" si="126"/>
        <v>2795.625</v>
      </c>
      <c r="EW50" s="528">
        <f t="shared" si="89"/>
        <v>0.19952313311688322</v>
      </c>
      <c r="EX50" s="528">
        <f t="shared" si="90"/>
        <v>0.9328354275594537</v>
      </c>
      <c r="EY50" s="528">
        <f t="shared" si="91"/>
        <v>1.8170687138587027</v>
      </c>
      <c r="EZ50" s="528">
        <f t="shared" si="92"/>
        <v>3.5420642732827643</v>
      </c>
      <c r="FA50" s="528">
        <f t="shared" si="93"/>
        <v>1.1250000000000003E-2</v>
      </c>
      <c r="FB50" s="460">
        <f t="shared" si="127"/>
        <v>3553.3142732827641</v>
      </c>
      <c r="FC50" s="173">
        <f t="shared" si="128"/>
        <v>8.5563426293925744</v>
      </c>
      <c r="FD50" s="5">
        <f t="shared" si="129"/>
        <v>67.5</v>
      </c>
      <c r="FE50" s="173">
        <f t="shared" si="130"/>
        <v>0.88749994630841078</v>
      </c>
      <c r="FF50" s="5">
        <f t="shared" si="131"/>
        <v>88.749994630841073</v>
      </c>
      <c r="FI50" s="562">
        <f t="shared" si="94"/>
        <v>-50</v>
      </c>
      <c r="FJ50">
        <f t="shared" si="95"/>
        <v>-50</v>
      </c>
      <c r="FL50">
        <f t="shared" si="181"/>
        <v>0.82379862700228834</v>
      </c>
    </row>
    <row r="51" spans="5:168">
      <c r="E51" s="170">
        <v>46</v>
      </c>
      <c r="F51" s="217">
        <f t="shared" si="182"/>
        <v>4.6000000000000005</v>
      </c>
      <c r="G51" s="217"/>
      <c r="H51" s="217">
        <f t="shared" si="132"/>
        <v>69.000000000000014</v>
      </c>
      <c r="I51" s="541">
        <f t="shared" si="133"/>
        <v>71.719148838275814</v>
      </c>
      <c r="J51" s="172">
        <f t="shared" si="134"/>
        <v>15.568510697034508</v>
      </c>
      <c r="K51" s="172">
        <f t="shared" si="135"/>
        <v>87.568510697034512</v>
      </c>
      <c r="L51" s="443"/>
      <c r="M51" s="217">
        <f t="shared" si="136"/>
        <v>0.17834931116466099</v>
      </c>
      <c r="N51" s="172">
        <f t="shared" si="137"/>
        <v>320.9277152868932</v>
      </c>
      <c r="O51" s="172">
        <f t="shared" si="98"/>
        <v>69.000000000000014</v>
      </c>
      <c r="P51" s="217">
        <f t="shared" si="138"/>
        <v>21.395181019126213</v>
      </c>
      <c r="Q51" s="217">
        <f t="shared" si="139"/>
        <v>15</v>
      </c>
      <c r="R51" s="217">
        <f t="shared" si="140"/>
        <v>21.318434654370478</v>
      </c>
      <c r="S51" s="172">
        <f t="shared" si="141"/>
        <v>318.14889129874183</v>
      </c>
      <c r="T51" s="172">
        <f t="shared" si="142"/>
        <v>15</v>
      </c>
      <c r="U51" s="217">
        <f t="shared" si="143"/>
        <v>11.196972296147743</v>
      </c>
      <c r="V51" s="217">
        <f t="shared" si="11"/>
        <v>1.8734699132690253</v>
      </c>
      <c r="W51" s="217">
        <f t="shared" si="144"/>
        <v>8.6304766183811363</v>
      </c>
      <c r="X51" s="197">
        <f t="shared" si="145"/>
        <v>106.59776553897507</v>
      </c>
      <c r="Y51" s="443">
        <f t="shared" si="14"/>
        <v>93.423486098620884</v>
      </c>
      <c r="AA51" s="217">
        <f t="shared" si="146"/>
        <v>10</v>
      </c>
      <c r="AB51" s="173">
        <f t="shared" si="147"/>
        <v>7.7078663679023336</v>
      </c>
      <c r="AC51" s="173">
        <f t="shared" si="148"/>
        <v>4.1082066594570215</v>
      </c>
      <c r="AD51" s="173"/>
      <c r="AE51" s="173">
        <f t="shared" si="149"/>
        <v>7.7078663679023336</v>
      </c>
      <c r="AF51" s="545">
        <f t="shared" si="150"/>
        <v>119.35858201059793</v>
      </c>
      <c r="AG51" s="528">
        <f t="shared" si="151"/>
        <v>4.1082066594570206</v>
      </c>
      <c r="AI51" s="173">
        <f t="shared" si="152"/>
        <v>5.8397304734917324</v>
      </c>
      <c r="AJ51" s="173">
        <f t="shared" si="153"/>
        <v>11.196972296147743</v>
      </c>
      <c r="AK51" s="173">
        <f t="shared" si="154"/>
        <v>2.0866461452946248</v>
      </c>
      <c r="AM51" s="545">
        <f t="shared" si="155"/>
        <v>4600.0000000000009</v>
      </c>
      <c r="AN51" s="460">
        <f t="shared" si="156"/>
        <v>93.423486098620884</v>
      </c>
      <c r="AP51">
        <f t="shared" si="157"/>
        <v>4600.0000000000009</v>
      </c>
      <c r="AQ51" s="460">
        <f t="shared" si="158"/>
        <v>93.423486098620884</v>
      </c>
      <c r="AR51" s="460"/>
      <c r="AS51" s="5">
        <f t="shared" si="101"/>
        <v>10.703946531650161</v>
      </c>
      <c r="AT51" s="5">
        <f t="shared" si="159"/>
        <v>1.8734699132690253</v>
      </c>
      <c r="AU51" s="5">
        <f t="shared" si="102"/>
        <v>8.8304766183811356</v>
      </c>
      <c r="AV51" s="5">
        <f t="shared" si="160"/>
        <v>8.6304766183811363</v>
      </c>
      <c r="AW51" s="173">
        <f t="shared" si="103"/>
        <v>0.17502609039847325</v>
      </c>
      <c r="AX51" s="173">
        <f t="shared" si="161"/>
        <v>70.276241513347074</v>
      </c>
      <c r="AY51" s="173">
        <f t="shared" si="162"/>
        <v>4.6186050054264935</v>
      </c>
      <c r="AZ51" s="173">
        <f t="shared" si="104"/>
        <v>15.215902080991572</v>
      </c>
      <c r="BA51" s="460">
        <f t="shared" si="163"/>
        <v>57.453077340250118</v>
      </c>
      <c r="BB51" s="5">
        <f t="shared" si="164"/>
        <v>2.3599109107382157</v>
      </c>
      <c r="BC51" s="5"/>
      <c r="BD51" s="173">
        <f t="shared" si="105"/>
        <v>2.7045273164011836</v>
      </c>
      <c r="BE51" s="173">
        <f t="shared" si="165"/>
        <v>5.8716489616126157</v>
      </c>
      <c r="BF51" s="173"/>
      <c r="BG51" s="528">
        <f t="shared" si="166"/>
        <v>0.14628936010320376</v>
      </c>
      <c r="BH51" s="528">
        <f t="shared" si="167"/>
        <v>1.7175362354501622</v>
      </c>
      <c r="BI51" s="528">
        <f t="shared" si="168"/>
        <v>0.16750632261243958</v>
      </c>
      <c r="BJ51" s="528">
        <f t="shared" si="169"/>
        <v>7.1639409287244285E-2</v>
      </c>
      <c r="BK51">
        <f t="shared" si="170"/>
        <v>3.2273616977224112E-2</v>
      </c>
      <c r="BL51" s="460">
        <f t="shared" si="106"/>
        <v>199.77993958966368</v>
      </c>
      <c r="BM51" s="528">
        <f t="shared" si="171"/>
        <v>2.0460815548933904</v>
      </c>
      <c r="BN51" s="460">
        <f t="shared" si="107"/>
        <v>2046.0815548933904</v>
      </c>
      <c r="BO51" s="528">
        <f t="shared" si="172"/>
        <v>2.8577500000000002</v>
      </c>
      <c r="BP51" s="528"/>
      <c r="BR51" s="460">
        <f t="shared" si="109"/>
        <v>2857.7500000000005</v>
      </c>
      <c r="BS51" s="528">
        <f t="shared" si="173"/>
        <v>0.21943404015480561</v>
      </c>
      <c r="BT51" s="528">
        <f t="shared" si="174"/>
        <v>1.0342878458521954</v>
      </c>
      <c r="BU51" s="528">
        <f t="shared" si="175"/>
        <v>1.0350000000000001</v>
      </c>
      <c r="BV51" s="528">
        <f t="shared" si="176"/>
        <v>2.8783023952459819</v>
      </c>
      <c r="BW51" s="528">
        <f t="shared" si="177"/>
        <v>1.1712706918891178E-2</v>
      </c>
      <c r="BX51" s="460">
        <f t="shared" si="110"/>
        <v>2890.015102164873</v>
      </c>
      <c r="BY51" s="173">
        <f t="shared" si="45"/>
        <v>7.9936265966479265</v>
      </c>
      <c r="BZ51" s="5">
        <f t="shared" si="111"/>
        <v>69.000000000000014</v>
      </c>
      <c r="CA51" s="173">
        <f t="shared" si="112"/>
        <v>0.89617807408235595</v>
      </c>
      <c r="CB51" s="5">
        <f t="shared" si="113"/>
        <v>89.617807408235592</v>
      </c>
      <c r="CE51" s="562">
        <f t="shared" si="178"/>
        <v>-50</v>
      </c>
      <c r="CF51">
        <f t="shared" si="179"/>
        <v>-50</v>
      </c>
      <c r="CG51" s="173">
        <f t="shared" si="180"/>
        <v>0.81893910848721863</v>
      </c>
      <c r="CI51" s="170">
        <v>46</v>
      </c>
      <c r="CJ51" s="217">
        <f t="shared" si="114"/>
        <v>4.6000000000000005</v>
      </c>
      <c r="CK51" s="217"/>
      <c r="CL51" s="217">
        <f t="shared" si="49"/>
        <v>69.000000000000014</v>
      </c>
      <c r="CM51" s="541">
        <f t="shared" si="50"/>
        <v>72</v>
      </c>
      <c r="CN51" s="172">
        <f t="shared" si="51"/>
        <v>15.4</v>
      </c>
      <c r="CO51" s="443">
        <f t="shared" si="52"/>
        <v>87.4</v>
      </c>
      <c r="CP51" s="443"/>
      <c r="CQ51" s="217">
        <f t="shared" si="53"/>
        <v>0.17620137299771166</v>
      </c>
      <c r="CR51" s="172">
        <f t="shared" si="54"/>
        <v>318.30425629290613</v>
      </c>
      <c r="CS51" s="172">
        <f t="shared" si="115"/>
        <v>69.000000000000014</v>
      </c>
      <c r="CT51" s="217">
        <f t="shared" si="55"/>
        <v>21.220283752860407</v>
      </c>
      <c r="CU51" s="217">
        <f t="shared" si="56"/>
        <v>15</v>
      </c>
      <c r="CV51" s="217">
        <f t="shared" si="57"/>
        <v>21.144164759725399</v>
      </c>
      <c r="CW51" s="172">
        <f t="shared" si="58"/>
        <v>319.39440568666197</v>
      </c>
      <c r="CX51" s="172">
        <f t="shared" si="59"/>
        <v>15</v>
      </c>
      <c r="CY51" s="217">
        <f t="shared" si="60"/>
        <v>10.87770562770563</v>
      </c>
      <c r="CZ51" s="217">
        <f t="shared" si="61"/>
        <v>1.8129509379509383</v>
      </c>
      <c r="DA51" s="217">
        <f t="shared" si="62"/>
        <v>8.4761342553550367</v>
      </c>
      <c r="DB51" s="197">
        <f t="shared" si="63"/>
        <v>105.72082379862701</v>
      </c>
      <c r="DC51" s="443">
        <f t="shared" si="116"/>
        <v>97.190370301394211</v>
      </c>
      <c r="DE51" s="217">
        <f t="shared" si="64"/>
        <v>9.9999999999999982</v>
      </c>
      <c r="DF51" s="173">
        <f t="shared" si="65"/>
        <v>7.7922077922077895</v>
      </c>
      <c r="DG51" s="173">
        <f t="shared" si="66"/>
        <v>4.118993135011439</v>
      </c>
      <c r="DH51" s="173"/>
      <c r="DI51" s="173">
        <f t="shared" si="67"/>
        <v>7.7922077922077913</v>
      </c>
      <c r="DJ51" s="545">
        <f t="shared" si="117"/>
        <v>118.06666666666669</v>
      </c>
      <c r="DK51" s="528">
        <f t="shared" si="68"/>
        <v>4.1189931350114417</v>
      </c>
      <c r="DM51" s="173">
        <f t="shared" si="69"/>
        <v>5.8080404038998683</v>
      </c>
      <c r="DN51" s="173">
        <f t="shared" si="70"/>
        <v>10.87770562770563</v>
      </c>
      <c r="DO51" s="173">
        <f t="shared" si="71"/>
        <v>1.8501523168189853</v>
      </c>
      <c r="DQ51" s="545">
        <f t="shared" si="72"/>
        <v>4600.0000000000009</v>
      </c>
      <c r="DR51" s="460">
        <f t="shared" si="73"/>
        <v>97.190370301394211</v>
      </c>
      <c r="DT51">
        <f t="shared" si="74"/>
        <v>4600.0000000000009</v>
      </c>
      <c r="DU51" s="460">
        <f t="shared" si="75"/>
        <v>97.190370301394211</v>
      </c>
      <c r="DV51" s="460"/>
      <c r="DW51" s="5">
        <f t="shared" si="118"/>
        <v>10.289085193305976</v>
      </c>
      <c r="DX51" s="5">
        <f t="shared" si="76"/>
        <v>1.8129509379509383</v>
      </c>
      <c r="DY51" s="5">
        <f t="shared" si="119"/>
        <v>8.4761342553550367</v>
      </c>
      <c r="DZ51" s="5">
        <f t="shared" si="77"/>
        <v>8.4761342553550367</v>
      </c>
      <c r="EA51" s="173">
        <f t="shared" si="120"/>
        <v>0.17620137299771166</v>
      </c>
      <c r="EB51" s="173">
        <f t="shared" si="78"/>
        <v>69.000000000000014</v>
      </c>
      <c r="EC51" s="173">
        <f t="shared" si="79"/>
        <v>4.4805194805194812</v>
      </c>
      <c r="ED51" s="173">
        <f t="shared" si="121"/>
        <v>15.4</v>
      </c>
      <c r="EE51" s="460">
        <f t="shared" si="80"/>
        <v>55.597162097162119</v>
      </c>
      <c r="EF51" s="5">
        <f t="shared" si="81"/>
        <v>2.2563783318653461</v>
      </c>
      <c r="EG51" s="5"/>
      <c r="EH51" s="173">
        <f t="shared" si="122"/>
        <v>2.6362179845652491</v>
      </c>
      <c r="EI51" s="173">
        <f t="shared" si="82"/>
        <v>5.7001621011038788</v>
      </c>
      <c r="EJ51" s="173"/>
      <c r="EK51" s="528">
        <f t="shared" si="83"/>
        <v>0.13899290524290528</v>
      </c>
      <c r="EL51" s="528">
        <f t="shared" si="84"/>
        <v>1.8480000000000001</v>
      </c>
      <c r="EM51" s="528">
        <f t="shared" si="85"/>
        <v>1.2148796287674277E-2</v>
      </c>
      <c r="EN51" s="528">
        <f t="shared" si="86"/>
        <v>7.4241391304347815E-2</v>
      </c>
      <c r="EO51">
        <f t="shared" si="87"/>
        <v>3.2399999999999998E-2</v>
      </c>
      <c r="EP51" s="460">
        <f t="shared" si="123"/>
        <v>44.548796287674278</v>
      </c>
      <c r="EQ51" s="528">
        <f t="shared" si="88"/>
        <v>2.2165108135801939</v>
      </c>
      <c r="ER51" s="460">
        <f t="shared" si="124"/>
        <v>2216.5108135801938</v>
      </c>
      <c r="ES51" s="528">
        <f t="shared" si="125"/>
        <v>2.8577500000000002</v>
      </c>
      <c r="ET51" s="528"/>
      <c r="EV51" s="460">
        <f t="shared" si="126"/>
        <v>2857.7500000000005</v>
      </c>
      <c r="EW51" s="528">
        <f t="shared" si="89"/>
        <v>0.2084893578643579</v>
      </c>
      <c r="EX51" s="528">
        <f t="shared" si="90"/>
        <v>0.97475543936582965</v>
      </c>
      <c r="EY51" s="528">
        <f t="shared" si="91"/>
        <v>1.8170687138586994</v>
      </c>
      <c r="EZ51" s="528">
        <f t="shared" si="92"/>
        <v>3.6276876670667608</v>
      </c>
      <c r="FA51" s="528">
        <f t="shared" si="93"/>
        <v>1.1500000000000003E-2</v>
      </c>
      <c r="FB51" s="460">
        <f t="shared" si="127"/>
        <v>3639.1876670667607</v>
      </c>
      <c r="FC51" s="173">
        <f t="shared" si="128"/>
        <v>8.7134484806469548</v>
      </c>
      <c r="FD51" s="5">
        <f t="shared" si="129"/>
        <v>69.000000000000014</v>
      </c>
      <c r="FE51" s="173">
        <f t="shared" si="130"/>
        <v>0.88787721236155315</v>
      </c>
      <c r="FF51" s="5">
        <f t="shared" si="131"/>
        <v>88.787721236155321</v>
      </c>
      <c r="FI51" s="562">
        <f t="shared" si="94"/>
        <v>-50</v>
      </c>
      <c r="FJ51">
        <f t="shared" si="95"/>
        <v>-50</v>
      </c>
      <c r="FL51">
        <f t="shared" si="181"/>
        <v>0.82379862700228834</v>
      </c>
    </row>
    <row r="52" spans="5:168">
      <c r="E52" s="170">
        <v>47</v>
      </c>
      <c r="F52" s="217">
        <f t="shared" si="182"/>
        <v>4.6999999999999993</v>
      </c>
      <c r="G52" s="217"/>
      <c r="H52" s="217">
        <f t="shared" si="132"/>
        <v>70.499999999999986</v>
      </c>
      <c r="I52" s="541">
        <f t="shared" si="133"/>
        <v>71.71307960297149</v>
      </c>
      <c r="J52" s="172">
        <f t="shared" si="134"/>
        <v>15.572152238217106</v>
      </c>
      <c r="K52" s="172">
        <f t="shared" si="135"/>
        <v>87.5721522382171</v>
      </c>
      <c r="L52" s="443"/>
      <c r="M52" s="217">
        <f t="shared" si="136"/>
        <v>0.17839599338309281</v>
      </c>
      <c r="N52" s="172">
        <f t="shared" si="137"/>
        <v>320.98455120501274</v>
      </c>
      <c r="O52" s="172">
        <f t="shared" si="98"/>
        <v>70.499999999999986</v>
      </c>
      <c r="P52" s="217">
        <f t="shared" si="138"/>
        <v>21.398970080334184</v>
      </c>
      <c r="Q52" s="217">
        <f t="shared" si="139"/>
        <v>15</v>
      </c>
      <c r="R52" s="217">
        <f t="shared" si="140"/>
        <v>21.322210123888183</v>
      </c>
      <c r="S52" s="172">
        <f t="shared" si="141"/>
        <v>309.83193530316595</v>
      </c>
      <c r="T52" s="172">
        <f t="shared" si="142"/>
        <v>15</v>
      </c>
      <c r="U52" s="217">
        <f t="shared" si="143"/>
        <v>11.4410347616318</v>
      </c>
      <c r="V52" s="217">
        <f t="shared" si="11"/>
        <v>1.9144682936457353</v>
      </c>
      <c r="W52" s="217">
        <f t="shared" si="144"/>
        <v>8.8165344802267711</v>
      </c>
      <c r="X52" s="197">
        <f t="shared" si="145"/>
        <v>106.61664154526225</v>
      </c>
      <c r="Y52" s="443">
        <f t="shared" si="14"/>
        <v>91.482915217094217</v>
      </c>
      <c r="AA52" s="217">
        <f t="shared" si="146"/>
        <v>10</v>
      </c>
      <c r="AB52" s="173">
        <f t="shared" si="147"/>
        <v>7.7060638866281153</v>
      </c>
      <c r="AC52" s="173">
        <f t="shared" si="148"/>
        <v>4.1079732556276012</v>
      </c>
      <c r="AD52" s="173"/>
      <c r="AE52" s="173">
        <f t="shared" si="149"/>
        <v>7.7060638866281153</v>
      </c>
      <c r="AF52" s="545">
        <f t="shared" si="150"/>
        <v>121.98185919936731</v>
      </c>
      <c r="AG52" s="528">
        <f t="shared" si="151"/>
        <v>4.1079732556276003</v>
      </c>
      <c r="AI52" s="173">
        <f t="shared" si="152"/>
        <v>5.903554841893806</v>
      </c>
      <c r="AJ52" s="173">
        <f t="shared" si="153"/>
        <v>11.4410347616318</v>
      </c>
      <c r="AK52" s="173">
        <f t="shared" si="154"/>
        <v>2.2674331567642958</v>
      </c>
      <c r="AM52" s="545">
        <f t="shared" si="155"/>
        <v>4699.9999999999991</v>
      </c>
      <c r="AN52" s="460">
        <f t="shared" si="156"/>
        <v>91.482915217094217</v>
      </c>
      <c r="AP52">
        <f t="shared" si="157"/>
        <v>4699.9999999999991</v>
      </c>
      <c r="AQ52" s="460">
        <f t="shared" si="158"/>
        <v>91.482915217094217</v>
      </c>
      <c r="AR52" s="460"/>
      <c r="AS52" s="5">
        <f t="shared" si="101"/>
        <v>10.931002773872505</v>
      </c>
      <c r="AT52" s="5">
        <f t="shared" si="159"/>
        <v>1.9144682936457353</v>
      </c>
      <c r="AU52" s="5">
        <f t="shared" si="102"/>
        <v>9.0165344802267704</v>
      </c>
      <c r="AV52" s="5">
        <f t="shared" si="160"/>
        <v>8.8165344802267711</v>
      </c>
      <c r="AW52" s="173">
        <f t="shared" si="103"/>
        <v>0.17514114059340782</v>
      </c>
      <c r="AX52" s="173">
        <f t="shared" si="161"/>
        <v>71.849186643556862</v>
      </c>
      <c r="AY52" s="173">
        <f t="shared" si="162"/>
        <v>4.7186194419553891</v>
      </c>
      <c r="AZ52" s="173">
        <f t="shared" si="104"/>
        <v>15.226738991645121</v>
      </c>
      <c r="BA52" s="460">
        <f t="shared" si="163"/>
        <v>59.986673200899688</v>
      </c>
      <c r="BB52" s="5">
        <f t="shared" si="164"/>
        <v>2.4622258758841218</v>
      </c>
      <c r="BC52" s="5"/>
      <c r="BD52" s="173">
        <f t="shared" si="105"/>
        <v>2.7643865077216625</v>
      </c>
      <c r="BE52" s="173">
        <f t="shared" si="165"/>
        <v>5.999216007797644</v>
      </c>
      <c r="BF52" s="173"/>
      <c r="BG52" s="528">
        <f t="shared" si="166"/>
        <v>0.15283665528147139</v>
      </c>
      <c r="BH52" s="528">
        <f t="shared" si="167"/>
        <v>1.7185912490740667</v>
      </c>
      <c r="BI52" s="528">
        <f t="shared" si="168"/>
        <v>0.16401303953188423</v>
      </c>
      <c r="BJ52" s="528">
        <f t="shared" si="169"/>
        <v>7.0157166787696582E-2</v>
      </c>
      <c r="BK52">
        <f t="shared" si="170"/>
        <v>3.2270885821337171E-2</v>
      </c>
      <c r="BL52" s="460">
        <f t="shared" si="106"/>
        <v>196.28392535322141</v>
      </c>
      <c r="BM52" s="528">
        <f t="shared" si="171"/>
        <v>2.0575695258026974</v>
      </c>
      <c r="BN52" s="460">
        <f t="shared" si="107"/>
        <v>2057.5695258026972</v>
      </c>
      <c r="BO52" s="528">
        <f t="shared" si="172"/>
        <v>2.9198749999999989</v>
      </c>
      <c r="BP52" s="528"/>
      <c r="BR52" s="460">
        <f t="shared" si="109"/>
        <v>2919.8749999999991</v>
      </c>
      <c r="BS52" s="528">
        <f t="shared" si="173"/>
        <v>0.22925498292220706</v>
      </c>
      <c r="BT52" s="528">
        <f t="shared" si="174"/>
        <v>1.0797177812464651</v>
      </c>
      <c r="BU52" s="528">
        <f t="shared" si="175"/>
        <v>1.0574999999999997</v>
      </c>
      <c r="BV52" s="528">
        <f t="shared" si="176"/>
        <v>2.9941690908703502</v>
      </c>
      <c r="BW52" s="528">
        <f t="shared" si="177"/>
        <v>1.197486444059281E-2</v>
      </c>
      <c r="BX52" s="460">
        <f t="shared" si="110"/>
        <v>3006.1439553109431</v>
      </c>
      <c r="BY52" s="173">
        <f t="shared" si="45"/>
        <v>8.1798724064668598</v>
      </c>
      <c r="BZ52" s="5">
        <f t="shared" si="111"/>
        <v>70.499999999999986</v>
      </c>
      <c r="CA52" s="173">
        <f t="shared" si="112"/>
        <v>0.89603602349265454</v>
      </c>
      <c r="CB52" s="5">
        <f t="shared" si="113"/>
        <v>89.603602349265458</v>
      </c>
      <c r="CE52" s="562">
        <f t="shared" si="178"/>
        <v>-50</v>
      </c>
      <c r="CF52">
        <f t="shared" si="179"/>
        <v>-50</v>
      </c>
      <c r="CG52" s="173">
        <f t="shared" si="180"/>
        <v>0.81904250249817756</v>
      </c>
      <c r="CI52" s="170">
        <v>47</v>
      </c>
      <c r="CJ52" s="217">
        <f t="shared" si="114"/>
        <v>4.6999999999999993</v>
      </c>
      <c r="CK52" s="217"/>
      <c r="CL52" s="217">
        <f t="shared" si="49"/>
        <v>70.499999999999986</v>
      </c>
      <c r="CM52" s="541">
        <f t="shared" si="50"/>
        <v>72</v>
      </c>
      <c r="CN52" s="172">
        <f t="shared" si="51"/>
        <v>15.4</v>
      </c>
      <c r="CO52" s="443">
        <f t="shared" si="52"/>
        <v>87.4</v>
      </c>
      <c r="CP52" s="443"/>
      <c r="CQ52" s="217">
        <f t="shared" si="53"/>
        <v>0.17620137299771166</v>
      </c>
      <c r="CR52" s="172">
        <f t="shared" si="54"/>
        <v>318.30425629290613</v>
      </c>
      <c r="CS52" s="172">
        <f t="shared" si="115"/>
        <v>70.499999999999986</v>
      </c>
      <c r="CT52" s="217">
        <f t="shared" si="55"/>
        <v>21.220283752860407</v>
      </c>
      <c r="CU52" s="217">
        <f t="shared" si="56"/>
        <v>15</v>
      </c>
      <c r="CV52" s="217">
        <f t="shared" si="57"/>
        <v>21.144164759725399</v>
      </c>
      <c r="CW52" s="172">
        <f t="shared" si="58"/>
        <v>311.07118781549667</v>
      </c>
      <c r="CX52" s="172">
        <f t="shared" si="59"/>
        <v>15</v>
      </c>
      <c r="CY52" s="217">
        <f t="shared" si="60"/>
        <v>11.114177489177488</v>
      </c>
      <c r="CZ52" s="217">
        <f t="shared" si="61"/>
        <v>1.8523629148629146</v>
      </c>
      <c r="DA52" s="217">
        <f t="shared" si="62"/>
        <v>8.6603980435149257</v>
      </c>
      <c r="DB52" s="197">
        <f t="shared" si="63"/>
        <v>105.72082379862701</v>
      </c>
      <c r="DC52" s="443">
        <f t="shared" si="116"/>
        <v>95.122490082215648</v>
      </c>
      <c r="DE52" s="217">
        <f t="shared" si="64"/>
        <v>9.9999999999999982</v>
      </c>
      <c r="DF52" s="173">
        <f t="shared" si="65"/>
        <v>7.7922077922077895</v>
      </c>
      <c r="DG52" s="173">
        <f t="shared" si="66"/>
        <v>4.118993135011439</v>
      </c>
      <c r="DH52" s="173"/>
      <c r="DI52" s="173">
        <f t="shared" si="67"/>
        <v>7.7922077922077913</v>
      </c>
      <c r="DJ52" s="545">
        <f t="shared" si="117"/>
        <v>120.63333333333331</v>
      </c>
      <c r="DK52" s="528">
        <f t="shared" si="68"/>
        <v>4.1189931350114417</v>
      </c>
      <c r="DM52" s="173">
        <f t="shared" si="69"/>
        <v>5.8708318547431304</v>
      </c>
      <c r="DN52" s="173">
        <f t="shared" si="70"/>
        <v>11.114177489177488</v>
      </c>
      <c r="DO52" s="173">
        <f t="shared" si="71"/>
        <v>2.0253166586499907</v>
      </c>
      <c r="DQ52" s="545">
        <f t="shared" si="72"/>
        <v>4699.9999999999991</v>
      </c>
      <c r="DR52" s="460">
        <f t="shared" si="73"/>
        <v>95.122490082215648</v>
      </c>
      <c r="DT52">
        <f t="shared" si="74"/>
        <v>4699.9999999999991</v>
      </c>
      <c r="DU52" s="460">
        <f t="shared" si="75"/>
        <v>95.122490082215648</v>
      </c>
      <c r="DV52" s="460"/>
      <c r="DW52" s="5">
        <f t="shared" si="118"/>
        <v>10.512760958377839</v>
      </c>
      <c r="DX52" s="5">
        <f t="shared" si="76"/>
        <v>1.8523629148629146</v>
      </c>
      <c r="DY52" s="5">
        <f t="shared" si="119"/>
        <v>8.6603980435149239</v>
      </c>
      <c r="DZ52" s="5">
        <f t="shared" si="77"/>
        <v>8.6603980435149257</v>
      </c>
      <c r="EA52" s="173">
        <f t="shared" si="120"/>
        <v>0.17620137299771169</v>
      </c>
      <c r="EB52" s="173">
        <f t="shared" si="78"/>
        <v>70.499999999999986</v>
      </c>
      <c r="EC52" s="173">
        <f t="shared" si="79"/>
        <v>4.5779220779220777</v>
      </c>
      <c r="ED52" s="173">
        <f t="shared" si="121"/>
        <v>15.399999999999997</v>
      </c>
      <c r="EE52" s="460">
        <f t="shared" si="80"/>
        <v>58.040704665704652</v>
      </c>
      <c r="EF52" s="5">
        <f t="shared" si="81"/>
        <v>2.3555480789652856</v>
      </c>
      <c r="EG52" s="5"/>
      <c r="EH52" s="173">
        <f t="shared" si="122"/>
        <v>2.693527071186232</v>
      </c>
      <c r="EI52" s="173">
        <f t="shared" si="82"/>
        <v>5.8240786685191779</v>
      </c>
      <c r="EJ52" s="173"/>
      <c r="EK52" s="528">
        <f t="shared" si="83"/>
        <v>0.14510176166426161</v>
      </c>
      <c r="EL52" s="528">
        <f t="shared" si="84"/>
        <v>1.8480000000000001</v>
      </c>
      <c r="EM52" s="528">
        <f t="shared" si="85"/>
        <v>1.1890311260276955E-2</v>
      </c>
      <c r="EN52" s="528">
        <f t="shared" si="86"/>
        <v>7.2661787234042582E-2</v>
      </c>
      <c r="EO52">
        <f t="shared" si="87"/>
        <v>3.2399999999999998E-2</v>
      </c>
      <c r="EP52" s="460">
        <f t="shared" si="123"/>
        <v>44.290311260276951</v>
      </c>
      <c r="EQ52" s="528">
        <f t="shared" si="88"/>
        <v>2.2259744276717779</v>
      </c>
      <c r="ER52" s="460">
        <f t="shared" si="124"/>
        <v>2225.9744276717779</v>
      </c>
      <c r="ES52" s="528">
        <f t="shared" si="125"/>
        <v>2.9198749999999989</v>
      </c>
      <c r="ET52" s="528"/>
      <c r="EV52" s="460">
        <f t="shared" si="126"/>
        <v>2919.8749999999991</v>
      </c>
      <c r="EW52" s="528">
        <f t="shared" si="89"/>
        <v>0.21765264249639241</v>
      </c>
      <c r="EX52" s="528">
        <f t="shared" si="90"/>
        <v>1.0175967701130038</v>
      </c>
      <c r="EY52" s="528">
        <f t="shared" si="91"/>
        <v>1.8170687138586978</v>
      </c>
      <c r="EZ52" s="528">
        <f t="shared" si="92"/>
        <v>3.7159921557016791</v>
      </c>
      <c r="FA52" s="528">
        <f t="shared" si="93"/>
        <v>1.1749999999999998E-2</v>
      </c>
      <c r="FB52" s="460">
        <f t="shared" si="127"/>
        <v>3727.7421557016792</v>
      </c>
      <c r="FC52" s="173">
        <f t="shared" si="128"/>
        <v>8.8735915833734555</v>
      </c>
      <c r="FD52" s="5">
        <f t="shared" si="129"/>
        <v>70.499999999999986</v>
      </c>
      <c r="FE52" s="173">
        <f t="shared" si="130"/>
        <v>0.88820473653314913</v>
      </c>
      <c r="FF52" s="5">
        <f t="shared" si="131"/>
        <v>88.820473653314906</v>
      </c>
      <c r="FI52" s="562">
        <f t="shared" si="94"/>
        <v>-50</v>
      </c>
      <c r="FJ52">
        <f t="shared" si="95"/>
        <v>-50</v>
      </c>
      <c r="FL52">
        <f t="shared" si="181"/>
        <v>0.82379862700228834</v>
      </c>
    </row>
    <row r="53" spans="5:168">
      <c r="E53" s="170">
        <v>48</v>
      </c>
      <c r="F53" s="217">
        <f t="shared" si="182"/>
        <v>4.8</v>
      </c>
      <c r="G53" s="217"/>
      <c r="H53" s="217">
        <f t="shared" si="132"/>
        <v>72</v>
      </c>
      <c r="I53" s="541">
        <f t="shared" si="133"/>
        <v>71.707010358903446</v>
      </c>
      <c r="J53" s="172">
        <f t="shared" si="134"/>
        <v>15.575793784657931</v>
      </c>
      <c r="K53" s="172">
        <f t="shared" si="135"/>
        <v>87.575793784657932</v>
      </c>
      <c r="L53" s="443"/>
      <c r="M53" s="217">
        <f t="shared" si="136"/>
        <v>0.17844267821618626</v>
      </c>
      <c r="N53" s="172">
        <f t="shared" si="137"/>
        <v>321.04137757074227</v>
      </c>
      <c r="O53" s="172">
        <f t="shared" si="98"/>
        <v>72</v>
      </c>
      <c r="P53" s="217">
        <f t="shared" si="138"/>
        <v>21.40275850471615</v>
      </c>
      <c r="Q53" s="217">
        <f t="shared" si="139"/>
        <v>15</v>
      </c>
      <c r="R53" s="217">
        <f t="shared" si="140"/>
        <v>21.32598495886424</v>
      </c>
      <c r="S53" s="172">
        <f t="shared" si="141"/>
        <v>301.86189580729769</v>
      </c>
      <c r="T53" s="172">
        <f t="shared" si="142"/>
        <v>15</v>
      </c>
      <c r="U53" s="217">
        <f t="shared" si="143"/>
        <v>11.685125000354098</v>
      </c>
      <c r="V53" s="217">
        <f t="shared" si="11"/>
        <v>1.9554782622008822</v>
      </c>
      <c r="W53" s="217">
        <f t="shared" si="144"/>
        <v>9.0025267375051268</v>
      </c>
      <c r="X53" s="197">
        <f t="shared" si="145"/>
        <v>106.63551440857708</v>
      </c>
      <c r="Y53" s="443">
        <f t="shared" si="14"/>
        <v>89.621755862840004</v>
      </c>
      <c r="AA53" s="217">
        <f t="shared" si="146"/>
        <v>10</v>
      </c>
      <c r="AB53" s="173">
        <f t="shared" si="147"/>
        <v>7.7042622455748813</v>
      </c>
      <c r="AC53" s="173">
        <f t="shared" si="148"/>
        <v>4.1077398384772836</v>
      </c>
      <c r="AD53" s="173"/>
      <c r="AE53" s="173">
        <f t="shared" si="149"/>
        <v>7.7042622455748813</v>
      </c>
      <c r="AF53" s="545">
        <f t="shared" si="150"/>
        <v>124.60635027726345</v>
      </c>
      <c r="AG53" s="528">
        <f t="shared" si="151"/>
        <v>4.1077398384772845</v>
      </c>
      <c r="AI53" s="173">
        <f t="shared" si="152"/>
        <v>5.9667255982601048</v>
      </c>
      <c r="AJ53" s="173">
        <f t="shared" si="153"/>
        <v>11.685125000354098</v>
      </c>
      <c r="AK53" s="173">
        <f t="shared" si="154"/>
        <v>2.448240741003036</v>
      </c>
      <c r="AM53" s="545">
        <f t="shared" si="155"/>
        <v>4800</v>
      </c>
      <c r="AN53" s="460">
        <f t="shared" si="156"/>
        <v>89.621755862840004</v>
      </c>
      <c r="AP53">
        <f t="shared" si="157"/>
        <v>4800</v>
      </c>
      <c r="AQ53" s="460">
        <f t="shared" si="158"/>
        <v>89.621755862840004</v>
      </c>
      <c r="AR53" s="460"/>
      <c r="AS53" s="5">
        <f t="shared" si="101"/>
        <v>11.158004999706009</v>
      </c>
      <c r="AT53" s="5">
        <f t="shared" si="159"/>
        <v>1.9554782622008822</v>
      </c>
      <c r="AU53" s="5">
        <f t="shared" si="102"/>
        <v>9.2025267375051261</v>
      </c>
      <c r="AV53" s="5">
        <f t="shared" si="160"/>
        <v>9.0025267375051268</v>
      </c>
      <c r="AW53" s="173">
        <f t="shared" si="103"/>
        <v>0.17525339541005808</v>
      </c>
      <c r="AX53" s="173">
        <f t="shared" si="161"/>
        <v>73.422881390086133</v>
      </c>
      <c r="AY53" s="173">
        <f t="shared" si="162"/>
        <v>4.8186335841255428</v>
      </c>
      <c r="AZ53" s="173">
        <f t="shared" si="104"/>
        <v>15.237282542497052</v>
      </c>
      <c r="BA53" s="460">
        <f t="shared" si="163"/>
        <v>62.575304390428229</v>
      </c>
      <c r="BB53" s="5">
        <f t="shared" si="164"/>
        <v>2.5667021094437534</v>
      </c>
      <c r="BC53" s="5"/>
      <c r="BD53" s="173">
        <f t="shared" si="105"/>
        <v>2.8242683271411404</v>
      </c>
      <c r="BE53" s="173">
        <f t="shared" si="165"/>
        <v>6.1267901199791526</v>
      </c>
      <c r="BF53" s="173"/>
      <c r="BG53" s="528">
        <f t="shared" si="166"/>
        <v>0.15952983167385232</v>
      </c>
      <c r="BH53" s="528">
        <f t="shared" si="167"/>
        <v>1.7196187245265693</v>
      </c>
      <c r="BI53" s="528">
        <f t="shared" si="168"/>
        <v>0.16066270440099459</v>
      </c>
      <c r="BJ53" s="528">
        <f t="shared" si="169"/>
        <v>6.8735581828606535E-2</v>
      </c>
      <c r="BK53">
        <f t="shared" si="170"/>
        <v>3.2268154661506551E-2</v>
      </c>
      <c r="BL53" s="460">
        <f t="shared" si="106"/>
        <v>192.93085906250113</v>
      </c>
      <c r="BM53" s="528">
        <f t="shared" si="171"/>
        <v>2.0693961814401884</v>
      </c>
      <c r="BN53" s="460">
        <f t="shared" si="107"/>
        <v>2069.3961814401882</v>
      </c>
      <c r="BO53" s="528">
        <f t="shared" si="172"/>
        <v>2.9819999999999998</v>
      </c>
      <c r="BP53" s="528"/>
      <c r="BR53" s="460">
        <f t="shared" si="109"/>
        <v>2981.9999999999995</v>
      </c>
      <c r="BS53" s="528">
        <f t="shared" si="173"/>
        <v>0.23929474751077845</v>
      </c>
      <c r="BT53" s="528">
        <f t="shared" si="174"/>
        <v>1.1261267152282246</v>
      </c>
      <c r="BU53" s="528">
        <f t="shared" si="175"/>
        <v>1.08</v>
      </c>
      <c r="BV53" s="528">
        <f t="shared" si="176"/>
        <v>3.1131876753533212</v>
      </c>
      <c r="BW53" s="528">
        <f t="shared" si="177"/>
        <v>1.2237146898347689E-2</v>
      </c>
      <c r="BX53" s="460">
        <f t="shared" si="110"/>
        <v>3125.424822251669</v>
      </c>
      <c r="BY53" s="173">
        <f t="shared" si="45"/>
        <v>8.3697518627543595</v>
      </c>
      <c r="BZ53" s="5">
        <f t="shared" si="111"/>
        <v>72</v>
      </c>
      <c r="CA53" s="173">
        <f t="shared" si="112"/>
        <v>0.89585942884274183</v>
      </c>
      <c r="CB53" s="5">
        <f t="shared" si="113"/>
        <v>89.585942884274189</v>
      </c>
      <c r="CE53" s="562">
        <f t="shared" si="178"/>
        <v>-50</v>
      </c>
      <c r="CF53">
        <f t="shared" si="179"/>
        <v>-50</v>
      </c>
      <c r="CG53" s="173">
        <f t="shared" si="180"/>
        <v>0.81914158842534657</v>
      </c>
      <c r="CI53" s="170">
        <v>48</v>
      </c>
      <c r="CJ53" s="217">
        <f t="shared" si="114"/>
        <v>4.8</v>
      </c>
      <c r="CK53" s="217"/>
      <c r="CL53" s="217">
        <f t="shared" si="49"/>
        <v>72</v>
      </c>
      <c r="CM53" s="541">
        <f t="shared" si="50"/>
        <v>72</v>
      </c>
      <c r="CN53" s="172">
        <f t="shared" si="51"/>
        <v>15.4</v>
      </c>
      <c r="CO53" s="443">
        <f t="shared" si="52"/>
        <v>87.4</v>
      </c>
      <c r="CP53" s="443"/>
      <c r="CQ53" s="217">
        <f t="shared" si="53"/>
        <v>0.17620137299771166</v>
      </c>
      <c r="CR53" s="172">
        <f t="shared" si="54"/>
        <v>318.30425629290613</v>
      </c>
      <c r="CS53" s="172">
        <f t="shared" si="115"/>
        <v>72</v>
      </c>
      <c r="CT53" s="217">
        <f t="shared" si="55"/>
        <v>21.220283752860407</v>
      </c>
      <c r="CU53" s="217">
        <f t="shared" si="56"/>
        <v>15</v>
      </c>
      <c r="CV53" s="217">
        <f t="shared" si="57"/>
        <v>21.144164759725399</v>
      </c>
      <c r="CW53" s="172">
        <f t="shared" si="58"/>
        <v>303.09489451229911</v>
      </c>
      <c r="CX53" s="172">
        <f t="shared" si="59"/>
        <v>15</v>
      </c>
      <c r="CY53" s="217">
        <f t="shared" si="60"/>
        <v>11.350649350649352</v>
      </c>
      <c r="CZ53" s="217">
        <f t="shared" si="61"/>
        <v>1.8917748917748922</v>
      </c>
      <c r="DA53" s="217">
        <f t="shared" si="62"/>
        <v>8.84466183167482</v>
      </c>
      <c r="DB53" s="197">
        <f t="shared" si="63"/>
        <v>105.72082379862701</v>
      </c>
      <c r="DC53" s="443">
        <f t="shared" si="116"/>
        <v>93.140771538836134</v>
      </c>
      <c r="DE53" s="217">
        <f t="shared" si="64"/>
        <v>9.9999999999999982</v>
      </c>
      <c r="DF53" s="173">
        <f t="shared" si="65"/>
        <v>7.7922077922077895</v>
      </c>
      <c r="DG53" s="173">
        <f t="shared" si="66"/>
        <v>4.118993135011439</v>
      </c>
      <c r="DH53" s="173"/>
      <c r="DI53" s="173">
        <f t="shared" si="67"/>
        <v>7.7922077922077913</v>
      </c>
      <c r="DJ53" s="545">
        <f t="shared" si="117"/>
        <v>123.2</v>
      </c>
      <c r="DK53" s="528">
        <f t="shared" si="68"/>
        <v>4.1189931350114417</v>
      </c>
      <c r="DM53" s="173">
        <f t="shared" si="69"/>
        <v>5.9329587896765306</v>
      </c>
      <c r="DN53" s="173">
        <f t="shared" si="70"/>
        <v>11.350649350649352</v>
      </c>
      <c r="DO53" s="173">
        <f t="shared" si="71"/>
        <v>2.2004810004810014</v>
      </c>
      <c r="DQ53" s="545">
        <f t="shared" si="72"/>
        <v>4800</v>
      </c>
      <c r="DR53" s="460">
        <f t="shared" si="73"/>
        <v>93.140771538836134</v>
      </c>
      <c r="DT53">
        <f t="shared" si="74"/>
        <v>4800</v>
      </c>
      <c r="DU53" s="460">
        <f t="shared" si="75"/>
        <v>93.140771538836134</v>
      </c>
      <c r="DV53" s="460"/>
      <c r="DW53" s="5">
        <f t="shared" si="118"/>
        <v>10.736436723449712</v>
      </c>
      <c r="DX53" s="5">
        <f t="shared" si="76"/>
        <v>1.8917748917748922</v>
      </c>
      <c r="DY53" s="5">
        <f t="shared" si="119"/>
        <v>8.84466183167482</v>
      </c>
      <c r="DZ53" s="5">
        <f t="shared" si="77"/>
        <v>8.84466183167482</v>
      </c>
      <c r="EA53" s="173">
        <f t="shared" si="120"/>
        <v>0.17620137299771169</v>
      </c>
      <c r="EB53" s="173">
        <f t="shared" si="78"/>
        <v>72.000000000000028</v>
      </c>
      <c r="EC53" s="173">
        <f t="shared" si="79"/>
        <v>4.675324675324676</v>
      </c>
      <c r="ED53" s="173">
        <f t="shared" si="121"/>
        <v>15.400000000000004</v>
      </c>
      <c r="EE53" s="460">
        <f t="shared" si="80"/>
        <v>60.536796536796551</v>
      </c>
      <c r="EF53" s="5">
        <f t="shared" si="81"/>
        <v>2.4568505087985613</v>
      </c>
      <c r="EG53" s="5"/>
      <c r="EH53" s="173">
        <f t="shared" si="122"/>
        <v>2.7508361578072167</v>
      </c>
      <c r="EI53" s="173">
        <f t="shared" si="82"/>
        <v>5.9479952359344814</v>
      </c>
      <c r="EJ53" s="173"/>
      <c r="EK53" s="528">
        <f t="shared" si="83"/>
        <v>0.15134199134199142</v>
      </c>
      <c r="EL53" s="528">
        <f t="shared" si="84"/>
        <v>1.8480000000000001</v>
      </c>
      <c r="EM53" s="528">
        <f t="shared" si="85"/>
        <v>1.1642596442354517E-2</v>
      </c>
      <c r="EN53" s="528">
        <f t="shared" si="86"/>
        <v>7.1148000000000003E-2</v>
      </c>
      <c r="EO53">
        <f t="shared" si="87"/>
        <v>3.2399999999999998E-2</v>
      </c>
      <c r="EP53" s="460">
        <f t="shared" si="123"/>
        <v>44.042596442354515</v>
      </c>
      <c r="EQ53" s="528">
        <f t="shared" si="88"/>
        <v>2.235791430082235</v>
      </c>
      <c r="ER53" s="460">
        <f t="shared" si="124"/>
        <v>2235.7914300822349</v>
      </c>
      <c r="ES53" s="528">
        <f t="shared" si="125"/>
        <v>2.9819999999999998</v>
      </c>
      <c r="ET53" s="528"/>
      <c r="EV53" s="460">
        <f t="shared" si="126"/>
        <v>2981.9999999999995</v>
      </c>
      <c r="EW53" s="528">
        <f t="shared" si="89"/>
        <v>0.22701298701298711</v>
      </c>
      <c r="EX53" s="528">
        <f t="shared" si="90"/>
        <v>1.0613594198009786</v>
      </c>
      <c r="EY53" s="528">
        <f t="shared" si="91"/>
        <v>1.8170687138587027</v>
      </c>
      <c r="EZ53" s="528">
        <f t="shared" si="92"/>
        <v>3.8070414731569664</v>
      </c>
      <c r="FA53" s="528">
        <f t="shared" si="93"/>
        <v>1.2000000000000004E-2</v>
      </c>
      <c r="FB53" s="460">
        <f t="shared" si="127"/>
        <v>3819.0414731569663</v>
      </c>
      <c r="FC53" s="173">
        <f t="shared" si="128"/>
        <v>9.0368329032392012</v>
      </c>
      <c r="FD53" s="5">
        <f t="shared" si="129"/>
        <v>72</v>
      </c>
      <c r="FE53" s="173">
        <f t="shared" si="130"/>
        <v>0.88848487065098536</v>
      </c>
      <c r="FF53" s="5">
        <f t="shared" si="131"/>
        <v>88.848487065098539</v>
      </c>
      <c r="FI53" s="562">
        <f t="shared" si="94"/>
        <v>-50</v>
      </c>
      <c r="FJ53">
        <f t="shared" si="95"/>
        <v>-50</v>
      </c>
      <c r="FL53">
        <f t="shared" si="181"/>
        <v>0.82379862700228834</v>
      </c>
    </row>
    <row r="54" spans="5:168">
      <c r="E54" s="170">
        <v>49</v>
      </c>
      <c r="F54" s="217">
        <f t="shared" si="182"/>
        <v>4.9000000000000004</v>
      </c>
      <c r="G54" s="217"/>
      <c r="H54" s="217">
        <f t="shared" si="132"/>
        <v>73.5</v>
      </c>
      <c r="I54" s="541">
        <f t="shared" si="133"/>
        <v>71.700941106611239</v>
      </c>
      <c r="J54" s="172">
        <f t="shared" si="134"/>
        <v>15.579435336033258</v>
      </c>
      <c r="K54" s="172">
        <f t="shared" si="135"/>
        <v>87.579435336033256</v>
      </c>
      <c r="L54" s="443"/>
      <c r="M54" s="217">
        <f t="shared" si="136"/>
        <v>0.17848936566307017</v>
      </c>
      <c r="N54" s="172">
        <f t="shared" si="137"/>
        <v>321.09819438370556</v>
      </c>
      <c r="O54" s="172">
        <f t="shared" si="98"/>
        <v>73.5</v>
      </c>
      <c r="P54" s="217">
        <f t="shared" si="138"/>
        <v>21.406546292247036</v>
      </c>
      <c r="Q54" s="217">
        <f t="shared" si="139"/>
        <v>15</v>
      </c>
      <c r="R54" s="217">
        <f t="shared" si="140"/>
        <v>21.329759159273653</v>
      </c>
      <c r="S54" s="172">
        <f t="shared" si="141"/>
        <v>294.21753481409627</v>
      </c>
      <c r="T54" s="172">
        <f t="shared" si="142"/>
        <v>15</v>
      </c>
      <c r="U54" s="217">
        <f t="shared" si="143"/>
        <v>11.929243019367517</v>
      </c>
      <c r="V54" s="217">
        <f t="shared" si="11"/>
        <v>1.996499823057565</v>
      </c>
      <c r="W54" s="217">
        <f t="shared" si="144"/>
        <v>9.1884534416546089</v>
      </c>
      <c r="X54" s="197">
        <f t="shared" si="145"/>
        <v>106.65438412696395</v>
      </c>
      <c r="Y54" s="443">
        <f t="shared" si="14"/>
        <v>87.835231006131082</v>
      </c>
      <c r="AA54" s="217">
        <f t="shared" si="146"/>
        <v>10</v>
      </c>
      <c r="AB54" s="173">
        <f t="shared" si="147"/>
        <v>7.7024614443153281</v>
      </c>
      <c r="AC54" s="173">
        <f t="shared" si="148"/>
        <v>4.1075064080256825</v>
      </c>
      <c r="AD54" s="173"/>
      <c r="AE54" s="173">
        <f t="shared" si="149"/>
        <v>7.7024614443153281</v>
      </c>
      <c r="AF54" s="545">
        <f t="shared" si="150"/>
        <v>127.23205524427163</v>
      </c>
      <c r="AG54" s="528">
        <f t="shared" si="151"/>
        <v>4.1075064080256833</v>
      </c>
      <c r="AI54" s="173">
        <f t="shared" si="152"/>
        <v>6.0292632870092513</v>
      </c>
      <c r="AJ54" s="173">
        <f t="shared" si="153"/>
        <v>11.929243019367517</v>
      </c>
      <c r="AK54" s="173">
        <f t="shared" si="154"/>
        <v>2.6290689032351979</v>
      </c>
      <c r="AM54" s="545">
        <f t="shared" si="155"/>
        <v>4900</v>
      </c>
      <c r="AN54" s="460">
        <f t="shared" si="156"/>
        <v>87.835231006131082</v>
      </c>
      <c r="AP54">
        <f t="shared" si="157"/>
        <v>4900</v>
      </c>
      <c r="AQ54" s="460">
        <f t="shared" si="158"/>
        <v>87.835231006131082</v>
      </c>
      <c r="AR54" s="460"/>
      <c r="AS54" s="5">
        <f t="shared" si="101"/>
        <v>11.384953264712173</v>
      </c>
      <c r="AT54" s="5">
        <f t="shared" si="159"/>
        <v>1.996499823057565</v>
      </c>
      <c r="AU54" s="5">
        <f t="shared" si="102"/>
        <v>9.3884534416546082</v>
      </c>
      <c r="AV54" s="5">
        <f t="shared" si="160"/>
        <v>9.1884534416546089</v>
      </c>
      <c r="AW54" s="173">
        <f t="shared" si="103"/>
        <v>0.17536302316196106</v>
      </c>
      <c r="AX54" s="173">
        <f t="shared" si="161"/>
        <v>74.997324471876794</v>
      </c>
      <c r="AY54" s="173">
        <f t="shared" si="162"/>
        <v>4.9186474497287547</v>
      </c>
      <c r="AZ54" s="173">
        <f t="shared" si="104"/>
        <v>15.247550315079529</v>
      </c>
      <c r="BA54" s="460">
        <f t="shared" si="163"/>
        <v>65.218994219880457</v>
      </c>
      <c r="BB54" s="5">
        <f t="shared" si="164"/>
        <v>2.6733390311958889</v>
      </c>
      <c r="BC54" s="5"/>
      <c r="BD54" s="173">
        <f t="shared" si="105"/>
        <v>2.88417275871352</v>
      </c>
      <c r="BE54" s="173">
        <f t="shared" si="165"/>
        <v>6.2543713115658335</v>
      </c>
      <c r="BF54" s="173"/>
      <c r="BG54" s="528">
        <f t="shared" si="166"/>
        <v>0.16636905004210312</v>
      </c>
      <c r="BH54" s="528">
        <f t="shared" si="167"/>
        <v>1.7206203167859522</v>
      </c>
      <c r="BI54" s="528">
        <f t="shared" si="168"/>
        <v>0.15744671813640493</v>
      </c>
      <c r="BJ54" s="528">
        <f t="shared" si="169"/>
        <v>6.7371005531943584E-2</v>
      </c>
      <c r="BK54">
        <f t="shared" si="170"/>
        <v>3.2265423497975058E-2</v>
      </c>
      <c r="BL54" s="460">
        <f t="shared" si="106"/>
        <v>189.71214163438</v>
      </c>
      <c r="BM54" s="528">
        <f t="shared" si="171"/>
        <v>2.0815627039254294</v>
      </c>
      <c r="BN54" s="460">
        <f t="shared" si="107"/>
        <v>2081.5627039254296</v>
      </c>
      <c r="BO54" s="528">
        <f t="shared" si="172"/>
        <v>3.0441250000000002</v>
      </c>
      <c r="BP54" s="528"/>
      <c r="BR54" s="460">
        <f t="shared" si="109"/>
        <v>3044.125</v>
      </c>
      <c r="BS54" s="528">
        <f t="shared" si="173"/>
        <v>0.24955357506315468</v>
      </c>
      <c r="BT54" s="528">
        <f t="shared" si="174"/>
        <v>1.1735148150881316</v>
      </c>
      <c r="BU54" s="528">
        <f t="shared" si="175"/>
        <v>1.1025</v>
      </c>
      <c r="BV54" s="528">
        <f t="shared" si="176"/>
        <v>3.2354456369018258</v>
      </c>
      <c r="BW54" s="528">
        <f t="shared" si="177"/>
        <v>1.2499554078646133E-2</v>
      </c>
      <c r="BX54" s="460">
        <f t="shared" si="110"/>
        <v>3247.945190980472</v>
      </c>
      <c r="BY54" s="173">
        <f t="shared" si="45"/>
        <v>8.5633450365402819</v>
      </c>
      <c r="BZ54" s="5">
        <f t="shared" si="111"/>
        <v>73.5</v>
      </c>
      <c r="CA54" s="173">
        <f t="shared" si="112"/>
        <v>0.89564957371982235</v>
      </c>
      <c r="CB54" s="5">
        <f t="shared" si="113"/>
        <v>89.564957371982231</v>
      </c>
      <c r="CE54" s="562">
        <f t="shared" si="178"/>
        <v>-50</v>
      </c>
      <c r="CF54">
        <f t="shared" si="179"/>
        <v>-50</v>
      </c>
      <c r="CG54" s="173">
        <f t="shared" si="180"/>
        <v>0.81923663002895764</v>
      </c>
      <c r="CI54" s="170">
        <v>49</v>
      </c>
      <c r="CJ54" s="217">
        <f t="shared" si="114"/>
        <v>4.9000000000000004</v>
      </c>
      <c r="CK54" s="217"/>
      <c r="CL54" s="217">
        <f t="shared" si="49"/>
        <v>73.5</v>
      </c>
      <c r="CM54" s="541">
        <f t="shared" si="50"/>
        <v>72</v>
      </c>
      <c r="CN54" s="172">
        <f t="shared" si="51"/>
        <v>15.4</v>
      </c>
      <c r="CO54" s="443">
        <f t="shared" si="52"/>
        <v>87.4</v>
      </c>
      <c r="CP54" s="443"/>
      <c r="CQ54" s="217">
        <f t="shared" si="53"/>
        <v>0.17620137299771166</v>
      </c>
      <c r="CR54" s="172">
        <f t="shared" si="54"/>
        <v>318.30425629290613</v>
      </c>
      <c r="CS54" s="172">
        <f t="shared" si="115"/>
        <v>73.5</v>
      </c>
      <c r="CT54" s="217">
        <f t="shared" si="55"/>
        <v>21.220283752860407</v>
      </c>
      <c r="CU54" s="217">
        <f t="shared" si="56"/>
        <v>15</v>
      </c>
      <c r="CV54" s="217">
        <f t="shared" si="57"/>
        <v>21.144164759725399</v>
      </c>
      <c r="CW54" s="172">
        <f t="shared" si="58"/>
        <v>295.44428728362038</v>
      </c>
      <c r="CX54" s="172">
        <f t="shared" si="59"/>
        <v>15</v>
      </c>
      <c r="CY54" s="217">
        <f t="shared" si="60"/>
        <v>11.587121212121213</v>
      </c>
      <c r="CZ54" s="217">
        <f t="shared" si="61"/>
        <v>1.9311868686868687</v>
      </c>
      <c r="DA54" s="217">
        <f t="shared" si="62"/>
        <v>9.0289256198347108</v>
      </c>
      <c r="DB54" s="197">
        <f t="shared" si="63"/>
        <v>105.72082379862701</v>
      </c>
      <c r="DC54" s="443">
        <f t="shared" si="116"/>
        <v>91.239939466614999</v>
      </c>
      <c r="DE54" s="217">
        <f t="shared" si="64"/>
        <v>9.9999999999999982</v>
      </c>
      <c r="DF54" s="173">
        <f t="shared" si="65"/>
        <v>7.7922077922077895</v>
      </c>
      <c r="DG54" s="173">
        <f t="shared" si="66"/>
        <v>4.118993135011439</v>
      </c>
      <c r="DH54" s="173"/>
      <c r="DI54" s="173">
        <f t="shared" si="67"/>
        <v>7.7922077922077913</v>
      </c>
      <c r="DJ54" s="545">
        <f t="shared" si="117"/>
        <v>125.76666666666668</v>
      </c>
      <c r="DK54" s="528">
        <f t="shared" si="68"/>
        <v>4.1189931350114417</v>
      </c>
      <c r="DM54" s="173">
        <f t="shared" si="69"/>
        <v>5.994441870043727</v>
      </c>
      <c r="DN54" s="173">
        <f t="shared" si="70"/>
        <v>11.587121212121213</v>
      </c>
      <c r="DO54" s="173">
        <f t="shared" si="71"/>
        <v>2.3756453423120094</v>
      </c>
      <c r="DQ54" s="545">
        <f t="shared" si="72"/>
        <v>4900</v>
      </c>
      <c r="DR54" s="460">
        <f t="shared" si="73"/>
        <v>91.239939466614999</v>
      </c>
      <c r="DT54">
        <f t="shared" si="74"/>
        <v>4900</v>
      </c>
      <c r="DU54" s="460">
        <f t="shared" si="75"/>
        <v>91.239939466614999</v>
      </c>
      <c r="DV54" s="460"/>
      <c r="DW54" s="5">
        <f t="shared" si="118"/>
        <v>10.960112488521579</v>
      </c>
      <c r="DX54" s="5">
        <f t="shared" si="76"/>
        <v>1.9311868686868687</v>
      </c>
      <c r="DY54" s="5">
        <f t="shared" si="119"/>
        <v>9.0289256198347108</v>
      </c>
      <c r="DZ54" s="5">
        <f t="shared" si="77"/>
        <v>9.0289256198347108</v>
      </c>
      <c r="EA54" s="173">
        <f t="shared" si="120"/>
        <v>0.17620137299771169</v>
      </c>
      <c r="EB54" s="173">
        <f t="shared" si="78"/>
        <v>73.5</v>
      </c>
      <c r="EC54" s="173">
        <f t="shared" si="79"/>
        <v>4.7727272727272734</v>
      </c>
      <c r="ED54" s="173">
        <f t="shared" si="121"/>
        <v>15.399999999999999</v>
      </c>
      <c r="EE54" s="460">
        <f t="shared" si="80"/>
        <v>63.085437710437716</v>
      </c>
      <c r="EF54" s="5">
        <f t="shared" si="81"/>
        <v>2.5602856213651664</v>
      </c>
      <c r="EG54" s="5"/>
      <c r="EH54" s="173">
        <f t="shared" si="122"/>
        <v>2.8081452444282</v>
      </c>
      <c r="EI54" s="173">
        <f t="shared" si="82"/>
        <v>6.0719118033497823</v>
      </c>
      <c r="EJ54" s="173"/>
      <c r="EK54" s="528">
        <f t="shared" si="83"/>
        <v>0.1577135942760943</v>
      </c>
      <c r="EL54" s="528">
        <f t="shared" si="84"/>
        <v>1.8480000000000003</v>
      </c>
      <c r="EM54" s="528">
        <f t="shared" si="85"/>
        <v>1.1404992433326875E-2</v>
      </c>
      <c r="EN54" s="528">
        <f t="shared" si="86"/>
        <v>6.9696000000000022E-2</v>
      </c>
      <c r="EO54">
        <f t="shared" si="87"/>
        <v>3.2399999999999998E-2</v>
      </c>
      <c r="EP54" s="460">
        <f t="shared" si="123"/>
        <v>43.804992433326873</v>
      </c>
      <c r="EQ54" s="528">
        <f t="shared" si="88"/>
        <v>2.2459595374198154</v>
      </c>
      <c r="ER54" s="460">
        <f t="shared" si="124"/>
        <v>2245.9595374198152</v>
      </c>
      <c r="ES54" s="528">
        <f t="shared" si="125"/>
        <v>3.0441250000000002</v>
      </c>
      <c r="ET54" s="528"/>
      <c r="EV54" s="460">
        <f t="shared" si="126"/>
        <v>3044.125</v>
      </c>
      <c r="EW54" s="528">
        <f t="shared" si="89"/>
        <v>0.23657039141414146</v>
      </c>
      <c r="EX54" s="528">
        <f t="shared" si="90"/>
        <v>1.106043388429752</v>
      </c>
      <c r="EY54" s="528">
        <f t="shared" si="91"/>
        <v>1.8170687138586994</v>
      </c>
      <c r="EZ54" s="528">
        <f t="shared" si="92"/>
        <v>3.9009022052303868</v>
      </c>
      <c r="FA54" s="528">
        <f t="shared" si="93"/>
        <v>1.2250000000000002E-2</v>
      </c>
      <c r="FB54" s="460">
        <f t="shared" si="127"/>
        <v>3913.1522052303867</v>
      </c>
      <c r="FC54" s="173">
        <f t="shared" si="128"/>
        <v>9.2032367426502031</v>
      </c>
      <c r="FD54" s="5">
        <f t="shared" si="129"/>
        <v>73.5</v>
      </c>
      <c r="FE54" s="173">
        <f t="shared" si="130"/>
        <v>0.88871975142535042</v>
      </c>
      <c r="FF54" s="5">
        <f t="shared" si="131"/>
        <v>88.871975142535035</v>
      </c>
      <c r="FI54" s="562">
        <f t="shared" si="94"/>
        <v>-50</v>
      </c>
      <c r="FJ54">
        <f t="shared" si="95"/>
        <v>-50</v>
      </c>
      <c r="FL54">
        <f t="shared" si="181"/>
        <v>0.82379862700228834</v>
      </c>
    </row>
    <row r="55" spans="5:168">
      <c r="E55" s="170">
        <v>50</v>
      </c>
      <c r="F55" s="217">
        <f t="shared" si="182"/>
        <v>5</v>
      </c>
      <c r="G55" s="217"/>
      <c r="H55" s="217">
        <f t="shared" si="132"/>
        <v>75</v>
      </c>
      <c r="I55" s="541">
        <f t="shared" si="133"/>
        <v>71.694871846590999</v>
      </c>
      <c r="J55" s="172">
        <f t="shared" si="134"/>
        <v>15.583076892045405</v>
      </c>
      <c r="K55" s="172">
        <f t="shared" si="135"/>
        <v>87.583076892045398</v>
      </c>
      <c r="L55" s="443"/>
      <c r="M55" s="217">
        <f t="shared" si="136"/>
        <v>0.17853605572296094</v>
      </c>
      <c r="N55" s="172">
        <f t="shared" si="137"/>
        <v>321.15500164349265</v>
      </c>
      <c r="O55" s="172">
        <f t="shared" si="98"/>
        <v>75</v>
      </c>
      <c r="P55" s="217">
        <f t="shared" si="138"/>
        <v>21.41033344289951</v>
      </c>
      <c r="Q55" s="217">
        <f t="shared" si="139"/>
        <v>15</v>
      </c>
      <c r="R55" s="217">
        <f t="shared" si="140"/>
        <v>21.333532725089185</v>
      </c>
      <c r="S55" s="172">
        <f t="shared" si="141"/>
        <v>286.87931340028473</v>
      </c>
      <c r="T55" s="172">
        <f t="shared" si="142"/>
        <v>15</v>
      </c>
      <c r="U55" s="217">
        <f t="shared" si="143"/>
        <v>12.17338882572732</v>
      </c>
      <c r="V55" s="217">
        <f t="shared" si="11"/>
        <v>2.037532980340683</v>
      </c>
      <c r="W55" s="217">
        <f t="shared" si="144"/>
        <v>9.374314644067292</v>
      </c>
      <c r="X55" s="197">
        <f t="shared" si="145"/>
        <v>106.67325069860327</v>
      </c>
      <c r="Y55" s="443">
        <f t="shared" si="14"/>
        <v>86.118939237370896</v>
      </c>
      <c r="AA55" s="217">
        <f t="shared" si="146"/>
        <v>10</v>
      </c>
      <c r="AB55" s="173">
        <f t="shared" si="147"/>
        <v>7.7006614824095267</v>
      </c>
      <c r="AC55" s="173">
        <f t="shared" si="148"/>
        <v>4.107272964290746</v>
      </c>
      <c r="AD55" s="173"/>
      <c r="AE55" s="173">
        <f t="shared" si="149"/>
        <v>7.7006614824095267</v>
      </c>
      <c r="AF55" s="545">
        <f t="shared" si="150"/>
        <v>129.85897410037836</v>
      </c>
      <c r="AG55" s="528">
        <f t="shared" si="151"/>
        <v>4.1072729642907468</v>
      </c>
      <c r="AI55" s="173">
        <f t="shared" si="152"/>
        <v>6.0911874071218275</v>
      </c>
      <c r="AJ55" s="173">
        <f t="shared" si="153"/>
        <v>12.17338882572732</v>
      </c>
      <c r="AK55" s="173">
        <f t="shared" si="154"/>
        <v>2.8099176486869037</v>
      </c>
      <c r="AM55" s="545">
        <f t="shared" si="155"/>
        <v>5000</v>
      </c>
      <c r="AN55" s="460">
        <f t="shared" si="156"/>
        <v>86.118939237370896</v>
      </c>
      <c r="AP55">
        <f t="shared" si="157"/>
        <v>5000</v>
      </c>
      <c r="AQ55" s="460">
        <f t="shared" si="158"/>
        <v>86.118939237370896</v>
      </c>
      <c r="AR55" s="460"/>
      <c r="AS55" s="5">
        <f t="shared" si="101"/>
        <v>11.611847624407975</v>
      </c>
      <c r="AT55" s="5">
        <f t="shared" si="159"/>
        <v>2.037532980340683</v>
      </c>
      <c r="AU55" s="5">
        <f t="shared" si="102"/>
        <v>9.574314644067293</v>
      </c>
      <c r="AV55" s="5">
        <f t="shared" si="160"/>
        <v>9.374314644067292</v>
      </c>
      <c r="AW55" s="173">
        <f t="shared" si="103"/>
        <v>0.17547017892809852</v>
      </c>
      <c r="AX55" s="173">
        <f t="shared" si="161"/>
        <v>76.572514708604757</v>
      </c>
      <c r="AY55" s="173">
        <f t="shared" si="162"/>
        <v>5.0186610551578159</v>
      </c>
      <c r="AZ55" s="173">
        <f t="shared" si="104"/>
        <v>15.257558513522063</v>
      </c>
      <c r="BA55" s="460">
        <f t="shared" si="163"/>
        <v>67.917766011356093</v>
      </c>
      <c r="BB55" s="5">
        <f t="shared" si="164"/>
        <v>2.7821360619051432</v>
      </c>
      <c r="BC55" s="5"/>
      <c r="BD55" s="173">
        <f t="shared" si="105"/>
        <v>2.9440997879601332</v>
      </c>
      <c r="BE55" s="173">
        <f t="shared" si="165"/>
        <v>6.381959595034064</v>
      </c>
      <c r="BF55" s="173"/>
      <c r="BG55" s="528">
        <f t="shared" si="166"/>
        <v>0.17335447122933803</v>
      </c>
      <c r="BH55" s="528">
        <f t="shared" si="167"/>
        <v>1.7215975506979246</v>
      </c>
      <c r="BI55" s="528">
        <f t="shared" si="168"/>
        <v>0.15435715780469159</v>
      </c>
      <c r="BJ55" s="528">
        <f t="shared" si="169"/>
        <v>6.6060075932739673E-2</v>
      </c>
      <c r="BK55">
        <f t="shared" si="170"/>
        <v>3.2262692330965952E-2</v>
      </c>
      <c r="BL55" s="460">
        <f t="shared" si="106"/>
        <v>186.61985013565754</v>
      </c>
      <c r="BM55" s="528">
        <f t="shared" si="171"/>
        <v>2.0940705226826837</v>
      </c>
      <c r="BN55" s="460">
        <f t="shared" si="107"/>
        <v>2094.0705226826835</v>
      </c>
      <c r="BO55" s="528">
        <f t="shared" si="172"/>
        <v>3.1062499999999997</v>
      </c>
      <c r="BP55" s="528"/>
      <c r="BR55" s="460">
        <f t="shared" si="109"/>
        <v>3106.2499999999995</v>
      </c>
      <c r="BS55" s="528">
        <f t="shared" si="173"/>
        <v>0.26003170684400706</v>
      </c>
      <c r="BT55" s="528">
        <f t="shared" si="174"/>
        <v>1.2218822481794207</v>
      </c>
      <c r="BU55" s="528">
        <f t="shared" si="175"/>
        <v>1.125</v>
      </c>
      <c r="BV55" s="528">
        <f t="shared" si="176"/>
        <v>3.3610344075817999</v>
      </c>
      <c r="BW55" s="528">
        <f t="shared" si="177"/>
        <v>1.2762085784767459E-2</v>
      </c>
      <c r="BX55" s="460">
        <f t="shared" si="110"/>
        <v>3373.7964933665676</v>
      </c>
      <c r="BY55" s="173">
        <f t="shared" si="45"/>
        <v>8.7607368661849083</v>
      </c>
      <c r="BZ55" s="5">
        <f t="shared" si="111"/>
        <v>75</v>
      </c>
      <c r="CA55" s="173">
        <f t="shared" si="112"/>
        <v>0.89540759556376692</v>
      </c>
      <c r="CB55" s="5">
        <f t="shared" si="113"/>
        <v>89.540759556376699</v>
      </c>
      <c r="CE55" s="562">
        <f t="shared" si="178"/>
        <v>-50</v>
      </c>
      <c r="CF55">
        <f t="shared" si="179"/>
        <v>-50</v>
      </c>
      <c r="CG55" s="173">
        <f t="shared" si="180"/>
        <v>0.81932786996842422</v>
      </c>
      <c r="CI55" s="170">
        <v>50</v>
      </c>
      <c r="CJ55" s="217">
        <f t="shared" si="114"/>
        <v>5</v>
      </c>
      <c r="CK55" s="217"/>
      <c r="CL55" s="217">
        <f t="shared" si="49"/>
        <v>75</v>
      </c>
      <c r="CM55" s="541">
        <f t="shared" si="50"/>
        <v>72</v>
      </c>
      <c r="CN55" s="172">
        <f t="shared" si="51"/>
        <v>15.4</v>
      </c>
      <c r="CO55" s="443">
        <f t="shared" si="52"/>
        <v>87.4</v>
      </c>
      <c r="CP55" s="443"/>
      <c r="CQ55" s="217">
        <f t="shared" si="53"/>
        <v>0.17620137299771166</v>
      </c>
      <c r="CR55" s="172">
        <f t="shared" si="54"/>
        <v>318.30425629290613</v>
      </c>
      <c r="CS55" s="172">
        <f t="shared" si="115"/>
        <v>75</v>
      </c>
      <c r="CT55" s="217">
        <f t="shared" si="55"/>
        <v>21.220283752860407</v>
      </c>
      <c r="CU55" s="217">
        <f t="shared" si="56"/>
        <v>15</v>
      </c>
      <c r="CV55" s="217">
        <f t="shared" si="57"/>
        <v>21.144164759725399</v>
      </c>
      <c r="CW55" s="172">
        <f t="shared" si="58"/>
        <v>288.09982674972275</v>
      </c>
      <c r="CX55" s="172">
        <f t="shared" si="59"/>
        <v>15</v>
      </c>
      <c r="CY55" s="217">
        <f t="shared" si="60"/>
        <v>11.823593073593074</v>
      </c>
      <c r="CZ55" s="217">
        <f t="shared" si="61"/>
        <v>1.9705988455988457</v>
      </c>
      <c r="DA55" s="217">
        <f t="shared" si="62"/>
        <v>9.2131894079946033</v>
      </c>
      <c r="DB55" s="197">
        <f t="shared" si="63"/>
        <v>105.72082379862701</v>
      </c>
      <c r="DC55" s="443">
        <f t="shared" si="116"/>
        <v>89.415140677282707</v>
      </c>
      <c r="DE55" s="217">
        <f t="shared" si="64"/>
        <v>9.9999999999999982</v>
      </c>
      <c r="DF55" s="173">
        <f t="shared" si="65"/>
        <v>7.7922077922077895</v>
      </c>
      <c r="DG55" s="173">
        <f t="shared" si="66"/>
        <v>4.118993135011439</v>
      </c>
      <c r="DH55" s="173"/>
      <c r="DI55" s="173">
        <f t="shared" si="67"/>
        <v>7.7922077922077913</v>
      </c>
      <c r="DJ55" s="545">
        <f t="shared" si="117"/>
        <v>128.33333333333334</v>
      </c>
      <c r="DK55" s="528">
        <f t="shared" si="68"/>
        <v>4.1189931350114417</v>
      </c>
      <c r="DM55" s="173">
        <f t="shared" si="69"/>
        <v>6.0553007081949835</v>
      </c>
      <c r="DN55" s="173">
        <f t="shared" si="70"/>
        <v>11.823593073593074</v>
      </c>
      <c r="DO55" s="173">
        <f t="shared" si="71"/>
        <v>2.5508096841430175</v>
      </c>
      <c r="DQ55" s="545">
        <f t="shared" si="72"/>
        <v>5000</v>
      </c>
      <c r="DR55" s="460">
        <f t="shared" si="73"/>
        <v>89.415140677282707</v>
      </c>
      <c r="DT55">
        <f t="shared" si="74"/>
        <v>5000</v>
      </c>
      <c r="DU55" s="460">
        <f t="shared" si="75"/>
        <v>89.415140677282707</v>
      </c>
      <c r="DV55" s="460"/>
      <c r="DW55" s="5">
        <f t="shared" si="118"/>
        <v>11.183788253593448</v>
      </c>
      <c r="DX55" s="5">
        <f t="shared" si="76"/>
        <v>1.9705988455988457</v>
      </c>
      <c r="DY55" s="5">
        <f t="shared" si="119"/>
        <v>9.2131894079946033</v>
      </c>
      <c r="DZ55" s="5">
        <f t="shared" si="77"/>
        <v>9.2131894079946033</v>
      </c>
      <c r="EA55" s="173">
        <f t="shared" si="120"/>
        <v>0.17620137299771169</v>
      </c>
      <c r="EB55" s="173">
        <f t="shared" si="78"/>
        <v>75.000000000000014</v>
      </c>
      <c r="EC55" s="173">
        <f t="shared" si="79"/>
        <v>4.8701298701298699</v>
      </c>
      <c r="ED55" s="173">
        <f t="shared" si="121"/>
        <v>15.400000000000004</v>
      </c>
      <c r="EE55" s="460">
        <f t="shared" si="80"/>
        <v>65.686628186628198</v>
      </c>
      <c r="EF55" s="5">
        <f t="shared" si="81"/>
        <v>2.6658534166651049</v>
      </c>
      <c r="EG55" s="5"/>
      <c r="EH55" s="173">
        <f t="shared" si="122"/>
        <v>2.8654543310491838</v>
      </c>
      <c r="EI55" s="173">
        <f t="shared" si="82"/>
        <v>6.1958283707650841</v>
      </c>
      <c r="EJ55" s="173"/>
      <c r="EK55" s="528">
        <f t="shared" si="83"/>
        <v>0.16421657046657051</v>
      </c>
      <c r="EL55" s="528">
        <f t="shared" si="84"/>
        <v>1.8480000000000003</v>
      </c>
      <c r="EM55" s="528">
        <f t="shared" si="85"/>
        <v>1.1176892584660338E-2</v>
      </c>
      <c r="EN55" s="528">
        <f t="shared" si="86"/>
        <v>6.8302080000000015E-2</v>
      </c>
      <c r="EO55">
        <f t="shared" si="87"/>
        <v>3.2399999999999998E-2</v>
      </c>
      <c r="EP55" s="460">
        <f t="shared" si="123"/>
        <v>43.576892584660342</v>
      </c>
      <c r="EQ55" s="528">
        <f t="shared" si="88"/>
        <v>2.2564769108301306</v>
      </c>
      <c r="ER55" s="460">
        <f t="shared" si="124"/>
        <v>2256.4769108301307</v>
      </c>
      <c r="ES55" s="528">
        <f t="shared" si="125"/>
        <v>3.1062499999999997</v>
      </c>
      <c r="ET55" s="528"/>
      <c r="EV55" s="460">
        <f t="shared" si="126"/>
        <v>3106.2499999999995</v>
      </c>
      <c r="EW55" s="528">
        <f t="shared" si="89"/>
        <v>0.24632485569985574</v>
      </c>
      <c r="EX55" s="528">
        <f t="shared" si="90"/>
        <v>1.1516486759993254</v>
      </c>
      <c r="EY55" s="528">
        <f t="shared" si="91"/>
        <v>1.8170687138587027</v>
      </c>
      <c r="EZ55" s="528">
        <f t="shared" si="92"/>
        <v>3.9976439248540014</v>
      </c>
      <c r="FA55" s="528">
        <f t="shared" si="93"/>
        <v>1.2500000000000001E-2</v>
      </c>
      <c r="FB55" s="460">
        <f t="shared" si="127"/>
        <v>4010.1439248540014</v>
      </c>
      <c r="FC55" s="173">
        <f t="shared" si="128"/>
        <v>9.3728708356841306</v>
      </c>
      <c r="FD55" s="5">
        <f t="shared" si="129"/>
        <v>75</v>
      </c>
      <c r="FE55" s="173">
        <f t="shared" si="130"/>
        <v>0.88891132015718943</v>
      </c>
      <c r="FF55" s="5">
        <f t="shared" si="131"/>
        <v>88.891132015718938</v>
      </c>
      <c r="FI55" s="562">
        <f t="shared" si="94"/>
        <v>-50</v>
      </c>
      <c r="FJ55">
        <f t="shared" si="95"/>
        <v>-50</v>
      </c>
      <c r="FL55">
        <f t="shared" si="181"/>
        <v>0.82379862700228834</v>
      </c>
    </row>
    <row r="56" spans="5:168">
      <c r="E56" s="170">
        <v>51</v>
      </c>
      <c r="F56" s="217">
        <f t="shared" si="182"/>
        <v>5.0999999999999996</v>
      </c>
      <c r="G56" s="217"/>
      <c r="H56" s="217">
        <f t="shared" si="132"/>
        <v>76.5</v>
      </c>
      <c r="I56" s="541">
        <f t="shared" si="133"/>
        <v>71.688802579299747</v>
      </c>
      <c r="J56" s="172">
        <f t="shared" si="134"/>
        <v>15.586718452420154</v>
      </c>
      <c r="K56" s="172">
        <f t="shared" si="135"/>
        <v>87.586718452420158</v>
      </c>
      <c r="L56" s="443"/>
      <c r="M56" s="217">
        <f t="shared" si="136"/>
        <v>0.17858274839515384</v>
      </c>
      <c r="N56" s="172">
        <f t="shared" si="137"/>
        <v>321.21179934966273</v>
      </c>
      <c r="O56" s="172">
        <f t="shared" si="98"/>
        <v>76.5</v>
      </c>
      <c r="P56" s="217">
        <f t="shared" si="138"/>
        <v>21.414119956644182</v>
      </c>
      <c r="Q56" s="217">
        <f t="shared" si="139"/>
        <v>15</v>
      </c>
      <c r="R56" s="217">
        <f t="shared" si="140"/>
        <v>21.337305656281568</v>
      </c>
      <c r="S56" s="172">
        <f t="shared" si="141"/>
        <v>279.82922514132741</v>
      </c>
      <c r="T56" s="172">
        <f t="shared" si="142"/>
        <v>15</v>
      </c>
      <c r="U56" s="217">
        <f t="shared" si="143"/>
        <v>12.417562426491191</v>
      </c>
      <c r="V56" s="217">
        <f t="shared" si="11"/>
        <v>2.0785777381769432</v>
      </c>
      <c r="W56" s="217">
        <f t="shared" si="144"/>
        <v>9.5601103960890086</v>
      </c>
      <c r="X56" s="197">
        <f t="shared" si="145"/>
        <v>106.692114121798</v>
      </c>
      <c r="Y56" s="443">
        <f t="shared" si="14"/>
        <v>84.468818559853403</v>
      </c>
      <c r="AA56" s="217">
        <f t="shared" si="146"/>
        <v>10</v>
      </c>
      <c r="AB56" s="173">
        <f t="shared" si="147"/>
        <v>7.6988623594062267</v>
      </c>
      <c r="AC56" s="173">
        <f t="shared" si="148"/>
        <v>4.1070395072889205</v>
      </c>
      <c r="AD56" s="173"/>
      <c r="AE56" s="173">
        <f t="shared" si="149"/>
        <v>7.6988623594062267</v>
      </c>
      <c r="AF56" s="545">
        <f t="shared" si="150"/>
        <v>132.4871068455713</v>
      </c>
      <c r="AG56" s="528">
        <f t="shared" si="151"/>
        <v>4.1070395072889205</v>
      </c>
      <c r="AI56" s="173">
        <f t="shared" si="152"/>
        <v>6.152516485043714</v>
      </c>
      <c r="AJ56" s="173">
        <f t="shared" si="153"/>
        <v>12.417562426491191</v>
      </c>
      <c r="AK56" s="173">
        <f t="shared" si="154"/>
        <v>2.9907869825860676</v>
      </c>
      <c r="AM56" s="545">
        <f t="shared" si="155"/>
        <v>5100</v>
      </c>
      <c r="AN56" s="460">
        <f t="shared" si="156"/>
        <v>84.468818559853403</v>
      </c>
      <c r="AP56">
        <f t="shared" si="157"/>
        <v>5100</v>
      </c>
      <c r="AQ56" s="460">
        <f t="shared" si="158"/>
        <v>84.468818559853403</v>
      </c>
      <c r="AR56" s="460"/>
      <c r="AS56" s="5">
        <f t="shared" si="101"/>
        <v>11.838688134265951</v>
      </c>
      <c r="AT56" s="5">
        <f t="shared" si="159"/>
        <v>2.0785777381769432</v>
      </c>
      <c r="AU56" s="5">
        <f t="shared" si="102"/>
        <v>9.7601103960890079</v>
      </c>
      <c r="AV56" s="5">
        <f t="shared" si="160"/>
        <v>9.5601103960890086</v>
      </c>
      <c r="AW56" s="173">
        <f t="shared" si="103"/>
        <v>0.17557500582861868</v>
      </c>
      <c r="AX56" s="173">
        <f t="shared" si="161"/>
        <v>78.148451010970035</v>
      </c>
      <c r="AY56" s="173">
        <f t="shared" si="162"/>
        <v>5.1186744155413813</v>
      </c>
      <c r="AZ56" s="173">
        <f t="shared" si="104"/>
        <v>15.267322096848895</v>
      </c>
      <c r="BA56" s="460">
        <f t="shared" si="163"/>
        <v>70.671643098016062</v>
      </c>
      <c r="BB56" s="5">
        <f t="shared" si="164"/>
        <v>2.8930926233210537</v>
      </c>
      <c r="BC56" s="5"/>
      <c r="BD56" s="173">
        <f t="shared" si="105"/>
        <v>3.0040494017281048</v>
      </c>
      <c r="BE56" s="173">
        <f t="shared" si="165"/>
        <v>6.5095549820177627</v>
      </c>
      <c r="BF56" s="173"/>
      <c r="BG56" s="528">
        <f t="shared" si="166"/>
        <v>0.18048625616045968</v>
      </c>
      <c r="BH56" s="528">
        <f t="shared" si="167"/>
        <v>1.7225518335195251</v>
      </c>
      <c r="BI56" s="528">
        <f t="shared" si="168"/>
        <v>0.1513867114461005</v>
      </c>
      <c r="BJ56" s="528">
        <f t="shared" si="169"/>
        <v>6.4799690322606684E-2</v>
      </c>
      <c r="BK56">
        <f t="shared" si="170"/>
        <v>3.2259961160684886E-2</v>
      </c>
      <c r="BL56" s="460">
        <f t="shared" si="106"/>
        <v>183.64667260678539</v>
      </c>
      <c r="BM56" s="528">
        <f t="shared" si="171"/>
        <v>2.1069213014071666</v>
      </c>
      <c r="BN56" s="460">
        <f t="shared" si="107"/>
        <v>2106.9213014071665</v>
      </c>
      <c r="BO56" s="528">
        <f t="shared" si="172"/>
        <v>3.1683749999999993</v>
      </c>
      <c r="BP56" s="528"/>
      <c r="BR56" s="460">
        <f t="shared" si="109"/>
        <v>3168.3749999999991</v>
      </c>
      <c r="BS56" s="528">
        <f t="shared" si="173"/>
        <v>0.27072938424068949</v>
      </c>
      <c r="BT56" s="528">
        <f t="shared" si="174"/>
        <v>1.271229181917368</v>
      </c>
      <c r="BU56" s="528">
        <f t="shared" si="175"/>
        <v>1.1475</v>
      </c>
      <c r="BV56" s="528">
        <f t="shared" si="176"/>
        <v>3.4900495682868868</v>
      </c>
      <c r="BW56" s="528">
        <f t="shared" si="177"/>
        <v>1.3024741835161672E-2</v>
      </c>
      <c r="BX56" s="460">
        <f t="shared" si="110"/>
        <v>3503.0743101220487</v>
      </c>
      <c r="BY56" s="173">
        <f t="shared" si="45"/>
        <v>8.9620172841359995</v>
      </c>
      <c r="BZ56" s="5">
        <f t="shared" si="111"/>
        <v>76.5</v>
      </c>
      <c r="CA56" s="173">
        <f t="shared" si="112"/>
        <v>0.89513449870554851</v>
      </c>
      <c r="CB56" s="5">
        <f t="shared" si="113"/>
        <v>89.513449870554851</v>
      </c>
      <c r="CE56" s="562">
        <f t="shared" si="178"/>
        <v>-50</v>
      </c>
      <c r="CF56">
        <f t="shared" si="179"/>
        <v>-50</v>
      </c>
      <c r="CG56" s="173">
        <f t="shared" si="180"/>
        <v>0.81941553187104899</v>
      </c>
      <c r="CI56" s="170">
        <v>51</v>
      </c>
      <c r="CJ56" s="217">
        <f t="shared" si="114"/>
        <v>5.0999999999999996</v>
      </c>
      <c r="CK56" s="217"/>
      <c r="CL56" s="217">
        <f t="shared" si="49"/>
        <v>76.5</v>
      </c>
      <c r="CM56" s="541">
        <f t="shared" si="50"/>
        <v>72</v>
      </c>
      <c r="CN56" s="172">
        <f t="shared" si="51"/>
        <v>15.4</v>
      </c>
      <c r="CO56" s="443">
        <f t="shared" si="52"/>
        <v>87.4</v>
      </c>
      <c r="CP56" s="443"/>
      <c r="CQ56" s="217">
        <f t="shared" si="53"/>
        <v>0.17620137299771166</v>
      </c>
      <c r="CR56" s="172">
        <f t="shared" si="54"/>
        <v>318.30425629290613</v>
      </c>
      <c r="CS56" s="172">
        <f t="shared" si="115"/>
        <v>76.5</v>
      </c>
      <c r="CT56" s="217">
        <f t="shared" si="55"/>
        <v>21.220283752860407</v>
      </c>
      <c r="CU56" s="217">
        <f t="shared" si="56"/>
        <v>15</v>
      </c>
      <c r="CV56" s="217">
        <f t="shared" si="57"/>
        <v>21.144164759725399</v>
      </c>
      <c r="CW56" s="172">
        <f t="shared" si="58"/>
        <v>281.04350606561997</v>
      </c>
      <c r="CX56" s="172">
        <f t="shared" si="59"/>
        <v>15</v>
      </c>
      <c r="CY56" s="217">
        <f t="shared" si="60"/>
        <v>12.060064935064936</v>
      </c>
      <c r="CZ56" s="217">
        <f t="shared" si="61"/>
        <v>2.0100108225108229</v>
      </c>
      <c r="DA56" s="217">
        <f t="shared" si="62"/>
        <v>9.3974531961544958</v>
      </c>
      <c r="DB56" s="197">
        <f t="shared" si="63"/>
        <v>105.72082379862701</v>
      </c>
      <c r="DC56" s="443">
        <f t="shared" si="116"/>
        <v>87.661902624786947</v>
      </c>
      <c r="DE56" s="217">
        <f t="shared" si="64"/>
        <v>9.9999999999999982</v>
      </c>
      <c r="DF56" s="173">
        <f t="shared" si="65"/>
        <v>7.7922077922077895</v>
      </c>
      <c r="DG56" s="173">
        <f t="shared" si="66"/>
        <v>4.118993135011439</v>
      </c>
      <c r="DH56" s="173"/>
      <c r="DI56" s="173">
        <f t="shared" si="67"/>
        <v>7.7922077922077913</v>
      </c>
      <c r="DJ56" s="545">
        <f t="shared" si="117"/>
        <v>130.9</v>
      </c>
      <c r="DK56" s="528">
        <f t="shared" si="68"/>
        <v>4.1189931350114417</v>
      </c>
      <c r="DM56" s="173">
        <f t="shared" si="69"/>
        <v>6.1155539405682617</v>
      </c>
      <c r="DN56" s="173">
        <f t="shared" si="70"/>
        <v>12.060064935064936</v>
      </c>
      <c r="DO56" s="173">
        <f t="shared" si="71"/>
        <v>2.7259740259740268</v>
      </c>
      <c r="DQ56" s="545">
        <f t="shared" si="72"/>
        <v>5100</v>
      </c>
      <c r="DR56" s="460">
        <f t="shared" si="73"/>
        <v>87.661902624786947</v>
      </c>
      <c r="DT56">
        <f t="shared" si="74"/>
        <v>5100</v>
      </c>
      <c r="DU56" s="460">
        <f t="shared" si="75"/>
        <v>87.661902624786947</v>
      </c>
      <c r="DV56" s="460"/>
      <c r="DW56" s="5">
        <f t="shared" si="118"/>
        <v>11.407464018665319</v>
      </c>
      <c r="DX56" s="5">
        <f t="shared" si="76"/>
        <v>2.0100108225108229</v>
      </c>
      <c r="DY56" s="5">
        <f t="shared" si="119"/>
        <v>9.3974531961544958</v>
      </c>
      <c r="DZ56" s="5">
        <f t="shared" si="77"/>
        <v>9.3974531961544958</v>
      </c>
      <c r="EA56" s="173">
        <f t="shared" si="120"/>
        <v>0.17620137299771169</v>
      </c>
      <c r="EB56" s="173">
        <f t="shared" si="78"/>
        <v>76.500000000000014</v>
      </c>
      <c r="EC56" s="173">
        <f t="shared" si="79"/>
        <v>4.9675324675324681</v>
      </c>
      <c r="ED56" s="173">
        <f t="shared" si="121"/>
        <v>15.4</v>
      </c>
      <c r="EE56" s="460">
        <f t="shared" si="80"/>
        <v>68.34036796536796</v>
      </c>
      <c r="EF56" s="5">
        <f t="shared" si="81"/>
        <v>2.7735538946983751</v>
      </c>
      <c r="EG56" s="5"/>
      <c r="EH56" s="173">
        <f t="shared" si="122"/>
        <v>2.9227634176701676</v>
      </c>
      <c r="EI56" s="173">
        <f t="shared" si="82"/>
        <v>6.3197449381803867</v>
      </c>
      <c r="EJ56" s="173"/>
      <c r="EK56" s="528">
        <f t="shared" si="83"/>
        <v>0.17085091991341997</v>
      </c>
      <c r="EL56" s="528">
        <f t="shared" si="84"/>
        <v>1.8480000000000001</v>
      </c>
      <c r="EM56" s="528">
        <f t="shared" si="85"/>
        <v>1.0957737828098368E-2</v>
      </c>
      <c r="EN56" s="528">
        <f t="shared" si="86"/>
        <v>6.6962823529411769E-2</v>
      </c>
      <c r="EO56">
        <f t="shared" si="87"/>
        <v>3.2399999999999998E-2</v>
      </c>
      <c r="EP56" s="460">
        <f t="shared" si="123"/>
        <v>43.357737828098365</v>
      </c>
      <c r="EQ56" s="528">
        <f t="shared" si="88"/>
        <v>2.2673421205725992</v>
      </c>
      <c r="ER56" s="460">
        <f t="shared" si="124"/>
        <v>2267.342120572599</v>
      </c>
      <c r="ES56" s="528">
        <f t="shared" si="125"/>
        <v>3.1683749999999993</v>
      </c>
      <c r="ET56" s="528"/>
      <c r="EV56" s="460">
        <f t="shared" si="126"/>
        <v>3168.3749999999991</v>
      </c>
      <c r="EW56" s="528">
        <f t="shared" si="89"/>
        <v>0.25627637987012997</v>
      </c>
      <c r="EX56" s="528">
        <f t="shared" si="90"/>
        <v>1.1981752825096985</v>
      </c>
      <c r="EY56" s="528">
        <f t="shared" si="91"/>
        <v>1.8170687138586994</v>
      </c>
      <c r="EZ56" s="528">
        <f t="shared" si="92"/>
        <v>4.0973393358823547</v>
      </c>
      <c r="FA56" s="528">
        <f t="shared" si="93"/>
        <v>1.2750000000000001E-2</v>
      </c>
      <c r="FB56" s="460">
        <f t="shared" si="127"/>
        <v>4110.0893358823541</v>
      </c>
      <c r="FC56" s="173">
        <f t="shared" si="128"/>
        <v>9.5458064564549545</v>
      </c>
      <c r="FD56" s="5">
        <f t="shared" si="129"/>
        <v>76.5</v>
      </c>
      <c r="FE56" s="173">
        <f t="shared" si="130"/>
        <v>0.8890613401213715</v>
      </c>
      <c r="FF56" s="5">
        <f t="shared" si="131"/>
        <v>88.906134012137144</v>
      </c>
      <c r="FI56" s="562">
        <f t="shared" si="94"/>
        <v>-50</v>
      </c>
      <c r="FJ56">
        <f t="shared" si="95"/>
        <v>-50</v>
      </c>
      <c r="FL56">
        <f t="shared" si="181"/>
        <v>0.82379862700228834</v>
      </c>
    </row>
    <row r="57" spans="5:168">
      <c r="E57" s="170">
        <v>52</v>
      </c>
      <c r="F57" s="217">
        <f t="shared" si="182"/>
        <v>5.2</v>
      </c>
      <c r="G57" s="217"/>
      <c r="H57" s="217">
        <f t="shared" si="132"/>
        <v>78</v>
      </c>
      <c r="I57" s="541">
        <f t="shared" si="133"/>
        <v>71.682733305159161</v>
      </c>
      <c r="J57" s="172">
        <f t="shared" si="134"/>
        <v>15.590360016904501</v>
      </c>
      <c r="K57" s="172">
        <f t="shared" si="135"/>
        <v>87.590360016904498</v>
      </c>
      <c r="L57" s="443"/>
      <c r="M57" s="217">
        <f t="shared" si="136"/>
        <v>0.17862944367901545</v>
      </c>
      <c r="N57" s="172">
        <f t="shared" si="137"/>
        <v>321.26858750174762</v>
      </c>
      <c r="O57" s="172">
        <f t="shared" si="98"/>
        <v>78</v>
      </c>
      <c r="P57" s="217">
        <f t="shared" si="138"/>
        <v>21.41790583344984</v>
      </c>
      <c r="Q57" s="217">
        <f t="shared" si="139"/>
        <v>15</v>
      </c>
      <c r="R57" s="217">
        <f t="shared" si="140"/>
        <v>21.341077952819688</v>
      </c>
      <c r="S57" s="172">
        <f t="shared" si="141"/>
        <v>273.0506487566239</v>
      </c>
      <c r="T57" s="172">
        <f t="shared" si="142"/>
        <v>15</v>
      </c>
      <c r="U57" s="217">
        <f t="shared" si="143"/>
        <v>12.661763828719188</v>
      </c>
      <c r="V57" s="217">
        <f t="shared" si="11"/>
        <v>2.1196341006948565</v>
      </c>
      <c r="W57" s="217">
        <f t="shared" si="144"/>
        <v>9.7458407490193739</v>
      </c>
      <c r="X57" s="197">
        <f t="shared" si="145"/>
        <v>106.71097439496185</v>
      </c>
      <c r="Y57" s="443">
        <f t="shared" si="14"/>
        <v>82.881114291468194</v>
      </c>
      <c r="AA57" s="217">
        <f t="shared" si="146"/>
        <v>10</v>
      </c>
      <c r="AB57" s="173">
        <f t="shared" si="147"/>
        <v>7.6970640748440049</v>
      </c>
      <c r="AC57" s="173">
        <f t="shared" si="148"/>
        <v>4.1068060370352972</v>
      </c>
      <c r="AD57" s="173"/>
      <c r="AE57" s="173">
        <f t="shared" si="149"/>
        <v>7.6970640748440049</v>
      </c>
      <c r="AF57" s="545">
        <f t="shared" si="150"/>
        <v>135.11645347983898</v>
      </c>
      <c r="AG57" s="528">
        <f t="shared" si="151"/>
        <v>4.1068060370352972</v>
      </c>
      <c r="AI57" s="173">
        <f t="shared" si="152"/>
        <v>6.213268141183006</v>
      </c>
      <c r="AJ57" s="173">
        <f t="shared" si="153"/>
        <v>12.661763828719188</v>
      </c>
      <c r="AK57" s="173">
        <f t="shared" si="154"/>
        <v>3.1716769101623616</v>
      </c>
      <c r="AM57" s="545">
        <f t="shared" si="155"/>
        <v>5200</v>
      </c>
      <c r="AN57" s="460">
        <f t="shared" si="156"/>
        <v>82.881114291468194</v>
      </c>
      <c r="AP57">
        <f t="shared" si="157"/>
        <v>5200</v>
      </c>
      <c r="AQ57" s="460">
        <f t="shared" si="158"/>
        <v>82.881114291468194</v>
      </c>
      <c r="AR57" s="460"/>
      <c r="AS57" s="5">
        <f t="shared" si="101"/>
        <v>12.06547484971423</v>
      </c>
      <c r="AT57" s="5">
        <f t="shared" si="159"/>
        <v>2.1196341006948565</v>
      </c>
      <c r="AU57" s="5">
        <f t="shared" si="102"/>
        <v>9.9458407490193732</v>
      </c>
      <c r="AV57" s="5">
        <f t="shared" si="160"/>
        <v>9.7458407490193739</v>
      </c>
      <c r="AW57" s="173">
        <f t="shared" si="103"/>
        <v>0.17567763615578377</v>
      </c>
      <c r="AX57" s="173">
        <f t="shared" si="161"/>
        <v>79.725132372088353</v>
      </c>
      <c r="AY57" s="173">
        <f t="shared" si="162"/>
        <v>5.2186875448634975</v>
      </c>
      <c r="AZ57" s="173">
        <f t="shared" si="104"/>
        <v>15.276854896315445</v>
      </c>
      <c r="BA57" s="460">
        <f t="shared" si="163"/>
        <v>73.480648824088362</v>
      </c>
      <c r="BB57" s="5">
        <f t="shared" si="164"/>
        <v>3.0062081381771688</v>
      </c>
      <c r="BC57" s="5"/>
      <c r="BD57" s="173">
        <f t="shared" si="105"/>
        <v>3.0640215880648118</v>
      </c>
      <c r="BE57" s="173">
        <f t="shared" si="165"/>
        <v>6.6371574833879992</v>
      </c>
      <c r="BF57" s="173"/>
      <c r="BG57" s="528">
        <f t="shared" si="166"/>
        <v>0.18776456584254422</v>
      </c>
      <c r="BH57" s="528">
        <f t="shared" si="167"/>
        <v>1.7234844660394788</v>
      </c>
      <c r="BI57" s="528">
        <f t="shared" si="168"/>
        <v>0.14852862029474323</v>
      </c>
      <c r="BJ57" s="528">
        <f t="shared" si="169"/>
        <v>6.3586980731824699E-2</v>
      </c>
      <c r="BK57">
        <f t="shared" si="170"/>
        <v>3.2257229987321619E-2</v>
      </c>
      <c r="BL57" s="460">
        <f t="shared" si="106"/>
        <v>180.78585028206484</v>
      </c>
      <c r="BM57" s="528">
        <f t="shared" si="171"/>
        <v>2.1201169268210087</v>
      </c>
      <c r="BN57" s="460">
        <f t="shared" si="107"/>
        <v>2120.1169268210087</v>
      </c>
      <c r="BO57" s="528">
        <f t="shared" si="172"/>
        <v>3.2304999999999997</v>
      </c>
      <c r="BP57" s="528"/>
      <c r="BR57" s="460">
        <f t="shared" si="109"/>
        <v>3230.4999999999995</v>
      </c>
      <c r="BS57" s="528">
        <f t="shared" si="173"/>
        <v>0.28164684876381635</v>
      </c>
      <c r="BT57" s="528">
        <f t="shared" si="174"/>
        <v>1.3215557837787995</v>
      </c>
      <c r="BU57" s="528">
        <f t="shared" si="175"/>
        <v>1.17</v>
      </c>
      <c r="BV57" s="528">
        <f t="shared" si="176"/>
        <v>3.6225910671973338</v>
      </c>
      <c r="BW57" s="528">
        <f t="shared" si="177"/>
        <v>1.3287522062014724E-2</v>
      </c>
      <c r="BX57" s="460">
        <f t="shared" si="110"/>
        <v>3635.8785892593482</v>
      </c>
      <c r="BY57" s="173">
        <f t="shared" si="45"/>
        <v>9.1672813663624204</v>
      </c>
      <c r="BZ57" s="5">
        <f t="shared" si="111"/>
        <v>78</v>
      </c>
      <c r="CA57" s="173">
        <f t="shared" si="112"/>
        <v>0.89483116574632504</v>
      </c>
      <c r="CB57" s="5">
        <f t="shared" si="113"/>
        <v>89.483116574632504</v>
      </c>
      <c r="CE57" s="562">
        <f t="shared" si="178"/>
        <v>-50</v>
      </c>
      <c r="CF57">
        <f t="shared" si="179"/>
        <v>-50</v>
      </c>
      <c r="CG57" s="173">
        <f t="shared" si="180"/>
        <v>0.81949982216203432</v>
      </c>
      <c r="CI57" s="170">
        <v>52</v>
      </c>
      <c r="CJ57" s="217">
        <f t="shared" si="114"/>
        <v>5.2</v>
      </c>
      <c r="CK57" s="217"/>
      <c r="CL57" s="217">
        <f t="shared" si="49"/>
        <v>78</v>
      </c>
      <c r="CM57" s="541">
        <f t="shared" si="50"/>
        <v>72</v>
      </c>
      <c r="CN57" s="172">
        <f t="shared" si="51"/>
        <v>15.4</v>
      </c>
      <c r="CO57" s="443">
        <f t="shared" si="52"/>
        <v>87.4</v>
      </c>
      <c r="CP57" s="443"/>
      <c r="CQ57" s="217">
        <f t="shared" si="53"/>
        <v>0.17620137299771166</v>
      </c>
      <c r="CR57" s="172">
        <f t="shared" si="54"/>
        <v>318.30425629290613</v>
      </c>
      <c r="CS57" s="172">
        <f t="shared" si="115"/>
        <v>78</v>
      </c>
      <c r="CT57" s="217">
        <f t="shared" si="55"/>
        <v>21.220283752860407</v>
      </c>
      <c r="CU57" s="217">
        <f t="shared" si="56"/>
        <v>15</v>
      </c>
      <c r="CV57" s="217">
        <f t="shared" si="57"/>
        <v>21.144164759725399</v>
      </c>
      <c r="CW57" s="172">
        <f t="shared" si="58"/>
        <v>274.25870356279188</v>
      </c>
      <c r="CX57" s="172">
        <f t="shared" si="59"/>
        <v>15</v>
      </c>
      <c r="CY57" s="217">
        <f t="shared" si="60"/>
        <v>12.296536796536797</v>
      </c>
      <c r="CZ57" s="217">
        <f t="shared" si="61"/>
        <v>2.0494227994227994</v>
      </c>
      <c r="DA57" s="217">
        <f t="shared" si="62"/>
        <v>9.5817169843143866</v>
      </c>
      <c r="DB57" s="197">
        <f t="shared" si="63"/>
        <v>105.72082379862701</v>
      </c>
      <c r="DC57" s="443">
        <f t="shared" si="116"/>
        <v>85.976096805079521</v>
      </c>
      <c r="DE57" s="217">
        <f t="shared" si="64"/>
        <v>9.9999999999999982</v>
      </c>
      <c r="DF57" s="173">
        <f t="shared" si="65"/>
        <v>7.7922077922077895</v>
      </c>
      <c r="DG57" s="173">
        <f t="shared" si="66"/>
        <v>4.118993135011439</v>
      </c>
      <c r="DH57" s="173"/>
      <c r="DI57" s="173">
        <f t="shared" si="67"/>
        <v>7.7922077922077913</v>
      </c>
      <c r="DJ57" s="545">
        <f t="shared" si="117"/>
        <v>133.4666666666667</v>
      </c>
      <c r="DK57" s="528">
        <f t="shared" si="68"/>
        <v>4.1189931350114417</v>
      </c>
      <c r="DM57" s="173">
        <f t="shared" si="69"/>
        <v>6.1752192943516864</v>
      </c>
      <c r="DN57" s="173">
        <f t="shared" si="70"/>
        <v>12.296536796536797</v>
      </c>
      <c r="DO57" s="173">
        <f t="shared" si="71"/>
        <v>2.9011383678050349</v>
      </c>
      <c r="DQ57" s="545">
        <f t="shared" si="72"/>
        <v>5200</v>
      </c>
      <c r="DR57" s="460">
        <f t="shared" si="73"/>
        <v>85.976096805079521</v>
      </c>
      <c r="DT57">
        <f t="shared" si="74"/>
        <v>5200</v>
      </c>
      <c r="DU57" s="460">
        <f t="shared" si="75"/>
        <v>85.976096805079521</v>
      </c>
      <c r="DV57" s="460"/>
      <c r="DW57" s="5">
        <f t="shared" si="118"/>
        <v>11.631139783737186</v>
      </c>
      <c r="DX57" s="5">
        <f t="shared" si="76"/>
        <v>2.0494227994227994</v>
      </c>
      <c r="DY57" s="5">
        <f t="shared" si="119"/>
        <v>9.5817169843143866</v>
      </c>
      <c r="DZ57" s="5">
        <f t="shared" si="77"/>
        <v>9.5817169843143866</v>
      </c>
      <c r="EA57" s="173">
        <f t="shared" si="120"/>
        <v>0.17620137299771166</v>
      </c>
      <c r="EB57" s="173">
        <f t="shared" si="78"/>
        <v>78.000000000000014</v>
      </c>
      <c r="EC57" s="173">
        <f t="shared" si="79"/>
        <v>5.0649350649350655</v>
      </c>
      <c r="ED57" s="173">
        <f t="shared" si="121"/>
        <v>15.4</v>
      </c>
      <c r="EE57" s="460">
        <f t="shared" si="80"/>
        <v>71.046657046657046</v>
      </c>
      <c r="EF57" s="5">
        <f t="shared" si="81"/>
        <v>2.883387055464977</v>
      </c>
      <c r="EG57" s="5"/>
      <c r="EH57" s="173">
        <f t="shared" si="122"/>
        <v>2.9800725042911509</v>
      </c>
      <c r="EI57" s="173">
        <f t="shared" si="82"/>
        <v>6.4436615055956876</v>
      </c>
      <c r="EJ57" s="173"/>
      <c r="EK57" s="528">
        <f t="shared" si="83"/>
        <v>0.17761664261664262</v>
      </c>
      <c r="EL57" s="528">
        <f t="shared" si="84"/>
        <v>1.8480000000000001</v>
      </c>
      <c r="EM57" s="528">
        <f t="shared" si="85"/>
        <v>1.074701210063494E-2</v>
      </c>
      <c r="EN57" s="528">
        <f t="shared" si="86"/>
        <v>6.5675076923076947E-2</v>
      </c>
      <c r="EO57">
        <f t="shared" si="87"/>
        <v>3.2399999999999998E-2</v>
      </c>
      <c r="EP57" s="460">
        <f t="shared" si="123"/>
        <v>43.147012100634939</v>
      </c>
      <c r="EQ57" s="528">
        <f t="shared" si="88"/>
        <v>2.2785541148878856</v>
      </c>
      <c r="ER57" s="460">
        <f t="shared" si="124"/>
        <v>2278.5541148878856</v>
      </c>
      <c r="ES57" s="528">
        <f t="shared" si="125"/>
        <v>3.2304999999999997</v>
      </c>
      <c r="ET57" s="528"/>
      <c r="EV57" s="460">
        <f t="shared" si="126"/>
        <v>3230.4999999999995</v>
      </c>
      <c r="EW57" s="528">
        <f t="shared" si="89"/>
        <v>0.2664249639249639</v>
      </c>
      <c r="EX57" s="528">
        <f t="shared" si="90"/>
        <v>1.2456232079608704</v>
      </c>
      <c r="EY57" s="528">
        <f t="shared" si="91"/>
        <v>1.8170687138587007</v>
      </c>
      <c r="EZ57" s="528">
        <f t="shared" si="92"/>
        <v>4.2000644259636157</v>
      </c>
      <c r="FA57" s="528">
        <f t="shared" si="93"/>
        <v>1.3000000000000003E-2</v>
      </c>
      <c r="FB57" s="460">
        <f t="shared" si="127"/>
        <v>4213.0644259636156</v>
      </c>
      <c r="FC57" s="173">
        <f t="shared" si="128"/>
        <v>9.7221185408515005</v>
      </c>
      <c r="FD57" s="5">
        <f t="shared" si="129"/>
        <v>78</v>
      </c>
      <c r="FE57" s="173">
        <f t="shared" si="130"/>
        <v>0.8891714119247589</v>
      </c>
      <c r="FF57" s="5">
        <f t="shared" si="131"/>
        <v>88.917141192475896</v>
      </c>
      <c r="FI57" s="562">
        <f t="shared" si="94"/>
        <v>-50</v>
      </c>
      <c r="FJ57">
        <f t="shared" si="95"/>
        <v>-50</v>
      </c>
      <c r="FL57">
        <f t="shared" si="181"/>
        <v>0.82379862700228834</v>
      </c>
    </row>
    <row r="58" spans="5:168">
      <c r="E58" s="170">
        <v>53</v>
      </c>
      <c r="F58" s="217">
        <f t="shared" si="182"/>
        <v>5.3000000000000007</v>
      </c>
      <c r="G58" s="217"/>
      <c r="H58" s="217">
        <f t="shared" si="132"/>
        <v>79.500000000000014</v>
      </c>
      <c r="I58" s="541">
        <f t="shared" si="133"/>
        <v>71.67666402455896</v>
      </c>
      <c r="J58" s="172">
        <f t="shared" si="134"/>
        <v>15.594001585264627</v>
      </c>
      <c r="K58" s="172">
        <f t="shared" si="135"/>
        <v>87.594001585264621</v>
      </c>
      <c r="L58" s="443"/>
      <c r="M58" s="217">
        <f t="shared" si="136"/>
        <v>0.17867614157397682</v>
      </c>
      <c r="N58" s="172">
        <f t="shared" si="137"/>
        <v>321.32536609925393</v>
      </c>
      <c r="O58" s="172">
        <f t="shared" si="98"/>
        <v>79.500000000000014</v>
      </c>
      <c r="P58" s="217">
        <f t="shared" si="138"/>
        <v>21.421691073283593</v>
      </c>
      <c r="Q58" s="217">
        <f t="shared" si="139"/>
        <v>15</v>
      </c>
      <c r="R58" s="217">
        <f t="shared" si="140"/>
        <v>21.344849614670778</v>
      </c>
      <c r="S58" s="172">
        <f t="shared" si="141"/>
        <v>266.52821743640072</v>
      </c>
      <c r="T58" s="172">
        <f t="shared" si="142"/>
        <v>15</v>
      </c>
      <c r="U58" s="217">
        <f t="shared" si="143"/>
        <v>12.905993039473776</v>
      </c>
      <c r="V58" s="217">
        <f t="shared" si="11"/>
        <v>2.1607020720247343</v>
      </c>
      <c r="W58" s="217">
        <f t="shared" si="144"/>
        <v>9.931505754111873</v>
      </c>
      <c r="X58" s="197">
        <f t="shared" si="145"/>
        <v>106.72983151660871</v>
      </c>
      <c r="Y58" s="443">
        <f t="shared" si="14"/>
        <v>81.352350541432074</v>
      </c>
      <c r="AA58" s="217">
        <f t="shared" si="146"/>
        <v>10</v>
      </c>
      <c r="AB58" s="173">
        <f t="shared" si="147"/>
        <v>7.6952666282522779</v>
      </c>
      <c r="AC58" s="173">
        <f t="shared" si="148"/>
        <v>4.106572553543737</v>
      </c>
      <c r="AD58" s="173"/>
      <c r="AE58" s="173">
        <f t="shared" si="149"/>
        <v>7.6952666282522779</v>
      </c>
      <c r="AF58" s="545">
        <f t="shared" si="150"/>
        <v>137.74701400317088</v>
      </c>
      <c r="AG58" s="528">
        <f t="shared" si="151"/>
        <v>4.1065725535437361</v>
      </c>
      <c r="AI58" s="173">
        <f t="shared" si="152"/>
        <v>6.2734591506753024</v>
      </c>
      <c r="AJ58" s="173">
        <f t="shared" si="153"/>
        <v>12.905993039473776</v>
      </c>
      <c r="AK58" s="173">
        <f t="shared" si="154"/>
        <v>3.3525874366472408</v>
      </c>
      <c r="AM58" s="545">
        <f t="shared" si="155"/>
        <v>5300.0000000000009</v>
      </c>
      <c r="AN58" s="460">
        <f t="shared" si="156"/>
        <v>81.352350541432074</v>
      </c>
      <c r="AP58">
        <f t="shared" si="157"/>
        <v>5300.0000000000009</v>
      </c>
      <c r="AQ58" s="460">
        <f t="shared" si="158"/>
        <v>81.352350541432074</v>
      </c>
      <c r="AR58" s="460"/>
      <c r="AS58" s="5">
        <f t="shared" si="101"/>
        <v>12.292207826136606</v>
      </c>
      <c r="AT58" s="5">
        <f t="shared" si="159"/>
        <v>2.1607020720247343</v>
      </c>
      <c r="AU58" s="5">
        <f t="shared" si="102"/>
        <v>10.13150575411187</v>
      </c>
      <c r="AV58" s="5">
        <f t="shared" si="160"/>
        <v>9.931505754111873</v>
      </c>
      <c r="AW58" s="173">
        <f t="shared" si="103"/>
        <v>0.17577819237895481</v>
      </c>
      <c r="AX58" s="173">
        <f t="shared" si="161"/>
        <v>81.302557859841912</v>
      </c>
      <c r="AY58" s="173">
        <f t="shared" si="162"/>
        <v>5.3187004560698519</v>
      </c>
      <c r="AZ58" s="173">
        <f t="shared" si="104"/>
        <v>15.286169719721126</v>
      </c>
      <c r="BA58" s="460">
        <f t="shared" si="163"/>
        <v>76.344806544873947</v>
      </c>
      <c r="BB58" s="5">
        <f t="shared" si="164"/>
        <v>3.121482030190144</v>
      </c>
      <c r="BC58" s="5"/>
      <c r="BD58" s="173">
        <f t="shared" si="105"/>
        <v>3.124016336106378</v>
      </c>
      <c r="BE58" s="173">
        <f t="shared" si="165"/>
        <v>6.7647671093237935</v>
      </c>
      <c r="BF58" s="173"/>
      <c r="BG58" s="528">
        <f t="shared" si="166"/>
        <v>0.19518956136519039</v>
      </c>
      <c r="BH58" s="528">
        <f t="shared" si="167"/>
        <v>1.7243966524600141</v>
      </c>
      <c r="BI58" s="528">
        <f t="shared" si="168"/>
        <v>0.14577662743415934</v>
      </c>
      <c r="BJ58" s="528">
        <f t="shared" si="169"/>
        <v>6.2419292142173649E-2</v>
      </c>
      <c r="BK58">
        <f t="shared" si="170"/>
        <v>3.2254498811051531E-2</v>
      </c>
      <c r="BL58" s="460">
        <f t="shared" si="106"/>
        <v>178.03112624521086</v>
      </c>
      <c r="BM58" s="528">
        <f t="shared" si="171"/>
        <v>2.13365949899881</v>
      </c>
      <c r="BN58" s="460">
        <f t="shared" si="107"/>
        <v>2133.6594989988098</v>
      </c>
      <c r="BO58" s="528">
        <f t="shared" si="172"/>
        <v>3.2926250000000001</v>
      </c>
      <c r="BP58" s="528"/>
      <c r="BR58" s="460">
        <f t="shared" si="109"/>
        <v>3292.625</v>
      </c>
      <c r="BS58" s="528">
        <f t="shared" si="173"/>
        <v>0.29278434204778553</v>
      </c>
      <c r="BT58" s="528">
        <f t="shared" si="174"/>
        <v>1.3728622213016697</v>
      </c>
      <c r="BU58" s="528">
        <f t="shared" si="175"/>
        <v>1.1925000000000001</v>
      </c>
      <c r="BV58" s="528">
        <f t="shared" si="176"/>
        <v>3.7587634527553648</v>
      </c>
      <c r="BW58" s="528">
        <f t="shared" si="177"/>
        <v>1.3550426309973655E-2</v>
      </c>
      <c r="BX58" s="460">
        <f t="shared" si="110"/>
        <v>3772.3138790653384</v>
      </c>
      <c r="BY58" s="173">
        <f t="shared" si="45"/>
        <v>9.3766295043093599</v>
      </c>
      <c r="BZ58" s="5">
        <f t="shared" si="111"/>
        <v>79.500000000000014</v>
      </c>
      <c r="CA58" s="173">
        <f t="shared" si="112"/>
        <v>0.89449836749429479</v>
      </c>
      <c r="CB58" s="5">
        <f t="shared" si="113"/>
        <v>89.44983674942948</v>
      </c>
      <c r="CE58" s="562">
        <f t="shared" si="178"/>
        <v>-50</v>
      </c>
      <c r="CF58">
        <f t="shared" si="179"/>
        <v>-50</v>
      </c>
      <c r="CG58" s="173">
        <f t="shared" si="180"/>
        <v>0.81958093168732216</v>
      </c>
      <c r="CI58" s="170">
        <v>53</v>
      </c>
      <c r="CJ58" s="217">
        <f t="shared" si="114"/>
        <v>5.3000000000000007</v>
      </c>
      <c r="CK58" s="217"/>
      <c r="CL58" s="217">
        <f t="shared" si="49"/>
        <v>79.500000000000014</v>
      </c>
      <c r="CM58" s="541">
        <f t="shared" si="50"/>
        <v>72</v>
      </c>
      <c r="CN58" s="172">
        <f t="shared" si="51"/>
        <v>15.4</v>
      </c>
      <c r="CO58" s="443">
        <f t="shared" si="52"/>
        <v>87.4</v>
      </c>
      <c r="CP58" s="443"/>
      <c r="CQ58" s="217">
        <f t="shared" si="53"/>
        <v>0.17620137299771166</v>
      </c>
      <c r="CR58" s="172">
        <f t="shared" si="54"/>
        <v>318.30425629290613</v>
      </c>
      <c r="CS58" s="172">
        <f t="shared" si="115"/>
        <v>79.500000000000014</v>
      </c>
      <c r="CT58" s="217">
        <f t="shared" si="55"/>
        <v>21.220283752860407</v>
      </c>
      <c r="CU58" s="217">
        <f t="shared" si="56"/>
        <v>15</v>
      </c>
      <c r="CV58" s="217">
        <f t="shared" si="57"/>
        <v>21.144164759725399</v>
      </c>
      <c r="CW58" s="172">
        <f t="shared" si="58"/>
        <v>267.7300520729919</v>
      </c>
      <c r="CX58" s="172">
        <f t="shared" si="59"/>
        <v>15</v>
      </c>
      <c r="CY58" s="217">
        <f t="shared" si="60"/>
        <v>12.533008658008661</v>
      </c>
      <c r="CZ58" s="217">
        <f t="shared" si="61"/>
        <v>2.0888347763347772</v>
      </c>
      <c r="DA58" s="217">
        <f t="shared" si="62"/>
        <v>9.7659807724742826</v>
      </c>
      <c r="DB58" s="197">
        <f t="shared" si="63"/>
        <v>105.72082379862701</v>
      </c>
      <c r="DC58" s="443">
        <f t="shared" si="116"/>
        <v>84.35390629932327</v>
      </c>
      <c r="DE58" s="217">
        <f t="shared" si="64"/>
        <v>9.9999999999999982</v>
      </c>
      <c r="DF58" s="173">
        <f t="shared" si="65"/>
        <v>7.7922077922077895</v>
      </c>
      <c r="DG58" s="173">
        <f t="shared" si="66"/>
        <v>4.118993135011439</v>
      </c>
      <c r="DH58" s="173"/>
      <c r="DI58" s="173">
        <f t="shared" si="67"/>
        <v>7.7922077922077913</v>
      </c>
      <c r="DJ58" s="545">
        <f t="shared" si="117"/>
        <v>136.03333333333333</v>
      </c>
      <c r="DK58" s="528">
        <f t="shared" si="68"/>
        <v>4.1189931350114417</v>
      </c>
      <c r="DM58" s="173">
        <f t="shared" si="69"/>
        <v>6.2343136484032202</v>
      </c>
      <c r="DN58" s="173">
        <f t="shared" si="70"/>
        <v>12.533008658008661</v>
      </c>
      <c r="DO58" s="173">
        <f t="shared" si="71"/>
        <v>3.0763027096360451</v>
      </c>
      <c r="DQ58" s="545">
        <f t="shared" si="72"/>
        <v>5300.0000000000009</v>
      </c>
      <c r="DR58" s="460">
        <f t="shared" si="73"/>
        <v>84.35390629932327</v>
      </c>
      <c r="DT58">
        <f t="shared" si="74"/>
        <v>5300.0000000000009</v>
      </c>
      <c r="DU58" s="460">
        <f t="shared" si="75"/>
        <v>84.35390629932327</v>
      </c>
      <c r="DV58" s="460"/>
      <c r="DW58" s="5">
        <f t="shared" si="118"/>
        <v>11.854815548809061</v>
      </c>
      <c r="DX58" s="5">
        <f t="shared" si="76"/>
        <v>2.0888347763347772</v>
      </c>
      <c r="DY58" s="5">
        <f t="shared" si="119"/>
        <v>9.7659807724742826</v>
      </c>
      <c r="DZ58" s="5">
        <f t="shared" si="77"/>
        <v>9.7659807724742826</v>
      </c>
      <c r="EA58" s="173">
        <f t="shared" si="120"/>
        <v>0.17620137299771166</v>
      </c>
      <c r="EB58" s="173">
        <f t="shared" si="78"/>
        <v>79.500000000000014</v>
      </c>
      <c r="EC58" s="173">
        <f t="shared" si="79"/>
        <v>5.1623376623376638</v>
      </c>
      <c r="ED58" s="173">
        <f t="shared" si="121"/>
        <v>15.399999999999999</v>
      </c>
      <c r="EE58" s="460">
        <f t="shared" si="80"/>
        <v>73.805495430495469</v>
      </c>
      <c r="EF58" s="5">
        <f t="shared" si="81"/>
        <v>2.9953528989649141</v>
      </c>
      <c r="EG58" s="5"/>
      <c r="EH58" s="173">
        <f t="shared" si="122"/>
        <v>3.0373815909121351</v>
      </c>
      <c r="EI58" s="173">
        <f t="shared" si="82"/>
        <v>6.5675780730109912</v>
      </c>
      <c r="EJ58" s="173"/>
      <c r="EK58" s="528">
        <f t="shared" si="83"/>
        <v>0.18451373857623868</v>
      </c>
      <c r="EL58" s="528">
        <f t="shared" si="84"/>
        <v>1.8480000000000001</v>
      </c>
      <c r="EM58" s="528">
        <f t="shared" si="85"/>
        <v>1.0544238287415408E-2</v>
      </c>
      <c r="EN58" s="528">
        <f t="shared" si="86"/>
        <v>6.4435924528301866E-2</v>
      </c>
      <c r="EO58">
        <f t="shared" si="87"/>
        <v>3.2399999999999998E-2</v>
      </c>
      <c r="EP58" s="460">
        <f t="shared" si="123"/>
        <v>42.944238287415409</v>
      </c>
      <c r="EQ58" s="528">
        <f t="shared" si="88"/>
        <v>2.2901121925973853</v>
      </c>
      <c r="ER58" s="460">
        <f t="shared" si="124"/>
        <v>2290.1121925973853</v>
      </c>
      <c r="ES58" s="528">
        <f t="shared" si="125"/>
        <v>3.2926250000000001</v>
      </c>
      <c r="ET58" s="528"/>
      <c r="EV58" s="460">
        <f t="shared" si="126"/>
        <v>3292.625</v>
      </c>
      <c r="EW58" s="528">
        <f t="shared" si="89"/>
        <v>0.27677060786435798</v>
      </c>
      <c r="EX58" s="528">
        <f t="shared" si="90"/>
        <v>1.2939924523528428</v>
      </c>
      <c r="EY58" s="528">
        <f t="shared" si="91"/>
        <v>1.8170687138586974</v>
      </c>
      <c r="EZ58" s="528">
        <f t="shared" si="92"/>
        <v>4.3058986291439645</v>
      </c>
      <c r="FA58" s="528">
        <f t="shared" si="93"/>
        <v>1.3250000000000001E-2</v>
      </c>
      <c r="FB58" s="460">
        <f t="shared" si="127"/>
        <v>4319.1486291439651</v>
      </c>
      <c r="FC58" s="173">
        <f t="shared" si="128"/>
        <v>9.9018858217413488</v>
      </c>
      <c r="FD58" s="5">
        <f t="shared" si="129"/>
        <v>79.500000000000014</v>
      </c>
      <c r="FE58" s="173">
        <f t="shared" si="130"/>
        <v>0.88924298709442506</v>
      </c>
      <c r="FF58" s="5">
        <f t="shared" si="131"/>
        <v>88.92429870944251</v>
      </c>
      <c r="FI58" s="562">
        <f t="shared" si="94"/>
        <v>-50</v>
      </c>
      <c r="FJ58">
        <f t="shared" si="95"/>
        <v>-50</v>
      </c>
      <c r="FL58">
        <f t="shared" si="181"/>
        <v>0.82379862700228834</v>
      </c>
    </row>
    <row r="59" spans="5:168">
      <c r="E59" s="170">
        <v>54</v>
      </c>
      <c r="F59" s="217">
        <f t="shared" si="182"/>
        <v>5.4</v>
      </c>
      <c r="G59" s="217"/>
      <c r="H59" s="217">
        <f t="shared" si="132"/>
        <v>81</v>
      </c>
      <c r="I59" s="541">
        <f t="shared" si="133"/>
        <v>71.670594737859787</v>
      </c>
      <c r="J59" s="172">
        <f t="shared" si="134"/>
        <v>15.597643157284123</v>
      </c>
      <c r="K59" s="172">
        <f t="shared" si="135"/>
        <v>87.597643157284125</v>
      </c>
      <c r="L59" s="443"/>
      <c r="M59" s="217">
        <f t="shared" si="136"/>
        <v>0.1787228420795276</v>
      </c>
      <c r="N59" s="172">
        <f t="shared" si="137"/>
        <v>321.38213514166563</v>
      </c>
      <c r="O59" s="172">
        <f t="shared" si="98"/>
        <v>81</v>
      </c>
      <c r="P59" s="217">
        <f t="shared" si="138"/>
        <v>21.425475676111041</v>
      </c>
      <c r="Q59" s="217">
        <f t="shared" si="139"/>
        <v>15</v>
      </c>
      <c r="R59" s="217">
        <f t="shared" si="140"/>
        <v>21.348620641800562</v>
      </c>
      <c r="S59" s="172">
        <f t="shared" si="141"/>
        <v>260.24770268785852</v>
      </c>
      <c r="T59" s="172">
        <f t="shared" si="142"/>
        <v>15</v>
      </c>
      <c r="U59" s="217">
        <f t="shared" si="143"/>
        <v>13.150250065819813</v>
      </c>
      <c r="V59" s="217">
        <f t="shared" si="11"/>
        <v>2.2017816562986994</v>
      </c>
      <c r="W59" s="217">
        <f t="shared" si="144"/>
        <v>10.11710546257391</v>
      </c>
      <c r="X59" s="197">
        <f t="shared" si="145"/>
        <v>106.74868548534349</v>
      </c>
      <c r="Y59" s="443">
        <f t="shared" si="14"/>
        <v>79.879304805973447</v>
      </c>
      <c r="AA59" s="217">
        <f t="shared" si="146"/>
        <v>10</v>
      </c>
      <c r="AB59" s="173">
        <f t="shared" si="147"/>
        <v>7.6934700191522092</v>
      </c>
      <c r="AC59" s="173">
        <f t="shared" si="148"/>
        <v>4.106339056826994</v>
      </c>
      <c r="AD59" s="173"/>
      <c r="AE59" s="173">
        <f t="shared" si="149"/>
        <v>7.6934700191522092</v>
      </c>
      <c r="AF59" s="545">
        <f t="shared" si="150"/>
        <v>140.37878841555712</v>
      </c>
      <c r="AG59" s="528">
        <f t="shared" si="151"/>
        <v>4.1063390568269931</v>
      </c>
      <c r="AI59" s="173">
        <f t="shared" si="152"/>
        <v>6.3331054990097666</v>
      </c>
      <c r="AJ59" s="173">
        <f t="shared" si="153"/>
        <v>13.150250065819813</v>
      </c>
      <c r="AK59" s="173">
        <f t="shared" si="154"/>
        <v>3.5335185672739353</v>
      </c>
      <c r="AM59" s="545">
        <f t="shared" si="155"/>
        <v>5400</v>
      </c>
      <c r="AN59" s="460">
        <f t="shared" si="156"/>
        <v>79.879304805973447</v>
      </c>
      <c r="AP59">
        <f t="shared" si="157"/>
        <v>5400</v>
      </c>
      <c r="AQ59" s="460">
        <f t="shared" si="158"/>
        <v>79.879304805973447</v>
      </c>
      <c r="AR59" s="460"/>
      <c r="AS59" s="5">
        <f t="shared" si="101"/>
        <v>12.518887118872611</v>
      </c>
      <c r="AT59" s="5">
        <f t="shared" si="159"/>
        <v>2.2017816562986994</v>
      </c>
      <c r="AU59" s="5">
        <f t="shared" si="102"/>
        <v>10.317105462573911</v>
      </c>
      <c r="AV59" s="5">
        <f t="shared" si="160"/>
        <v>10.11710546257391</v>
      </c>
      <c r="AW59" s="173">
        <f t="shared" si="103"/>
        <v>0.17587678803968487</v>
      </c>
      <c r="AX59" s="173">
        <f t="shared" si="161"/>
        <v>82.880726610066503</v>
      </c>
      <c r="AY59" s="173">
        <f t="shared" si="162"/>
        <v>5.4187131611623851</v>
      </c>
      <c r="AZ59" s="173">
        <f t="shared" si="104"/>
        <v>15.295278444354397</v>
      </c>
      <c r="BA59" s="460">
        <f t="shared" si="163"/>
        <v>79.264139626753177</v>
      </c>
      <c r="BB59" s="5">
        <f t="shared" si="164"/>
        <v>3.2389137240588353</v>
      </c>
      <c r="BC59" s="5"/>
      <c r="BD59" s="173">
        <f t="shared" si="105"/>
        <v>3.1840336359783912</v>
      </c>
      <c r="BE59" s="173">
        <f t="shared" si="165"/>
        <v>6.89238386937516</v>
      </c>
      <c r="BF59" s="173"/>
      <c r="BG59" s="528">
        <f t="shared" si="166"/>
        <v>0.20276140390083547</v>
      </c>
      <c r="BH59" s="528">
        <f t="shared" si="167"/>
        <v>1.7252895091981124</v>
      </c>
      <c r="BI59" s="528">
        <f t="shared" si="168"/>
        <v>0.14312493206727248</v>
      </c>
      <c r="BJ59" s="528">
        <f t="shared" si="169"/>
        <v>6.129416308214073E-2</v>
      </c>
      <c r="BK59">
        <f t="shared" si="170"/>
        <v>3.2251767632036903E-2</v>
      </c>
      <c r="BL59" s="460">
        <f t="shared" si="106"/>
        <v>175.3766996993094</v>
      </c>
      <c r="BM59" s="528">
        <f t="shared" si="171"/>
        <v>2.1475513230751937</v>
      </c>
      <c r="BN59" s="460">
        <f t="shared" si="107"/>
        <v>2147.5513230751935</v>
      </c>
      <c r="BO59" s="528">
        <f t="shared" si="172"/>
        <v>3.3547499999999997</v>
      </c>
      <c r="BP59" s="528"/>
      <c r="BR59" s="460">
        <f t="shared" si="109"/>
        <v>3354.7499999999995</v>
      </c>
      <c r="BS59" s="528">
        <f t="shared" si="173"/>
        <v>0.30414210585125317</v>
      </c>
      <c r="BT59" s="528">
        <f t="shared" si="174"/>
        <v>1.4251486620846869</v>
      </c>
      <c r="BU59" s="528">
        <f t="shared" si="175"/>
        <v>1.2149999999999999</v>
      </c>
      <c r="BV59" s="528">
        <f t="shared" si="176"/>
        <v>3.8986761222742587</v>
      </c>
      <c r="BW59" s="528">
        <f t="shared" si="177"/>
        <v>1.3813454435011084E-2</v>
      </c>
      <c r="BX59" s="460">
        <f t="shared" si="110"/>
        <v>3912.4895767092698</v>
      </c>
      <c r="BY59" s="173">
        <f t="shared" si="45"/>
        <v>9.5901675994837721</v>
      </c>
      <c r="BZ59" s="5">
        <f t="shared" si="111"/>
        <v>81</v>
      </c>
      <c r="CA59" s="173">
        <f t="shared" si="112"/>
        <v>0.89413677164299199</v>
      </c>
      <c r="CB59" s="5">
        <f t="shared" si="113"/>
        <v>89.413677164299202</v>
      </c>
      <c r="CE59" s="562">
        <f t="shared" si="178"/>
        <v>-50</v>
      </c>
      <c r="CF59">
        <f t="shared" si="179"/>
        <v>-50</v>
      </c>
      <c r="CG59" s="173">
        <f t="shared" si="180"/>
        <v>0.81965903715611788</v>
      </c>
      <c r="CI59" s="170">
        <v>54</v>
      </c>
      <c r="CJ59" s="217">
        <f t="shared" si="114"/>
        <v>5.4</v>
      </c>
      <c r="CK59" s="217"/>
      <c r="CL59" s="217">
        <f t="shared" si="49"/>
        <v>81</v>
      </c>
      <c r="CM59" s="541">
        <f t="shared" si="50"/>
        <v>72</v>
      </c>
      <c r="CN59" s="172">
        <f t="shared" si="51"/>
        <v>15.4</v>
      </c>
      <c r="CO59" s="443">
        <f t="shared" si="52"/>
        <v>87.4</v>
      </c>
      <c r="CP59" s="443"/>
      <c r="CQ59" s="217">
        <f t="shared" si="53"/>
        <v>0.17620137299771166</v>
      </c>
      <c r="CR59" s="172">
        <f t="shared" si="54"/>
        <v>318.30425629290613</v>
      </c>
      <c r="CS59" s="172">
        <f t="shared" si="115"/>
        <v>81</v>
      </c>
      <c r="CT59" s="217">
        <f t="shared" si="55"/>
        <v>21.220283752860407</v>
      </c>
      <c r="CU59" s="217">
        <f t="shared" si="56"/>
        <v>15</v>
      </c>
      <c r="CV59" s="217">
        <f t="shared" si="57"/>
        <v>21.144164759725399</v>
      </c>
      <c r="CW59" s="172">
        <f t="shared" si="58"/>
        <v>261.44332277165523</v>
      </c>
      <c r="CX59" s="172">
        <f t="shared" si="59"/>
        <v>15</v>
      </c>
      <c r="CY59" s="217">
        <f t="shared" si="60"/>
        <v>12.769480519480521</v>
      </c>
      <c r="CZ59" s="217">
        <f t="shared" si="61"/>
        <v>2.1282467532467537</v>
      </c>
      <c r="DA59" s="217">
        <f t="shared" si="62"/>
        <v>9.9502445606341734</v>
      </c>
      <c r="DB59" s="197">
        <f t="shared" si="63"/>
        <v>105.72082379862701</v>
      </c>
      <c r="DC59" s="443">
        <f t="shared" si="116"/>
        <v>82.791796923409876</v>
      </c>
      <c r="DE59" s="217">
        <f t="shared" si="64"/>
        <v>9.9999999999999982</v>
      </c>
      <c r="DF59" s="173">
        <f t="shared" si="65"/>
        <v>7.7922077922077895</v>
      </c>
      <c r="DG59" s="173">
        <f t="shared" si="66"/>
        <v>4.118993135011439</v>
      </c>
      <c r="DH59" s="173"/>
      <c r="DI59" s="173">
        <f t="shared" si="67"/>
        <v>7.7922077922077913</v>
      </c>
      <c r="DJ59" s="545">
        <f t="shared" si="117"/>
        <v>138.6</v>
      </c>
      <c r="DK59" s="528">
        <f t="shared" si="68"/>
        <v>4.1189931350114417</v>
      </c>
      <c r="DM59" s="173">
        <f t="shared" si="69"/>
        <v>6.2928530890209098</v>
      </c>
      <c r="DN59" s="173">
        <f t="shared" si="70"/>
        <v>12.769480519480521</v>
      </c>
      <c r="DO59" s="173">
        <f t="shared" si="71"/>
        <v>3.2514670514670518</v>
      </c>
      <c r="DQ59" s="545">
        <f t="shared" si="72"/>
        <v>5400</v>
      </c>
      <c r="DR59" s="460">
        <f t="shared" si="73"/>
        <v>82.791796923409876</v>
      </c>
      <c r="DT59">
        <f t="shared" si="74"/>
        <v>5400</v>
      </c>
      <c r="DU59" s="460">
        <f t="shared" si="75"/>
        <v>82.791796923409876</v>
      </c>
      <c r="DV59" s="460"/>
      <c r="DW59" s="5">
        <f t="shared" si="118"/>
        <v>12.078491313880928</v>
      </c>
      <c r="DX59" s="5">
        <f t="shared" si="76"/>
        <v>2.1282467532467537</v>
      </c>
      <c r="DY59" s="5">
        <f t="shared" si="119"/>
        <v>9.9502445606341752</v>
      </c>
      <c r="DZ59" s="5">
        <f t="shared" si="77"/>
        <v>9.9502445606341734</v>
      </c>
      <c r="EA59" s="173">
        <f t="shared" si="120"/>
        <v>0.17620137299771166</v>
      </c>
      <c r="EB59" s="173">
        <f t="shared" si="78"/>
        <v>80.999999999999972</v>
      </c>
      <c r="EC59" s="173">
        <f t="shared" si="79"/>
        <v>5.2597402597402603</v>
      </c>
      <c r="ED59" s="173">
        <f t="shared" si="121"/>
        <v>15.399999999999993</v>
      </c>
      <c r="EE59" s="460">
        <f t="shared" si="80"/>
        <v>76.616883116883145</v>
      </c>
      <c r="EF59" s="5">
        <f t="shared" si="81"/>
        <v>3.1094514251981797</v>
      </c>
      <c r="EG59" s="5"/>
      <c r="EH59" s="173">
        <f t="shared" si="122"/>
        <v>3.094690677533118</v>
      </c>
      <c r="EI59" s="173">
        <f t="shared" si="82"/>
        <v>6.6914946404262912</v>
      </c>
      <c r="EJ59" s="173"/>
      <c r="EK59" s="528">
        <f t="shared" si="83"/>
        <v>0.19154220779220779</v>
      </c>
      <c r="EL59" s="528">
        <f t="shared" si="84"/>
        <v>1.8479999999999994</v>
      </c>
      <c r="EM59" s="528">
        <f t="shared" si="85"/>
        <v>1.0348974615426235E-2</v>
      </c>
      <c r="EN59" s="528">
        <f t="shared" si="86"/>
        <v>6.3242666666666655E-2</v>
      </c>
      <c r="EO59">
        <f t="shared" si="87"/>
        <v>3.2399999999999998E-2</v>
      </c>
      <c r="EP59" s="460">
        <f t="shared" si="123"/>
        <v>42.748974615426235</v>
      </c>
      <c r="EQ59" s="528">
        <f t="shared" si="88"/>
        <v>2.3020159789588917</v>
      </c>
      <c r="ER59" s="460">
        <f t="shared" si="124"/>
        <v>2302.0159789588915</v>
      </c>
      <c r="ES59" s="528">
        <f t="shared" si="125"/>
        <v>3.3547499999999997</v>
      </c>
      <c r="ET59" s="528"/>
      <c r="EV59" s="460">
        <f t="shared" si="126"/>
        <v>3354.7499999999995</v>
      </c>
      <c r="EW59" s="528">
        <f t="shared" si="89"/>
        <v>0.2873133116883117</v>
      </c>
      <c r="EX59" s="528">
        <f t="shared" si="90"/>
        <v>1.3432830156856135</v>
      </c>
      <c r="EY59" s="528">
        <f t="shared" si="91"/>
        <v>1.8170687138586978</v>
      </c>
      <c r="EZ59" s="528">
        <f t="shared" si="92"/>
        <v>4.4149249989107862</v>
      </c>
      <c r="FA59" s="528">
        <f t="shared" si="93"/>
        <v>1.3499999999999996E-2</v>
      </c>
      <c r="FB59" s="460">
        <f t="shared" si="127"/>
        <v>4428.4249989107857</v>
      </c>
      <c r="FC59" s="173">
        <f t="shared" si="128"/>
        <v>10.085190977869678</v>
      </c>
      <c r="FD59" s="5">
        <f t="shared" si="129"/>
        <v>81</v>
      </c>
      <c r="FE59" s="173">
        <f t="shared" si="130"/>
        <v>0.88927738011418345</v>
      </c>
      <c r="FF59" s="5">
        <f t="shared" si="131"/>
        <v>88.927738011418342</v>
      </c>
      <c r="FI59" s="562">
        <f t="shared" si="94"/>
        <v>-50</v>
      </c>
      <c r="FJ59">
        <f t="shared" si="95"/>
        <v>-50</v>
      </c>
      <c r="FL59">
        <f t="shared" si="181"/>
        <v>0.82379862700228834</v>
      </c>
    </row>
    <row r="60" spans="5:168">
      <c r="E60" s="170">
        <v>55</v>
      </c>
      <c r="F60" s="217">
        <f t="shared" si="182"/>
        <v>5.5</v>
      </c>
      <c r="G60" s="217"/>
      <c r="H60" s="217">
        <f t="shared" si="132"/>
        <v>82.5</v>
      </c>
      <c r="I60" s="541">
        <f t="shared" si="133"/>
        <v>71.664525445395995</v>
      </c>
      <c r="J60" s="172">
        <f t="shared" si="134"/>
        <v>15.601284732762402</v>
      </c>
      <c r="K60" s="172">
        <f t="shared" si="135"/>
        <v>87.601284732762394</v>
      </c>
      <c r="L60" s="443"/>
      <c r="M60" s="217">
        <f t="shared" si="136"/>
        <v>0.17876954519521054</v>
      </c>
      <c r="N60" s="172">
        <f t="shared" si="137"/>
        <v>321.43889462844623</v>
      </c>
      <c r="O60" s="172">
        <f t="shared" si="98"/>
        <v>82.5</v>
      </c>
      <c r="P60" s="217">
        <f t="shared" si="138"/>
        <v>21.429259641896415</v>
      </c>
      <c r="Q60" s="217">
        <f t="shared" si="139"/>
        <v>15</v>
      </c>
      <c r="R60" s="217">
        <f t="shared" si="140"/>
        <v>21.35239103417339</v>
      </c>
      <c r="S60" s="172">
        <f t="shared" si="141"/>
        <v>254.19591085267231</v>
      </c>
      <c r="T60" s="172">
        <f t="shared" si="142"/>
        <v>15</v>
      </c>
      <c r="U60" s="217">
        <f t="shared" si="143"/>
        <v>13.39453491482455</v>
      </c>
      <c r="V60" s="217">
        <f t="shared" si="11"/>
        <v>2.242872857650672</v>
      </c>
      <c r="W60" s="217">
        <f t="shared" si="144"/>
        <v>10.30263992556686</v>
      </c>
      <c r="X60" s="197">
        <f t="shared" si="145"/>
        <v>106.7675362998536</v>
      </c>
      <c r="Y60" s="443">
        <f t="shared" si="14"/>
        <v>78.458985292199102</v>
      </c>
      <c r="AA60" s="217">
        <f t="shared" si="146"/>
        <v>10</v>
      </c>
      <c r="AB60" s="173">
        <f t="shared" si="147"/>
        <v>7.691674247057505</v>
      </c>
      <c r="AC60" s="173">
        <f t="shared" si="148"/>
        <v>4.1061055468968064</v>
      </c>
      <c r="AD60" s="173"/>
      <c r="AE60" s="173">
        <f t="shared" si="149"/>
        <v>7.691674247057505</v>
      </c>
      <c r="AF60" s="545">
        <f t="shared" si="150"/>
        <v>143.01177671698872</v>
      </c>
      <c r="AG60" s="528">
        <f t="shared" si="151"/>
        <v>4.1061055468968064</v>
      </c>
      <c r="AI60" s="173">
        <f t="shared" si="152"/>
        <v>6.3922224330373032</v>
      </c>
      <c r="AJ60" s="173">
        <f t="shared" si="153"/>
        <v>13.39453491482455</v>
      </c>
      <c r="AK60" s="173">
        <f t="shared" si="154"/>
        <v>3.7144703072774448</v>
      </c>
      <c r="AM60" s="545">
        <f t="shared" si="155"/>
        <v>5500</v>
      </c>
      <c r="AN60" s="460">
        <f t="shared" si="156"/>
        <v>78.458985292199102</v>
      </c>
      <c r="AP60">
        <f t="shared" si="157"/>
        <v>5500</v>
      </c>
      <c r="AQ60">
        <f t="shared" si="158"/>
        <v>78.458985292199102</v>
      </c>
      <c r="AS60" s="5">
        <f t="shared" si="101"/>
        <v>12.745512783217531</v>
      </c>
      <c r="AT60" s="5">
        <f t="shared" si="159"/>
        <v>2.242872857650672</v>
      </c>
      <c r="AU60" s="5">
        <f t="shared" si="102"/>
        <v>10.502639925566859</v>
      </c>
      <c r="AV60" s="5">
        <f t="shared" si="160"/>
        <v>10.30263992556686</v>
      </c>
      <c r="AW60" s="173">
        <f t="shared" si="103"/>
        <v>0.17597352855068665</v>
      </c>
      <c r="AX60" s="173">
        <f t="shared" si="161"/>
        <v>84.459637820470022</v>
      </c>
      <c r="AY60" s="173">
        <f t="shared" si="162"/>
        <v>5.5187256712837511</v>
      </c>
      <c r="AZ60" s="173">
        <f t="shared" si="104"/>
        <v>15.304192099989498</v>
      </c>
      <c r="BA60" s="460">
        <f t="shared" si="163"/>
        <v>82.238671447191308</v>
      </c>
      <c r="BB60" s="5">
        <f t="shared" si="164"/>
        <v>3.3585026454633851</v>
      </c>
      <c r="BC60" s="5"/>
      <c r="BD60" s="173">
        <f t="shared" si="105"/>
        <v>3.2440734787073073</v>
      </c>
      <c r="BE60" s="173">
        <f t="shared" si="165"/>
        <v>7.0200077725193788</v>
      </c>
      <c r="BF60" s="173"/>
      <c r="BG60" s="528">
        <f t="shared" si="166"/>
        <v>0.21048025470504261</v>
      </c>
      <c r="BH60" s="528">
        <f t="shared" si="167"/>
        <v>1.726164072741597</v>
      </c>
      <c r="BI60" s="528">
        <f t="shared" si="168"/>
        <v>0.14056814869731882</v>
      </c>
      <c r="BJ60" s="528">
        <f t="shared" si="169"/>
        <v>6.0209308306019026E-2</v>
      </c>
      <c r="BK60">
        <f t="shared" si="170"/>
        <v>3.2249036450428196E-2</v>
      </c>
      <c r="BL60" s="460">
        <f t="shared" si="106"/>
        <v>172.81718514774701</v>
      </c>
      <c r="BM60" s="528">
        <f t="shared" si="171"/>
        <v>2.1617949021742358</v>
      </c>
      <c r="BN60" s="460">
        <f t="shared" si="107"/>
        <v>2161.7949021742356</v>
      </c>
      <c r="BO60" s="528">
        <f t="shared" si="172"/>
        <v>3.4168749999999997</v>
      </c>
      <c r="BP60" s="528"/>
      <c r="BR60" s="460">
        <f t="shared" si="109"/>
        <v>3416.8749999999995</v>
      </c>
      <c r="BS60" s="528">
        <f t="shared" si="173"/>
        <v>0.31572038205756392</v>
      </c>
      <c r="BT60" s="528">
        <f t="shared" si="174"/>
        <v>1.4784152737869747</v>
      </c>
      <c r="BU60" s="528">
        <f t="shared" si="175"/>
        <v>1.2375</v>
      </c>
      <c r="BV60" s="528">
        <f t="shared" si="176"/>
        <v>4.04244358739858</v>
      </c>
      <c r="BW60" s="528">
        <f t="shared" si="177"/>
        <v>1.4076606303411671E-2</v>
      </c>
      <c r="BX60" s="460">
        <f t="shared" si="110"/>
        <v>4056.520193701991</v>
      </c>
      <c r="BY60" s="173">
        <f t="shared" si="45"/>
        <v>9.8080072810239756</v>
      </c>
      <c r="BZ60" s="5">
        <f t="shared" si="111"/>
        <v>82.5</v>
      </c>
      <c r="CA60" s="173">
        <f t="shared" si="112"/>
        <v>0.89374695034674168</v>
      </c>
      <c r="CB60" s="5">
        <f t="shared" si="113"/>
        <v>89.374695034674161</v>
      </c>
      <c r="CE60" s="562">
        <f t="shared" si="178"/>
        <v>-50</v>
      </c>
      <c r="CF60">
        <f t="shared" si="179"/>
        <v>-50</v>
      </c>
      <c r="CG60" s="173">
        <f t="shared" si="180"/>
        <v>0.81973430242604817</v>
      </c>
      <c r="CI60" s="170">
        <v>55</v>
      </c>
      <c r="CJ60" s="217">
        <f t="shared" si="114"/>
        <v>5.5</v>
      </c>
      <c r="CK60" s="217"/>
      <c r="CL60" s="217">
        <f t="shared" si="49"/>
        <v>82.5</v>
      </c>
      <c r="CM60" s="541">
        <f t="shared" si="50"/>
        <v>72</v>
      </c>
      <c r="CN60" s="172">
        <f t="shared" si="51"/>
        <v>15.4</v>
      </c>
      <c r="CO60" s="443">
        <f t="shared" si="52"/>
        <v>87.4</v>
      </c>
      <c r="CP60" s="443"/>
      <c r="CQ60" s="217">
        <f t="shared" si="53"/>
        <v>0.17620137299771166</v>
      </c>
      <c r="CR60" s="172">
        <f t="shared" si="54"/>
        <v>318.30425629290613</v>
      </c>
      <c r="CS60" s="172">
        <f t="shared" si="115"/>
        <v>82.5</v>
      </c>
      <c r="CT60" s="217">
        <f t="shared" si="55"/>
        <v>21.220283752860407</v>
      </c>
      <c r="CU60" s="217">
        <f t="shared" si="56"/>
        <v>15</v>
      </c>
      <c r="CV60" s="217">
        <f t="shared" si="57"/>
        <v>21.144164759725399</v>
      </c>
      <c r="CW60" s="172">
        <f t="shared" si="58"/>
        <v>255.38532169295976</v>
      </c>
      <c r="CX60" s="172">
        <f t="shared" si="59"/>
        <v>15</v>
      </c>
      <c r="CY60" s="217">
        <f t="shared" si="60"/>
        <v>13.005952380952381</v>
      </c>
      <c r="CZ60" s="217">
        <f t="shared" si="61"/>
        <v>2.1676587301587307</v>
      </c>
      <c r="DA60" s="217">
        <f t="shared" si="62"/>
        <v>10.134508348794064</v>
      </c>
      <c r="DB60" s="197">
        <f t="shared" si="63"/>
        <v>105.72082379862701</v>
      </c>
      <c r="DC60" s="443">
        <f t="shared" si="116"/>
        <v>81.286491524802443</v>
      </c>
      <c r="DE60" s="217">
        <f t="shared" si="64"/>
        <v>9.9999999999999982</v>
      </c>
      <c r="DF60" s="173">
        <f t="shared" si="65"/>
        <v>7.7922077922077895</v>
      </c>
      <c r="DG60" s="173">
        <f t="shared" si="66"/>
        <v>4.118993135011439</v>
      </c>
      <c r="DH60" s="173"/>
      <c r="DI60" s="173">
        <f t="shared" si="67"/>
        <v>7.7922077922077913</v>
      </c>
      <c r="DJ60" s="545">
        <f t="shared" si="117"/>
        <v>141.16666666666669</v>
      </c>
      <c r="DK60" s="528">
        <f t="shared" si="68"/>
        <v>4.1189931350114417</v>
      </c>
      <c r="DM60" s="173">
        <f t="shared" si="69"/>
        <v>6.3508529610858835</v>
      </c>
      <c r="DN60" s="173">
        <f t="shared" si="70"/>
        <v>13.005952380952381</v>
      </c>
      <c r="DO60" s="173">
        <f t="shared" si="71"/>
        <v>3.4266313932980603</v>
      </c>
      <c r="DQ60" s="545">
        <f t="shared" si="72"/>
        <v>5500</v>
      </c>
      <c r="DR60" s="460">
        <f t="shared" si="73"/>
        <v>81.286491524802443</v>
      </c>
      <c r="DT60">
        <f t="shared" si="74"/>
        <v>5500</v>
      </c>
      <c r="DU60">
        <f t="shared" si="75"/>
        <v>81.286491524802443</v>
      </c>
      <c r="DW60" s="5">
        <f t="shared" si="118"/>
        <v>12.302167078952795</v>
      </c>
      <c r="DX60" s="5">
        <f t="shared" si="76"/>
        <v>2.1676587301587307</v>
      </c>
      <c r="DY60" s="5">
        <f t="shared" si="119"/>
        <v>10.134508348794064</v>
      </c>
      <c r="DZ60" s="5">
        <f t="shared" si="77"/>
        <v>10.134508348794064</v>
      </c>
      <c r="EA60" s="173">
        <f t="shared" si="120"/>
        <v>0.17620137299771169</v>
      </c>
      <c r="EB60" s="173">
        <f t="shared" si="78"/>
        <v>82.5</v>
      </c>
      <c r="EC60" s="173">
        <f t="shared" si="79"/>
        <v>5.3571428571428577</v>
      </c>
      <c r="ED60" s="173">
        <f t="shared" si="121"/>
        <v>15.399999999999999</v>
      </c>
      <c r="EE60" s="460">
        <f t="shared" si="80"/>
        <v>79.480820105820129</v>
      </c>
      <c r="EF60" s="5">
        <f t="shared" si="81"/>
        <v>3.2256826341647771</v>
      </c>
      <c r="EG60" s="5"/>
      <c r="EH60" s="173">
        <f t="shared" si="122"/>
        <v>3.1519997641541022</v>
      </c>
      <c r="EI60" s="173">
        <f t="shared" si="82"/>
        <v>6.8154112078415929</v>
      </c>
      <c r="EJ60" s="173"/>
      <c r="EK60" s="528">
        <f t="shared" si="83"/>
        <v>0.19870205026455032</v>
      </c>
      <c r="EL60" s="528">
        <f t="shared" si="84"/>
        <v>1.8480000000000001</v>
      </c>
      <c r="EM60" s="528">
        <f t="shared" si="85"/>
        <v>1.0160811440600305E-2</v>
      </c>
      <c r="EN60" s="528">
        <f t="shared" si="86"/>
        <v>6.2092800000000004E-2</v>
      </c>
      <c r="EO60">
        <f t="shared" si="87"/>
        <v>3.2399999999999998E-2</v>
      </c>
      <c r="EP60" s="460">
        <f t="shared" si="123"/>
        <v>42.560811440600304</v>
      </c>
      <c r="EQ60" s="528">
        <f t="shared" si="88"/>
        <v>2.3142654043721</v>
      </c>
      <c r="ER60" s="460">
        <f t="shared" si="124"/>
        <v>2314.2654043721</v>
      </c>
      <c r="ES60" s="528">
        <f t="shared" si="125"/>
        <v>3.4168749999999997</v>
      </c>
      <c r="ET60" s="528"/>
      <c r="EV60" s="460">
        <f t="shared" si="126"/>
        <v>3416.8749999999995</v>
      </c>
      <c r="EW60" s="528">
        <f t="shared" si="89"/>
        <v>0.29805307539682546</v>
      </c>
      <c r="EX60" s="528">
        <f t="shared" si="90"/>
        <v>1.3934948979591839</v>
      </c>
      <c r="EY60" s="528">
        <f t="shared" si="91"/>
        <v>1.8170687138586978</v>
      </c>
      <c r="EZ60" s="528">
        <f t="shared" si="92"/>
        <v>4.527230392439952</v>
      </c>
      <c r="FA60" s="528">
        <f t="shared" si="93"/>
        <v>1.3750000000000002E-2</v>
      </c>
      <c r="FB60" s="460">
        <f t="shared" si="127"/>
        <v>4540.9803924399521</v>
      </c>
      <c r="FC60" s="173">
        <f t="shared" si="128"/>
        <v>10.272120796812052</v>
      </c>
      <c r="FD60" s="5">
        <f t="shared" si="129"/>
        <v>82.5</v>
      </c>
      <c r="FE60" s="173">
        <f t="shared" si="130"/>
        <v>0.8892757790962883</v>
      </c>
      <c r="FF60" s="5">
        <f t="shared" si="131"/>
        <v>88.927577909628823</v>
      </c>
      <c r="FI60" s="562">
        <f t="shared" si="94"/>
        <v>-50</v>
      </c>
      <c r="FJ60">
        <f t="shared" si="95"/>
        <v>-50</v>
      </c>
      <c r="FL60">
        <f t="shared" si="181"/>
        <v>0.82379862700228834</v>
      </c>
    </row>
    <row r="61" spans="5:168">
      <c r="E61" s="170">
        <v>56</v>
      </c>
      <c r="F61" s="217">
        <f t="shared" si="182"/>
        <v>5.6000000000000005</v>
      </c>
      <c r="G61" s="217"/>
      <c r="H61" s="217">
        <f t="shared" si="132"/>
        <v>84.000000000000014</v>
      </c>
      <c r="I61" s="541">
        <f t="shared" si="133"/>
        <v>71.658456147477892</v>
      </c>
      <c r="J61" s="172">
        <f t="shared" si="134"/>
        <v>15.604926311513264</v>
      </c>
      <c r="K61" s="172">
        <f t="shared" si="135"/>
        <v>87.604926311513267</v>
      </c>
      <c r="L61" s="443"/>
      <c r="M61" s="217">
        <f t="shared" si="136"/>
        <v>0.17881625092061681</v>
      </c>
      <c r="N61" s="172">
        <f t="shared" si="137"/>
        <v>321.49564455904022</v>
      </c>
      <c r="O61" s="172">
        <f t="shared" si="98"/>
        <v>84.000000000000014</v>
      </c>
      <c r="P61" s="217">
        <f t="shared" si="138"/>
        <v>21.433042970602681</v>
      </c>
      <c r="Q61" s="217">
        <f t="shared" si="139"/>
        <v>15</v>
      </c>
      <c r="R61" s="217">
        <f t="shared" si="140"/>
        <v>21.356160791752373</v>
      </c>
      <c r="S61" s="172">
        <f t="shared" si="141"/>
        <v>248.36059071192568</v>
      </c>
      <c r="T61" s="172">
        <f t="shared" si="142"/>
        <v>15</v>
      </c>
      <c r="U61" s="217">
        <f t="shared" si="143"/>
        <v>13.638847593557657</v>
      </c>
      <c r="V61" s="217">
        <f t="shared" si="11"/>
        <v>2.2839756802163858</v>
      </c>
      <c r="W61" s="217">
        <f t="shared" si="144"/>
        <v>10.48810919420616</v>
      </c>
      <c r="X61" s="197">
        <f t="shared" si="145"/>
        <v>106.78638395890161</v>
      </c>
      <c r="Y61" s="443">
        <f t="shared" si="14"/>
        <v>77.088610634342245</v>
      </c>
      <c r="AA61" s="217">
        <f t="shared" si="146"/>
        <v>10</v>
      </c>
      <c r="AB61" s="173">
        <f t="shared" si="147"/>
        <v>7.6898793114751465</v>
      </c>
      <c r="AC61" s="173">
        <f t="shared" si="148"/>
        <v>4.105872023763995</v>
      </c>
      <c r="AD61" s="173"/>
      <c r="AE61" s="173">
        <f t="shared" si="149"/>
        <v>7.6898793114751465</v>
      </c>
      <c r="AF61" s="545">
        <f t="shared" si="150"/>
        <v>145.64597890745711</v>
      </c>
      <c r="AG61" s="528">
        <f t="shared" si="151"/>
        <v>4.105872023763995</v>
      </c>
      <c r="AI61" s="173">
        <f t="shared" si="152"/>
        <v>6.4508245078208439</v>
      </c>
      <c r="AJ61" s="173">
        <f t="shared" si="153"/>
        <v>13.638847593557657</v>
      </c>
      <c r="AK61" s="173">
        <f t="shared" si="154"/>
        <v>3.8954426618945606</v>
      </c>
      <c r="AM61" s="545">
        <f t="shared" si="155"/>
        <v>5600.0000000000009</v>
      </c>
      <c r="AN61" s="460">
        <f t="shared" si="156"/>
        <v>77.088610634342245</v>
      </c>
      <c r="AP61">
        <f t="shared" si="157"/>
        <v>5600.0000000000009</v>
      </c>
      <c r="AQ61">
        <f t="shared" si="158"/>
        <v>77.088610634342245</v>
      </c>
      <c r="AS61" s="5">
        <f t="shared" si="101"/>
        <v>12.972084874422546</v>
      </c>
      <c r="AT61" s="5">
        <f t="shared" si="159"/>
        <v>2.2839756802163858</v>
      </c>
      <c r="AU61" s="5">
        <f t="shared" si="102"/>
        <v>10.688109194206159</v>
      </c>
      <c r="AV61" s="5">
        <f t="shared" si="160"/>
        <v>10.48810919420616</v>
      </c>
      <c r="AW61" s="173">
        <f t="shared" si="103"/>
        <v>0.17606851191050793</v>
      </c>
      <c r="AX61" s="173">
        <f t="shared" si="161"/>
        <v>86.039290745192929</v>
      </c>
      <c r="AY61" s="173">
        <f t="shared" si="162"/>
        <v>5.6187379967928743</v>
      </c>
      <c r="AZ61" s="173">
        <f t="shared" si="104"/>
        <v>15.312920943155454</v>
      </c>
      <c r="BA61" s="460">
        <f t="shared" si="163"/>
        <v>85.26842539474508</v>
      </c>
      <c r="BB61" s="5">
        <f t="shared" si="164"/>
        <v>3.480248221064342</v>
      </c>
      <c r="BC61" s="5"/>
      <c r="BD61" s="173">
        <f t="shared" si="105"/>
        <v>3.3041358561412375</v>
      </c>
      <c r="BE61" s="173">
        <f t="shared" si="165"/>
        <v>7.1476388272113773</v>
      </c>
      <c r="BF61" s="173"/>
      <c r="BG61" s="528">
        <f t="shared" si="166"/>
        <v>0.21834627511676377</v>
      </c>
      <c r="BH61" s="528">
        <f t="shared" si="167"/>
        <v>1.7270213066763773</v>
      </c>
      <c r="BI61" s="528">
        <f t="shared" si="168"/>
        <v>0.1381012706152753</v>
      </c>
      <c r="BJ61" s="528">
        <f t="shared" si="169"/>
        <v>5.9162603300398985E-2</v>
      </c>
      <c r="BK61">
        <f t="shared" si="170"/>
        <v>3.2246305266365051E-2</v>
      </c>
      <c r="BL61" s="460">
        <f t="shared" si="106"/>
        <v>170.34757588164035</v>
      </c>
      <c r="BM61" s="528">
        <f t="shared" si="171"/>
        <v>2.1763929314236603</v>
      </c>
      <c r="BN61" s="460">
        <f t="shared" si="107"/>
        <v>2176.3929314236602</v>
      </c>
      <c r="BO61" s="528">
        <f t="shared" si="172"/>
        <v>3.4789999999999996</v>
      </c>
      <c r="BP61" s="528"/>
      <c r="BR61" s="460">
        <f t="shared" si="109"/>
        <v>3478.9999999999995</v>
      </c>
      <c r="BS61" s="528">
        <f t="shared" si="173"/>
        <v>0.32751941267514567</v>
      </c>
      <c r="BT61" s="528">
        <f t="shared" si="174"/>
        <v>1.532662224127789</v>
      </c>
      <c r="BU61" s="528">
        <f t="shared" si="175"/>
        <v>1.2600000000000002</v>
      </c>
      <c r="BV61" s="528">
        <f t="shared" si="176"/>
        <v>4.1901857577434427</v>
      </c>
      <c r="BW61" s="528">
        <f t="shared" si="177"/>
        <v>1.4339881790865488E-2</v>
      </c>
      <c r="BX61" s="460">
        <f t="shared" si="110"/>
        <v>4204.5256395343085</v>
      </c>
      <c r="BY61" s="173">
        <f t="shared" si="45"/>
        <v>10.030266146839608</v>
      </c>
      <c r="BZ61" s="5">
        <f t="shared" si="111"/>
        <v>84.000000000000014</v>
      </c>
      <c r="CA61" s="173">
        <f t="shared" si="112"/>
        <v>0.89332938682555529</v>
      </c>
      <c r="CB61" s="5">
        <f t="shared" si="113"/>
        <v>89.332938682555536</v>
      </c>
      <c r="CE61" s="562">
        <f t="shared" si="178"/>
        <v>-50</v>
      </c>
      <c r="CF61">
        <f t="shared" si="179"/>
        <v>-50</v>
      </c>
      <c r="CG61" s="173">
        <f t="shared" si="180"/>
        <v>0.81980687965062382</v>
      </c>
      <c r="CI61" s="170">
        <v>56</v>
      </c>
      <c r="CJ61" s="217">
        <f t="shared" si="114"/>
        <v>5.6000000000000005</v>
      </c>
      <c r="CK61" s="217"/>
      <c r="CL61" s="217">
        <f t="shared" si="49"/>
        <v>84.000000000000014</v>
      </c>
      <c r="CM61" s="541">
        <f t="shared" si="50"/>
        <v>72</v>
      </c>
      <c r="CN61" s="172">
        <f t="shared" si="51"/>
        <v>15.4</v>
      </c>
      <c r="CO61" s="443">
        <f t="shared" si="52"/>
        <v>87.4</v>
      </c>
      <c r="CP61" s="443"/>
      <c r="CQ61" s="217">
        <f t="shared" si="53"/>
        <v>0.17620137299771166</v>
      </c>
      <c r="CR61" s="172">
        <f t="shared" si="54"/>
        <v>318.30425629290613</v>
      </c>
      <c r="CS61" s="172">
        <f t="shared" si="115"/>
        <v>84.000000000000014</v>
      </c>
      <c r="CT61" s="217">
        <f t="shared" si="55"/>
        <v>21.220283752860407</v>
      </c>
      <c r="CU61" s="217">
        <f t="shared" si="56"/>
        <v>15</v>
      </c>
      <c r="CV61" s="217">
        <f t="shared" si="57"/>
        <v>21.144164759725399</v>
      </c>
      <c r="CW61" s="172">
        <f t="shared" si="58"/>
        <v>249.54379733258403</v>
      </c>
      <c r="CX61" s="172">
        <f t="shared" si="59"/>
        <v>15</v>
      </c>
      <c r="CY61" s="217">
        <f t="shared" si="60"/>
        <v>13.242424242424246</v>
      </c>
      <c r="CZ61" s="217">
        <f t="shared" si="61"/>
        <v>2.2070707070707081</v>
      </c>
      <c r="DA61" s="217">
        <f t="shared" si="62"/>
        <v>10.318772136953957</v>
      </c>
      <c r="DB61" s="197">
        <f t="shared" si="63"/>
        <v>105.72082379862701</v>
      </c>
      <c r="DC61" s="443">
        <f t="shared" si="116"/>
        <v>79.834947033288117</v>
      </c>
      <c r="DE61" s="217">
        <f t="shared" si="64"/>
        <v>9.9999999999999982</v>
      </c>
      <c r="DF61" s="173">
        <f t="shared" si="65"/>
        <v>7.7922077922077895</v>
      </c>
      <c r="DG61" s="173">
        <f t="shared" si="66"/>
        <v>4.118993135011439</v>
      </c>
      <c r="DH61" s="173"/>
      <c r="DI61" s="173">
        <f t="shared" si="67"/>
        <v>7.7922077922077913</v>
      </c>
      <c r="DJ61" s="545">
        <f t="shared" si="117"/>
        <v>143.73333333333335</v>
      </c>
      <c r="DK61" s="528">
        <f t="shared" si="68"/>
        <v>4.1189931350114417</v>
      </c>
      <c r="DM61" s="173">
        <f t="shared" si="69"/>
        <v>6.408327915038889</v>
      </c>
      <c r="DN61" s="173">
        <f t="shared" si="70"/>
        <v>13.242424242424246</v>
      </c>
      <c r="DO61" s="173">
        <f t="shared" si="71"/>
        <v>3.6017957351290706</v>
      </c>
      <c r="DQ61" s="545">
        <f t="shared" si="72"/>
        <v>5600.0000000000009</v>
      </c>
      <c r="DR61" s="460">
        <f t="shared" si="73"/>
        <v>79.834947033288117</v>
      </c>
      <c r="DT61">
        <f t="shared" si="74"/>
        <v>5600.0000000000009</v>
      </c>
      <c r="DU61">
        <f t="shared" si="75"/>
        <v>79.834947033288117</v>
      </c>
      <c r="DW61" s="5">
        <f t="shared" si="118"/>
        <v>12.525842844024663</v>
      </c>
      <c r="DX61" s="5">
        <f t="shared" si="76"/>
        <v>2.2070707070707081</v>
      </c>
      <c r="DY61" s="5">
        <f t="shared" si="119"/>
        <v>10.318772136953955</v>
      </c>
      <c r="DZ61" s="5">
        <f t="shared" si="77"/>
        <v>10.318772136953957</v>
      </c>
      <c r="EA61" s="173">
        <f t="shared" si="120"/>
        <v>0.17620137299771174</v>
      </c>
      <c r="EB61" s="173">
        <f t="shared" si="78"/>
        <v>84.000000000000028</v>
      </c>
      <c r="EC61" s="173">
        <f t="shared" si="79"/>
        <v>5.454545454545455</v>
      </c>
      <c r="ED61" s="173">
        <f t="shared" si="121"/>
        <v>15.400000000000004</v>
      </c>
      <c r="EE61" s="460">
        <f t="shared" si="80"/>
        <v>82.397306397306437</v>
      </c>
      <c r="EF61" s="5">
        <f t="shared" si="81"/>
        <v>3.3440465258647083</v>
      </c>
      <c r="EG61" s="5"/>
      <c r="EH61" s="173">
        <f t="shared" si="122"/>
        <v>3.2093088507750869</v>
      </c>
      <c r="EI61" s="173">
        <f t="shared" si="82"/>
        <v>6.9393277752568947</v>
      </c>
      <c r="EJ61" s="173"/>
      <c r="EK61" s="528">
        <f t="shared" si="83"/>
        <v>0.20599326599326617</v>
      </c>
      <c r="EL61" s="528">
        <f t="shared" si="84"/>
        <v>1.8480000000000003</v>
      </c>
      <c r="EM61" s="528">
        <f t="shared" si="85"/>
        <v>9.979368379161014E-3</v>
      </c>
      <c r="EN61" s="528">
        <f t="shared" si="86"/>
        <v>6.098400000000001E-2</v>
      </c>
      <c r="EO61">
        <f t="shared" si="87"/>
        <v>3.2399999999999998E-2</v>
      </c>
      <c r="EP61" s="460">
        <f t="shared" si="123"/>
        <v>42.379368379161008</v>
      </c>
      <c r="EQ61" s="528">
        <f t="shared" si="88"/>
        <v>2.3268606855859271</v>
      </c>
      <c r="ER61" s="460">
        <f t="shared" si="124"/>
        <v>2326.8606855859271</v>
      </c>
      <c r="ES61" s="528">
        <f t="shared" si="125"/>
        <v>3.4789999999999996</v>
      </c>
      <c r="ET61" s="528"/>
      <c r="EV61" s="460">
        <f t="shared" si="126"/>
        <v>3478.9999999999995</v>
      </c>
      <c r="EW61" s="528">
        <f t="shared" si="89"/>
        <v>0.30898989898989926</v>
      </c>
      <c r="EX61" s="528">
        <f t="shared" si="90"/>
        <v>1.4446280991735541</v>
      </c>
      <c r="EY61" s="528">
        <f t="shared" si="91"/>
        <v>1.8170687138586994</v>
      </c>
      <c r="EZ61" s="528">
        <f t="shared" si="92"/>
        <v>4.6429056668784305</v>
      </c>
      <c r="FA61" s="528">
        <f t="shared" si="93"/>
        <v>1.4000000000000005E-2</v>
      </c>
      <c r="FB61" s="460">
        <f t="shared" si="127"/>
        <v>4656.9056668784306</v>
      </c>
      <c r="FC61" s="173">
        <f t="shared" si="128"/>
        <v>10.462766352464357</v>
      </c>
      <c r="FD61" s="5">
        <f t="shared" si="129"/>
        <v>84.000000000000014</v>
      </c>
      <c r="FE61" s="173">
        <f t="shared" si="130"/>
        <v>0.88923925524872793</v>
      </c>
      <c r="FF61" s="5">
        <f t="shared" si="131"/>
        <v>88.9239255248728</v>
      </c>
      <c r="FI61" s="562">
        <f t="shared" si="94"/>
        <v>-50</v>
      </c>
      <c r="FJ61">
        <f t="shared" si="95"/>
        <v>-50</v>
      </c>
      <c r="FL61">
        <f t="shared" si="181"/>
        <v>0.82379862700228823</v>
      </c>
    </row>
    <row r="62" spans="5:168">
      <c r="E62" s="170">
        <v>57</v>
      </c>
      <c r="F62" s="217">
        <f t="shared" si="182"/>
        <v>5.6999999999999993</v>
      </c>
      <c r="G62" s="217"/>
      <c r="H62" s="217">
        <f t="shared" si="132"/>
        <v>85.499999999999986</v>
      </c>
      <c r="I62" s="541">
        <f t="shared" si="133"/>
        <v>71.652386844393916</v>
      </c>
      <c r="J62" s="172">
        <f t="shared" si="134"/>
        <v>15.608567893363647</v>
      </c>
      <c r="K62" s="172">
        <f t="shared" si="135"/>
        <v>87.608567893363642</v>
      </c>
      <c r="L62" s="443"/>
      <c r="M62" s="217">
        <f t="shared" si="136"/>
        <v>0.17886295925538181</v>
      </c>
      <c r="N62" s="172">
        <f t="shared" si="137"/>
        <v>321.5523849328751</v>
      </c>
      <c r="O62" s="172">
        <f t="shared" si="98"/>
        <v>85.499999999999986</v>
      </c>
      <c r="P62" s="217">
        <f t="shared" si="138"/>
        <v>21.436825662191673</v>
      </c>
      <c r="Q62" s="217">
        <f t="shared" si="139"/>
        <v>15</v>
      </c>
      <c r="R62" s="217">
        <f t="shared" si="140"/>
        <v>21.359929914499475</v>
      </c>
      <c r="S62" s="172">
        <f t="shared" si="141"/>
        <v>242.73035081686518</v>
      </c>
      <c r="T62" s="172">
        <f t="shared" si="142"/>
        <v>15</v>
      </c>
      <c r="U62" s="217">
        <f t="shared" si="143"/>
        <v>13.883188109091174</v>
      </c>
      <c r="V62" s="217">
        <f t="shared" si="11"/>
        <v>2.3250901281333762</v>
      </c>
      <c r="W62" s="217">
        <f t="shared" si="144"/>
        <v>10.673513319561321</v>
      </c>
      <c r="X62" s="197">
        <f t="shared" si="145"/>
        <v>106.80522846131872</v>
      </c>
      <c r="Y62" s="443">
        <f t="shared" si="14"/>
        <v>75.765591713012839</v>
      </c>
      <c r="AA62" s="217">
        <f t="shared" si="146"/>
        <v>10</v>
      </c>
      <c r="AB62" s="173">
        <f t="shared" si="147"/>
        <v>7.688085211906011</v>
      </c>
      <c r="AC62" s="173">
        <f t="shared" si="148"/>
        <v>4.1056384874385374</v>
      </c>
      <c r="AD62" s="173"/>
      <c r="AE62" s="173">
        <f t="shared" si="149"/>
        <v>7.688085211906011</v>
      </c>
      <c r="AF62" s="545">
        <f t="shared" si="150"/>
        <v>148.28139498695461</v>
      </c>
      <c r="AG62" s="528">
        <f t="shared" si="151"/>
        <v>4.1056384874385374</v>
      </c>
      <c r="AI62" s="173">
        <f t="shared" si="152"/>
        <v>6.5089256297345726</v>
      </c>
      <c r="AJ62" s="173">
        <f t="shared" si="153"/>
        <v>13.883188109091174</v>
      </c>
      <c r="AK62" s="173">
        <f t="shared" si="154"/>
        <v>4.0764356363638328</v>
      </c>
      <c r="AM62" s="545">
        <f t="shared" si="155"/>
        <v>5699.9999999999991</v>
      </c>
      <c r="AN62" s="460">
        <f t="shared" si="156"/>
        <v>75.765591713012839</v>
      </c>
      <c r="AP62">
        <f t="shared" si="157"/>
        <v>5699.9999999999991</v>
      </c>
      <c r="AQ62">
        <f t="shared" si="158"/>
        <v>75.765591713012839</v>
      </c>
      <c r="AS62" s="5">
        <f t="shared" si="101"/>
        <v>13.198603447694698</v>
      </c>
      <c r="AT62" s="5">
        <f t="shared" si="159"/>
        <v>2.3250901281333762</v>
      </c>
      <c r="AU62" s="5">
        <f t="shared" si="102"/>
        <v>10.873513319561322</v>
      </c>
      <c r="AV62" s="5">
        <f t="shared" si="160"/>
        <v>10.673513319561321</v>
      </c>
      <c r="AW62" s="173">
        <f t="shared" si="103"/>
        <v>0.17616182934411007</v>
      </c>
      <c r="AX62" s="173">
        <f t="shared" si="161"/>
        <v>87.61968468993237</v>
      </c>
      <c r="AY62" s="173">
        <f t="shared" si="162"/>
        <v>5.7187501473326385</v>
      </c>
      <c r="AZ62" s="173">
        <f t="shared" si="104"/>
        <v>15.321474523729679</v>
      </c>
      <c r="BA62" s="460">
        <f t="shared" si="163"/>
        <v>88.353424869068292</v>
      </c>
      <c r="BB62" s="5">
        <f t="shared" si="164"/>
        <v>3.6041498785017305</v>
      </c>
      <c r="BC62" s="5"/>
      <c r="BD62" s="173">
        <f t="shared" si="105"/>
        <v>3.3642207608789487</v>
      </c>
      <c r="BE62" s="173">
        <f t="shared" si="165"/>
        <v>7.2752770414288177</v>
      </c>
      <c r="BF62" s="173"/>
      <c r="BG62" s="528">
        <f t="shared" si="166"/>
        <v>0.22635962655857866</v>
      </c>
      <c r="BH62" s="528">
        <f t="shared" si="167"/>
        <v>1.7278621079851244</v>
      </c>
      <c r="BI62" s="528">
        <f t="shared" si="168"/>
        <v>0.13571963717288005</v>
      </c>
      <c r="BJ62" s="528">
        <f t="shared" si="169"/>
        <v>5.8152070397013769E-2</v>
      </c>
      <c r="BK62">
        <f t="shared" si="170"/>
        <v>3.2243574079977265E-2</v>
      </c>
      <c r="BL62" s="460">
        <f t="shared" si="106"/>
        <v>167.96321125285732</v>
      </c>
      <c r="BM62" s="528">
        <f t="shared" si="171"/>
        <v>2.1913482929362549</v>
      </c>
      <c r="BN62" s="460">
        <f t="shared" si="107"/>
        <v>2191.3482929362549</v>
      </c>
      <c r="BO62" s="528">
        <f t="shared" si="172"/>
        <v>3.5411249999999992</v>
      </c>
      <c r="BP62" s="528"/>
      <c r="BR62" s="460">
        <f t="shared" si="109"/>
        <v>3541.1249999999991</v>
      </c>
      <c r="BS62" s="528">
        <f t="shared" si="173"/>
        <v>0.339539439837868</v>
      </c>
      <c r="BT62" s="528">
        <f t="shared" si="174"/>
        <v>1.5878896808862375</v>
      </c>
      <c r="BU62" s="528">
        <f t="shared" si="175"/>
        <v>1.2824999999999998</v>
      </c>
      <c r="BV62" s="528">
        <f t="shared" si="176"/>
        <v>4.3420282441622868</v>
      </c>
      <c r="BW62" s="528">
        <f t="shared" si="177"/>
        <v>1.4603280781655393E-2</v>
      </c>
      <c r="BX62" s="460">
        <f t="shared" si="110"/>
        <v>4356.6315249439422</v>
      </c>
      <c r="BY62" s="173">
        <f t="shared" si="45"/>
        <v>10.257068029133054</v>
      </c>
      <c r="BZ62" s="5">
        <f t="shared" si="111"/>
        <v>85.499999999999986</v>
      </c>
      <c r="CA62" s="173">
        <f t="shared" si="112"/>
        <v>0.89288448111201091</v>
      </c>
      <c r="CB62" s="5">
        <f t="shared" si="113"/>
        <v>89.288448111201092</v>
      </c>
      <c r="CE62" s="562">
        <f t="shared" si="178"/>
        <v>-50</v>
      </c>
      <c r="CF62">
        <f t="shared" si="179"/>
        <v>-50</v>
      </c>
      <c r="CG62" s="173">
        <f t="shared" si="180"/>
        <v>0.81987691030591625</v>
      </c>
      <c r="CI62" s="170">
        <v>57</v>
      </c>
      <c r="CJ62" s="217">
        <f t="shared" si="114"/>
        <v>5.6999999999999993</v>
      </c>
      <c r="CK62" s="217"/>
      <c r="CL62" s="217">
        <f t="shared" si="49"/>
        <v>85.499999999999986</v>
      </c>
      <c r="CM62" s="541">
        <f t="shared" si="50"/>
        <v>72</v>
      </c>
      <c r="CN62" s="172">
        <f t="shared" si="51"/>
        <v>15.4</v>
      </c>
      <c r="CO62" s="443">
        <f t="shared" si="52"/>
        <v>87.4</v>
      </c>
      <c r="CP62" s="443"/>
      <c r="CQ62" s="217">
        <f t="shared" si="53"/>
        <v>0.17620137299771166</v>
      </c>
      <c r="CR62" s="172">
        <f t="shared" si="54"/>
        <v>318.30425629290613</v>
      </c>
      <c r="CS62" s="172">
        <f t="shared" si="115"/>
        <v>85.499999999999986</v>
      </c>
      <c r="CT62" s="217">
        <f t="shared" si="55"/>
        <v>21.220283752860407</v>
      </c>
      <c r="CU62" s="217">
        <f t="shared" si="56"/>
        <v>15</v>
      </c>
      <c r="CV62" s="217">
        <f t="shared" si="57"/>
        <v>21.144164759725399</v>
      </c>
      <c r="CW62" s="172">
        <f t="shared" si="58"/>
        <v>243.9073579765157</v>
      </c>
      <c r="CX62" s="172">
        <f t="shared" si="59"/>
        <v>15</v>
      </c>
      <c r="CY62" s="217">
        <f t="shared" si="60"/>
        <v>13.478896103896103</v>
      </c>
      <c r="CZ62" s="217">
        <f t="shared" si="61"/>
        <v>2.2464826839826841</v>
      </c>
      <c r="DA62" s="217">
        <f t="shared" si="62"/>
        <v>10.503035925113847</v>
      </c>
      <c r="DB62" s="197">
        <f t="shared" si="63"/>
        <v>105.72082379862701</v>
      </c>
      <c r="DC62" s="443">
        <f t="shared" si="116"/>
        <v>78.43433392744096</v>
      </c>
      <c r="DE62" s="217">
        <f t="shared" si="64"/>
        <v>9.9999999999999982</v>
      </c>
      <c r="DF62" s="173">
        <f t="shared" si="65"/>
        <v>7.7922077922077895</v>
      </c>
      <c r="DG62" s="173">
        <f t="shared" si="66"/>
        <v>4.118993135011439</v>
      </c>
      <c r="DH62" s="173"/>
      <c r="DI62" s="173">
        <f t="shared" si="67"/>
        <v>7.7922077922077913</v>
      </c>
      <c r="DJ62" s="545">
        <f t="shared" si="117"/>
        <v>146.30000000000001</v>
      </c>
      <c r="DK62" s="528">
        <f t="shared" si="68"/>
        <v>4.1189931350114417</v>
      </c>
      <c r="DM62" s="173">
        <f t="shared" si="69"/>
        <v>6.4652919500978454</v>
      </c>
      <c r="DN62" s="173">
        <f t="shared" si="70"/>
        <v>13.478896103896103</v>
      </c>
      <c r="DO62" s="173">
        <f t="shared" si="71"/>
        <v>3.7769600769600764</v>
      </c>
      <c r="DQ62" s="545">
        <f t="shared" si="72"/>
        <v>5699.9999999999991</v>
      </c>
      <c r="DR62" s="460">
        <f t="shared" si="73"/>
        <v>78.43433392744096</v>
      </c>
      <c r="DT62">
        <f t="shared" si="74"/>
        <v>5699.9999999999991</v>
      </c>
      <c r="DU62">
        <f t="shared" si="75"/>
        <v>78.43433392744096</v>
      </c>
      <c r="DW62" s="5">
        <f t="shared" si="118"/>
        <v>12.749518609096532</v>
      </c>
      <c r="DX62" s="5">
        <f t="shared" si="76"/>
        <v>2.2464826839826841</v>
      </c>
      <c r="DY62" s="5">
        <f t="shared" si="119"/>
        <v>10.503035925113847</v>
      </c>
      <c r="DZ62" s="5">
        <f t="shared" si="77"/>
        <v>10.503035925113847</v>
      </c>
      <c r="EA62" s="173">
        <f t="shared" si="120"/>
        <v>0.17620137299771169</v>
      </c>
      <c r="EB62" s="173">
        <f t="shared" si="78"/>
        <v>85.499999999999986</v>
      </c>
      <c r="EC62" s="173">
        <f t="shared" si="79"/>
        <v>5.5519480519480515</v>
      </c>
      <c r="ED62" s="173">
        <f t="shared" si="121"/>
        <v>15.399999999999999</v>
      </c>
      <c r="EE62" s="460">
        <f t="shared" si="80"/>
        <v>85.366341991341983</v>
      </c>
      <c r="EF62" s="5">
        <f t="shared" si="81"/>
        <v>3.4645431002979699</v>
      </c>
      <c r="EG62" s="5"/>
      <c r="EH62" s="173">
        <f t="shared" si="122"/>
        <v>3.2666179373960693</v>
      </c>
      <c r="EI62" s="173">
        <f t="shared" si="82"/>
        <v>7.0632443426721956</v>
      </c>
      <c r="EJ62" s="173"/>
      <c r="EK62" s="528">
        <f t="shared" si="83"/>
        <v>0.213415854978355</v>
      </c>
      <c r="EL62" s="528">
        <f t="shared" si="84"/>
        <v>1.8480000000000001</v>
      </c>
      <c r="EM62" s="528">
        <f t="shared" si="85"/>
        <v>9.804291740930119E-3</v>
      </c>
      <c r="EN62" s="528">
        <f t="shared" si="86"/>
        <v>5.9914105263157907E-2</v>
      </c>
      <c r="EO62">
        <f t="shared" si="87"/>
        <v>3.2399999999999998E-2</v>
      </c>
      <c r="EP62" s="460">
        <f t="shared" si="123"/>
        <v>42.204291740930117</v>
      </c>
      <c r="EQ62" s="528">
        <f t="shared" si="88"/>
        <v>2.33980230910884</v>
      </c>
      <c r="ER62" s="460">
        <f t="shared" si="124"/>
        <v>2339.8023091088398</v>
      </c>
      <c r="ES62" s="528">
        <f t="shared" si="125"/>
        <v>3.5411249999999992</v>
      </c>
      <c r="ET62" s="528"/>
      <c r="EV62" s="460">
        <f t="shared" si="126"/>
        <v>3541.1249999999991</v>
      </c>
      <c r="EW62" s="528">
        <f t="shared" si="89"/>
        <v>0.32012378246753248</v>
      </c>
      <c r="EX62" s="528">
        <f t="shared" si="90"/>
        <v>1.496682619328723</v>
      </c>
      <c r="EY62" s="528">
        <f t="shared" si="91"/>
        <v>1.8170687138587012</v>
      </c>
      <c r="EZ62" s="528">
        <f t="shared" si="92"/>
        <v>4.7620458885655292</v>
      </c>
      <c r="FA62" s="528">
        <f t="shared" si="93"/>
        <v>1.4249999999999997E-2</v>
      </c>
      <c r="FB62" s="460">
        <f t="shared" si="127"/>
        <v>4776.2958885655289</v>
      </c>
      <c r="FC62" s="173">
        <f t="shared" si="128"/>
        <v>10.657223197674369</v>
      </c>
      <c r="FD62" s="5">
        <f t="shared" si="129"/>
        <v>85.499999999999986</v>
      </c>
      <c r="FE62" s="173">
        <f t="shared" si="130"/>
        <v>0.8891687712761227</v>
      </c>
      <c r="FF62" s="5">
        <f t="shared" si="131"/>
        <v>88.916877127612267</v>
      </c>
      <c r="FI62" s="562">
        <f t="shared" si="94"/>
        <v>-50</v>
      </c>
      <c r="FJ62">
        <f t="shared" si="95"/>
        <v>-50</v>
      </c>
      <c r="FL62">
        <f t="shared" si="181"/>
        <v>0.82379862700228834</v>
      </c>
    </row>
    <row r="63" spans="5:168">
      <c r="E63" s="170">
        <v>58</v>
      </c>
      <c r="F63" s="217">
        <f t="shared" si="182"/>
        <v>5.8</v>
      </c>
      <c r="G63" s="217"/>
      <c r="H63" s="217">
        <f t="shared" si="132"/>
        <v>87</v>
      </c>
      <c r="I63" s="541">
        <f t="shared" si="133"/>
        <v>71.646317536412539</v>
      </c>
      <c r="J63" s="172">
        <f t="shared" si="134"/>
        <v>15.612209478152476</v>
      </c>
      <c r="K63" s="172">
        <f t="shared" si="135"/>
        <v>87.612209478152479</v>
      </c>
      <c r="L63" s="443"/>
      <c r="M63" s="217">
        <f t="shared" si="136"/>
        <v>0.17890967019918114</v>
      </c>
      <c r="N63" s="172">
        <f t="shared" si="137"/>
        <v>321.60911574936267</v>
      </c>
      <c r="O63" s="172">
        <f t="shared" si="98"/>
        <v>87</v>
      </c>
      <c r="P63" s="217">
        <f t="shared" si="138"/>
        <v>21.440607716624179</v>
      </c>
      <c r="Q63" s="217">
        <f t="shared" si="139"/>
        <v>15</v>
      </c>
      <c r="R63" s="217">
        <f t="shared" si="140"/>
        <v>21.363698402375622</v>
      </c>
      <c r="S63" s="172">
        <f t="shared" si="141"/>
        <v>237.29458537167011</v>
      </c>
      <c r="T63" s="172">
        <f t="shared" si="142"/>
        <v>15</v>
      </c>
      <c r="U63" s="217">
        <f t="shared" si="143"/>
        <v>14.127556468499563</v>
      </c>
      <c r="V63" s="217">
        <f t="shared" si="11"/>
        <v>2.3662162055409874</v>
      </c>
      <c r="W63" s="217">
        <f t="shared" si="144"/>
        <v>10.858852352656029</v>
      </c>
      <c r="X63" s="197">
        <f t="shared" si="145"/>
        <v>106.82406980599869</v>
      </c>
      <c r="Y63" s="443">
        <f t="shared" si="14"/>
        <v>74.487515327392856</v>
      </c>
      <c r="AA63" s="217">
        <f t="shared" si="146"/>
        <v>10</v>
      </c>
      <c r="AB63" s="173">
        <f t="shared" si="147"/>
        <v>7.6862919478454632</v>
      </c>
      <c r="AC63" s="173">
        <f t="shared" si="148"/>
        <v>4.1054049379296469</v>
      </c>
      <c r="AD63" s="173"/>
      <c r="AE63" s="173">
        <f t="shared" si="149"/>
        <v>7.6862919478454632</v>
      </c>
      <c r="AF63" s="545">
        <f t="shared" si="150"/>
        <v>150.91802495547392</v>
      </c>
      <c r="AG63" s="528">
        <f t="shared" si="151"/>
        <v>4.1054049379296469</v>
      </c>
      <c r="AI63" s="173">
        <f t="shared" si="152"/>
        <v>6.5665390961726544</v>
      </c>
      <c r="AJ63" s="173">
        <f t="shared" si="153"/>
        <v>14.127556468499563</v>
      </c>
      <c r="AK63" s="173">
        <f t="shared" si="154"/>
        <v>4.257449235925602</v>
      </c>
      <c r="AM63" s="545">
        <f t="shared" si="155"/>
        <v>5800</v>
      </c>
      <c r="AN63" s="460">
        <f t="shared" si="156"/>
        <v>74.487515327392856</v>
      </c>
      <c r="AP63">
        <f t="shared" si="157"/>
        <v>5800</v>
      </c>
      <c r="AQ63">
        <f t="shared" si="158"/>
        <v>74.487515327392856</v>
      </c>
      <c r="AS63" s="5">
        <f t="shared" si="101"/>
        <v>13.425068558197015</v>
      </c>
      <c r="AT63" s="5">
        <f t="shared" si="159"/>
        <v>2.3662162055409874</v>
      </c>
      <c r="AU63" s="5">
        <f t="shared" si="102"/>
        <v>11.058852352656029</v>
      </c>
      <c r="AV63" s="5">
        <f t="shared" si="160"/>
        <v>10.858852352656029</v>
      </c>
      <c r="AW63" s="173">
        <f t="shared" si="103"/>
        <v>0.17625356587815966</v>
      </c>
      <c r="AX63" s="173">
        <f t="shared" si="161"/>
        <v>89.200819007563481</v>
      </c>
      <c r="AY63" s="173">
        <f t="shared" si="162"/>
        <v>5.8187621318907272</v>
      </c>
      <c r="AZ63" s="173">
        <f t="shared" si="104"/>
        <v>15.329861744765788</v>
      </c>
      <c r="BA63" s="460">
        <f t="shared" si="163"/>
        <v>91.49369328091818</v>
      </c>
      <c r="BB63" s="5">
        <f t="shared" si="164"/>
        <v>3.7302070463941761</v>
      </c>
      <c r="BC63" s="5"/>
      <c r="BD63" s="173">
        <f t="shared" si="105"/>
        <v>3.4243281862061421</v>
      </c>
      <c r="BE63" s="173">
        <f t="shared" si="165"/>
        <v>7.4029224227126749</v>
      </c>
      <c r="BF63" s="173"/>
      <c r="BG63" s="528">
        <f t="shared" si="166"/>
        <v>0.23452047053691694</v>
      </c>
      <c r="BH63" s="528">
        <f t="shared" si="167"/>
        <v>1.7286873127039932</v>
      </c>
      <c r="BI63" s="528">
        <f t="shared" si="168"/>
        <v>0.13341890439111961</v>
      </c>
      <c r="BJ63" s="528">
        <f t="shared" si="169"/>
        <v>5.7175866300935629E-2</v>
      </c>
      <c r="BK63">
        <f t="shared" si="170"/>
        <v>3.2240842891385645E-2</v>
      </c>
      <c r="BL63" s="460">
        <f t="shared" si="106"/>
        <v>165.65974728250526</v>
      </c>
      <c r="BM63" s="528">
        <f t="shared" si="171"/>
        <v>2.2066640516574934</v>
      </c>
      <c r="BN63" s="460">
        <f t="shared" si="107"/>
        <v>2206.6640516574935</v>
      </c>
      <c r="BO63" s="528">
        <f t="shared" si="172"/>
        <v>3.6032499999999996</v>
      </c>
      <c r="BP63" s="528"/>
      <c r="BR63" s="460">
        <f t="shared" si="109"/>
        <v>3603.2499999999995</v>
      </c>
      <c r="BS63" s="528">
        <f t="shared" si="173"/>
        <v>0.3517807058053754</v>
      </c>
      <c r="BT63" s="528">
        <f t="shared" si="174"/>
        <v>1.644097811901063</v>
      </c>
      <c r="BU63" s="528">
        <f t="shared" si="175"/>
        <v>1.3049999999999999</v>
      </c>
      <c r="BV63" s="528">
        <f t="shared" si="176"/>
        <v>4.4981026832272617</v>
      </c>
      <c r="BW63" s="528">
        <f t="shared" si="177"/>
        <v>1.4866803167927248E-2</v>
      </c>
      <c r="BX63" s="460">
        <f t="shared" si="110"/>
        <v>4512.9694863951891</v>
      </c>
      <c r="BY63" s="173">
        <f t="shared" si="45"/>
        <v>10.488543285335187</v>
      </c>
      <c r="BZ63" s="5">
        <f t="shared" si="111"/>
        <v>87</v>
      </c>
      <c r="CA63" s="173">
        <f t="shared" si="112"/>
        <v>0.89241255503596251</v>
      </c>
      <c r="CB63" s="5">
        <f t="shared" si="113"/>
        <v>89.24125550359625</v>
      </c>
      <c r="CE63" s="562">
        <f t="shared" si="178"/>
        <v>-50</v>
      </c>
      <c r="CF63">
        <f t="shared" si="179"/>
        <v>-50</v>
      </c>
      <c r="CG63" s="173">
        <f t="shared" si="180"/>
        <v>0.8199445261110262</v>
      </c>
      <c r="CI63" s="170">
        <v>58</v>
      </c>
      <c r="CJ63" s="217">
        <f t="shared" si="114"/>
        <v>5.8</v>
      </c>
      <c r="CK63" s="217"/>
      <c r="CL63" s="217">
        <f t="shared" si="49"/>
        <v>87</v>
      </c>
      <c r="CM63" s="541">
        <f t="shared" si="50"/>
        <v>72</v>
      </c>
      <c r="CN63" s="172">
        <f t="shared" si="51"/>
        <v>15.4</v>
      </c>
      <c r="CO63" s="443">
        <f t="shared" si="52"/>
        <v>87.4</v>
      </c>
      <c r="CP63" s="443"/>
      <c r="CQ63" s="217">
        <f t="shared" si="53"/>
        <v>0.17620137299771166</v>
      </c>
      <c r="CR63" s="172">
        <f t="shared" si="54"/>
        <v>318.30425629290613</v>
      </c>
      <c r="CS63" s="172">
        <f t="shared" si="115"/>
        <v>87</v>
      </c>
      <c r="CT63" s="217">
        <f t="shared" si="55"/>
        <v>21.220283752860407</v>
      </c>
      <c r="CU63" s="217">
        <f t="shared" si="56"/>
        <v>15</v>
      </c>
      <c r="CV63" s="217">
        <f t="shared" si="57"/>
        <v>21.144164759725399</v>
      </c>
      <c r="CW63" s="172">
        <f t="shared" si="58"/>
        <v>238.46539758207712</v>
      </c>
      <c r="CX63" s="172">
        <f t="shared" si="59"/>
        <v>15</v>
      </c>
      <c r="CY63" s="217">
        <f t="shared" si="60"/>
        <v>13.715367965367966</v>
      </c>
      <c r="CZ63" s="217">
        <f t="shared" si="61"/>
        <v>2.2858946608946611</v>
      </c>
      <c r="DA63" s="217">
        <f t="shared" si="62"/>
        <v>10.68729971327374</v>
      </c>
      <c r="DB63" s="197">
        <f t="shared" si="63"/>
        <v>105.72082379862701</v>
      </c>
      <c r="DC63" s="443">
        <f t="shared" si="116"/>
        <v>77.08201782524371</v>
      </c>
      <c r="DE63" s="217">
        <f t="shared" si="64"/>
        <v>9.9999999999999982</v>
      </c>
      <c r="DF63" s="173">
        <f t="shared" si="65"/>
        <v>7.7922077922077895</v>
      </c>
      <c r="DG63" s="173">
        <f t="shared" si="66"/>
        <v>4.118993135011439</v>
      </c>
      <c r="DH63" s="173"/>
      <c r="DI63" s="173">
        <f t="shared" si="67"/>
        <v>7.7922077922077913</v>
      </c>
      <c r="DJ63" s="545">
        <f t="shared" si="117"/>
        <v>148.86666666666665</v>
      </c>
      <c r="DK63" s="528">
        <f t="shared" si="68"/>
        <v>4.1189931350114417</v>
      </c>
      <c r="DM63" s="173">
        <f t="shared" si="69"/>
        <v>6.521758454077653</v>
      </c>
      <c r="DN63" s="173">
        <f t="shared" si="70"/>
        <v>13.715367965367966</v>
      </c>
      <c r="DO63" s="173">
        <f t="shared" si="71"/>
        <v>3.9521244187910858</v>
      </c>
      <c r="DQ63" s="545">
        <f t="shared" si="72"/>
        <v>5800</v>
      </c>
      <c r="DR63" s="460">
        <f t="shared" si="73"/>
        <v>77.08201782524371</v>
      </c>
      <c r="DT63">
        <f t="shared" si="74"/>
        <v>5800</v>
      </c>
      <c r="DU63">
        <f t="shared" si="75"/>
        <v>77.08201782524371</v>
      </c>
      <c r="DW63" s="5">
        <f t="shared" si="118"/>
        <v>12.973194374168401</v>
      </c>
      <c r="DX63" s="5">
        <f t="shared" si="76"/>
        <v>2.2858946608946611</v>
      </c>
      <c r="DY63" s="5">
        <f t="shared" si="119"/>
        <v>10.68729971327374</v>
      </c>
      <c r="DZ63" s="5">
        <f t="shared" si="77"/>
        <v>10.68729971327374</v>
      </c>
      <c r="EA63" s="173">
        <f t="shared" si="120"/>
        <v>0.17620137299771169</v>
      </c>
      <c r="EB63" s="173">
        <f t="shared" si="78"/>
        <v>87.000000000000014</v>
      </c>
      <c r="EC63" s="173">
        <f t="shared" si="79"/>
        <v>5.6493506493506498</v>
      </c>
      <c r="ED63" s="173">
        <f t="shared" si="121"/>
        <v>15.400000000000002</v>
      </c>
      <c r="EE63" s="460">
        <f t="shared" si="80"/>
        <v>88.387926887926895</v>
      </c>
      <c r="EF63" s="5">
        <f t="shared" si="81"/>
        <v>3.5871723574645653</v>
      </c>
      <c r="EG63" s="5"/>
      <c r="EH63" s="173">
        <f t="shared" si="122"/>
        <v>3.3239270240170531</v>
      </c>
      <c r="EI63" s="173">
        <f t="shared" si="82"/>
        <v>7.1871609100874974</v>
      </c>
      <c r="EJ63" s="173"/>
      <c r="EK63" s="528">
        <f t="shared" si="83"/>
        <v>0.22096981721981729</v>
      </c>
      <c r="EL63" s="528">
        <f t="shared" si="84"/>
        <v>1.8480000000000003</v>
      </c>
      <c r="EM63" s="528">
        <f t="shared" si="85"/>
        <v>9.6352522281554619E-3</v>
      </c>
      <c r="EN63" s="528">
        <f t="shared" si="86"/>
        <v>5.8881103448275879E-2</v>
      </c>
      <c r="EO63">
        <f t="shared" si="87"/>
        <v>3.2399999999999998E-2</v>
      </c>
      <c r="EP63" s="460">
        <f t="shared" si="123"/>
        <v>42.035252228155464</v>
      </c>
      <c r="EQ63" s="528">
        <f t="shared" si="88"/>
        <v>2.3530910165648669</v>
      </c>
      <c r="ER63" s="460">
        <f t="shared" si="124"/>
        <v>2353.091016564867</v>
      </c>
      <c r="ES63" s="528">
        <f t="shared" si="125"/>
        <v>3.6032499999999996</v>
      </c>
      <c r="ET63" s="528"/>
      <c r="EV63" s="460">
        <f t="shared" si="126"/>
        <v>3603.2499999999995</v>
      </c>
      <c r="EW63" s="528">
        <f t="shared" si="89"/>
        <v>0.3314547258297259</v>
      </c>
      <c r="EX63" s="528">
        <f t="shared" si="90"/>
        <v>1.5496584584246922</v>
      </c>
      <c r="EY63" s="528">
        <f t="shared" si="91"/>
        <v>1.8170687138587027</v>
      </c>
      <c r="EZ63" s="528">
        <f t="shared" si="92"/>
        <v>4.8847505561754385</v>
      </c>
      <c r="FA63" s="528">
        <f t="shared" si="93"/>
        <v>1.4500000000000004E-2</v>
      </c>
      <c r="FB63" s="460">
        <f t="shared" si="127"/>
        <v>4899.2505561754388</v>
      </c>
      <c r="FC63" s="173">
        <f t="shared" si="128"/>
        <v>10.855591572740305</v>
      </c>
      <c r="FD63" s="5">
        <f t="shared" si="129"/>
        <v>87</v>
      </c>
      <c r="FE63" s="173">
        <f t="shared" si="130"/>
        <v>0.88906518883317076</v>
      </c>
      <c r="FF63" s="5">
        <f t="shared" si="131"/>
        <v>88.906518883317077</v>
      </c>
      <c r="FI63" s="562">
        <f t="shared" si="94"/>
        <v>-50</v>
      </c>
      <c r="FJ63">
        <f t="shared" si="95"/>
        <v>-50</v>
      </c>
      <c r="FL63">
        <f t="shared" si="181"/>
        <v>0.82379862700228834</v>
      </c>
    </row>
    <row r="64" spans="5:168">
      <c r="E64" s="170">
        <v>59</v>
      </c>
      <c r="F64" s="217">
        <f t="shared" si="182"/>
        <v>5.8999999999999995</v>
      </c>
      <c r="G64" s="217"/>
      <c r="H64" s="217">
        <f t="shared" si="132"/>
        <v>88.499999999999986</v>
      </c>
      <c r="I64" s="541">
        <f t="shared" si="133"/>
        <v>71.640248223783914</v>
      </c>
      <c r="J64" s="172">
        <f t="shared" si="134"/>
        <v>15.61585106572965</v>
      </c>
      <c r="K64" s="172">
        <f t="shared" si="135"/>
        <v>87.615851065729657</v>
      </c>
      <c r="L64" s="443"/>
      <c r="M64" s="217">
        <f t="shared" si="136"/>
        <v>0.17895638375172734</v>
      </c>
      <c r="N64" s="172">
        <f t="shared" si="137"/>
        <v>321.66583700790034</v>
      </c>
      <c r="O64" s="172">
        <f t="shared" si="98"/>
        <v>88.499999999999986</v>
      </c>
      <c r="P64" s="217">
        <f t="shared" si="138"/>
        <v>21.444389133860021</v>
      </c>
      <c r="Q64" s="217">
        <f t="shared" si="139"/>
        <v>15</v>
      </c>
      <c r="R64" s="217">
        <f t="shared" si="140"/>
        <v>21.367466255340794</v>
      </c>
      <c r="S64" s="172">
        <f t="shared" si="141"/>
        <v>232.04340765359333</v>
      </c>
      <c r="T64" s="172">
        <f t="shared" si="142"/>
        <v>15</v>
      </c>
      <c r="U64" s="217">
        <f t="shared" si="143"/>
        <v>14.371952678859676</v>
      </c>
      <c r="V64" s="217">
        <f t="shared" si="11"/>
        <v>2.4073539165803708</v>
      </c>
      <c r="W64" s="217">
        <f t="shared" si="144"/>
        <v>11.044126344468166</v>
      </c>
      <c r="X64" s="197">
        <f t="shared" si="145"/>
        <v>106.84290799189256</v>
      </c>
      <c r="Y64" s="443">
        <f t="shared" si="14"/>
        <v>73.252129503734309</v>
      </c>
      <c r="AA64" s="217">
        <f t="shared" si="146"/>
        <v>10</v>
      </c>
      <c r="AB64" s="173">
        <f t="shared" si="147"/>
        <v>7.6844995187838645</v>
      </c>
      <c r="AC64" s="173">
        <f t="shared" si="148"/>
        <v>4.1051713752458356</v>
      </c>
      <c r="AD64" s="173"/>
      <c r="AE64" s="173">
        <f t="shared" si="149"/>
        <v>7.6844995187838645</v>
      </c>
      <c r="AF64" s="545">
        <f t="shared" si="150"/>
        <v>153.5558688130082</v>
      </c>
      <c r="AG64" s="528">
        <f t="shared" si="151"/>
        <v>4.1051713752458356</v>
      </c>
      <c r="AI64" s="173">
        <f t="shared" si="152"/>
        <v>6.6236776321878166</v>
      </c>
      <c r="AJ64" s="173">
        <f t="shared" si="153"/>
        <v>14.371952678859676</v>
      </c>
      <c r="AK64" s="173">
        <f t="shared" si="154"/>
        <v>4.4384834658219825</v>
      </c>
      <c r="AM64" s="545">
        <f t="shared" si="155"/>
        <v>5899.9999999999991</v>
      </c>
      <c r="AN64" s="460">
        <f t="shared" si="156"/>
        <v>73.252129503734309</v>
      </c>
      <c r="AP64">
        <f t="shared" si="157"/>
        <v>5899.9999999999991</v>
      </c>
      <c r="AQ64">
        <f t="shared" si="158"/>
        <v>73.252129503734309</v>
      </c>
      <c r="AS64" s="5">
        <f t="shared" si="101"/>
        <v>13.651480261048535</v>
      </c>
      <c r="AT64" s="5">
        <f t="shared" si="159"/>
        <v>2.4073539165803708</v>
      </c>
      <c r="AU64" s="5">
        <f t="shared" si="102"/>
        <v>11.244126344468164</v>
      </c>
      <c r="AV64" s="5">
        <f t="shared" si="160"/>
        <v>11.044126344468166</v>
      </c>
      <c r="AW64" s="173">
        <f t="shared" si="103"/>
        <v>0.17634380085866733</v>
      </c>
      <c r="AX64" s="173">
        <f t="shared" si="161"/>
        <v>90.782693094199431</v>
      </c>
      <c r="AY64" s="173">
        <f t="shared" si="162"/>
        <v>5.9187739588543273</v>
      </c>
      <c r="AZ64" s="173">
        <f t="shared" si="104"/>
        <v>15.338090916344415</v>
      </c>
      <c r="BA64" s="460">
        <f t="shared" si="163"/>
        <v>94.689254052161246</v>
      </c>
      <c r="BB64" s="5">
        <f t="shared" si="164"/>
        <v>3.8584191543379847</v>
      </c>
      <c r="BC64" s="5"/>
      <c r="BD64" s="173">
        <f t="shared" si="105"/>
        <v>3.4844581260381138</v>
      </c>
      <c r="BE64" s="173">
        <f t="shared" si="165"/>
        <v>7.5305749782036937</v>
      </c>
      <c r="BF64" s="173"/>
      <c r="BG64" s="528">
        <f t="shared" si="166"/>
        <v>0.24282896864226089</v>
      </c>
      <c r="BH64" s="528">
        <f t="shared" si="167"/>
        <v>1.7294977010124528</v>
      </c>
      <c r="BI64" s="528">
        <f t="shared" si="168"/>
        <v>0.13119501851420728</v>
      </c>
      <c r="BJ64" s="528">
        <f t="shared" si="169"/>
        <v>5.6232270868642825E-2</v>
      </c>
      <c r="BK64">
        <f t="shared" si="170"/>
        <v>3.223811170070276E-2</v>
      </c>
      <c r="BL64" s="460">
        <f t="shared" si="106"/>
        <v>163.43313021491005</v>
      </c>
      <c r="BM64" s="528">
        <f t="shared" si="171"/>
        <v>2.2223434519924585</v>
      </c>
      <c r="BN64" s="460">
        <f t="shared" si="107"/>
        <v>2222.3434519924585</v>
      </c>
      <c r="BO64" s="528">
        <f t="shared" si="172"/>
        <v>3.6653749999999987</v>
      </c>
      <c r="BP64" s="528"/>
      <c r="BR64" s="460">
        <f t="shared" si="109"/>
        <v>3665.3749999999986</v>
      </c>
      <c r="BS64" s="528">
        <f t="shared" si="173"/>
        <v>0.36424345296339133</v>
      </c>
      <c r="BT64" s="528">
        <f t="shared" si="174"/>
        <v>1.7012867850704267</v>
      </c>
      <c r="BU64" s="528">
        <f t="shared" si="175"/>
        <v>1.3274999999999997</v>
      </c>
      <c r="BV64" s="528">
        <f t="shared" si="176"/>
        <v>4.6585470846546038</v>
      </c>
      <c r="BW64" s="528">
        <f t="shared" si="177"/>
        <v>1.5130448849033242E-2</v>
      </c>
      <c r="BX64" s="460">
        <f t="shared" si="110"/>
        <v>4673.6775335036373</v>
      </c>
      <c r="BY64" s="173">
        <f t="shared" si="45"/>
        <v>10.724829115711005</v>
      </c>
      <c r="BZ64" s="5">
        <f t="shared" si="111"/>
        <v>88.499999999999986</v>
      </c>
      <c r="CA64" s="173">
        <f t="shared" si="112"/>
        <v>0.89191385652874999</v>
      </c>
      <c r="CB64" s="5">
        <f t="shared" si="113"/>
        <v>89.191385652874999</v>
      </c>
      <c r="CE64" s="562">
        <f t="shared" si="178"/>
        <v>-50</v>
      </c>
      <c r="CF64">
        <f t="shared" si="179"/>
        <v>-50</v>
      </c>
      <c r="CG64" s="173">
        <f t="shared" si="180"/>
        <v>0.82000984985494585</v>
      </c>
      <c r="CI64" s="170">
        <v>59</v>
      </c>
      <c r="CJ64" s="217">
        <f t="shared" si="114"/>
        <v>5.8999999999999995</v>
      </c>
      <c r="CK64" s="217"/>
      <c r="CL64" s="217">
        <f t="shared" si="49"/>
        <v>88.499999999999986</v>
      </c>
      <c r="CM64" s="541">
        <f t="shared" si="50"/>
        <v>72</v>
      </c>
      <c r="CN64" s="172">
        <f t="shared" si="51"/>
        <v>15.4</v>
      </c>
      <c r="CO64" s="443">
        <f t="shared" si="52"/>
        <v>87.4</v>
      </c>
      <c r="CP64" s="443"/>
      <c r="CQ64" s="217">
        <f t="shared" si="53"/>
        <v>0.17620137299771166</v>
      </c>
      <c r="CR64" s="172">
        <f t="shared" si="54"/>
        <v>318.30425629290613</v>
      </c>
      <c r="CS64" s="172">
        <f t="shared" si="115"/>
        <v>88.499999999999986</v>
      </c>
      <c r="CT64" s="217">
        <f t="shared" si="55"/>
        <v>21.220283752860407</v>
      </c>
      <c r="CU64" s="217">
        <f t="shared" si="56"/>
        <v>15</v>
      </c>
      <c r="CV64" s="217">
        <f t="shared" si="57"/>
        <v>21.144164759725399</v>
      </c>
      <c r="CW64" s="172">
        <f t="shared" si="58"/>
        <v>233.2080291965008</v>
      </c>
      <c r="CX64" s="172">
        <f t="shared" si="59"/>
        <v>15</v>
      </c>
      <c r="CY64" s="217">
        <f t="shared" si="60"/>
        <v>13.951839826839825</v>
      </c>
      <c r="CZ64" s="217">
        <f t="shared" si="61"/>
        <v>2.3253066378066376</v>
      </c>
      <c r="DA64" s="217">
        <f t="shared" si="62"/>
        <v>10.871563501433631</v>
      </c>
      <c r="DB64" s="197">
        <f t="shared" si="63"/>
        <v>105.72082379862701</v>
      </c>
      <c r="DC64" s="443">
        <f t="shared" si="116"/>
        <v>75.775542946849754</v>
      </c>
      <c r="DE64" s="217">
        <f t="shared" si="64"/>
        <v>9.9999999999999982</v>
      </c>
      <c r="DF64" s="173">
        <f t="shared" si="65"/>
        <v>7.7922077922077895</v>
      </c>
      <c r="DG64" s="173">
        <f t="shared" si="66"/>
        <v>4.118993135011439</v>
      </c>
      <c r="DH64" s="173"/>
      <c r="DI64" s="173">
        <f t="shared" si="67"/>
        <v>7.7922077922077913</v>
      </c>
      <c r="DJ64" s="545">
        <f t="shared" si="117"/>
        <v>151.43333333333331</v>
      </c>
      <c r="DK64" s="528">
        <f t="shared" si="68"/>
        <v>4.1189931350114417</v>
      </c>
      <c r="DM64" s="173">
        <f t="shared" si="69"/>
        <v>6.5777402401331315</v>
      </c>
      <c r="DN64" s="173">
        <f t="shared" si="70"/>
        <v>13.951839826839825</v>
      </c>
      <c r="DO64" s="173">
        <f t="shared" si="71"/>
        <v>4.1272887606220925</v>
      </c>
      <c r="DQ64" s="545">
        <f t="shared" si="72"/>
        <v>5899.9999999999991</v>
      </c>
      <c r="DR64" s="460">
        <f t="shared" si="73"/>
        <v>75.775542946849754</v>
      </c>
      <c r="DT64">
        <f t="shared" si="74"/>
        <v>5899.9999999999991</v>
      </c>
      <c r="DU64">
        <f t="shared" si="75"/>
        <v>75.775542946849754</v>
      </c>
      <c r="DW64" s="5">
        <f t="shared" si="118"/>
        <v>13.196870139240268</v>
      </c>
      <c r="DX64" s="5">
        <f t="shared" si="76"/>
        <v>2.3253066378066376</v>
      </c>
      <c r="DY64" s="5">
        <f t="shared" si="119"/>
        <v>10.871563501433631</v>
      </c>
      <c r="DZ64" s="5">
        <f t="shared" si="77"/>
        <v>10.871563501433631</v>
      </c>
      <c r="EA64" s="173">
        <f t="shared" si="120"/>
        <v>0.17620137299771166</v>
      </c>
      <c r="EB64" s="173">
        <f t="shared" si="78"/>
        <v>88.499999999999986</v>
      </c>
      <c r="EC64" s="173">
        <f t="shared" si="79"/>
        <v>5.7467532467532463</v>
      </c>
      <c r="ED64" s="173">
        <f t="shared" si="121"/>
        <v>15.399999999999999</v>
      </c>
      <c r="EE64" s="460">
        <f t="shared" si="80"/>
        <v>91.462061087061059</v>
      </c>
      <c r="EF64" s="5">
        <f t="shared" si="81"/>
        <v>3.7119342973644915</v>
      </c>
      <c r="EG64" s="5"/>
      <c r="EH64" s="173">
        <f t="shared" si="122"/>
        <v>3.381236110638036</v>
      </c>
      <c r="EI64" s="173">
        <f t="shared" si="82"/>
        <v>7.3110774775027982</v>
      </c>
      <c r="EJ64" s="173"/>
      <c r="EK64" s="528">
        <f t="shared" si="83"/>
        <v>0.22865515271765266</v>
      </c>
      <c r="EL64" s="528">
        <f t="shared" si="84"/>
        <v>1.8480000000000001</v>
      </c>
      <c r="EM64" s="528">
        <f t="shared" si="85"/>
        <v>9.4719428683562191E-3</v>
      </c>
      <c r="EN64" s="528">
        <f t="shared" si="86"/>
        <v>5.7883118644067817E-2</v>
      </c>
      <c r="EO64">
        <f t="shared" si="87"/>
        <v>3.2399999999999998E-2</v>
      </c>
      <c r="EP64" s="460">
        <f t="shared" si="123"/>
        <v>41.871942868356214</v>
      </c>
      <c r="EQ64" s="528">
        <f t="shared" si="88"/>
        <v>2.3667277917732008</v>
      </c>
      <c r="ER64" s="460">
        <f t="shared" si="124"/>
        <v>2366.7277917732008</v>
      </c>
      <c r="ES64" s="528">
        <f t="shared" si="125"/>
        <v>3.6653749999999987</v>
      </c>
      <c r="ET64" s="528"/>
      <c r="EV64" s="460">
        <f t="shared" si="126"/>
        <v>3665.3749999999986</v>
      </c>
      <c r="EW64" s="528">
        <f t="shared" si="89"/>
        <v>0.34298272907647898</v>
      </c>
      <c r="EX64" s="528">
        <f t="shared" si="90"/>
        <v>1.6035556164614604</v>
      </c>
      <c r="EY64" s="528">
        <f t="shared" si="91"/>
        <v>1.8170687138586978</v>
      </c>
      <c r="EZ64" s="528">
        <f t="shared" si="92"/>
        <v>5.0111238388507182</v>
      </c>
      <c r="FA64" s="528">
        <f t="shared" si="93"/>
        <v>1.4749999999999997E-2</v>
      </c>
      <c r="FB64" s="460">
        <f t="shared" si="127"/>
        <v>5025.8738388507181</v>
      </c>
      <c r="FC64" s="173">
        <f t="shared" si="128"/>
        <v>11.057976630623918</v>
      </c>
      <c r="FD64" s="5">
        <f t="shared" si="129"/>
        <v>88.499999999999986</v>
      </c>
      <c r="FE64" s="173">
        <f t="shared" si="130"/>
        <v>0.88892927513331466</v>
      </c>
      <c r="FF64" s="5">
        <f t="shared" si="131"/>
        <v>88.892927513331472</v>
      </c>
      <c r="FI64" s="562">
        <f t="shared" si="94"/>
        <v>-50</v>
      </c>
      <c r="FJ64">
        <f t="shared" si="95"/>
        <v>-50</v>
      </c>
      <c r="FL64">
        <f t="shared" si="181"/>
        <v>0.82379862700228834</v>
      </c>
    </row>
    <row r="65" spans="5:168">
      <c r="E65" s="170">
        <v>60</v>
      </c>
      <c r="F65" s="217">
        <f t="shared" si="182"/>
        <v>6</v>
      </c>
      <c r="G65" s="217"/>
      <c r="H65" s="217">
        <f t="shared" si="132"/>
        <v>90</v>
      </c>
      <c r="I65" s="541">
        <f t="shared" si="133"/>
        <v>71.634178906741468</v>
      </c>
      <c r="J65" s="172">
        <f t="shared" si="134"/>
        <v>15.619492655955117</v>
      </c>
      <c r="K65" s="172">
        <f t="shared" si="135"/>
        <v>87.619492655955113</v>
      </c>
      <c r="L65" s="443"/>
      <c r="M65" s="217">
        <f t="shared" si="136"/>
        <v>0.17900309991276678</v>
      </c>
      <c r="N65" s="172">
        <f t="shared" si="137"/>
        <v>321.72254870787248</v>
      </c>
      <c r="O65" s="172">
        <f t="shared" si="98"/>
        <v>90</v>
      </c>
      <c r="P65" s="217">
        <f t="shared" si="138"/>
        <v>21.448169913858166</v>
      </c>
      <c r="Q65" s="217">
        <f t="shared" si="139"/>
        <v>15</v>
      </c>
      <c r="R65" s="217">
        <f t="shared" si="140"/>
        <v>21.371233473354092</v>
      </c>
      <c r="S65" s="172">
        <f t="shared" si="141"/>
        <v>226.96759009111301</v>
      </c>
      <c r="T65" s="172">
        <f t="shared" si="142"/>
        <v>15</v>
      </c>
      <c r="U65" s="217">
        <f t="shared" si="143"/>
        <v>14.61637674725077</v>
      </c>
      <c r="V65" s="217">
        <f t="shared" si="11"/>
        <v>2.4485032653944856</v>
      </c>
      <c r="W65" s="217">
        <f t="shared" si="144"/>
        <v>11.229335345929897</v>
      </c>
      <c r="X65" s="197">
        <f t="shared" si="145"/>
        <v>106.86174301800386</v>
      </c>
      <c r="Y65" s="443">
        <f t="shared" si="14"/>
        <v>72.057330251988617</v>
      </c>
      <c r="AA65" s="217">
        <f t="shared" si="146"/>
        <v>10</v>
      </c>
      <c r="AB65" s="173">
        <f t="shared" si="147"/>
        <v>7.6827079242070386</v>
      </c>
      <c r="AC65" s="173">
        <f t="shared" si="148"/>
        <v>4.1049377993949721</v>
      </c>
      <c r="AD65" s="173"/>
      <c r="AE65" s="173">
        <f t="shared" si="149"/>
        <v>7.6827079242070386</v>
      </c>
      <c r="AF65" s="545">
        <f t="shared" si="150"/>
        <v>156.19492655955116</v>
      </c>
      <c r="AG65" s="528">
        <f t="shared" si="151"/>
        <v>4.1049377993949721</v>
      </c>
      <c r="AI65" s="173">
        <f t="shared" si="152"/>
        <v>6.6803534243449629</v>
      </c>
      <c r="AJ65" s="173">
        <f t="shared" si="153"/>
        <v>14.61637674725077</v>
      </c>
      <c r="AK65" s="173">
        <f t="shared" si="154"/>
        <v>4.6195383312968668</v>
      </c>
      <c r="AM65" s="545">
        <f t="shared" si="155"/>
        <v>6000</v>
      </c>
      <c r="AN65" s="460">
        <f t="shared" si="156"/>
        <v>72.057330251988617</v>
      </c>
      <c r="AP65">
        <f t="shared" si="157"/>
        <v>6000</v>
      </c>
      <c r="AQ65">
        <f t="shared" si="158"/>
        <v>72.057330251988617</v>
      </c>
      <c r="AS65" s="5">
        <f t="shared" si="101"/>
        <v>13.87783861132438</v>
      </c>
      <c r="AT65" s="5">
        <f t="shared" si="159"/>
        <v>2.4485032653944856</v>
      </c>
      <c r="AU65" s="5">
        <f t="shared" si="102"/>
        <v>11.429335345929895</v>
      </c>
      <c r="AV65" s="5">
        <f t="shared" si="160"/>
        <v>11.229335345929897</v>
      </c>
      <c r="AW65" s="173">
        <f t="shared" si="103"/>
        <v>0.176432608417603</v>
      </c>
      <c r="AX65" s="173">
        <f t="shared" si="161"/>
        <v>92.365306385639784</v>
      </c>
      <c r="AY65" s="173">
        <f t="shared" si="162"/>
        <v>6.0187856360594587</v>
      </c>
      <c r="AZ65" s="173">
        <f t="shared" si="104"/>
        <v>15.346169804132117</v>
      </c>
      <c r="BA65" s="460">
        <f t="shared" si="163"/>
        <v>97.940130615779424</v>
      </c>
      <c r="BB65" s="5">
        <f t="shared" si="164"/>
        <v>3.9887856329062648</v>
      </c>
      <c r="BC65" s="5"/>
      <c r="BD65" s="173">
        <f t="shared" si="105"/>
        <v>3.5446105748680954</v>
      </c>
      <c r="BE65" s="173">
        <f t="shared" si="165"/>
        <v>7.6582347146752827</v>
      </c>
      <c r="BF65" s="173"/>
      <c r="BG65" s="528">
        <f t="shared" si="166"/>
        <v>0.25128528254933463</v>
      </c>
      <c r="BH65" s="528">
        <f t="shared" si="167"/>
        <v>1.7302940018214161</v>
      </c>
      <c r="BI65" s="528">
        <f t="shared" si="168"/>
        <v>0.12904419217032767</v>
      </c>
      <c r="BJ65" s="528">
        <f t="shared" si="169"/>
        <v>5.53196769922253E-2</v>
      </c>
      <c r="BK65">
        <f t="shared" si="170"/>
        <v>3.2235380508033658E-2</v>
      </c>
      <c r="BL65" s="460">
        <f t="shared" si="106"/>
        <v>161.27957267836132</v>
      </c>
      <c r="BM65" s="528">
        <f t="shared" si="171"/>
        <v>2.2383899151372231</v>
      </c>
      <c r="BN65" s="460">
        <f t="shared" si="107"/>
        <v>2238.3899151372229</v>
      </c>
      <c r="BO65" s="528">
        <f t="shared" si="172"/>
        <v>3.7274999999999991</v>
      </c>
      <c r="BP65" s="528"/>
      <c r="BR65" s="460">
        <f t="shared" si="109"/>
        <v>3727.4999999999991</v>
      </c>
      <c r="BS65" s="528">
        <f t="shared" si="173"/>
        <v>0.37692792382400186</v>
      </c>
      <c r="BT65" s="528">
        <f t="shared" si="174"/>
        <v>1.7594567683517282</v>
      </c>
      <c r="BU65" s="528">
        <f t="shared" si="175"/>
        <v>1.3499999999999999</v>
      </c>
      <c r="BV65" s="528">
        <f t="shared" si="176"/>
        <v>4.8235062035719718</v>
      </c>
      <c r="BW65" s="528">
        <f t="shared" si="177"/>
        <v>1.5394217730939963E-2</v>
      </c>
      <c r="BX65" s="460">
        <f t="shared" si="110"/>
        <v>4838.9004213029111</v>
      </c>
      <c r="BY65" s="173">
        <f t="shared" si="45"/>
        <v>10.966069909118495</v>
      </c>
      <c r="BZ65" s="5">
        <f t="shared" si="111"/>
        <v>90</v>
      </c>
      <c r="CA65" s="173">
        <f t="shared" si="112"/>
        <v>0.89138856331647598</v>
      </c>
      <c r="CB65" s="5">
        <f t="shared" si="113"/>
        <v>89.138856331647602</v>
      </c>
      <c r="CE65" s="562">
        <f t="shared" si="178"/>
        <v>-50</v>
      </c>
      <c r="CF65">
        <f t="shared" si="179"/>
        <v>-50</v>
      </c>
      <c r="CG65" s="173">
        <f t="shared" si="180"/>
        <v>0.82007299614073492</v>
      </c>
      <c r="CI65" s="170">
        <v>60</v>
      </c>
      <c r="CJ65" s="217">
        <f t="shared" si="114"/>
        <v>6</v>
      </c>
      <c r="CK65" s="217"/>
      <c r="CL65" s="217">
        <f t="shared" si="49"/>
        <v>90</v>
      </c>
      <c r="CM65" s="541">
        <f t="shared" si="50"/>
        <v>72</v>
      </c>
      <c r="CN65" s="172">
        <f t="shared" si="51"/>
        <v>15.4</v>
      </c>
      <c r="CO65" s="443">
        <f t="shared" si="52"/>
        <v>87.4</v>
      </c>
      <c r="CP65" s="443"/>
      <c r="CQ65" s="217">
        <f t="shared" si="53"/>
        <v>0.17620137299771166</v>
      </c>
      <c r="CR65" s="172">
        <f t="shared" si="54"/>
        <v>318.30425629290613</v>
      </c>
      <c r="CS65" s="172">
        <f t="shared" si="115"/>
        <v>90</v>
      </c>
      <c r="CT65" s="217">
        <f t="shared" si="55"/>
        <v>21.220283752860407</v>
      </c>
      <c r="CU65" s="217">
        <f t="shared" si="56"/>
        <v>15</v>
      </c>
      <c r="CV65" s="217">
        <f t="shared" si="57"/>
        <v>21.144164759725399</v>
      </c>
      <c r="CW65" s="172">
        <f t="shared" si="58"/>
        <v>228.1260250336729</v>
      </c>
      <c r="CX65" s="172">
        <f t="shared" si="59"/>
        <v>15</v>
      </c>
      <c r="CY65" s="217">
        <f t="shared" si="60"/>
        <v>14.188311688311689</v>
      </c>
      <c r="CZ65" s="217">
        <f t="shared" si="61"/>
        <v>2.364718614718615</v>
      </c>
      <c r="DA65" s="217">
        <f t="shared" si="62"/>
        <v>11.055827289593525</v>
      </c>
      <c r="DB65" s="197">
        <f t="shared" si="63"/>
        <v>105.72082379862701</v>
      </c>
      <c r="DC65" s="443">
        <f t="shared" si="116"/>
        <v>74.512617231068901</v>
      </c>
      <c r="DE65" s="217">
        <f t="shared" si="64"/>
        <v>9.9999999999999982</v>
      </c>
      <c r="DF65" s="173">
        <f t="shared" si="65"/>
        <v>7.7922077922077895</v>
      </c>
      <c r="DG65" s="173">
        <f t="shared" si="66"/>
        <v>4.118993135011439</v>
      </c>
      <c r="DH65" s="173"/>
      <c r="DI65" s="173">
        <f t="shared" si="67"/>
        <v>7.7922077922077913</v>
      </c>
      <c r="DJ65" s="545">
        <f t="shared" si="117"/>
        <v>154</v>
      </c>
      <c r="DK65" s="528">
        <f t="shared" si="68"/>
        <v>4.1189931350114417</v>
      </c>
      <c r="DM65" s="173">
        <f t="shared" si="69"/>
        <v>6.6332495807107996</v>
      </c>
      <c r="DN65" s="173">
        <f t="shared" si="70"/>
        <v>14.188311688311689</v>
      </c>
      <c r="DO65" s="173">
        <f t="shared" si="71"/>
        <v>4.3024531024531028</v>
      </c>
      <c r="DQ65" s="545">
        <f t="shared" si="72"/>
        <v>6000</v>
      </c>
      <c r="DR65" s="460">
        <f t="shared" si="73"/>
        <v>74.512617231068901</v>
      </c>
      <c r="DT65">
        <f t="shared" si="74"/>
        <v>6000</v>
      </c>
      <c r="DU65">
        <f t="shared" si="75"/>
        <v>74.512617231068901</v>
      </c>
      <c r="DW65" s="5">
        <f t="shared" si="118"/>
        <v>13.420545904312142</v>
      </c>
      <c r="DX65" s="5">
        <f t="shared" si="76"/>
        <v>2.364718614718615</v>
      </c>
      <c r="DY65" s="5">
        <f t="shared" si="119"/>
        <v>11.055827289593527</v>
      </c>
      <c r="DZ65" s="5">
        <f t="shared" si="77"/>
        <v>11.055827289593525</v>
      </c>
      <c r="EA65" s="173">
        <f t="shared" si="120"/>
        <v>0.17620137299771163</v>
      </c>
      <c r="EB65" s="173">
        <f t="shared" si="78"/>
        <v>90</v>
      </c>
      <c r="EC65" s="173">
        <f t="shared" si="79"/>
        <v>5.8441558441558445</v>
      </c>
      <c r="ED65" s="173">
        <f t="shared" si="121"/>
        <v>15.399999999999999</v>
      </c>
      <c r="EE65" s="460">
        <f t="shared" si="80"/>
        <v>94.588744588744603</v>
      </c>
      <c r="EF65" s="5">
        <f t="shared" si="81"/>
        <v>3.8388289199977521</v>
      </c>
      <c r="EG65" s="5"/>
      <c r="EH65" s="173">
        <f t="shared" si="122"/>
        <v>3.4385451972590197</v>
      </c>
      <c r="EI65" s="173">
        <f t="shared" si="82"/>
        <v>7.4349940449181009</v>
      </c>
      <c r="EJ65" s="173"/>
      <c r="EK65" s="528">
        <f t="shared" si="83"/>
        <v>0.23647186147186144</v>
      </c>
      <c r="EL65" s="528">
        <f t="shared" si="84"/>
        <v>1.8479999999999996</v>
      </c>
      <c r="EM65" s="528">
        <f t="shared" si="85"/>
        <v>9.3140771538836129E-3</v>
      </c>
      <c r="EN65" s="528">
        <f t="shared" si="86"/>
        <v>5.6918400000000001E-2</v>
      </c>
      <c r="EO65">
        <f t="shared" si="87"/>
        <v>3.2399999999999998E-2</v>
      </c>
      <c r="EP65" s="460">
        <f t="shared" si="123"/>
        <v>41.714077153883608</v>
      </c>
      <c r="EQ65" s="528">
        <f t="shared" si="88"/>
        <v>2.380713849359291</v>
      </c>
      <c r="ER65" s="460">
        <f t="shared" si="124"/>
        <v>2380.7138493592911</v>
      </c>
      <c r="ES65" s="528">
        <f t="shared" si="125"/>
        <v>3.7274999999999991</v>
      </c>
      <c r="ET65" s="528"/>
      <c r="EV65" s="460">
        <f t="shared" si="126"/>
        <v>3727.4999999999991</v>
      </c>
      <c r="EW65" s="528">
        <f t="shared" si="89"/>
        <v>0.35470779220779214</v>
      </c>
      <c r="EX65" s="528">
        <f t="shared" si="90"/>
        <v>1.6583740934390285</v>
      </c>
      <c r="EY65" s="528">
        <f t="shared" si="91"/>
        <v>1.8170687138587012</v>
      </c>
      <c r="EZ65" s="528">
        <f t="shared" si="92"/>
        <v>5.1412748304924625</v>
      </c>
      <c r="FA65" s="528">
        <f t="shared" si="93"/>
        <v>1.5000000000000001E-2</v>
      </c>
      <c r="FB65" s="460">
        <f t="shared" si="127"/>
        <v>5156.2748304924626</v>
      </c>
      <c r="FC65" s="173">
        <f t="shared" si="128"/>
        <v>11.264488679851752</v>
      </c>
      <c r="FD65" s="5">
        <f t="shared" si="129"/>
        <v>90</v>
      </c>
      <c r="FE65" s="173">
        <f t="shared" si="130"/>
        <v>0.88876170880134997</v>
      </c>
      <c r="FF65" s="5">
        <f t="shared" si="131"/>
        <v>88.876170880134993</v>
      </c>
      <c r="FI65" s="562">
        <f t="shared" si="94"/>
        <v>-50</v>
      </c>
      <c r="FJ65">
        <f t="shared" si="95"/>
        <v>-50</v>
      </c>
      <c r="FL65">
        <f t="shared" si="181"/>
        <v>0.82379862700228834</v>
      </c>
    </row>
    <row r="66" spans="5:168">
      <c r="E66" s="170">
        <v>61</v>
      </c>
      <c r="F66" s="217">
        <f t="shared" si="182"/>
        <v>6.1</v>
      </c>
      <c r="G66" s="217"/>
      <c r="H66" s="217">
        <f t="shared" si="132"/>
        <v>91.5</v>
      </c>
      <c r="I66" s="541">
        <f t="shared" si="133"/>
        <v>71.628109585503253</v>
      </c>
      <c r="J66" s="172">
        <f t="shared" si="134"/>
        <v>15.623134248698051</v>
      </c>
      <c r="K66" s="172">
        <f t="shared" si="135"/>
        <v>87.623134248698051</v>
      </c>
      <c r="L66" s="443"/>
      <c r="M66" s="217">
        <f t="shared" si="136"/>
        <v>0.17904981868207678</v>
      </c>
      <c r="N66" s="172">
        <f t="shared" si="137"/>
        <v>321.77925084865126</v>
      </c>
      <c r="O66" s="172">
        <f t="shared" si="98"/>
        <v>91.5</v>
      </c>
      <c r="P66" s="217">
        <f t="shared" si="138"/>
        <v>21.451950056576752</v>
      </c>
      <c r="Q66" s="217">
        <f t="shared" si="139"/>
        <v>15</v>
      </c>
      <c r="R66" s="217">
        <f t="shared" si="140"/>
        <v>21.375000056373807</v>
      </c>
      <c r="S66" s="172">
        <f t="shared" si="141"/>
        <v>222.05851023606348</v>
      </c>
      <c r="T66" s="172">
        <f t="shared" si="142"/>
        <v>15</v>
      </c>
      <c r="U66" s="217">
        <f t="shared" si="143"/>
        <v>14.8608286807545</v>
      </c>
      <c r="V66" s="217">
        <f t="shared" si="11"/>
        <v>2.4896642561281004</v>
      </c>
      <c r="W66" s="217">
        <f t="shared" si="144"/>
        <v>11.414479407927706</v>
      </c>
      <c r="X66" s="197">
        <f t="shared" si="145"/>
        <v>106.8805748833843</v>
      </c>
      <c r="Y66" s="443">
        <f t="shared" si="14"/>
        <v>70.901149606727614</v>
      </c>
      <c r="AA66" s="217">
        <f t="shared" si="146"/>
        <v>10</v>
      </c>
      <c r="AB66" s="173">
        <f t="shared" si="147"/>
        <v>7.6809171635966811</v>
      </c>
      <c r="AC66" s="173">
        <f t="shared" si="148"/>
        <v>4.1047042103843339</v>
      </c>
      <c r="AD66" s="173"/>
      <c r="AE66" s="173">
        <f t="shared" si="149"/>
        <v>7.6809171635966811</v>
      </c>
      <c r="AF66" s="545">
        <f t="shared" si="150"/>
        <v>158.83519819509686</v>
      </c>
      <c r="AG66" s="528">
        <f t="shared" si="151"/>
        <v>4.1047042103843339</v>
      </c>
      <c r="AI66" s="173">
        <f t="shared" si="152"/>
        <v>6.7365781520441894</v>
      </c>
      <c r="AJ66" s="173">
        <f t="shared" si="153"/>
        <v>14.8608286807545</v>
      </c>
      <c r="AK66" s="173">
        <f t="shared" si="154"/>
        <v>4.8006138375959253</v>
      </c>
      <c r="AM66" s="545">
        <f t="shared" si="155"/>
        <v>6100</v>
      </c>
      <c r="AN66" s="460">
        <f t="shared" si="156"/>
        <v>70.901149606727614</v>
      </c>
      <c r="AP66">
        <f t="shared" si="157"/>
        <v>6100</v>
      </c>
      <c r="AQ66">
        <f t="shared" si="158"/>
        <v>70.901149606727614</v>
      </c>
      <c r="AS66" s="5">
        <f t="shared" si="101"/>
        <v>14.104143664055805</v>
      </c>
      <c r="AT66" s="5">
        <f t="shared" si="159"/>
        <v>2.4896642561281004</v>
      </c>
      <c r="AU66" s="5">
        <f t="shared" si="102"/>
        <v>11.614479407927703</v>
      </c>
      <c r="AV66" s="5">
        <f t="shared" si="160"/>
        <v>11.414479407927706</v>
      </c>
      <c r="AW66" s="173">
        <f t="shared" si="103"/>
        <v>0.17652005789426067</v>
      </c>
      <c r="AX66" s="173">
        <f t="shared" si="161"/>
        <v>93.948658354163101</v>
      </c>
      <c r="AY66" s="173">
        <f t="shared" si="162"/>
        <v>6.1187971708355127</v>
      </c>
      <c r="AZ66" s="173">
        <f t="shared" si="104"/>
        <v>15.354105673245343</v>
      </c>
      <c r="BA66" s="460">
        <f t="shared" si="163"/>
        <v>101.24634641587608</v>
      </c>
      <c r="BB66" s="5">
        <f t="shared" si="164"/>
        <v>4.1213059136480128</v>
      </c>
      <c r="BC66" s="5"/>
      <c r="BD66" s="173">
        <f t="shared" si="105"/>
        <v>3.6047855277206051</v>
      </c>
      <c r="BE66" s="173">
        <f t="shared" si="165"/>
        <v>7.7859016385632085</v>
      </c>
      <c r="BF66" s="173"/>
      <c r="BG66" s="528">
        <f t="shared" si="166"/>
        <v>0.25988957401727847</v>
      </c>
      <c r="BH66" s="528">
        <f t="shared" si="167"/>
        <v>1.7310768969164307</v>
      </c>
      <c r="BI66" s="528">
        <f t="shared" si="168"/>
        <v>0.12696288284422116</v>
      </c>
      <c r="BJ66" s="528">
        <f t="shared" si="169"/>
        <v>5.4436581464581593E-2</v>
      </c>
      <c r="BK66">
        <f t="shared" si="170"/>
        <v>3.2232649313476462E-2</v>
      </c>
      <c r="BL66" s="460">
        <f t="shared" si="106"/>
        <v>159.19553215769764</v>
      </c>
      <c r="BM66" s="528">
        <f t="shared" si="171"/>
        <v>2.2548070370501452</v>
      </c>
      <c r="BN66" s="460">
        <f t="shared" si="107"/>
        <v>2254.807037050145</v>
      </c>
      <c r="BO66" s="528">
        <f t="shared" si="172"/>
        <v>3.7896249999999996</v>
      </c>
      <c r="BP66" s="528"/>
      <c r="BR66" s="460">
        <f t="shared" si="109"/>
        <v>3789.6249999999995</v>
      </c>
      <c r="BS66" s="528">
        <f t="shared" si="173"/>
        <v>0.38983436102591768</v>
      </c>
      <c r="BT66" s="528">
        <f t="shared" si="174"/>
        <v>1.8186079297614377</v>
      </c>
      <c r="BU66" s="528">
        <f t="shared" si="175"/>
        <v>1.3725000000000001</v>
      </c>
      <c r="BV66" s="528">
        <f t="shared" si="176"/>
        <v>4.9931319397066636</v>
      </c>
      <c r="BW66" s="528">
        <f t="shared" si="177"/>
        <v>1.5658109725693852E-2</v>
      </c>
      <c r="BX66" s="460">
        <f t="shared" si="110"/>
        <v>5008.7900494323576</v>
      </c>
      <c r="BY66" s="173">
        <f t="shared" si="45"/>
        <v>11.212417618640199</v>
      </c>
      <c r="BZ66" s="5">
        <f t="shared" si="111"/>
        <v>91.5</v>
      </c>
      <c r="CA66" s="173">
        <f t="shared" si="112"/>
        <v>0.89083678606153871</v>
      </c>
      <c r="CB66" s="5">
        <f t="shared" si="113"/>
        <v>89.083678606153867</v>
      </c>
      <c r="CE66" s="562">
        <f t="shared" si="178"/>
        <v>-50</v>
      </c>
      <c r="CF66">
        <f t="shared" si="179"/>
        <v>-50</v>
      </c>
      <c r="CG66" s="173">
        <f t="shared" si="180"/>
        <v>0.82013407205649802</v>
      </c>
      <c r="CI66" s="170">
        <v>61</v>
      </c>
      <c r="CJ66" s="217">
        <f t="shared" si="114"/>
        <v>6.1</v>
      </c>
      <c r="CK66" s="217"/>
      <c r="CL66" s="217">
        <f t="shared" si="49"/>
        <v>91.5</v>
      </c>
      <c r="CM66" s="541">
        <f t="shared" si="50"/>
        <v>72</v>
      </c>
      <c r="CN66" s="172">
        <f t="shared" si="51"/>
        <v>15.4</v>
      </c>
      <c r="CO66" s="443">
        <f t="shared" si="52"/>
        <v>87.4</v>
      </c>
      <c r="CP66" s="443"/>
      <c r="CQ66" s="217">
        <f t="shared" si="53"/>
        <v>0.17620137299771166</v>
      </c>
      <c r="CR66" s="172">
        <f t="shared" si="54"/>
        <v>318.30425629290613</v>
      </c>
      <c r="CS66" s="172">
        <f t="shared" si="115"/>
        <v>91.5</v>
      </c>
      <c r="CT66" s="217">
        <f t="shared" si="55"/>
        <v>21.220283752860407</v>
      </c>
      <c r="CU66" s="217">
        <f t="shared" si="56"/>
        <v>15</v>
      </c>
      <c r="CV66" s="217">
        <f t="shared" si="57"/>
        <v>21.144164759725399</v>
      </c>
      <c r="CW66" s="172">
        <f t="shared" si="58"/>
        <v>223.21076244499488</v>
      </c>
      <c r="CX66" s="172">
        <f t="shared" si="59"/>
        <v>15</v>
      </c>
      <c r="CY66" s="217">
        <f t="shared" si="60"/>
        <v>14.42478354978355</v>
      </c>
      <c r="CZ66" s="217">
        <f t="shared" si="61"/>
        <v>2.404130591630592</v>
      </c>
      <c r="DA66" s="217">
        <f t="shared" si="62"/>
        <v>11.240091077753416</v>
      </c>
      <c r="DB66" s="197">
        <f t="shared" si="63"/>
        <v>105.72082379862701</v>
      </c>
      <c r="DC66" s="443">
        <f t="shared" si="116"/>
        <v>73.291098915805492</v>
      </c>
      <c r="DE66" s="217">
        <f t="shared" si="64"/>
        <v>9.9999999999999982</v>
      </c>
      <c r="DF66" s="173">
        <f t="shared" si="65"/>
        <v>7.7922077922077895</v>
      </c>
      <c r="DG66" s="173">
        <f t="shared" si="66"/>
        <v>4.118993135011439</v>
      </c>
      <c r="DH66" s="173"/>
      <c r="DI66" s="173">
        <f t="shared" si="67"/>
        <v>7.7922077922077913</v>
      </c>
      <c r="DJ66" s="545">
        <f t="shared" si="117"/>
        <v>156.56666666666666</v>
      </c>
      <c r="DK66" s="528">
        <f t="shared" si="68"/>
        <v>4.1189931350114417</v>
      </c>
      <c r="DM66" s="173">
        <f t="shared" si="69"/>
        <v>6.688298238964328</v>
      </c>
      <c r="DN66" s="173">
        <f t="shared" si="70"/>
        <v>14.42478354978355</v>
      </c>
      <c r="DO66" s="173">
        <f t="shared" si="71"/>
        <v>4.4776174442841112</v>
      </c>
      <c r="DQ66" s="545">
        <f t="shared" si="72"/>
        <v>6100</v>
      </c>
      <c r="DR66" s="460">
        <f t="shared" si="73"/>
        <v>73.291098915805492</v>
      </c>
      <c r="DT66">
        <f t="shared" si="74"/>
        <v>6100</v>
      </c>
      <c r="DU66">
        <f t="shared" si="75"/>
        <v>73.291098915805492</v>
      </c>
      <c r="DW66" s="5">
        <f t="shared" si="118"/>
        <v>13.644221669384006</v>
      </c>
      <c r="DX66" s="5">
        <f t="shared" si="76"/>
        <v>2.404130591630592</v>
      </c>
      <c r="DY66" s="5">
        <f t="shared" si="119"/>
        <v>11.240091077753414</v>
      </c>
      <c r="DZ66" s="5">
        <f t="shared" si="77"/>
        <v>11.240091077753416</v>
      </c>
      <c r="EA66" s="173">
        <f t="shared" si="120"/>
        <v>0.17620137299771171</v>
      </c>
      <c r="EB66" s="173">
        <f t="shared" si="78"/>
        <v>91.5</v>
      </c>
      <c r="EC66" s="173">
        <f t="shared" si="79"/>
        <v>5.9415584415584419</v>
      </c>
      <c r="ED66" s="173">
        <f t="shared" si="121"/>
        <v>15.399999999999999</v>
      </c>
      <c r="EE66" s="460">
        <f t="shared" si="80"/>
        <v>97.7679773929774</v>
      </c>
      <c r="EF66" s="5">
        <f t="shared" si="81"/>
        <v>3.9678562253643412</v>
      </c>
      <c r="EG66" s="5"/>
      <c r="EH66" s="173">
        <f t="shared" si="122"/>
        <v>3.495854283880004</v>
      </c>
      <c r="EI66" s="173">
        <f t="shared" si="82"/>
        <v>7.5589106123334027</v>
      </c>
      <c r="EJ66" s="173"/>
      <c r="EK66" s="528">
        <f t="shared" si="83"/>
        <v>0.2444199434824435</v>
      </c>
      <c r="EL66" s="528">
        <f t="shared" si="84"/>
        <v>1.8480000000000001</v>
      </c>
      <c r="EM66" s="528">
        <f t="shared" si="85"/>
        <v>9.1613873644756857E-3</v>
      </c>
      <c r="EN66" s="528">
        <f t="shared" si="86"/>
        <v>5.5985311475409846E-2</v>
      </c>
      <c r="EO66">
        <f t="shared" si="87"/>
        <v>3.2399999999999998E-2</v>
      </c>
      <c r="EP66" s="460">
        <f t="shared" si="123"/>
        <v>41.561387364475685</v>
      </c>
      <c r="EQ66" s="528">
        <f t="shared" si="88"/>
        <v>2.3950506247308176</v>
      </c>
      <c r="ER66" s="460">
        <f t="shared" si="124"/>
        <v>2395.0506247308176</v>
      </c>
      <c r="ES66" s="528">
        <f t="shared" si="125"/>
        <v>3.7896249999999996</v>
      </c>
      <c r="ET66" s="528"/>
      <c r="EV66" s="460">
        <f t="shared" si="126"/>
        <v>3789.6249999999995</v>
      </c>
      <c r="EW66" s="528">
        <f t="shared" si="89"/>
        <v>0.36662991522366523</v>
      </c>
      <c r="EX66" s="528">
        <f t="shared" si="90"/>
        <v>1.7141138893573962</v>
      </c>
      <c r="EY66" s="528">
        <f t="shared" si="91"/>
        <v>1.8170687138587007</v>
      </c>
      <c r="EZ66" s="528">
        <f t="shared" si="92"/>
        <v>5.275317821478156</v>
      </c>
      <c r="FA66" s="528">
        <f t="shared" si="93"/>
        <v>1.525E-2</v>
      </c>
      <c r="FB66" s="460">
        <f t="shared" si="127"/>
        <v>5290.5678214781556</v>
      </c>
      <c r="FC66" s="173">
        <f t="shared" si="128"/>
        <v>11.475243446208973</v>
      </c>
      <c r="FD66" s="5">
        <f t="shared" si="129"/>
        <v>91.5</v>
      </c>
      <c r="FE66" s="173">
        <f t="shared" si="130"/>
        <v>0.88856308504671533</v>
      </c>
      <c r="FF66" s="5">
        <f t="shared" si="131"/>
        <v>88.856308504671532</v>
      </c>
      <c r="FI66" s="562">
        <f t="shared" si="94"/>
        <v>-50</v>
      </c>
      <c r="FJ66">
        <f t="shared" si="95"/>
        <v>-50</v>
      </c>
      <c r="FL66">
        <f t="shared" si="181"/>
        <v>0.82379862700228834</v>
      </c>
    </row>
    <row r="67" spans="5:168">
      <c r="E67" s="170">
        <v>62</v>
      </c>
      <c r="F67" s="217">
        <f t="shared" si="182"/>
        <v>6.2</v>
      </c>
      <c r="G67" s="217"/>
      <c r="H67" s="217">
        <f t="shared" si="132"/>
        <v>93</v>
      </c>
      <c r="I67" s="541">
        <f t="shared" si="133"/>
        <v>71.622040260273153</v>
      </c>
      <c r="J67" s="172">
        <f t="shared" si="134"/>
        <v>15.626775843836105</v>
      </c>
      <c r="K67" s="172">
        <f t="shared" si="135"/>
        <v>87.6267758438361</v>
      </c>
      <c r="L67" s="443"/>
      <c r="M67" s="217">
        <f t="shared" si="136"/>
        <v>0.17909654005946335</v>
      </c>
      <c r="N67" s="172">
        <f t="shared" si="137"/>
        <v>321.83594342959799</v>
      </c>
      <c r="O67" s="172">
        <f t="shared" si="98"/>
        <v>93</v>
      </c>
      <c r="P67" s="217">
        <f t="shared" si="138"/>
        <v>21.4557295619732</v>
      </c>
      <c r="Q67" s="217">
        <f t="shared" si="139"/>
        <v>15</v>
      </c>
      <c r="R67" s="217">
        <f t="shared" si="140"/>
        <v>21.378766004357512</v>
      </c>
      <c r="S67" s="172">
        <f t="shared" si="141"/>
        <v>217.30810196429576</v>
      </c>
      <c r="T67" s="172">
        <f t="shared" si="142"/>
        <v>15</v>
      </c>
      <c r="U67" s="217">
        <f t="shared" si="143"/>
        <v>15.105308486454927</v>
      </c>
      <c r="V67" s="217">
        <f t="shared" si="11"/>
        <v>2.5308368929277951</v>
      </c>
      <c r="W67" s="217">
        <f t="shared" si="144"/>
        <v>11.599558581302464</v>
      </c>
      <c r="X67" s="197">
        <f t="shared" si="145"/>
        <v>106.8994035871298</v>
      </c>
      <c r="Y67" s="443">
        <f t="shared" si="14"/>
        <v>69.781744809363957</v>
      </c>
      <c r="AA67" s="217">
        <f t="shared" si="146"/>
        <v>10</v>
      </c>
      <c r="AB67" s="173">
        <f t="shared" si="147"/>
        <v>7.6791272364307526</v>
      </c>
      <c r="AC67" s="173">
        <f t="shared" si="148"/>
        <v>4.1044706082206588</v>
      </c>
      <c r="AD67" s="173"/>
      <c r="AE67" s="173">
        <f t="shared" si="149"/>
        <v>7.6791272364307526</v>
      </c>
      <c r="AF67" s="545">
        <f t="shared" si="150"/>
        <v>161.47668371963977</v>
      </c>
      <c r="AG67" s="528">
        <f t="shared" si="151"/>
        <v>4.1044706082206588</v>
      </c>
      <c r="AI67" s="173">
        <f t="shared" si="152"/>
        <v>6.792363016540599</v>
      </c>
      <c r="AJ67" s="173">
        <f t="shared" si="153"/>
        <v>15.105308486454927</v>
      </c>
      <c r="AK67" s="173">
        <f t="shared" si="154"/>
        <v>4.9817099899666131</v>
      </c>
      <c r="AM67" s="545">
        <f t="shared" si="155"/>
        <v>6200</v>
      </c>
      <c r="AN67" s="460">
        <f t="shared" si="156"/>
        <v>69.781744809363957</v>
      </c>
      <c r="AP67">
        <f t="shared" si="157"/>
        <v>6200</v>
      </c>
      <c r="AQ67">
        <f t="shared" si="158"/>
        <v>69.781744809363957</v>
      </c>
      <c r="AS67" s="5">
        <f t="shared" si="101"/>
        <v>14.330395474230256</v>
      </c>
      <c r="AT67" s="5">
        <f t="shared" si="159"/>
        <v>2.5308368929277951</v>
      </c>
      <c r="AU67" s="5">
        <f t="shared" si="102"/>
        <v>11.799558581302461</v>
      </c>
      <c r="AV67" s="5">
        <f t="shared" si="160"/>
        <v>11.599558581302464</v>
      </c>
      <c r="AW67" s="173">
        <f t="shared" si="103"/>
        <v>0.17660621421641098</v>
      </c>
      <c r="AX67" s="173">
        <f t="shared" si="161"/>
        <v>95.532748505626216</v>
      </c>
      <c r="AY67" s="173">
        <f t="shared" si="162"/>
        <v>6.2188085700455487</v>
      </c>
      <c r="AZ67" s="173">
        <f t="shared" si="104"/>
        <v>15.361905327940734</v>
      </c>
      <c r="BA67" s="460">
        <f t="shared" si="163"/>
        <v>104.6079249076822</v>
      </c>
      <c r="BB67" s="5">
        <f t="shared" si="164"/>
        <v>4.2559794290872341</v>
      </c>
      <c r="BC67" s="5"/>
      <c r="BD67" s="173">
        <f t="shared" si="105"/>
        <v>3.6649829801092721</v>
      </c>
      <c r="BE67" s="173">
        <f t="shared" si="165"/>
        <v>7.9135757559924684</v>
      </c>
      <c r="BF67" s="173"/>
      <c r="BG67" s="528">
        <f t="shared" si="166"/>
        <v>0.26864200488981282</v>
      </c>
      <c r="BH67" s="528">
        <f t="shared" si="167"/>
        <v>1.7318470247054691</v>
      </c>
      <c r="BI67" s="528">
        <f t="shared" si="168"/>
        <v>0.1249477734042093</v>
      </c>
      <c r="BJ67" s="528">
        <f t="shared" si="169"/>
        <v>5.3581576716383944E-2</v>
      </c>
      <c r="BK67">
        <f t="shared" si="170"/>
        <v>3.2229918117122919E-2</v>
      </c>
      <c r="BL67" s="460">
        <f t="shared" si="106"/>
        <v>157.17769152133221</v>
      </c>
      <c r="BM67" s="528">
        <f t="shared" si="171"/>
        <v>2.2715985870074418</v>
      </c>
      <c r="BN67" s="460">
        <f t="shared" si="107"/>
        <v>2271.5985870074419</v>
      </c>
      <c r="BO67" s="528">
        <f t="shared" si="172"/>
        <v>3.8517499999999996</v>
      </c>
      <c r="BP67" s="528"/>
      <c r="BR67" s="460">
        <f t="shared" si="109"/>
        <v>3851.7499999999995</v>
      </c>
      <c r="BS67" s="528">
        <f t="shared" si="173"/>
        <v>0.40296300733471924</v>
      </c>
      <c r="BT67" s="528">
        <f t="shared" si="174"/>
        <v>1.878740437374953</v>
      </c>
      <c r="BU67" s="528">
        <f t="shared" si="175"/>
        <v>1.395</v>
      </c>
      <c r="BV67" s="528">
        <f t="shared" si="176"/>
        <v>5.1675837657756869</v>
      </c>
      <c r="BW67" s="528">
        <f t="shared" si="177"/>
        <v>1.5922124750937704E-2</v>
      </c>
      <c r="BX67" s="460">
        <f t="shared" si="110"/>
        <v>5183.5058905266242</v>
      </c>
      <c r="BY67" s="173">
        <f t="shared" si="45"/>
        <v>11.464032169055399</v>
      </c>
      <c r="BZ67" s="5">
        <f t="shared" si="111"/>
        <v>93</v>
      </c>
      <c r="CA67" s="173">
        <f t="shared" si="112"/>
        <v>0.89025857100266803</v>
      </c>
      <c r="CB67" s="5">
        <f t="shared" si="113"/>
        <v>89.025857100266805</v>
      </c>
      <c r="CE67" s="562">
        <f t="shared" si="178"/>
        <v>-50</v>
      </c>
      <c r="CF67">
        <f t="shared" si="179"/>
        <v>-50</v>
      </c>
      <c r="CG67" s="173">
        <f t="shared" si="180"/>
        <v>0.82019317778143019</v>
      </c>
      <c r="CI67" s="170">
        <v>62</v>
      </c>
      <c r="CJ67" s="217">
        <f t="shared" si="114"/>
        <v>6.2</v>
      </c>
      <c r="CK67" s="217"/>
      <c r="CL67" s="217">
        <f t="shared" si="49"/>
        <v>93</v>
      </c>
      <c r="CM67" s="541">
        <f t="shared" si="50"/>
        <v>72</v>
      </c>
      <c r="CN67" s="172">
        <f t="shared" si="51"/>
        <v>15.4</v>
      </c>
      <c r="CO67" s="443">
        <f t="shared" si="52"/>
        <v>87.4</v>
      </c>
      <c r="CP67" s="443"/>
      <c r="CQ67" s="217">
        <f t="shared" si="53"/>
        <v>0.17620137299771166</v>
      </c>
      <c r="CR67" s="172">
        <f t="shared" si="54"/>
        <v>318.30425629290613</v>
      </c>
      <c r="CS67" s="172">
        <f t="shared" si="115"/>
        <v>93</v>
      </c>
      <c r="CT67" s="217">
        <f t="shared" si="55"/>
        <v>21.220283752860407</v>
      </c>
      <c r="CU67" s="217">
        <f t="shared" si="56"/>
        <v>15</v>
      </c>
      <c r="CV67" s="217">
        <f t="shared" si="57"/>
        <v>21.144164759725399</v>
      </c>
      <c r="CW67" s="172">
        <f t="shared" si="58"/>
        <v>218.45417511889866</v>
      </c>
      <c r="CX67" s="172">
        <f t="shared" si="59"/>
        <v>15</v>
      </c>
      <c r="CY67" s="217">
        <f t="shared" si="60"/>
        <v>14.661255411255413</v>
      </c>
      <c r="CZ67" s="217">
        <f t="shared" si="61"/>
        <v>2.4435425685425689</v>
      </c>
      <c r="DA67" s="217">
        <f t="shared" si="62"/>
        <v>11.424354865913308</v>
      </c>
      <c r="DB67" s="197">
        <f t="shared" si="63"/>
        <v>105.72082379862701</v>
      </c>
      <c r="DC67" s="443">
        <f t="shared" si="116"/>
        <v>72.108984417163455</v>
      </c>
      <c r="DE67" s="217">
        <f t="shared" si="64"/>
        <v>9.9999999999999982</v>
      </c>
      <c r="DF67" s="173">
        <f t="shared" si="65"/>
        <v>7.7922077922077895</v>
      </c>
      <c r="DG67" s="173">
        <f t="shared" si="66"/>
        <v>4.118993135011439</v>
      </c>
      <c r="DH67" s="173"/>
      <c r="DI67" s="173">
        <f t="shared" si="67"/>
        <v>7.7922077922077913</v>
      </c>
      <c r="DJ67" s="545">
        <f t="shared" si="117"/>
        <v>159.13333333333335</v>
      </c>
      <c r="DK67" s="528">
        <f t="shared" si="68"/>
        <v>4.1189931350114417</v>
      </c>
      <c r="DM67" s="173">
        <f t="shared" si="69"/>
        <v>6.7428974978614846</v>
      </c>
      <c r="DN67" s="173">
        <f t="shared" si="70"/>
        <v>14.661255411255413</v>
      </c>
      <c r="DO67" s="173">
        <f t="shared" si="71"/>
        <v>4.6527817861151197</v>
      </c>
      <c r="DQ67" s="545">
        <f t="shared" si="72"/>
        <v>6200</v>
      </c>
      <c r="DR67" s="460">
        <f t="shared" si="73"/>
        <v>72.108984417163455</v>
      </c>
      <c r="DT67">
        <f t="shared" si="74"/>
        <v>6200</v>
      </c>
      <c r="DU67">
        <f t="shared" si="75"/>
        <v>72.108984417163455</v>
      </c>
      <c r="DW67" s="5">
        <f t="shared" si="118"/>
        <v>13.867897434455879</v>
      </c>
      <c r="DX67" s="5">
        <f t="shared" si="76"/>
        <v>2.4435425685425689</v>
      </c>
      <c r="DY67" s="5">
        <f t="shared" si="119"/>
        <v>11.42435486591331</v>
      </c>
      <c r="DZ67" s="5">
        <f t="shared" si="77"/>
        <v>11.424354865913308</v>
      </c>
      <c r="EA67" s="173">
        <f t="shared" si="120"/>
        <v>0.17620137299771166</v>
      </c>
      <c r="EB67" s="173">
        <f t="shared" si="78"/>
        <v>93.000000000000014</v>
      </c>
      <c r="EC67" s="173">
        <f t="shared" si="79"/>
        <v>6.0389610389610393</v>
      </c>
      <c r="ED67" s="173">
        <f t="shared" si="121"/>
        <v>15.400000000000002</v>
      </c>
      <c r="EE67" s="460">
        <f t="shared" si="80"/>
        <v>100.99975949975952</v>
      </c>
      <c r="EF67" s="5">
        <f t="shared" si="81"/>
        <v>4.0990162134642665</v>
      </c>
      <c r="EG67" s="5"/>
      <c r="EH67" s="173">
        <f t="shared" si="122"/>
        <v>3.5531633705009877</v>
      </c>
      <c r="EI67" s="173">
        <f t="shared" si="82"/>
        <v>7.6828271797487044</v>
      </c>
      <c r="EJ67" s="173"/>
      <c r="EK67" s="528">
        <f t="shared" si="83"/>
        <v>0.25249939874939881</v>
      </c>
      <c r="EL67" s="528">
        <f t="shared" si="84"/>
        <v>1.8480000000000001</v>
      </c>
      <c r="EM67" s="528">
        <f t="shared" si="85"/>
        <v>9.0136230521454305E-3</v>
      </c>
      <c r="EN67" s="528">
        <f t="shared" si="86"/>
        <v>5.5082322580645167E-2</v>
      </c>
      <c r="EO67">
        <f t="shared" si="87"/>
        <v>3.2399999999999998E-2</v>
      </c>
      <c r="EP67" s="460">
        <f t="shared" si="123"/>
        <v>41.413623052145432</v>
      </c>
      <c r="EQ67" s="528">
        <f t="shared" si="88"/>
        <v>2.4097397652738271</v>
      </c>
      <c r="ER67" s="460">
        <f t="shared" si="124"/>
        <v>2409.7397652738268</v>
      </c>
      <c r="ES67" s="528">
        <f t="shared" si="125"/>
        <v>3.8517499999999996</v>
      </c>
      <c r="ET67" s="528"/>
      <c r="EV67" s="460">
        <f t="shared" si="126"/>
        <v>3851.7499999999995</v>
      </c>
      <c r="EW67" s="528">
        <f t="shared" si="89"/>
        <v>0.37874909812409818</v>
      </c>
      <c r="EX67" s="528">
        <f t="shared" si="90"/>
        <v>1.7707750042165629</v>
      </c>
      <c r="EY67" s="528">
        <f t="shared" si="91"/>
        <v>1.8170687138586978</v>
      </c>
      <c r="EZ67" s="528">
        <f t="shared" si="92"/>
        <v>5.4133725891951343</v>
      </c>
      <c r="FA67" s="528">
        <f t="shared" si="93"/>
        <v>1.55E-2</v>
      </c>
      <c r="FB67" s="460">
        <f t="shared" si="127"/>
        <v>5428.8725891951344</v>
      </c>
      <c r="FC67" s="173">
        <f t="shared" si="128"/>
        <v>11.690362354468959</v>
      </c>
      <c r="FD67" s="5">
        <f t="shared" si="129"/>
        <v>93</v>
      </c>
      <c r="FE67" s="173">
        <f t="shared" si="130"/>
        <v>0.88833392022384261</v>
      </c>
      <c r="FF67" s="5">
        <f t="shared" si="131"/>
        <v>88.83339202238426</v>
      </c>
      <c r="FI67" s="562">
        <f t="shared" si="94"/>
        <v>-50</v>
      </c>
      <c r="FJ67">
        <f t="shared" si="95"/>
        <v>-50</v>
      </c>
      <c r="FL67">
        <f t="shared" si="181"/>
        <v>0.82379862700228834</v>
      </c>
    </row>
    <row r="68" spans="5:168">
      <c r="E68" s="170">
        <v>63</v>
      </c>
      <c r="F68" s="217">
        <f t="shared" si="182"/>
        <v>6.3</v>
      </c>
      <c r="G68" s="217"/>
      <c r="H68" s="217">
        <f t="shared" si="132"/>
        <v>94.5</v>
      </c>
      <c r="I68" s="541">
        <f t="shared" si="133"/>
        <v>71.615970931242117</v>
      </c>
      <c r="J68" s="172">
        <f t="shared" si="134"/>
        <v>15.63041744125473</v>
      </c>
      <c r="K68" s="172">
        <f t="shared" si="135"/>
        <v>87.630417441254735</v>
      </c>
      <c r="L68" s="443"/>
      <c r="M68" s="217">
        <f t="shared" si="136"/>
        <v>0.17914326404475844</v>
      </c>
      <c r="N68" s="172">
        <f t="shared" si="137"/>
        <v>321.89262645006346</v>
      </c>
      <c r="O68" s="172">
        <f t="shared" si="98"/>
        <v>94.5</v>
      </c>
      <c r="P68" s="217">
        <f t="shared" si="138"/>
        <v>21.459508430004231</v>
      </c>
      <c r="Q68" s="217">
        <f t="shared" si="139"/>
        <v>15</v>
      </c>
      <c r="R68" s="217">
        <f t="shared" si="140"/>
        <v>21.382531317262089</v>
      </c>
      <c r="S68" s="172">
        <f t="shared" si="141"/>
        <v>212.70881132392242</v>
      </c>
      <c r="T68" s="172">
        <f t="shared" si="142"/>
        <v>15</v>
      </c>
      <c r="U68" s="217">
        <f t="shared" si="143"/>
        <v>15.349816171438512</v>
      </c>
      <c r="V68" s="217">
        <f t="shared" si="11"/>
        <v>2.5720211799419554</v>
      </c>
      <c r="W68" s="217">
        <f t="shared" si="144"/>
        <v>11.784572916849474</v>
      </c>
      <c r="X68" s="197">
        <f t="shared" si="145"/>
        <v>106.91822912837705</v>
      </c>
      <c r="Y68" s="443">
        <f t="shared" si="14"/>
        <v>68.69738850658895</v>
      </c>
      <c r="AA68" s="217">
        <f t="shared" si="146"/>
        <v>10</v>
      </c>
      <c r="AB68" s="173">
        <f t="shared" si="147"/>
        <v>7.6773381421838103</v>
      </c>
      <c r="AC68" s="173">
        <f t="shared" si="148"/>
        <v>4.1042369929101863</v>
      </c>
      <c r="AD68" s="173"/>
      <c r="AE68" s="173">
        <f t="shared" si="149"/>
        <v>7.6773381421838103</v>
      </c>
      <c r="AF68" s="545">
        <f t="shared" si="150"/>
        <v>164.11938313317464</v>
      </c>
      <c r="AG68" s="528">
        <f t="shared" si="151"/>
        <v>4.1042369929101863</v>
      </c>
      <c r="AI68" s="173">
        <f t="shared" si="152"/>
        <v>6.8477187678645359</v>
      </c>
      <c r="AJ68" s="173">
        <f t="shared" si="153"/>
        <v>15.349816171438512</v>
      </c>
      <c r="AK68" s="173">
        <f t="shared" si="154"/>
        <v>5.1628267936581569</v>
      </c>
      <c r="AM68" s="545">
        <f t="shared" si="155"/>
        <v>6300</v>
      </c>
      <c r="AN68" s="460">
        <f t="shared" si="156"/>
        <v>68.69738850658895</v>
      </c>
      <c r="AP68">
        <f t="shared" si="157"/>
        <v>6300</v>
      </c>
      <c r="AQ68">
        <f t="shared" si="158"/>
        <v>68.69738850658895</v>
      </c>
      <c r="AS68" s="5">
        <f t="shared" si="101"/>
        <v>14.556594096791429</v>
      </c>
      <c r="AT68" s="5">
        <f t="shared" si="159"/>
        <v>2.5720211799419554</v>
      </c>
      <c r="AU68" s="5">
        <f t="shared" si="102"/>
        <v>11.984572916849473</v>
      </c>
      <c r="AV68" s="5">
        <f t="shared" si="160"/>
        <v>11.784572916849474</v>
      </c>
      <c r="AW68" s="173">
        <f t="shared" si="103"/>
        <v>0.17669113824564783</v>
      </c>
      <c r="AX68" s="173">
        <f t="shared" si="161"/>
        <v>97.117576376835316</v>
      </c>
      <c r="AY68" s="173">
        <f t="shared" si="162"/>
        <v>6.318819840122794</v>
      </c>
      <c r="AZ68" s="173">
        <f t="shared" si="104"/>
        <v>15.369575147587691</v>
      </c>
      <c r="BA68" s="460">
        <f t="shared" si="163"/>
        <v>108.02488955756213</v>
      </c>
      <c r="BB68" s="5">
        <f t="shared" si="164"/>
        <v>4.3928056127220376</v>
      </c>
      <c r="BC68" s="5"/>
      <c r="BD68" s="173">
        <f t="shared" si="105"/>
        <v>3.7252029279986205</v>
      </c>
      <c r="BE68" s="173">
        <f t="shared" si="165"/>
        <v>8.0412570728016295</v>
      </c>
      <c r="BF68" s="173"/>
      <c r="BG68" s="528">
        <f t="shared" si="166"/>
        <v>0.27754273709538996</v>
      </c>
      <c r="BH68" s="528">
        <f t="shared" si="167"/>
        <v>1.7326049836146544</v>
      </c>
      <c r="BI68" s="528">
        <f t="shared" si="168"/>
        <v>0.12299575445850301</v>
      </c>
      <c r="BJ68" s="528">
        <f t="shared" si="169"/>
        <v>5.2753343329269529E-2</v>
      </c>
      <c r="BK68">
        <f t="shared" si="170"/>
        <v>3.2227186919058952E-2</v>
      </c>
      <c r="BL68" s="460">
        <f t="shared" si="106"/>
        <v>155.22294137756197</v>
      </c>
      <c r="BM68" s="528">
        <f t="shared" si="171"/>
        <v>2.2887685066950572</v>
      </c>
      <c r="BN68" s="460">
        <f t="shared" si="107"/>
        <v>2288.7685066950571</v>
      </c>
      <c r="BO68" s="528">
        <f t="shared" si="172"/>
        <v>3.9138749999999991</v>
      </c>
      <c r="BP68" s="528"/>
      <c r="BR68" s="460">
        <f t="shared" si="109"/>
        <v>3913.8749999999991</v>
      </c>
      <c r="BS68" s="528">
        <f t="shared" si="173"/>
        <v>0.41631410564308485</v>
      </c>
      <c r="BT68" s="528">
        <f t="shared" si="174"/>
        <v>1.9398544593264668</v>
      </c>
      <c r="BU68" s="528">
        <f t="shared" si="175"/>
        <v>1.4175</v>
      </c>
      <c r="BV68" s="528">
        <f t="shared" si="176"/>
        <v>5.347029187582832</v>
      </c>
      <c r="BW68" s="528">
        <f t="shared" si="177"/>
        <v>1.6186262729472552E-2</v>
      </c>
      <c r="BX68" s="460">
        <f t="shared" si="110"/>
        <v>5363.2154503123038</v>
      </c>
      <c r="BY68" s="173">
        <f t="shared" si="45"/>
        <v>11.721081898384922</v>
      </c>
      <c r="BZ68" s="5">
        <f t="shared" si="111"/>
        <v>94.5</v>
      </c>
      <c r="CA68" s="173">
        <f t="shared" si="112"/>
        <v>0.88965390213594553</v>
      </c>
      <c r="CB68" s="5">
        <f t="shared" si="113"/>
        <v>88.96539021359456</v>
      </c>
      <c r="CE68" s="562">
        <f t="shared" si="178"/>
        <v>-50</v>
      </c>
      <c r="CF68">
        <f t="shared" si="179"/>
        <v>-50</v>
      </c>
      <c r="CG68" s="173">
        <f t="shared" si="180"/>
        <v>0.82025040713414221</v>
      </c>
      <c r="CI68" s="170">
        <v>63</v>
      </c>
      <c r="CJ68" s="217">
        <f t="shared" si="114"/>
        <v>6.3</v>
      </c>
      <c r="CK68" s="217"/>
      <c r="CL68" s="217">
        <f t="shared" si="49"/>
        <v>94.5</v>
      </c>
      <c r="CM68" s="541">
        <f t="shared" si="50"/>
        <v>72</v>
      </c>
      <c r="CN68" s="172">
        <f t="shared" si="51"/>
        <v>15.4</v>
      </c>
      <c r="CO68" s="443">
        <f t="shared" si="52"/>
        <v>87.4</v>
      </c>
      <c r="CP68" s="443"/>
      <c r="CQ68" s="217">
        <f t="shared" si="53"/>
        <v>0.17620137299771166</v>
      </c>
      <c r="CR68" s="172">
        <f t="shared" si="54"/>
        <v>318.30425629290613</v>
      </c>
      <c r="CS68" s="172">
        <f t="shared" si="115"/>
        <v>94.5</v>
      </c>
      <c r="CT68" s="217">
        <f t="shared" si="55"/>
        <v>21.220283752860407</v>
      </c>
      <c r="CU68" s="217">
        <f t="shared" si="56"/>
        <v>15</v>
      </c>
      <c r="CV68" s="217">
        <f t="shared" si="57"/>
        <v>21.144164759725399</v>
      </c>
      <c r="CW68" s="172">
        <f t="shared" si="58"/>
        <v>213.84870892805492</v>
      </c>
      <c r="CX68" s="172">
        <f t="shared" si="59"/>
        <v>15</v>
      </c>
      <c r="CY68" s="217">
        <f t="shared" si="60"/>
        <v>14.897727272727273</v>
      </c>
      <c r="CZ68" s="217">
        <f t="shared" si="61"/>
        <v>2.4829545454545459</v>
      </c>
      <c r="DA68" s="217">
        <f t="shared" si="62"/>
        <v>11.608618654073201</v>
      </c>
      <c r="DB68" s="197">
        <f t="shared" si="63"/>
        <v>105.72082379862701</v>
      </c>
      <c r="DC68" s="443">
        <f t="shared" si="116"/>
        <v>70.964397362922753</v>
      </c>
      <c r="DE68" s="217">
        <f t="shared" si="64"/>
        <v>9.9999999999999982</v>
      </c>
      <c r="DF68" s="173">
        <f t="shared" si="65"/>
        <v>7.7922077922077895</v>
      </c>
      <c r="DG68" s="173">
        <f t="shared" si="66"/>
        <v>4.118993135011439</v>
      </c>
      <c r="DH68" s="173"/>
      <c r="DI68" s="173">
        <f t="shared" si="67"/>
        <v>7.7922077922077913</v>
      </c>
      <c r="DJ68" s="545">
        <f t="shared" si="117"/>
        <v>161.69999999999999</v>
      </c>
      <c r="DK68" s="528">
        <f t="shared" si="68"/>
        <v>4.1189931350114417</v>
      </c>
      <c r="DM68" s="173">
        <f t="shared" si="69"/>
        <v>6.7970581871865718</v>
      </c>
      <c r="DN68" s="173">
        <f t="shared" si="70"/>
        <v>14.897727272727273</v>
      </c>
      <c r="DO68" s="173">
        <f t="shared" si="71"/>
        <v>4.8279461279461282</v>
      </c>
      <c r="DQ68" s="545">
        <f t="shared" si="72"/>
        <v>6300</v>
      </c>
      <c r="DR68" s="460">
        <f t="shared" si="73"/>
        <v>70.964397362922753</v>
      </c>
      <c r="DT68">
        <f t="shared" si="74"/>
        <v>6300</v>
      </c>
      <c r="DU68">
        <f t="shared" si="75"/>
        <v>70.964397362922753</v>
      </c>
      <c r="DW68" s="5">
        <f t="shared" si="118"/>
        <v>14.091573199527749</v>
      </c>
      <c r="DX68" s="5">
        <f t="shared" si="76"/>
        <v>2.4829545454545459</v>
      </c>
      <c r="DY68" s="5">
        <f t="shared" si="119"/>
        <v>11.608618654073204</v>
      </c>
      <c r="DZ68" s="5">
        <f t="shared" si="77"/>
        <v>11.608618654073201</v>
      </c>
      <c r="EA68" s="173">
        <f t="shared" si="120"/>
        <v>0.17620137299771166</v>
      </c>
      <c r="EB68" s="173">
        <f t="shared" si="78"/>
        <v>94.499999999999972</v>
      </c>
      <c r="EC68" s="173">
        <f t="shared" si="79"/>
        <v>6.1363636363636367</v>
      </c>
      <c r="ED68" s="173">
        <f t="shared" si="121"/>
        <v>15.399999999999995</v>
      </c>
      <c r="EE68" s="460">
        <f t="shared" si="80"/>
        <v>104.28409090909092</v>
      </c>
      <c r="EF68" s="5">
        <f t="shared" si="81"/>
        <v>4.2323088842975221</v>
      </c>
      <c r="EG68" s="5"/>
      <c r="EH68" s="173">
        <f t="shared" si="122"/>
        <v>3.6104724571219711</v>
      </c>
      <c r="EI68" s="173">
        <f t="shared" si="82"/>
        <v>7.8067437471640062</v>
      </c>
      <c r="EJ68" s="173"/>
      <c r="EK68" s="528">
        <f t="shared" si="83"/>
        <v>0.26071022727272725</v>
      </c>
      <c r="EL68" s="528">
        <f t="shared" si="84"/>
        <v>1.8479999999999994</v>
      </c>
      <c r="EM68" s="528">
        <f t="shared" si="85"/>
        <v>8.8705496703653432E-3</v>
      </c>
      <c r="EN68" s="528">
        <f t="shared" si="86"/>
        <v>5.4207999999999992E-2</v>
      </c>
      <c r="EO68">
        <f t="shared" si="87"/>
        <v>3.2399999999999998E-2</v>
      </c>
      <c r="EP68" s="460">
        <f t="shared" si="123"/>
        <v>41.270549670365341</v>
      </c>
      <c r="EQ68" s="528">
        <f t="shared" si="88"/>
        <v>2.4247831226430727</v>
      </c>
      <c r="ER68" s="460">
        <f t="shared" si="124"/>
        <v>2424.7831226430726</v>
      </c>
      <c r="ES68" s="528">
        <f t="shared" si="125"/>
        <v>3.9138749999999991</v>
      </c>
      <c r="ET68" s="528"/>
      <c r="EV68" s="460">
        <f t="shared" si="126"/>
        <v>3913.8749999999991</v>
      </c>
      <c r="EW68" s="528">
        <f t="shared" si="89"/>
        <v>0.3910653409090909</v>
      </c>
      <c r="EX68" s="528">
        <f t="shared" si="90"/>
        <v>1.8283574380165293</v>
      </c>
      <c r="EY68" s="528">
        <f t="shared" si="91"/>
        <v>1.8170687138587012</v>
      </c>
      <c r="EZ68" s="528">
        <f t="shared" si="92"/>
        <v>5.5555647089057221</v>
      </c>
      <c r="FA68" s="528">
        <f t="shared" si="93"/>
        <v>1.5749999999999997E-2</v>
      </c>
      <c r="FB68" s="460">
        <f t="shared" si="127"/>
        <v>5571.314708905722</v>
      </c>
      <c r="FC68" s="173">
        <f t="shared" si="128"/>
        <v>11.909972831548794</v>
      </c>
      <c r="FD68" s="5">
        <f t="shared" si="129"/>
        <v>94.5</v>
      </c>
      <c r="FE68" s="173">
        <f t="shared" si="130"/>
        <v>0.88807465583697909</v>
      </c>
      <c r="FF68" s="5">
        <f t="shared" si="131"/>
        <v>88.807465583697905</v>
      </c>
      <c r="FI68" s="562">
        <f t="shared" si="94"/>
        <v>-50</v>
      </c>
      <c r="FJ68">
        <f t="shared" si="95"/>
        <v>-50</v>
      </c>
      <c r="FL68">
        <f t="shared" si="181"/>
        <v>0.82379862700228834</v>
      </c>
    </row>
    <row r="69" spans="5:168">
      <c r="E69" s="170">
        <v>64</v>
      </c>
      <c r="F69" s="217">
        <f t="shared" si="182"/>
        <v>6.4</v>
      </c>
      <c r="G69" s="217"/>
      <c r="H69" s="217">
        <f t="shared" ref="H69:H100" si="183">F69*Vout</f>
        <v>96</v>
      </c>
      <c r="I69" s="541">
        <f t="shared" ref="I69:I105" si="184">Vin-F69*(Rdcr_pri+RON/1000)/CG69/Nps</f>
        <v>71.609901598589047</v>
      </c>
      <c r="J69" s="172">
        <f t="shared" ref="J69:J105" si="185">(T69+Vfwd1+F69/CG69*Rdcr_sec)*Nps</f>
        <v>15.634059040846573</v>
      </c>
      <c r="K69" s="172">
        <f t="shared" ref="K69:K105" si="186">(Vout+Vfwd1+F69/CG69*Rdcr_sec)*Nps+VIN_nom</f>
        <v>87.63405904084658</v>
      </c>
      <c r="L69" s="443"/>
      <c r="M69" s="217">
        <f t="shared" ref="M69:M105" si="187">(Vout+Vfwd1+F69/FL69*Rdcr_sec)*Nps/((Vout+Vfwd1+F69/FL69*Rdcr_sec)*Nps+I69)</f>
        <v>0.17918999063781849</v>
      </c>
      <c r="N69" s="172">
        <f t="shared" ref="N69:N100" si="188">M69*I69*(Isw_max+VIN_nom/Lmag*ILIM_delay)*0.5*Efficiency</f>
        <v>321.9492999093892</v>
      </c>
      <c r="O69" s="172">
        <f t="shared" si="98"/>
        <v>96</v>
      </c>
      <c r="P69" s="217">
        <f t="shared" ref="P69:P100" si="189">N69/Vout</f>
        <v>21.463286660625947</v>
      </c>
      <c r="Q69" s="217">
        <f t="shared" ref="Q69:Q105" si="190">MIN(Vout,N69/F69)</f>
        <v>15</v>
      </c>
      <c r="R69" s="217">
        <f t="shared" ref="R69:R100" si="191">Isw_max/2*I69*Nps*(Q69+Vfwd1+F69/FL69*Rdcr_sec)/Q69/(I69+Nps*(Q69+Vfwd1+F69/FL69*Rdcr_sec))</f>
        <v>21.386295995043792</v>
      </c>
      <c r="S69" s="172">
        <f t="shared" ref="S69:S105" si="192">(SQRT(Isw_max^2*Nps^2*I69^2+4*Isw_max*F69/Efficiency*(Nps^2*Vfwd1*I69-Nps*I69^2)+4*(F69/Efficiency)^2*Nps^2*Vfwd1^2+8*(F69/Efficiency)^2*Nps*Vfwd1*I69+4*(F69/Efficiency)^2*I69^2)-2*F69/Efficiency*I69-2*F69/Efficiency*Nps*Vfwd1+Isw_max*Nps*I69)/(4*F69/Efficiency*Nps)</f>
        <v>208.25355652281638</v>
      </c>
      <c r="T69" s="172">
        <f t="shared" ref="T69:T100" si="193">MIN(Vout, S69)</f>
        <v>15</v>
      </c>
      <c r="U69" s="217">
        <f t="shared" ref="U69:U105" si="194">MIN(2*(Vout+Vfwd1+F69/FL69*Rdcr_sec)*F69/(I69*M69), Isw_max)</f>
        <v>15.594351742794128</v>
      </c>
      <c r="V69" s="217">
        <f t="shared" ref="V69:V104" si="195">L*U69/I69*1000000</f>
        <v>2.6132171213207851</v>
      </c>
      <c r="W69" s="217">
        <f t="shared" ref="W69:W105" si="196">L*U69/J69*1000000</f>
        <v>11.969522465318544</v>
      </c>
      <c r="X69" s="197">
        <f t="shared" ref="X69:X105" si="197">IF(1/((350000*L)*(1/I69+1/J69))&gt;Isw_min, 350, 0.001/((Isw_min*L)*(1/I69+1/J69)))</f>
        <v>106.93705150630019</v>
      </c>
      <c r="Y69" s="443">
        <f t="shared" ref="Y69:Y104" si="198">MIN(1/(V69+W69+0.2)*1000, 350)</f>
        <v>67.646459855370935</v>
      </c>
      <c r="AA69" s="217">
        <f t="shared" ref="AA69:AA105" si="199">1/((X69*1000*L)*(1/I69+1/J69))</f>
        <v>10</v>
      </c>
      <c r="AB69" s="173">
        <f t="shared" ref="AB69:AB100" si="200">L*AA69/J69*1000000</f>
        <v>7.675549880327309</v>
      </c>
      <c r="AC69" s="173">
        <f t="shared" ref="AC69:AC100" si="201">0.5*AB69*AA69*Nps*X69/1000</f>
        <v>4.1040033644586886</v>
      </c>
      <c r="AD69" s="173"/>
      <c r="AE69" s="173">
        <f t="shared" ref="AE69:AE105" si="202">L*Isw_min/J69*1000000</f>
        <v>7.675549880327309</v>
      </c>
      <c r="AF69" s="545">
        <f t="shared" ref="AF69:AF100" si="203">MAX(12, F69/(0.5*AE69/1000000*Isw_min*Nps)/1000)</f>
        <v>166.76329643569679</v>
      </c>
      <c r="AG69" s="528">
        <f t="shared" ref="AG69:AG105" si="204">0.5*AE69/1000000*Isw_min*Nps*X69*1000</f>
        <v>4.1040033644586895</v>
      </c>
      <c r="AI69" s="173">
        <f t="shared" ref="AI69:AI105" si="205">SQRT(F69/Efficiency/(0.5*L/J69*Fsw_DCM*Nps))</f>
        <v>6.9026557298249198</v>
      </c>
      <c r="AJ69" s="173">
        <f t="shared" ref="AJ69:AJ100" si="206">MAX(IF(F69&gt;AC69,U69,AI69),Isw_min)</f>
        <v>15.594351742794128</v>
      </c>
      <c r="AK69" s="173">
        <f t="shared" ref="AK69:AK100" si="207">IF(F69&gt;AG69, (AJ69-Isw_min)/1.08*0.8+1.2, AF69*0.2/350+1)</f>
        <v>5.3439642539215768</v>
      </c>
      <c r="AM69" s="545">
        <f t="shared" ref="AM69:AM105" si="208">F69*1000</f>
        <v>6400</v>
      </c>
      <c r="AN69" s="460">
        <f t="shared" ref="AN69:AN105" si="209">IF(F69&gt;AG69, Y69, AF69)</f>
        <v>67.646459855370935</v>
      </c>
      <c r="AP69">
        <f t="shared" ref="AP69:AP105" si="210">IF(H69&gt;N69, "",AM69)</f>
        <v>6400</v>
      </c>
      <c r="AQ69">
        <f t="shared" ref="AQ69:AQ105" si="211">IF(H69&gt;N69, "",AN69)</f>
        <v>67.646459855370935</v>
      </c>
      <c r="AS69" s="5">
        <f t="shared" si="101"/>
        <v>14.782739586639327</v>
      </c>
      <c r="AT69" s="5">
        <f t="shared" ref="AT69:AT105" si="212">L*AJ69/I69*1000000</f>
        <v>2.6132171213207851</v>
      </c>
      <c r="AU69" s="5">
        <f t="shared" si="102"/>
        <v>12.169522465318542</v>
      </c>
      <c r="AV69" s="5">
        <f t="shared" ref="AV69:AV105" si="213">L*AJ69/J69*1000000</f>
        <v>11.969522465318544</v>
      </c>
      <c r="AW69" s="173">
        <f t="shared" si="103"/>
        <v>0.1767748870907945</v>
      </c>
      <c r="AX69" s="173">
        <f t="shared" ref="AX69:AX132" si="214">0.5*L*AJ69^2*AN69*1000</f>
        <v>98.70314153316059</v>
      </c>
      <c r="AY69" s="173">
        <f t="shared" ref="AY69:AY132" si="215">AJ69*Nps/2*(1-AW69)</f>
        <v>6.4188309871037807</v>
      </c>
      <c r="AZ69" s="173">
        <f t="shared" si="104"/>
        <v>15.377121119323334</v>
      </c>
      <c r="BA69" s="460">
        <f t="shared" ref="BA69:BA105" si="216">F69*AT69/Vout_ripple*1000</f>
        <v>111.49726384302015</v>
      </c>
      <c r="BB69" s="5">
        <f t="shared" ref="BB69:BB105" si="217">H69/Efficiency/I69*AU69/Vinripple1</f>
        <v>4.5317838990237531</v>
      </c>
      <c r="BC69" s="5"/>
      <c r="BD69" s="173">
        <f t="shared" si="105"/>
        <v>3.7854453677694107</v>
      </c>
      <c r="BE69" s="173">
        <f t="shared" ref="BE69:BE132" si="218">AJ69*Nps*SQRT((1-AW69)/3)</f>
        <v>8.168945594564935</v>
      </c>
      <c r="BF69" s="173"/>
      <c r="BG69" s="528">
        <f t="shared" ref="BG69:BG105" si="219">Rdson*BD69^2</f>
        <v>0.28659193264733779</v>
      </c>
      <c r="BH69" s="528">
        <f t="shared" ref="BH69:BH105" si="220">0.5*K69*AJ69*AN69*1000*Tfall</f>
        <v>1.7333513351699055</v>
      </c>
      <c r="BI69" s="528">
        <f t="shared" ref="BI69:BI105" si="221">Qg*Vdd*AN69*1000*0+Qg*I69*AN69*1000</f>
        <v>0.12110390834340042</v>
      </c>
      <c r="BJ69" s="528">
        <f t="shared" ref="BJ69:BJ105" si="222">0.5*(Coss+Csw)*K69^2*AN69*1000</f>
        <v>5.1950643241497264E-2</v>
      </c>
      <c r="BK69">
        <f t="shared" ref="BK69:BK105" si="223">I69*IQ</f>
        <v>3.2224455719365074E-2</v>
      </c>
      <c r="BL69" s="460">
        <f t="shared" si="106"/>
        <v>153.32836406276547</v>
      </c>
      <c r="BM69" s="528">
        <f t="shared" ref="BM69:BM105" si="224">(BH69+BI69*0+BJ69+BK69*0+BG69*(1+RdsonTC*(Ta-25)))/(1-BG69*RdsonTC*ThetaJA)</f>
        <v>2.3063209097954784</v>
      </c>
      <c r="BN69" s="460">
        <f t="shared" si="107"/>
        <v>2306.3209097954787</v>
      </c>
      <c r="BO69" s="528">
        <f t="shared" ref="BO69:BO105" si="225">Vfwd2*F69*(1+Diode_TC/1000*(Ta-25))</f>
        <v>3.9759999999999995</v>
      </c>
      <c r="BP69" s="528"/>
      <c r="BR69" s="460">
        <f t="shared" si="109"/>
        <v>3975.9999999999995</v>
      </c>
      <c r="BS69" s="528">
        <f t="shared" ref="BS69:BS105" si="226">Rdcr_pri*BD69^2</f>
        <v>0.42988789897100665</v>
      </c>
      <c r="BT69" s="528">
        <f t="shared" ref="BT69:BT105" si="227">Rdcr_sec*BE69^2</f>
        <v>2.0019501638088557</v>
      </c>
      <c r="BU69" s="528">
        <f t="shared" ref="BU69:BU105" si="228">AJ69^2.5*AN69^2.5*k_core*0+BZ69*0.015</f>
        <v>1.44</v>
      </c>
      <c r="BV69" s="528">
        <f t="shared" ref="BV69:BV100" si="229">(BU69+(BS69+BT69)*(1+Ltc*(Ta-25)))/(1-(BS69+BT69)*Ltc*ThetaCa)</f>
        <v>5.531644238577381</v>
      </c>
      <c r="BW69" s="528">
        <f t="shared" ref="BW69:BW105" si="230">0.5*Lleak*0.000000001*AJ69^2*AN69*1000</f>
        <v>1.6450523588860101E-2</v>
      </c>
      <c r="BX69" s="460">
        <f t="shared" si="110"/>
        <v>5548.0947621662408</v>
      </c>
      <c r="BY69" s="173">
        <f t="shared" ref="BY69:BY104" si="231">SUM(BM69,BO69:BQ69,BV69, BW69)+BK69+BI69</f>
        <v>11.983744036024484</v>
      </c>
      <c r="BZ69" s="5">
        <f t="shared" si="111"/>
        <v>96</v>
      </c>
      <c r="CA69" s="173">
        <f t="shared" si="112"/>
        <v>0.88902270297252717</v>
      </c>
      <c r="CB69" s="5">
        <f t="shared" si="113"/>
        <v>88.902270297252713</v>
      </c>
      <c r="CE69" s="562">
        <f t="shared" ref="CE69:CE105" si="232">IF(ABS(F69-Ioutmax_Vinnom)&lt;Iout/200, AN69, -50)</f>
        <v>-50</v>
      </c>
      <c r="CF69">
        <f t="shared" ref="CF69:CF105" si="233">IF(ABS(F69-Ioutmax_Vinnom)&lt;Iout/200, N69*CA69, -50)</f>
        <v>-50</v>
      </c>
      <c r="CG69" s="173">
        <f t="shared" ref="CG69:CG105" si="234">MIN(SQRT(2*DU69*1000*Ls1_*CL69)/CU69,1-EA69-0.00000005*DU69*1000)</f>
        <v>0.82030584806958196</v>
      </c>
      <c r="CI69" s="170">
        <v>64</v>
      </c>
      <c r="CJ69" s="217">
        <f t="shared" si="114"/>
        <v>6.4</v>
      </c>
      <c r="CK69" s="217"/>
      <c r="CL69" s="217">
        <f t="shared" ref="CL69:CL105" si="235">CJ69*Vout</f>
        <v>96</v>
      </c>
      <c r="CM69" s="541">
        <f t="shared" ref="CM69:CM105" si="236">Vin</f>
        <v>72</v>
      </c>
      <c r="CN69" s="172">
        <f t="shared" ref="CN69:CN105" si="237">(CX69+Vfwd1)*Nps</f>
        <v>15.4</v>
      </c>
      <c r="CO69" s="443">
        <f t="shared" ref="CO69:CO105" si="238">(Vout+Vfwd1)*Nps+CM69</f>
        <v>87.4</v>
      </c>
      <c r="CP69" s="443"/>
      <c r="CQ69" s="217">
        <f t="shared" ref="CQ69:CQ105" si="239">(Vout+Vfwd1)*Nps/((Vout+Vfwd1)*Nps+CM69)</f>
        <v>0.17620137299771166</v>
      </c>
      <c r="CR69" s="172">
        <f t="shared" ref="CR69:CR105" si="240">CQ69*CM69*(Isw_max+VIN_nom/Lmag*ILIM_delay)*0.5*Efficiency</f>
        <v>318.30425629290613</v>
      </c>
      <c r="CS69" s="172">
        <f t="shared" si="115"/>
        <v>96</v>
      </c>
      <c r="CT69" s="217">
        <f t="shared" ref="CT69:CT105" si="241">CR69/Vout</f>
        <v>21.220283752860407</v>
      </c>
      <c r="CU69" s="217">
        <f t="shared" ref="CU69:CU105" si="242">MIN(Vout,CR69/CJ69)</f>
        <v>15</v>
      </c>
      <c r="CV69" s="217">
        <f t="shared" ref="CV69:CV105" si="243">Isw_max/2*CM69*Nps*(CU69+Vfwd1)/CU69/(CM69+Nps*(CU69+Vfwd1))</f>
        <v>21.144164759725399</v>
      </c>
      <c r="CW69" s="172">
        <f t="shared" ref="CW69:CW105" si="244">(SQRT(Isw_max^2*Nps^2*CM69^2+4*Isw_max*CJ69/Efficiency*(Nps^2*Vfwd1*CM69-Nps*CM69^2)+4*(CJ69/Efficiency)^2*Nps^2*Vfwd1^2+8*(CJ69/Efficiency)^2*Nps*Vfwd1*CM69+4*(CJ69/Efficiency)^2*CM69^2)-2*CJ69/Efficiency*CM69-2*CJ69/Efficiency*Nps*Vfwd1+Isw_max*Nps*CM69)/(4*CJ69/Efficiency*Nps)</f>
        <v>209.38728191593398</v>
      </c>
      <c r="CX69" s="172">
        <f t="shared" ref="CX69:CX105" si="245">MIN(Vout, CW69)</f>
        <v>15</v>
      </c>
      <c r="CY69" s="217">
        <f t="shared" ref="CY69:CY105" si="246">MIN(2*Vout*CJ69/(CM69*CQ69), Isw_max)</f>
        <v>15.134199134199136</v>
      </c>
      <c r="CZ69" s="217">
        <f t="shared" ref="CZ69:CZ105" si="247">L*CY69/CM69*1000000</f>
        <v>2.5223665223665233</v>
      </c>
      <c r="DA69" s="217">
        <f t="shared" ref="DA69:DA105" si="248">L*CY69/CN69*1000000</f>
        <v>11.792882442233093</v>
      </c>
      <c r="DB69" s="197">
        <f t="shared" ref="DB69:DB105" si="249">IF(1/((350000*L)*(1/CM69+1/CN69))&gt;Isw_min, 350, 0.001/((Isw_min*L)*(1/CM69+1/CN69)))</f>
        <v>105.72082379862701</v>
      </c>
      <c r="DC69" s="443">
        <f t="shared" si="116"/>
        <v>69.8555786541271</v>
      </c>
      <c r="DE69" s="217">
        <f t="shared" ref="DE69:DE105" si="250">1/((DB69*1000*L)*(1/CM69+1/CN69))</f>
        <v>9.9999999999999982</v>
      </c>
      <c r="DF69" s="173">
        <f t="shared" ref="DF69:DF105" si="251">L*DE69/CN69*1000000</f>
        <v>7.7922077922077895</v>
      </c>
      <c r="DG69" s="173">
        <f t="shared" ref="DG69:DG105" si="252">0.5*DF69*DE69*Nps*DB69/1000</f>
        <v>4.118993135011439</v>
      </c>
      <c r="DH69" s="173"/>
      <c r="DI69" s="173">
        <f t="shared" ref="DI69:DI105" si="253">L*Isw_min/CN69*1000000</f>
        <v>7.7922077922077913</v>
      </c>
      <c r="DJ69" s="545">
        <f t="shared" si="117"/>
        <v>164.26666666666668</v>
      </c>
      <c r="DK69" s="528">
        <f t="shared" ref="DK69:DK105" si="254">0.5*DI69/1000000*Isw_min*Nps*DB69*1000</f>
        <v>4.1189931350114417</v>
      </c>
      <c r="DM69" s="173">
        <f t="shared" ref="DM69:DM105" si="255">SQRT(CJ69/Efficiency/(0.5*L/CN69*Fsw_DCM*Nps))</f>
        <v>6.8507907086214024</v>
      </c>
      <c r="DN69" s="173">
        <f t="shared" ref="DN69:DN105" si="256">MAX(IF(CJ69&gt;DG69,CY69,DM69),Isw_min)</f>
        <v>15.134199134199136</v>
      </c>
      <c r="DO69" s="173">
        <f t="shared" ref="DO69:DO105" si="257">IF(CJ69&gt;DK69, (DN69-Isw_min)/1.08*0.8+1.2, DJ69*0.2/350+1)</f>
        <v>5.0031104697771376</v>
      </c>
      <c r="DQ69" s="545">
        <f t="shared" ref="DQ69:DQ105" si="258">CJ69*1000</f>
        <v>6400</v>
      </c>
      <c r="DR69" s="460">
        <f t="shared" ref="DR69:DR105" si="259">IF(CJ69&gt;DK69, DC69, DJ69)</f>
        <v>69.8555786541271</v>
      </c>
      <c r="DT69">
        <f t="shared" ref="DT69:DT105" si="260">IF(CL69&gt;CR69, "",DQ69)</f>
        <v>6400</v>
      </c>
      <c r="DU69">
        <f t="shared" ref="DU69:DU105" si="261">IF(CL69&gt;CR69, "",DR69)</f>
        <v>69.8555786541271</v>
      </c>
      <c r="DW69" s="5">
        <f t="shared" si="118"/>
        <v>14.315248964599617</v>
      </c>
      <c r="DX69" s="5">
        <f t="shared" ref="DX69:DX105" si="262">L*DN69/CM69*1000000</f>
        <v>2.5223665223665233</v>
      </c>
      <c r="DY69" s="5">
        <f t="shared" si="119"/>
        <v>11.792882442233093</v>
      </c>
      <c r="DZ69" s="5">
        <f t="shared" ref="DZ69:DZ105" si="263">L*DN69/CN69*1000000</f>
        <v>11.792882442233093</v>
      </c>
      <c r="EA69" s="173">
        <f t="shared" si="120"/>
        <v>0.17620137299771171</v>
      </c>
      <c r="EB69" s="173">
        <f t="shared" ref="EB69:EB105" si="264">0.5*L*DN69^2*DR69*1000</f>
        <v>96.000000000000014</v>
      </c>
      <c r="EC69" s="173">
        <f t="shared" ref="EC69:EC105" si="265">DN69*Nps/2*(1-EA69)</f>
        <v>6.233766233766235</v>
      </c>
      <c r="ED69" s="173">
        <f t="shared" si="121"/>
        <v>15.399999999999999</v>
      </c>
      <c r="EE69" s="460">
        <f t="shared" ref="EE69:EE105" si="266">CJ69*DX69/Vout_ripple*1000</f>
        <v>107.62097162097166</v>
      </c>
      <c r="EF69" s="5">
        <f t="shared" ref="EF69:EF105" si="267">CL69/Efficiency/CM69*DY69/Vinripple1</f>
        <v>4.3677342378641084</v>
      </c>
      <c r="EG69" s="5"/>
      <c r="EH69" s="173">
        <f t="shared" si="122"/>
        <v>3.6677815437429553</v>
      </c>
      <c r="EI69" s="173">
        <f t="shared" ref="EI69:EI105" si="268">DN69*Nps*SQRT((1-EA69)/3)</f>
        <v>7.9306603145793089</v>
      </c>
      <c r="EJ69" s="173"/>
      <c r="EK69" s="528">
        <f t="shared" ref="EK69:EK105" si="269">Rdson*EH69^2</f>
        <v>0.2690524290524291</v>
      </c>
      <c r="EL69" s="528">
        <f t="shared" ref="EL69:EL105" si="270">0.5*CO69*DN69*DR69*1000*Trise</f>
        <v>1.8480000000000001</v>
      </c>
      <c r="EM69" s="528">
        <f t="shared" ref="EM69:EM105" si="271">Qg*Vdd*DR69*1000</f>
        <v>8.7319473317658877E-3</v>
      </c>
      <c r="EN69" s="528">
        <f t="shared" ref="EN69:EN105" si="272">0.5*(Coss+Csw)*CO69^2*DR69*1000</f>
        <v>5.3361000000000006E-2</v>
      </c>
      <c r="EO69">
        <f t="shared" ref="EO69:EO105" si="273">CM69*IQ</f>
        <v>3.2399999999999998E-2</v>
      </c>
      <c r="EP69" s="460">
        <f t="shared" si="123"/>
        <v>41.131947331765886</v>
      </c>
      <c r="EQ69" s="528">
        <f t="shared" ref="EQ69:EQ105" si="274">(EL69+EM69+EN69+EO69+EK69*(1+RdsonTC*(Ta-25)))/(1-EK69*RdsonTC*ThetaJA)</f>
        <v>2.440182746036704</v>
      </c>
      <c r="ER69" s="460">
        <f t="shared" si="124"/>
        <v>2440.182746036704</v>
      </c>
      <c r="ES69" s="528">
        <f t="shared" si="125"/>
        <v>3.9759999999999995</v>
      </c>
      <c r="ET69" s="528"/>
      <c r="EV69" s="460">
        <f t="shared" si="126"/>
        <v>3975.9999999999995</v>
      </c>
      <c r="EW69" s="528">
        <f t="shared" ref="EW69:EW105" si="275">Rdcr_pri*EH69^2</f>
        <v>0.40357864357864365</v>
      </c>
      <c r="EX69" s="528">
        <f t="shared" ref="EX69:EX105" si="276">Rdcr_sec*EI69^2</f>
        <v>1.8868611907572954</v>
      </c>
      <c r="EY69" s="528">
        <f t="shared" ref="EY69:EY105" si="277">DN69^2.5*DR69^2.5*k_core</f>
        <v>1.8170687138587007</v>
      </c>
      <c r="EZ69" s="528">
        <f t="shared" ref="EZ69:EZ105" si="278">(EY69+(EW69+EX69)*(1+Ltc*(Ta-25)))/(1-(EW69+EX69)*Ltc*ThetaCa)</f>
        <v>5.7020258866023656</v>
      </c>
      <c r="FA69" s="528">
        <f t="shared" ref="FA69:FA105" si="279">0.5*Lleak*0.000000001*DN69^2*DR69*1000</f>
        <v>1.6000000000000004E-2</v>
      </c>
      <c r="FB69" s="460">
        <f t="shared" si="127"/>
        <v>5718.025886602366</v>
      </c>
      <c r="FC69" s="173">
        <f t="shared" si="128"/>
        <v>12.134208632639069</v>
      </c>
      <c r="FD69" s="5">
        <f t="shared" si="129"/>
        <v>96</v>
      </c>
      <c r="FE69" s="173">
        <f t="shared" si="130"/>
        <v>0.88778566203908482</v>
      </c>
      <c r="FF69" s="5">
        <f t="shared" si="131"/>
        <v>88.778566203908483</v>
      </c>
      <c r="FI69" s="562">
        <f t="shared" ref="FI69:FI105" si="280">IF(ABS(CJ69-Ioutmax_Vinnom)&lt;Iout/200, DR69, -50)</f>
        <v>-50</v>
      </c>
      <c r="FJ69">
        <f t="shared" ref="FJ69:FJ105" si="281">IF(ABS(CJ69-Ioutmax_Vinnom)&lt;Iout/200, CR69*FE69, -50)</f>
        <v>-50</v>
      </c>
      <c r="FL69">
        <f t="shared" ref="FL69:FL105" si="282">MIN(SQRT(2*L*DR69*1000*CJ69*(CX69+Vfwd1))/(Nps*(CX69+Vfwd1)), 1-EA69)</f>
        <v>0.82379862700228834</v>
      </c>
    </row>
    <row r="70" spans="5:168">
      <c r="E70" s="170">
        <v>65</v>
      </c>
      <c r="F70" s="217">
        <f t="shared" ref="F70:F101" si="283">IF(PLOT_TYPE=1, E70/100*Iout_max, min_I*EXP(N70*rr/100))</f>
        <v>6.5</v>
      </c>
      <c r="G70" s="217"/>
      <c r="H70" s="217">
        <f t="shared" si="183"/>
        <v>97.5</v>
      </c>
      <c r="I70" s="541">
        <f t="shared" si="184"/>
        <v>71.603832262481831</v>
      </c>
      <c r="J70" s="172">
        <f t="shared" si="185"/>
        <v>15.637700642510906</v>
      </c>
      <c r="K70" s="172">
        <f t="shared" si="186"/>
        <v>87.637700642510907</v>
      </c>
      <c r="L70" s="443"/>
      <c r="M70" s="217">
        <f t="shared" si="187"/>
        <v>0.17923671983852207</v>
      </c>
      <c r="N70" s="172">
        <f t="shared" si="188"/>
        <v>322.00596380690814</v>
      </c>
      <c r="O70" s="172">
        <f t="shared" ref="O70:O133" si="284">T70*F70</f>
        <v>97.5</v>
      </c>
      <c r="P70" s="217">
        <f t="shared" si="189"/>
        <v>21.467064253793875</v>
      </c>
      <c r="Q70" s="217">
        <f t="shared" si="190"/>
        <v>15</v>
      </c>
      <c r="R70" s="217">
        <f t="shared" si="191"/>
        <v>21.390060037658305</v>
      </c>
      <c r="S70" s="172">
        <f t="shared" si="192"/>
        <v>203.93569160960118</v>
      </c>
      <c r="T70" s="172">
        <f t="shared" si="193"/>
        <v>15</v>
      </c>
      <c r="U70" s="217">
        <f t="shared" si="194"/>
        <v>15.838915207613045</v>
      </c>
      <c r="V70" s="217">
        <f t="shared" si="195"/>
        <v>2.654424721216293</v>
      </c>
      <c r="W70" s="217">
        <f t="shared" si="196"/>
        <v>12.154407277414027</v>
      </c>
      <c r="X70" s="197">
        <f t="shared" si="197"/>
        <v>106.95587072010809</v>
      </c>
      <c r="Y70" s="443">
        <f t="shared" si="198"/>
        <v>66.627436438175764</v>
      </c>
      <c r="AA70" s="217">
        <f t="shared" si="199"/>
        <v>10</v>
      </c>
      <c r="AB70" s="173">
        <f t="shared" si="200"/>
        <v>7.6737624503299049</v>
      </c>
      <c r="AC70" s="173">
        <f t="shared" si="201"/>
        <v>4.103769722871526</v>
      </c>
      <c r="AD70" s="173"/>
      <c r="AE70" s="173">
        <f t="shared" si="202"/>
        <v>7.6737624503299049</v>
      </c>
      <c r="AF70" s="545">
        <f t="shared" si="203"/>
        <v>169.40842362720147</v>
      </c>
      <c r="AG70" s="528">
        <f t="shared" si="204"/>
        <v>4.103769722871526</v>
      </c>
      <c r="AI70" s="173">
        <f t="shared" si="205"/>
        <v>6.957183823259883</v>
      </c>
      <c r="AJ70" s="173">
        <f t="shared" si="153"/>
        <v>15.838915207613045</v>
      </c>
      <c r="AK70" s="173">
        <f t="shared" si="207"/>
        <v>5.525122376009663</v>
      </c>
      <c r="AM70" s="545">
        <f t="shared" si="208"/>
        <v>6500</v>
      </c>
      <c r="AN70" s="460">
        <f t="shared" si="209"/>
        <v>66.627436438175764</v>
      </c>
      <c r="AP70">
        <f t="shared" si="210"/>
        <v>6500</v>
      </c>
      <c r="AQ70">
        <f t="shared" si="211"/>
        <v>66.627436438175764</v>
      </c>
      <c r="AS70" s="5">
        <f t="shared" ref="AS70:AS133" si="285">1/AN70*1000</f>
        <v>15.008831998630317</v>
      </c>
      <c r="AT70" s="5">
        <f t="shared" si="212"/>
        <v>2.654424721216293</v>
      </c>
      <c r="AU70" s="5">
        <f t="shared" ref="AU70:AU105" si="286">AS70-AT70</f>
        <v>12.354407277414024</v>
      </c>
      <c r="AV70" s="5">
        <f t="shared" si="213"/>
        <v>12.154407277414027</v>
      </c>
      <c r="AW70" s="173">
        <f t="shared" ref="AW70:AW105" si="287">AT70/AS70</f>
        <v>0.17685751439276098</v>
      </c>
      <c r="AX70" s="173">
        <f t="shared" si="214"/>
        <v>100.28944356636808</v>
      </c>
      <c r="AY70" s="173">
        <f t="shared" si="215"/>
        <v>6.51884201665845</v>
      </c>
      <c r="AZ70" s="173">
        <f t="shared" ref="AZ70:AZ133" si="288">AX70/AY70</f>
        <v>15.38454886774144</v>
      </c>
      <c r="BA70" s="460">
        <f t="shared" si="216"/>
        <v>115.02507125270604</v>
      </c>
      <c r="BB70" s="5">
        <f t="shared" si="217"/>
        <v>4.6729137234360332</v>
      </c>
      <c r="BC70" s="5"/>
      <c r="BD70" s="173">
        <f t="shared" ref="BD70:BD133" si="289">AJ70*SQRT(AW70/3)</f>
        <v>3.8457102961871232</v>
      </c>
      <c r="BE70" s="173">
        <f t="shared" si="218"/>
        <v>8.2966413266123702</v>
      </c>
      <c r="BF70" s="173"/>
      <c r="BG70" s="528">
        <f t="shared" si="219"/>
        <v>0.29578975364399301</v>
      </c>
      <c r="BH70" s="528">
        <f t="shared" si="220"/>
        <v>1.7340866067978926</v>
      </c>
      <c r="BI70" s="528">
        <f t="shared" si="221"/>
        <v>0.11926949456995767</v>
      </c>
      <c r="BJ70" s="528">
        <f t="shared" si="222"/>
        <v>5.1172313572483558E-2</v>
      </c>
      <c r="BK70">
        <f t="shared" si="223"/>
        <v>3.222172451811682E-2</v>
      </c>
      <c r="BL70" s="460">
        <f t="shared" ref="BL70:BL105" si="290">(BK70+BI70)*1000</f>
        <v>151.4912190880745</v>
      </c>
      <c r="BM70" s="528">
        <f t="shared" si="224"/>
        <v>2.3242600820339332</v>
      </c>
      <c r="BN70" s="460">
        <f t="shared" ref="BN70:BN105" si="291">BM70*1000</f>
        <v>2324.260082033933</v>
      </c>
      <c r="BO70" s="528">
        <f t="shared" si="225"/>
        <v>4.038125</v>
      </c>
      <c r="BP70" s="528"/>
      <c r="BR70" s="460">
        <f t="shared" ref="BR70:BR105" si="292">SUM(BO70:BQ70)*1000</f>
        <v>4038.125</v>
      </c>
      <c r="BS70" s="528">
        <f t="shared" si="226"/>
        <v>0.44368463046598949</v>
      </c>
      <c r="BT70" s="528">
        <f t="shared" si="227"/>
        <v>2.065027719073568</v>
      </c>
      <c r="BU70" s="528">
        <f t="shared" si="228"/>
        <v>1.4624999999999999</v>
      </c>
      <c r="BV70" s="528">
        <f t="shared" si="229"/>
        <v>5.7216140119065297</v>
      </c>
      <c r="BW70" s="528">
        <f t="shared" si="230"/>
        <v>1.6714907261061347E-2</v>
      </c>
      <c r="BX70" s="460">
        <f t="shared" ref="BX70:BX105" si="293">1000*(BV70+BW70)</f>
        <v>5738.3289191675913</v>
      </c>
      <c r="BY70" s="173">
        <f t="shared" si="231"/>
        <v>12.252205220289598</v>
      </c>
      <c r="BZ70" s="5">
        <f t="shared" ref="BZ70:BZ105" si="294">MIN(H70,O70)</f>
        <v>97.5</v>
      </c>
      <c r="CA70" s="173">
        <f t="shared" ref="CA70:CA104" si="295">BZ70/(BZ70+BY70)</f>
        <v>0.88836483790282361</v>
      </c>
      <c r="CB70" s="5">
        <f t="shared" ref="CB70:CB104" si="296">CA70*100</f>
        <v>88.836483790282358</v>
      </c>
      <c r="CE70" s="562">
        <f t="shared" si="232"/>
        <v>-50</v>
      </c>
      <c r="CF70">
        <f t="shared" si="233"/>
        <v>-50</v>
      </c>
      <c r="CG70" s="173">
        <f t="shared" si="234"/>
        <v>0.82035958313008517</v>
      </c>
      <c r="CI70" s="170">
        <v>65</v>
      </c>
      <c r="CJ70" s="217">
        <f t="shared" ref="CJ70:CJ105" si="297">IF(PLOT_TYPE=1, CI70/100*Iout_max, min_I*EXP(CR70*rr/100))</f>
        <v>6.5</v>
      </c>
      <c r="CK70" s="217"/>
      <c r="CL70" s="217">
        <f t="shared" si="235"/>
        <v>97.5</v>
      </c>
      <c r="CM70" s="541">
        <f t="shared" si="236"/>
        <v>72</v>
      </c>
      <c r="CN70" s="172">
        <f t="shared" si="237"/>
        <v>15.4</v>
      </c>
      <c r="CO70" s="443">
        <f t="shared" si="238"/>
        <v>87.4</v>
      </c>
      <c r="CP70" s="443"/>
      <c r="CQ70" s="217">
        <f t="shared" si="239"/>
        <v>0.17620137299771166</v>
      </c>
      <c r="CR70" s="172">
        <f t="shared" si="240"/>
        <v>318.30425629290613</v>
      </c>
      <c r="CS70" s="172">
        <f t="shared" ref="CS70:CS105" si="298">CX70*CJ70</f>
        <v>97.5</v>
      </c>
      <c r="CT70" s="217">
        <f t="shared" si="241"/>
        <v>21.220283752860407</v>
      </c>
      <c r="CU70" s="217">
        <f t="shared" si="242"/>
        <v>15</v>
      </c>
      <c r="CV70" s="217">
        <f t="shared" si="243"/>
        <v>21.144164759725399</v>
      </c>
      <c r="CW70" s="172">
        <f t="shared" si="244"/>
        <v>205.06324797694458</v>
      </c>
      <c r="CX70" s="172">
        <f t="shared" si="245"/>
        <v>15</v>
      </c>
      <c r="CY70" s="217">
        <f t="shared" si="246"/>
        <v>15.370670995670997</v>
      </c>
      <c r="CZ70" s="217">
        <f t="shared" si="247"/>
        <v>2.5617784992784998</v>
      </c>
      <c r="DA70" s="217">
        <f t="shared" si="248"/>
        <v>11.977146230392984</v>
      </c>
      <c r="DB70" s="197">
        <f t="shared" si="249"/>
        <v>105.72082379862701</v>
      </c>
      <c r="DC70" s="443">
        <f t="shared" ref="DC70:DC105" si="299">MIN(1/(CZ70+DA70)*1000, 350)</f>
        <v>68.780877444063606</v>
      </c>
      <c r="DE70" s="217">
        <f t="shared" si="250"/>
        <v>9.9999999999999982</v>
      </c>
      <c r="DF70" s="173">
        <f t="shared" si="251"/>
        <v>7.7922077922077895</v>
      </c>
      <c r="DG70" s="173">
        <f t="shared" si="252"/>
        <v>4.118993135011439</v>
      </c>
      <c r="DH70" s="173"/>
      <c r="DI70" s="173">
        <f t="shared" si="253"/>
        <v>7.7922077922077913</v>
      </c>
      <c r="DJ70" s="545">
        <f t="shared" ref="DJ70:DJ105" si="300">MAX(12, CJ70/(0.5*DI70/1000000*Isw_min*Nps)/1000)</f>
        <v>166.83333333333334</v>
      </c>
      <c r="DK70" s="528">
        <f t="shared" si="254"/>
        <v>4.1189931350114417</v>
      </c>
      <c r="DM70" s="173">
        <f t="shared" si="255"/>
        <v>6.9041050590693267</v>
      </c>
      <c r="DN70" s="173">
        <f t="shared" si="256"/>
        <v>15.370670995670997</v>
      </c>
      <c r="DO70" s="173">
        <f t="shared" si="257"/>
        <v>5.1782748116081461</v>
      </c>
      <c r="DQ70" s="545">
        <f t="shared" si="258"/>
        <v>6500</v>
      </c>
      <c r="DR70" s="460">
        <f t="shared" si="259"/>
        <v>68.780877444063606</v>
      </c>
      <c r="DT70">
        <f t="shared" si="260"/>
        <v>6500</v>
      </c>
      <c r="DU70">
        <f t="shared" si="261"/>
        <v>68.780877444063606</v>
      </c>
      <c r="DW70" s="5">
        <f t="shared" ref="DW70:DW105" si="301">1/DR70*1000</f>
        <v>14.538924729671484</v>
      </c>
      <c r="DX70" s="5">
        <f t="shared" si="262"/>
        <v>2.5617784992784998</v>
      </c>
      <c r="DY70" s="5">
        <f t="shared" ref="DY70:DY105" si="302">DW70-DX70</f>
        <v>11.977146230392984</v>
      </c>
      <c r="DZ70" s="5">
        <f t="shared" si="263"/>
        <v>11.977146230392984</v>
      </c>
      <c r="EA70" s="173">
        <f t="shared" ref="EA70:EA105" si="303">DX70/DW70</f>
        <v>0.17620137299771169</v>
      </c>
      <c r="EB70" s="173">
        <f t="shared" si="264"/>
        <v>97.499999999999986</v>
      </c>
      <c r="EC70" s="173">
        <f t="shared" si="265"/>
        <v>6.3311688311688314</v>
      </c>
      <c r="ED70" s="173">
        <f t="shared" ref="ED70:ED105" si="304">EB70/EC70</f>
        <v>15.399999999999997</v>
      </c>
      <c r="EE70" s="460">
        <f t="shared" si="266"/>
        <v>111.01040163540166</v>
      </c>
      <c r="EF70" s="5">
        <f t="shared" si="267"/>
        <v>4.5052922741640273</v>
      </c>
      <c r="EG70" s="5"/>
      <c r="EH70" s="173">
        <f t="shared" ref="EH70:EH105" si="305">DN70*SQRT(EA70/3)</f>
        <v>3.7250906303639391</v>
      </c>
      <c r="EI70" s="173">
        <f t="shared" si="268"/>
        <v>8.0545768819946097</v>
      </c>
      <c r="EJ70" s="173"/>
      <c r="EK70" s="528">
        <f t="shared" si="269"/>
        <v>0.2775260040885042</v>
      </c>
      <c r="EL70" s="528">
        <f t="shared" si="270"/>
        <v>1.8479999999999996</v>
      </c>
      <c r="EM70" s="528">
        <f t="shared" si="271"/>
        <v>8.5976096805079512E-3</v>
      </c>
      <c r="EN70" s="528">
        <f t="shared" si="272"/>
        <v>5.2540061538461545E-2</v>
      </c>
      <c r="EO70">
        <f t="shared" si="273"/>
        <v>3.2399999999999998E-2</v>
      </c>
      <c r="EP70" s="460">
        <f t="shared" ref="EP70:EP105" si="306">(EO70+EM70)*1000</f>
        <v>40.997609680507949</v>
      </c>
      <c r="EQ70" s="528">
        <f t="shared" si="274"/>
        <v>2.4559408763593775</v>
      </c>
      <c r="ER70" s="460">
        <f t="shared" ref="ER70:ER105" si="307">EQ70*1000</f>
        <v>2455.9408763593774</v>
      </c>
      <c r="ES70" s="528">
        <f t="shared" ref="ES70:ES105" si="308">Vfwd2*CJ70*(1+Diode_TC/1000*(Ta-25))</f>
        <v>4.038125</v>
      </c>
      <c r="ET70" s="528"/>
      <c r="EV70" s="460">
        <f t="shared" ref="EV70:EV105" si="309">SUM(ES70:EU70)*1000</f>
        <v>4038.125</v>
      </c>
      <c r="EW70" s="528">
        <f t="shared" si="275"/>
        <v>0.41628900613275627</v>
      </c>
      <c r="EX70" s="528">
        <f t="shared" si="276"/>
        <v>1.9462862624388602</v>
      </c>
      <c r="EY70" s="528">
        <f t="shared" si="277"/>
        <v>1.8170687138587027</v>
      </c>
      <c r="EZ70" s="528">
        <f t="shared" si="278"/>
        <v>5.8528943156684399</v>
      </c>
      <c r="FA70" s="528">
        <f t="shared" si="279"/>
        <v>1.6249999999999997E-2</v>
      </c>
      <c r="FB70" s="460">
        <f t="shared" ref="FB70:FB105" si="310">1000*(EZ70+FA70)</f>
        <v>5869.14431566844</v>
      </c>
      <c r="FC70" s="173">
        <f t="shared" ref="FC70:FC105" si="311">SUM(EQ70,ES70:EU70,EZ70, FA70)</f>
        <v>12.363210192027816</v>
      </c>
      <c r="FD70" s="5">
        <f t="shared" ref="FD70:FD105" si="312">MIN(CL70,CS70)</f>
        <v>97.5</v>
      </c>
      <c r="FE70" s="173">
        <f t="shared" ref="FE70:FE105" si="313">FD70/(FD70+FC70)</f>
        <v>0.88746724066756832</v>
      </c>
      <c r="FF70" s="5">
        <f t="shared" ref="FF70:FF105" si="314">FE70*100</f>
        <v>88.746724066756826</v>
      </c>
      <c r="FI70" s="562">
        <f t="shared" si="280"/>
        <v>-50</v>
      </c>
      <c r="FJ70">
        <f t="shared" si="281"/>
        <v>-50</v>
      </c>
      <c r="FL70">
        <f t="shared" si="282"/>
        <v>0.82379862700228834</v>
      </c>
    </row>
    <row r="71" spans="5:168">
      <c r="E71" s="170">
        <v>66</v>
      </c>
      <c r="F71" s="217">
        <f t="shared" si="283"/>
        <v>6.6000000000000005</v>
      </c>
      <c r="G71" s="217"/>
      <c r="H71" s="217">
        <f t="shared" si="183"/>
        <v>99.000000000000014</v>
      </c>
      <c r="I71" s="541">
        <f t="shared" si="184"/>
        <v>71.597762923078108</v>
      </c>
      <c r="J71" s="172">
        <f t="shared" si="185"/>
        <v>15.64134224615314</v>
      </c>
      <c r="K71" s="172">
        <f t="shared" si="186"/>
        <v>87.641342246153144</v>
      </c>
      <c r="L71" s="443"/>
      <c r="M71" s="217">
        <f t="shared" si="187"/>
        <v>0.17928345164676845</v>
      </c>
      <c r="N71" s="172">
        <f t="shared" si="188"/>
        <v>322.06261814194494</v>
      </c>
      <c r="O71" s="172">
        <f t="shared" si="284"/>
        <v>99.000000000000014</v>
      </c>
      <c r="P71" s="217">
        <f t="shared" si="189"/>
        <v>21.470841209462996</v>
      </c>
      <c r="Q71" s="217">
        <f t="shared" si="190"/>
        <v>15</v>
      </c>
      <c r="R71" s="217">
        <f t="shared" si="191"/>
        <v>21.393823445060775</v>
      </c>
      <c r="S71" s="172">
        <f t="shared" si="192"/>
        <v>199.74897345639749</v>
      </c>
      <c r="T71" s="172">
        <f t="shared" si="193"/>
        <v>15</v>
      </c>
      <c r="U71" s="217">
        <f t="shared" si="194"/>
        <v>16.083506572988949</v>
      </c>
      <c r="V71" s="217">
        <f t="shared" si="195"/>
        <v>2.6956439837823067</v>
      </c>
      <c r="W71" s="217">
        <f t="shared" si="196"/>
        <v>12.339227403794879</v>
      </c>
      <c r="X71" s="197">
        <f t="shared" si="197"/>
        <v>106.97468676904158</v>
      </c>
      <c r="Y71" s="443">
        <f t="shared" si="198"/>
        <v>65.638886903595377</v>
      </c>
      <c r="AA71" s="217">
        <f t="shared" si="199"/>
        <v>9.9999999999999982</v>
      </c>
      <c r="AB71" s="173">
        <f t="shared" si="200"/>
        <v>7.6719758516576801</v>
      </c>
      <c r="AC71" s="173">
        <f t="shared" si="201"/>
        <v>4.1035360681536561</v>
      </c>
      <c r="AD71" s="173"/>
      <c r="AE71" s="173">
        <f t="shared" si="202"/>
        <v>7.671975851657681</v>
      </c>
      <c r="AF71" s="545">
        <f t="shared" si="203"/>
        <v>172.05476470768454</v>
      </c>
      <c r="AG71" s="528">
        <f t="shared" si="204"/>
        <v>4.1035360681536579</v>
      </c>
      <c r="AI71" s="173">
        <f t="shared" si="205"/>
        <v>7.0113125876825357</v>
      </c>
      <c r="AJ71" s="173">
        <f t="shared" si="153"/>
        <v>16.083506572988949</v>
      </c>
      <c r="AK71" s="173">
        <f t="shared" si="207"/>
        <v>5.706301165176999</v>
      </c>
      <c r="AM71" s="545">
        <f t="shared" si="208"/>
        <v>6600.0000000000009</v>
      </c>
      <c r="AN71" s="460">
        <f t="shared" si="209"/>
        <v>65.638886903595377</v>
      </c>
      <c r="AP71">
        <f t="shared" si="210"/>
        <v>6600.0000000000009</v>
      </c>
      <c r="AQ71">
        <f t="shared" si="211"/>
        <v>65.638886903595377</v>
      </c>
      <c r="AS71" s="5">
        <f t="shared" si="285"/>
        <v>15.234871387577185</v>
      </c>
      <c r="AT71" s="5">
        <f t="shared" si="212"/>
        <v>2.6956439837823067</v>
      </c>
      <c r="AU71" s="5">
        <f t="shared" si="286"/>
        <v>12.539227403794879</v>
      </c>
      <c r="AV71" s="5">
        <f t="shared" si="213"/>
        <v>12.339227403794879</v>
      </c>
      <c r="AW71" s="173">
        <f t="shared" si="287"/>
        <v>0.17693907058384412</v>
      </c>
      <c r="AX71" s="173">
        <f t="shared" si="214"/>
        <v>101.87648209264601</v>
      </c>
      <c r="AY71" s="173">
        <f t="shared" si="215"/>
        <v>6.6188529341175686</v>
      </c>
      <c r="AZ71" s="173">
        <f t="shared" si="288"/>
        <v>15.391863681924862</v>
      </c>
      <c r="BA71" s="460">
        <f t="shared" si="216"/>
        <v>118.60833528642151</v>
      </c>
      <c r="BB71" s="5">
        <f t="shared" si="217"/>
        <v>4.8161945223739737</v>
      </c>
      <c r="BC71" s="5"/>
      <c r="BD71" s="173">
        <f t="shared" si="289"/>
        <v>3.9059977103733061</v>
      </c>
      <c r="BE71" s="173">
        <f t="shared" si="218"/>
        <v>8.4243442740479644</v>
      </c>
      <c r="BF71" s="173"/>
      <c r="BG71" s="528">
        <f t="shared" si="219"/>
        <v>0.30513636226883017</v>
      </c>
      <c r="BH71" s="528">
        <f t="shared" si="220"/>
        <v>1.7348112943756671</v>
      </c>
      <c r="BI71" s="528">
        <f t="shared" si="221"/>
        <v>0.11748993657645895</v>
      </c>
      <c r="BJ71" s="528">
        <f t="shared" si="222"/>
        <v>5.0417261001432477E-2</v>
      </c>
      <c r="BK71">
        <f t="shared" si="223"/>
        <v>3.221899331538515E-2</v>
      </c>
      <c r="BL71" s="460">
        <f t="shared" si="290"/>
        <v>149.70892989184409</v>
      </c>
      <c r="BM71" s="528">
        <f t="shared" si="224"/>
        <v>2.3425904816534104</v>
      </c>
      <c r="BN71" s="460">
        <f t="shared" si="291"/>
        <v>2342.5904816534103</v>
      </c>
      <c r="BO71" s="528">
        <f t="shared" si="225"/>
        <v>4.10025</v>
      </c>
      <c r="BP71" s="528"/>
      <c r="BR71" s="460">
        <f t="shared" si="292"/>
        <v>4100.25</v>
      </c>
      <c r="BS71" s="528">
        <f t="shared" si="226"/>
        <v>0.45770454340324529</v>
      </c>
      <c r="BT71" s="528">
        <f t="shared" si="227"/>
        <v>2.1290872934305418</v>
      </c>
      <c r="BU71" s="528">
        <f t="shared" si="228"/>
        <v>1.4850000000000001</v>
      </c>
      <c r="BV71" s="528">
        <f t="shared" si="229"/>
        <v>5.9171332333032343</v>
      </c>
      <c r="BW71" s="528">
        <f t="shared" si="230"/>
        <v>1.6979413682107668E-2</v>
      </c>
      <c r="BX71" s="460">
        <f t="shared" si="293"/>
        <v>5934.1126469853416</v>
      </c>
      <c r="BY71" s="173">
        <f t="shared" si="231"/>
        <v>12.526662058530597</v>
      </c>
      <c r="BZ71" s="5">
        <f t="shared" si="294"/>
        <v>99.000000000000014</v>
      </c>
      <c r="CA71" s="173">
        <f t="shared" si="295"/>
        <v>0.8876801131916201</v>
      </c>
      <c r="CB71" s="5">
        <f t="shared" si="296"/>
        <v>88.768011319162014</v>
      </c>
      <c r="CE71" s="562">
        <f t="shared" si="232"/>
        <v>-50</v>
      </c>
      <c r="CF71">
        <f t="shared" si="233"/>
        <v>-50</v>
      </c>
      <c r="CG71" s="173">
        <f t="shared" si="234"/>
        <v>0.82041168985542157</v>
      </c>
      <c r="CI71" s="170">
        <v>66</v>
      </c>
      <c r="CJ71" s="217">
        <f t="shared" si="297"/>
        <v>6.6000000000000005</v>
      </c>
      <c r="CK71" s="217"/>
      <c r="CL71" s="217">
        <f t="shared" si="235"/>
        <v>99.000000000000014</v>
      </c>
      <c r="CM71" s="541">
        <f t="shared" si="236"/>
        <v>72</v>
      </c>
      <c r="CN71" s="172">
        <f t="shared" si="237"/>
        <v>15.4</v>
      </c>
      <c r="CO71" s="443">
        <f t="shared" si="238"/>
        <v>87.4</v>
      </c>
      <c r="CP71" s="443"/>
      <c r="CQ71" s="217">
        <f t="shared" si="239"/>
        <v>0.17620137299771166</v>
      </c>
      <c r="CR71" s="172">
        <f t="shared" si="240"/>
        <v>318.30425629290613</v>
      </c>
      <c r="CS71" s="172">
        <f t="shared" si="298"/>
        <v>99.000000000000014</v>
      </c>
      <c r="CT71" s="217">
        <f t="shared" si="241"/>
        <v>21.220283752860407</v>
      </c>
      <c r="CU71" s="217">
        <f t="shared" si="242"/>
        <v>15</v>
      </c>
      <c r="CV71" s="217">
        <f t="shared" si="243"/>
        <v>21.144164759725399</v>
      </c>
      <c r="CW71" s="172">
        <f t="shared" si="244"/>
        <v>200.8703638384068</v>
      </c>
      <c r="CX71" s="172">
        <f t="shared" si="245"/>
        <v>15</v>
      </c>
      <c r="CY71" s="217">
        <f t="shared" si="246"/>
        <v>15.607142857142861</v>
      </c>
      <c r="CZ71" s="217">
        <f t="shared" si="247"/>
        <v>2.6011904761904767</v>
      </c>
      <c r="DA71" s="217">
        <f t="shared" si="248"/>
        <v>12.16141001855288</v>
      </c>
      <c r="DB71" s="197">
        <f t="shared" si="249"/>
        <v>105.72082379862701</v>
      </c>
      <c r="DC71" s="443">
        <f t="shared" si="299"/>
        <v>67.73874293733536</v>
      </c>
      <c r="DE71" s="217">
        <f t="shared" si="250"/>
        <v>9.9999999999999982</v>
      </c>
      <c r="DF71" s="173">
        <f t="shared" si="251"/>
        <v>7.7922077922077895</v>
      </c>
      <c r="DG71" s="173">
        <f t="shared" si="252"/>
        <v>4.118993135011439</v>
      </c>
      <c r="DH71" s="173"/>
      <c r="DI71" s="173">
        <f t="shared" si="253"/>
        <v>7.7922077922077913</v>
      </c>
      <c r="DJ71" s="545">
        <f t="shared" si="300"/>
        <v>169.40000000000003</v>
      </c>
      <c r="DK71" s="528">
        <f t="shared" si="254"/>
        <v>4.1189931350114417</v>
      </c>
      <c r="DM71" s="173">
        <f t="shared" si="255"/>
        <v>6.957010852370435</v>
      </c>
      <c r="DN71" s="173">
        <f t="shared" si="256"/>
        <v>15.607142857142861</v>
      </c>
      <c r="DO71" s="173">
        <f t="shared" si="257"/>
        <v>5.3534391534391563</v>
      </c>
      <c r="DQ71" s="545">
        <f t="shared" si="258"/>
        <v>6600.0000000000009</v>
      </c>
      <c r="DR71" s="460">
        <f t="shared" si="259"/>
        <v>67.73874293733536</v>
      </c>
      <c r="DT71">
        <f t="shared" si="260"/>
        <v>6600.0000000000009</v>
      </c>
      <c r="DU71">
        <f t="shared" si="261"/>
        <v>67.73874293733536</v>
      </c>
      <c r="DW71" s="5">
        <f t="shared" si="301"/>
        <v>14.762600494743356</v>
      </c>
      <c r="DX71" s="5">
        <f t="shared" si="262"/>
        <v>2.6011904761904767</v>
      </c>
      <c r="DY71" s="5">
        <f t="shared" si="302"/>
        <v>12.16141001855288</v>
      </c>
      <c r="DZ71" s="5">
        <f t="shared" si="263"/>
        <v>12.16141001855288</v>
      </c>
      <c r="EA71" s="173">
        <f t="shared" si="303"/>
        <v>0.17620137299771166</v>
      </c>
      <c r="EB71" s="173">
        <f t="shared" si="264"/>
        <v>99.000000000000014</v>
      </c>
      <c r="EC71" s="173">
        <f t="shared" si="265"/>
        <v>6.4285714285714306</v>
      </c>
      <c r="ED71" s="173">
        <f t="shared" si="304"/>
        <v>15.399999999999997</v>
      </c>
      <c r="EE71" s="460">
        <f t="shared" si="266"/>
        <v>114.45238095238099</v>
      </c>
      <c r="EF71" s="5">
        <f t="shared" si="267"/>
        <v>4.6449829931972815</v>
      </c>
      <c r="EG71" s="5"/>
      <c r="EH71" s="173">
        <f t="shared" si="305"/>
        <v>3.7823997169849228</v>
      </c>
      <c r="EI71" s="173">
        <f t="shared" si="268"/>
        <v>8.1784934494099133</v>
      </c>
      <c r="EJ71" s="173"/>
      <c r="EK71" s="528">
        <f t="shared" si="269"/>
        <v>0.28613095238095249</v>
      </c>
      <c r="EL71" s="528">
        <f t="shared" si="270"/>
        <v>1.8480000000000001</v>
      </c>
      <c r="EM71" s="528">
        <f t="shared" si="271"/>
        <v>8.4673428671669191E-3</v>
      </c>
      <c r="EN71" s="528">
        <f t="shared" si="272"/>
        <v>5.1743999999999998E-2</v>
      </c>
      <c r="EO71">
        <f t="shared" si="273"/>
        <v>3.2399999999999998E-2</v>
      </c>
      <c r="EP71" s="460">
        <f t="shared" si="306"/>
        <v>40.867342867166919</v>
      </c>
      <c r="EQ71" s="528">
        <f t="shared" si="274"/>
        <v>2.4720599411899338</v>
      </c>
      <c r="ER71" s="460">
        <f t="shared" si="307"/>
        <v>2472.0599411899339</v>
      </c>
      <c r="ES71" s="528">
        <f t="shared" si="308"/>
        <v>4.10025</v>
      </c>
      <c r="ET71" s="528"/>
      <c r="EV71" s="460">
        <f t="shared" si="309"/>
        <v>4100.25</v>
      </c>
      <c r="EW71" s="528">
        <f t="shared" si="275"/>
        <v>0.4291964285714287</v>
      </c>
      <c r="EX71" s="528">
        <f t="shared" si="276"/>
        <v>2.0066326530612257</v>
      </c>
      <c r="EY71" s="528">
        <f t="shared" si="277"/>
        <v>1.8170687138586974</v>
      </c>
      <c r="EZ71" s="528">
        <f t="shared" si="278"/>
        <v>6.008315059334203</v>
      </c>
      <c r="FA71" s="528">
        <f t="shared" si="279"/>
        <v>1.6500000000000008E-2</v>
      </c>
      <c r="FB71" s="460">
        <f t="shared" si="310"/>
        <v>6024.8150593342025</v>
      </c>
      <c r="FC71" s="173">
        <f t="shared" si="311"/>
        <v>12.597125000524137</v>
      </c>
      <c r="FD71" s="5">
        <f t="shared" si="312"/>
        <v>99.000000000000014</v>
      </c>
      <c r="FE71" s="173">
        <f t="shared" si="313"/>
        <v>0.88711962785362997</v>
      </c>
      <c r="FF71" s="5">
        <f t="shared" si="314"/>
        <v>88.711962785362999</v>
      </c>
      <c r="FI71" s="562">
        <f t="shared" si="280"/>
        <v>-50</v>
      </c>
      <c r="FJ71">
        <f t="shared" si="281"/>
        <v>-50</v>
      </c>
      <c r="FL71">
        <f t="shared" si="282"/>
        <v>0.82379862700228834</v>
      </c>
    </row>
    <row r="72" spans="5:168">
      <c r="E72" s="170">
        <v>67</v>
      </c>
      <c r="F72" s="217">
        <f t="shared" si="283"/>
        <v>6.7</v>
      </c>
      <c r="G72" s="217"/>
      <c r="H72" s="217">
        <f t="shared" si="183"/>
        <v>100.5</v>
      </c>
      <c r="I72" s="541">
        <f t="shared" si="184"/>
        <v>71.591693580526083</v>
      </c>
      <c r="J72" s="172">
        <f t="shared" si="185"/>
        <v>15.64498385168435</v>
      </c>
      <c r="K72" s="172">
        <f t="shared" si="186"/>
        <v>87.644983851684344</v>
      </c>
      <c r="L72" s="443"/>
      <c r="M72" s="217">
        <f t="shared" si="187"/>
        <v>0.17933018606247597</v>
      </c>
      <c r="N72" s="172">
        <f t="shared" si="188"/>
        <v>322.11926291381684</v>
      </c>
      <c r="O72" s="172">
        <f t="shared" si="284"/>
        <v>100.5</v>
      </c>
      <c r="P72" s="217">
        <f t="shared" si="189"/>
        <v>21.474617527587789</v>
      </c>
      <c r="Q72" s="217">
        <f t="shared" si="190"/>
        <v>15</v>
      </c>
      <c r="R72" s="217">
        <f t="shared" si="191"/>
        <v>21.397586217205852</v>
      </c>
      <c r="S72" s="172">
        <f t="shared" si="192"/>
        <v>195.68753169836924</v>
      </c>
      <c r="T72" s="172">
        <f t="shared" si="193"/>
        <v>15</v>
      </c>
      <c r="U72" s="217">
        <f t="shared" si="194"/>
        <v>16.328125846017919</v>
      </c>
      <c r="V72" s="217">
        <f t="shared" si="195"/>
        <v>2.7368749131744621</v>
      </c>
      <c r="W72" s="217">
        <f t="shared" si="196"/>
        <v>12.523982895074722</v>
      </c>
      <c r="X72" s="197">
        <f t="shared" si="197"/>
        <v>106.99349965237096</v>
      </c>
      <c r="Y72" s="443">
        <f t="shared" si="198"/>
        <v>64.67946425756837</v>
      </c>
      <c r="AA72" s="217">
        <f t="shared" si="199"/>
        <v>10</v>
      </c>
      <c r="AB72" s="173">
        <f t="shared" si="200"/>
        <v>7.670190083774405</v>
      </c>
      <c r="AC72" s="173">
        <f t="shared" si="201"/>
        <v>4.1033024003096799</v>
      </c>
      <c r="AD72" s="173"/>
      <c r="AE72" s="173">
        <f t="shared" si="202"/>
        <v>7.670190083774405</v>
      </c>
      <c r="AF72" s="545">
        <f t="shared" si="203"/>
        <v>174.7023196771419</v>
      </c>
      <c r="AG72" s="528">
        <f t="shared" si="204"/>
        <v>4.1033024003096799</v>
      </c>
      <c r="AI72" s="173">
        <f t="shared" si="205"/>
        <v>7.0650512014551881</v>
      </c>
      <c r="AJ72" s="173">
        <f t="shared" si="206"/>
        <v>16.328125846017919</v>
      </c>
      <c r="AK72" s="173">
        <f t="shared" si="207"/>
        <v>5.8875006266799401</v>
      </c>
      <c r="AM72" s="545">
        <f t="shared" si="208"/>
        <v>6700</v>
      </c>
      <c r="AN72" s="460">
        <f t="shared" si="209"/>
        <v>64.67946425756837</v>
      </c>
      <c r="AP72">
        <f t="shared" si="210"/>
        <v>6700</v>
      </c>
      <c r="AQ72">
        <f t="shared" si="211"/>
        <v>64.67946425756837</v>
      </c>
      <c r="AS72" s="5">
        <f t="shared" si="285"/>
        <v>15.460857808249184</v>
      </c>
      <c r="AT72" s="5">
        <f t="shared" si="212"/>
        <v>2.7368749131744621</v>
      </c>
      <c r="AU72" s="5">
        <f t="shared" si="286"/>
        <v>12.723982895074721</v>
      </c>
      <c r="AV72" s="5">
        <f t="shared" si="213"/>
        <v>12.523982895074722</v>
      </c>
      <c r="AW72" s="173">
        <f t="shared" si="287"/>
        <v>0.17701960312410317</v>
      </c>
      <c r="AX72" s="173">
        <f t="shared" si="214"/>
        <v>103.46425675080553</v>
      </c>
      <c r="AY72" s="173">
        <f t="shared" si="215"/>
        <v>6.7188637444977077</v>
      </c>
      <c r="AZ72" s="173">
        <f t="shared" si="288"/>
        <v>15.399070540094778</v>
      </c>
      <c r="BA72" s="460">
        <f t="shared" si="216"/>
        <v>122.24707945512598</v>
      </c>
      <c r="BB72" s="5">
        <f t="shared" si="217"/>
        <v>4.9616257332232125</v>
      </c>
      <c r="BC72" s="5"/>
      <c r="BD72" s="173">
        <f t="shared" si="289"/>
        <v>3.9663076077794259</v>
      </c>
      <c r="BE72" s="173">
        <f t="shared" si="218"/>
        <v>8.5520544417664439</v>
      </c>
      <c r="BF72" s="173"/>
      <c r="BG72" s="528">
        <f t="shared" si="219"/>
        <v>0.31463192079057906</v>
      </c>
      <c r="BH72" s="528">
        <f t="shared" si="220"/>
        <v>1.7355258645549014</v>
      </c>
      <c r="BI72" s="528">
        <f t="shared" si="221"/>
        <v>0.11576280965201059</v>
      </c>
      <c r="BJ72" s="528">
        <f t="shared" si="222"/>
        <v>4.9684456642913093E-2</v>
      </c>
      <c r="BK72">
        <f t="shared" si="223"/>
        <v>3.2216262111236738E-2</v>
      </c>
      <c r="BL72" s="460">
        <f t="shared" si="290"/>
        <v>147.9790717632473</v>
      </c>
      <c r="BM72" s="528">
        <f t="shared" si="224"/>
        <v>2.3613167402923803</v>
      </c>
      <c r="BN72" s="460">
        <f t="shared" si="291"/>
        <v>2361.3167402923805</v>
      </c>
      <c r="BO72" s="528">
        <f t="shared" si="225"/>
        <v>4.162374999999999</v>
      </c>
      <c r="BP72" s="528"/>
      <c r="BR72" s="460">
        <f t="shared" si="292"/>
        <v>4162.3749999999991</v>
      </c>
      <c r="BS72" s="528">
        <f t="shared" si="226"/>
        <v>0.47194788118586856</v>
      </c>
      <c r="BT72" s="528">
        <f t="shared" si="227"/>
        <v>2.1941290552481147</v>
      </c>
      <c r="BU72" s="528">
        <f t="shared" si="228"/>
        <v>1.5074999999999998</v>
      </c>
      <c r="BV72" s="528">
        <f t="shared" si="229"/>
        <v>6.118406878496403</v>
      </c>
      <c r="BW72" s="528">
        <f t="shared" si="230"/>
        <v>1.7244042791800921E-2</v>
      </c>
      <c r="BX72" s="460">
        <f t="shared" si="293"/>
        <v>6135.6509212882038</v>
      </c>
      <c r="BY72" s="173">
        <f t="shared" si="231"/>
        <v>12.80732173334383</v>
      </c>
      <c r="BZ72" s="5">
        <f t="shared" si="294"/>
        <v>100.5</v>
      </c>
      <c r="CA72" s="173">
        <f t="shared" si="295"/>
        <v>0.88696827762389063</v>
      </c>
      <c r="CB72" s="5">
        <f t="shared" si="296"/>
        <v>88.696827762389063</v>
      </c>
      <c r="CE72" s="562">
        <f t="shared" si="232"/>
        <v>-50</v>
      </c>
      <c r="CF72">
        <f t="shared" si="233"/>
        <v>-50</v>
      </c>
      <c r="CG72" s="173">
        <f t="shared" si="234"/>
        <v>0.8204622411561211</v>
      </c>
      <c r="CI72" s="170">
        <v>67</v>
      </c>
      <c r="CJ72" s="217">
        <f t="shared" si="297"/>
        <v>6.7</v>
      </c>
      <c r="CK72" s="217"/>
      <c r="CL72" s="217">
        <f t="shared" si="235"/>
        <v>100.5</v>
      </c>
      <c r="CM72" s="541">
        <f t="shared" si="236"/>
        <v>72</v>
      </c>
      <c r="CN72" s="172">
        <f t="shared" si="237"/>
        <v>15.4</v>
      </c>
      <c r="CO72" s="443">
        <f t="shared" si="238"/>
        <v>87.4</v>
      </c>
      <c r="CP72" s="443"/>
      <c r="CQ72" s="217">
        <f t="shared" si="239"/>
        <v>0.17620137299771166</v>
      </c>
      <c r="CR72" s="172">
        <f t="shared" si="240"/>
        <v>318.30425629290613</v>
      </c>
      <c r="CS72" s="172">
        <f t="shared" si="298"/>
        <v>100.5</v>
      </c>
      <c r="CT72" s="217">
        <f t="shared" si="241"/>
        <v>21.220283752860407</v>
      </c>
      <c r="CU72" s="217">
        <f t="shared" si="242"/>
        <v>15</v>
      </c>
      <c r="CV72" s="217">
        <f t="shared" si="243"/>
        <v>21.144164759725399</v>
      </c>
      <c r="CW72" s="172">
        <f t="shared" si="244"/>
        <v>196.80275899939423</v>
      </c>
      <c r="CX72" s="172">
        <f t="shared" si="245"/>
        <v>15</v>
      </c>
      <c r="CY72" s="217">
        <f t="shared" si="246"/>
        <v>15.84361471861472</v>
      </c>
      <c r="CZ72" s="217">
        <f t="shared" si="247"/>
        <v>2.6406024531024537</v>
      </c>
      <c r="DA72" s="217">
        <f t="shared" si="248"/>
        <v>12.345673806712771</v>
      </c>
      <c r="DB72" s="197">
        <f t="shared" si="249"/>
        <v>105.72082379862701</v>
      </c>
      <c r="DC72" s="443">
        <f t="shared" si="299"/>
        <v>66.727716923345284</v>
      </c>
      <c r="DE72" s="217">
        <f t="shared" si="250"/>
        <v>9.9999999999999982</v>
      </c>
      <c r="DF72" s="173">
        <f t="shared" si="251"/>
        <v>7.7922077922077895</v>
      </c>
      <c r="DG72" s="173">
        <f t="shared" si="252"/>
        <v>4.118993135011439</v>
      </c>
      <c r="DH72" s="173"/>
      <c r="DI72" s="173">
        <f t="shared" si="253"/>
        <v>7.7922077922077913</v>
      </c>
      <c r="DJ72" s="545">
        <f t="shared" si="300"/>
        <v>171.9666666666667</v>
      </c>
      <c r="DK72" s="528">
        <f t="shared" si="254"/>
        <v>4.1189931350114417</v>
      </c>
      <c r="DM72" s="173">
        <f t="shared" si="255"/>
        <v>7.009517339541528</v>
      </c>
      <c r="DN72" s="173">
        <f t="shared" si="256"/>
        <v>15.84361471861472</v>
      </c>
      <c r="DO72" s="173">
        <f t="shared" si="257"/>
        <v>5.528603495270163</v>
      </c>
      <c r="DQ72" s="545">
        <f t="shared" si="258"/>
        <v>6700</v>
      </c>
      <c r="DR72" s="460">
        <f t="shared" si="259"/>
        <v>66.727716923345284</v>
      </c>
      <c r="DT72">
        <f t="shared" si="260"/>
        <v>6700</v>
      </c>
      <c r="DU72">
        <f t="shared" si="261"/>
        <v>66.727716923345284</v>
      </c>
      <c r="DW72" s="5">
        <f t="shared" si="301"/>
        <v>14.986276259815225</v>
      </c>
      <c r="DX72" s="5">
        <f t="shared" si="262"/>
        <v>2.6406024531024537</v>
      </c>
      <c r="DY72" s="5">
        <f t="shared" si="302"/>
        <v>12.345673806712771</v>
      </c>
      <c r="DZ72" s="5">
        <f t="shared" si="263"/>
        <v>12.345673806712771</v>
      </c>
      <c r="EA72" s="173">
        <f t="shared" si="303"/>
        <v>0.17620137299771166</v>
      </c>
      <c r="EB72" s="173">
        <f t="shared" si="264"/>
        <v>100.5</v>
      </c>
      <c r="EC72" s="173">
        <f t="shared" si="265"/>
        <v>6.5259740259740271</v>
      </c>
      <c r="ED72" s="173">
        <f t="shared" si="304"/>
        <v>15.399999999999997</v>
      </c>
      <c r="EE72" s="460">
        <f t="shared" si="266"/>
        <v>117.9469095719096</v>
      </c>
      <c r="EF72" s="5">
        <f t="shared" si="267"/>
        <v>4.7868063949638637</v>
      </c>
      <c r="EG72" s="5"/>
      <c r="EH72" s="173">
        <f t="shared" si="305"/>
        <v>3.8397088036059062</v>
      </c>
      <c r="EI72" s="173">
        <f t="shared" si="268"/>
        <v>8.3024100168252133</v>
      </c>
      <c r="EJ72" s="173"/>
      <c r="EK72" s="528">
        <f t="shared" si="269"/>
        <v>0.29486727392977402</v>
      </c>
      <c r="EL72" s="528">
        <f t="shared" si="270"/>
        <v>1.8480000000000001</v>
      </c>
      <c r="EM72" s="528">
        <f t="shared" si="271"/>
        <v>8.3409646154181602E-3</v>
      </c>
      <c r="EN72" s="528">
        <f t="shared" si="272"/>
        <v>5.0971701492537311E-2</v>
      </c>
      <c r="EO72">
        <f t="shared" si="273"/>
        <v>3.2399999999999998E-2</v>
      </c>
      <c r="EP72" s="460">
        <f t="shared" si="306"/>
        <v>40.740964615418157</v>
      </c>
      <c r="EQ72" s="528">
        <f t="shared" si="274"/>
        <v>2.4885425504801644</v>
      </c>
      <c r="ER72" s="460">
        <f t="shared" si="307"/>
        <v>2488.5425504801642</v>
      </c>
      <c r="ES72" s="528">
        <f t="shared" si="308"/>
        <v>4.162374999999999</v>
      </c>
      <c r="ET72" s="528"/>
      <c r="EV72" s="460">
        <f t="shared" si="309"/>
        <v>4162.3749999999991</v>
      </c>
      <c r="EW72" s="528">
        <f t="shared" si="275"/>
        <v>0.442300910894661</v>
      </c>
      <c r="EX72" s="528">
        <f t="shared" si="276"/>
        <v>2.067900362624389</v>
      </c>
      <c r="EY72" s="528">
        <f t="shared" si="277"/>
        <v>1.8170687138586963</v>
      </c>
      <c r="EZ72" s="528">
        <f t="shared" si="278"/>
        <v>6.1684404611108752</v>
      </c>
      <c r="FA72" s="528">
        <f t="shared" si="279"/>
        <v>1.6750000000000001E-2</v>
      </c>
      <c r="FB72" s="460">
        <f t="shared" si="310"/>
        <v>6185.1904611108748</v>
      </c>
      <c r="FC72" s="173">
        <f t="shared" si="311"/>
        <v>12.836108011591039</v>
      </c>
      <c r="FD72" s="5">
        <f t="shared" si="312"/>
        <v>100.5</v>
      </c>
      <c r="FE72" s="173">
        <f t="shared" si="313"/>
        <v>0.88674299623666031</v>
      </c>
      <c r="FF72" s="5">
        <f t="shared" si="314"/>
        <v>88.67429962366603</v>
      </c>
      <c r="FI72" s="562">
        <f t="shared" si="280"/>
        <v>-50</v>
      </c>
      <c r="FJ72">
        <f t="shared" si="281"/>
        <v>-50</v>
      </c>
      <c r="FL72">
        <f t="shared" si="282"/>
        <v>0.82379862700228834</v>
      </c>
    </row>
    <row r="73" spans="5:168">
      <c r="E73" s="170">
        <v>68</v>
      </c>
      <c r="F73" s="217">
        <f t="shared" si="283"/>
        <v>6.8000000000000007</v>
      </c>
      <c r="G73" s="217"/>
      <c r="H73" s="217">
        <f t="shared" si="183"/>
        <v>102.00000000000001</v>
      </c>
      <c r="I73" s="541">
        <f t="shared" si="184"/>
        <v>71.585624234965223</v>
      </c>
      <c r="J73" s="172">
        <f t="shared" si="185"/>
        <v>15.648625459020865</v>
      </c>
      <c r="K73" s="172">
        <f t="shared" si="186"/>
        <v>87.648625459020863</v>
      </c>
      <c r="L73" s="443"/>
      <c r="M73" s="217">
        <f t="shared" si="187"/>
        <v>0.17937692308558062</v>
      </c>
      <c r="N73" s="172">
        <f t="shared" si="188"/>
        <v>322.17589812183439</v>
      </c>
      <c r="O73" s="172">
        <f t="shared" si="284"/>
        <v>102.00000000000001</v>
      </c>
      <c r="P73" s="217">
        <f t="shared" si="189"/>
        <v>21.478393208122291</v>
      </c>
      <c r="Q73" s="217">
        <f t="shared" si="190"/>
        <v>15</v>
      </c>
      <c r="R73" s="217">
        <f t="shared" si="191"/>
        <v>21.40134835404772</v>
      </c>
      <c r="S73" s="172">
        <f t="shared" si="192"/>
        <v>191.74584132569294</v>
      </c>
      <c r="T73" s="172">
        <f t="shared" si="193"/>
        <v>15</v>
      </c>
      <c r="U73" s="217">
        <f t="shared" si="194"/>
        <v>16.572773033798448</v>
      </c>
      <c r="V73" s="217">
        <f t="shared" si="195"/>
        <v>2.7781175135502121</v>
      </c>
      <c r="W73" s="217">
        <f t="shared" si="196"/>
        <v>12.708673801821881</v>
      </c>
      <c r="X73" s="197">
        <f t="shared" si="197"/>
        <v>107.01230936939415</v>
      </c>
      <c r="Y73" s="443">
        <f t="shared" si="198"/>
        <v>63.747899739066554</v>
      </c>
      <c r="AA73" s="217">
        <f t="shared" si="199"/>
        <v>10</v>
      </c>
      <c r="AB73" s="173">
        <f t="shared" si="200"/>
        <v>7.6684051461417244</v>
      </c>
      <c r="AC73" s="173">
        <f t="shared" si="201"/>
        <v>4.1030687193438613</v>
      </c>
      <c r="AD73" s="173"/>
      <c r="AE73" s="173">
        <f t="shared" si="202"/>
        <v>7.6684051461417244</v>
      </c>
      <c r="AF73" s="545">
        <f t="shared" si="203"/>
        <v>177.35108853556977</v>
      </c>
      <c r="AG73" s="528">
        <f t="shared" si="204"/>
        <v>4.1030687193438622</v>
      </c>
      <c r="AI73" s="173">
        <f t="shared" si="205"/>
        <v>7.1184085006124347</v>
      </c>
      <c r="AJ73" s="173">
        <f t="shared" si="206"/>
        <v>16.572773033798448</v>
      </c>
      <c r="AK73" s="173">
        <f t="shared" si="207"/>
        <v>6.0687207657766287</v>
      </c>
      <c r="AM73" s="545">
        <f t="shared" si="208"/>
        <v>6800.0000000000009</v>
      </c>
      <c r="AN73" s="460">
        <f t="shared" si="209"/>
        <v>63.747899739066554</v>
      </c>
      <c r="AP73">
        <f t="shared" si="210"/>
        <v>6800.0000000000009</v>
      </c>
      <c r="AQ73">
        <f t="shared" si="211"/>
        <v>63.747899739066554</v>
      </c>
      <c r="AS73" s="5">
        <f t="shared" si="285"/>
        <v>15.686791315372092</v>
      </c>
      <c r="AT73" s="5">
        <f t="shared" si="212"/>
        <v>2.7781175135502121</v>
      </c>
      <c r="AU73" s="5">
        <f t="shared" si="286"/>
        <v>12.90867380182188</v>
      </c>
      <c r="AV73" s="5">
        <f t="shared" si="213"/>
        <v>12.708673801821881</v>
      </c>
      <c r="AW73" s="173">
        <f t="shared" si="287"/>
        <v>0.17709915671714377</v>
      </c>
      <c r="AX73" s="173">
        <f t="shared" si="214"/>
        <v>105.0527672006385</v>
      </c>
      <c r="AY73" s="173">
        <f t="shared" si="215"/>
        <v>6.818874452524061</v>
      </c>
      <c r="AZ73" s="173">
        <f t="shared" si="288"/>
        <v>15.406174132118297</v>
      </c>
      <c r="BA73" s="460">
        <f t="shared" si="216"/>
        <v>125.94132728094296</v>
      </c>
      <c r="BB73" s="5">
        <f t="shared" si="217"/>
        <v>5.1092067943390527</v>
      </c>
      <c r="BC73" s="5"/>
      <c r="BD73" s="173">
        <f t="shared" si="289"/>
        <v>4.0266399861630369</v>
      </c>
      <c r="BE73" s="173">
        <f t="shared" si="218"/>
        <v>8.6797718344684593</v>
      </c>
      <c r="BF73" s="173"/>
      <c r="BG73" s="528">
        <f t="shared" si="219"/>
        <v>0.32427659156334121</v>
      </c>
      <c r="BH73" s="528">
        <f t="shared" si="220"/>
        <v>1.7362307568836446</v>
      </c>
      <c r="BI73" s="528">
        <f t="shared" si="221"/>
        <v>0.11408582991222641</v>
      </c>
      <c r="BJ73" s="528">
        <f t="shared" si="222"/>
        <v>4.897293136887438E-2</v>
      </c>
      <c r="BK73">
        <f t="shared" si="223"/>
        <v>3.2213530905734353E-2</v>
      </c>
      <c r="BL73" s="460">
        <f t="shared" si="290"/>
        <v>146.29936081796075</v>
      </c>
      <c r="BM73" s="528">
        <f t="shared" si="224"/>
        <v>2.3804436642429447</v>
      </c>
      <c r="BN73" s="460">
        <f t="shared" si="291"/>
        <v>2380.4436642429446</v>
      </c>
      <c r="BO73" s="528">
        <f t="shared" si="225"/>
        <v>4.2244999999999999</v>
      </c>
      <c r="BP73" s="528"/>
      <c r="BR73" s="460">
        <f t="shared" si="292"/>
        <v>4224.5</v>
      </c>
      <c r="BS73" s="528">
        <f t="shared" si="226"/>
        <v>0.48641488734501181</v>
      </c>
      <c r="BT73" s="528">
        <f t="shared" si="227"/>
        <v>2.2601531729529589</v>
      </c>
      <c r="BU73" s="528">
        <f t="shared" si="228"/>
        <v>1.5300000000000002</v>
      </c>
      <c r="BV73" s="528">
        <f t="shared" si="229"/>
        <v>6.3256508392166433</v>
      </c>
      <c r="BW73" s="528">
        <f t="shared" si="230"/>
        <v>1.7508794533439752E-2</v>
      </c>
      <c r="BX73" s="460">
        <f t="shared" si="293"/>
        <v>6343.1596337500823</v>
      </c>
      <c r="BY73" s="173">
        <f t="shared" si="231"/>
        <v>13.094402658810989</v>
      </c>
      <c r="BZ73" s="5">
        <f t="shared" si="294"/>
        <v>102.00000000000001</v>
      </c>
      <c r="CA73" s="173">
        <f t="shared" si="295"/>
        <v>0.88622902281678806</v>
      </c>
      <c r="CB73" s="5">
        <f t="shared" si="296"/>
        <v>88.622902281678805</v>
      </c>
      <c r="CE73" s="562">
        <f t="shared" si="232"/>
        <v>-50</v>
      </c>
      <c r="CF73">
        <f t="shared" si="233"/>
        <v>-50</v>
      </c>
      <c r="CG73" s="173">
        <f t="shared" si="234"/>
        <v>0.82051130565385888</v>
      </c>
      <c r="CI73" s="170">
        <v>68</v>
      </c>
      <c r="CJ73" s="217">
        <f t="shared" si="297"/>
        <v>6.8000000000000007</v>
      </c>
      <c r="CK73" s="217"/>
      <c r="CL73" s="217">
        <f t="shared" si="235"/>
        <v>102.00000000000001</v>
      </c>
      <c r="CM73" s="541">
        <f t="shared" si="236"/>
        <v>72</v>
      </c>
      <c r="CN73" s="172">
        <f t="shared" si="237"/>
        <v>15.4</v>
      </c>
      <c r="CO73" s="443">
        <f t="shared" si="238"/>
        <v>87.4</v>
      </c>
      <c r="CP73" s="443"/>
      <c r="CQ73" s="217">
        <f t="shared" si="239"/>
        <v>0.17620137299771166</v>
      </c>
      <c r="CR73" s="172">
        <f t="shared" si="240"/>
        <v>318.30425629290613</v>
      </c>
      <c r="CS73" s="172">
        <f t="shared" si="298"/>
        <v>102.00000000000001</v>
      </c>
      <c r="CT73" s="217">
        <f t="shared" si="241"/>
        <v>21.220283752860407</v>
      </c>
      <c r="CU73" s="217">
        <f t="shared" si="242"/>
        <v>15</v>
      </c>
      <c r="CV73" s="217">
        <f t="shared" si="243"/>
        <v>21.144164759725399</v>
      </c>
      <c r="CW73" s="172">
        <f t="shared" si="244"/>
        <v>192.85490832206173</v>
      </c>
      <c r="CX73" s="172">
        <f t="shared" si="245"/>
        <v>15</v>
      </c>
      <c r="CY73" s="217">
        <f t="shared" si="246"/>
        <v>16.080086580086583</v>
      </c>
      <c r="CZ73" s="217">
        <f t="shared" si="247"/>
        <v>2.6800144300144306</v>
      </c>
      <c r="DA73" s="217">
        <f t="shared" si="248"/>
        <v>12.529937594872662</v>
      </c>
      <c r="DB73" s="197">
        <f t="shared" si="249"/>
        <v>105.72082379862701</v>
      </c>
      <c r="DC73" s="443">
        <f t="shared" si="299"/>
        <v>65.7464269685902</v>
      </c>
      <c r="DE73" s="217">
        <f t="shared" si="250"/>
        <v>9.9999999999999982</v>
      </c>
      <c r="DF73" s="173">
        <f t="shared" si="251"/>
        <v>7.7922077922077895</v>
      </c>
      <c r="DG73" s="173">
        <f t="shared" si="252"/>
        <v>4.118993135011439</v>
      </c>
      <c r="DH73" s="173"/>
      <c r="DI73" s="173">
        <f t="shared" si="253"/>
        <v>7.7922077922077913</v>
      </c>
      <c r="DJ73" s="545">
        <f t="shared" si="300"/>
        <v>174.53333333333336</v>
      </c>
      <c r="DK73" s="528">
        <f t="shared" si="254"/>
        <v>4.1189931350114417</v>
      </c>
      <c r="DM73" s="173">
        <f t="shared" si="255"/>
        <v>7.0616334276615262</v>
      </c>
      <c r="DN73" s="173">
        <f t="shared" si="256"/>
        <v>16.080086580086583</v>
      </c>
      <c r="DO73" s="173">
        <f t="shared" si="257"/>
        <v>5.7037678371011724</v>
      </c>
      <c r="DQ73" s="545">
        <f t="shared" si="258"/>
        <v>6800.0000000000009</v>
      </c>
      <c r="DR73" s="460">
        <f t="shared" si="259"/>
        <v>65.7464269685902</v>
      </c>
      <c r="DT73">
        <f t="shared" si="260"/>
        <v>6800.0000000000009</v>
      </c>
      <c r="DU73">
        <f t="shared" si="261"/>
        <v>65.7464269685902</v>
      </c>
      <c r="DW73" s="5">
        <f t="shared" si="301"/>
        <v>15.209952024887095</v>
      </c>
      <c r="DX73" s="5">
        <f t="shared" si="262"/>
        <v>2.6800144300144306</v>
      </c>
      <c r="DY73" s="5">
        <f t="shared" si="302"/>
        <v>12.529937594872663</v>
      </c>
      <c r="DZ73" s="5">
        <f t="shared" si="263"/>
        <v>12.529937594872662</v>
      </c>
      <c r="EA73" s="173">
        <f t="shared" si="303"/>
        <v>0.17620137299771166</v>
      </c>
      <c r="EB73" s="173">
        <f t="shared" si="264"/>
        <v>102.00000000000001</v>
      </c>
      <c r="EC73" s="173">
        <f t="shared" si="265"/>
        <v>6.6233766233766245</v>
      </c>
      <c r="ED73" s="173">
        <f t="shared" si="304"/>
        <v>15.4</v>
      </c>
      <c r="EE73" s="460">
        <f t="shared" si="266"/>
        <v>121.49398749398755</v>
      </c>
      <c r="EF73" s="5">
        <f t="shared" si="267"/>
        <v>4.9307624794637812</v>
      </c>
      <c r="EG73" s="5"/>
      <c r="EH73" s="173">
        <f t="shared" si="305"/>
        <v>3.8970178902268899</v>
      </c>
      <c r="EI73" s="173">
        <f t="shared" si="268"/>
        <v>8.4263265842405151</v>
      </c>
      <c r="EJ73" s="173"/>
      <c r="EK73" s="528">
        <f t="shared" si="269"/>
        <v>0.3037349687349688</v>
      </c>
      <c r="EL73" s="528">
        <f t="shared" si="270"/>
        <v>1.8479999999999996</v>
      </c>
      <c r="EM73" s="528">
        <f t="shared" si="271"/>
        <v>8.2183033710737739E-3</v>
      </c>
      <c r="EN73" s="528">
        <f t="shared" si="272"/>
        <v>5.022211764705882E-2</v>
      </c>
      <c r="EO73">
        <f t="shared" si="273"/>
        <v>3.2399999999999998E-2</v>
      </c>
      <c r="EP73" s="460">
        <f t="shared" si="306"/>
        <v>40.618303371073772</v>
      </c>
      <c r="EQ73" s="528">
        <f t="shared" si="274"/>
        <v>2.505391492920336</v>
      </c>
      <c r="ER73" s="460">
        <f t="shared" si="307"/>
        <v>2505.3914929203361</v>
      </c>
      <c r="ES73" s="528">
        <f t="shared" si="308"/>
        <v>4.2244999999999999</v>
      </c>
      <c r="ET73" s="528"/>
      <c r="EV73" s="460">
        <f t="shared" si="309"/>
        <v>4224.5</v>
      </c>
      <c r="EW73" s="528">
        <f t="shared" si="275"/>
        <v>0.45560245310245318</v>
      </c>
      <c r="EX73" s="528">
        <f t="shared" si="276"/>
        <v>2.1300893911283527</v>
      </c>
      <c r="EY73" s="528">
        <f t="shared" si="277"/>
        <v>1.8170687138587007</v>
      </c>
      <c r="EZ73" s="528">
        <f t="shared" si="278"/>
        <v>6.3334305855999098</v>
      </c>
      <c r="FA73" s="528">
        <f t="shared" si="279"/>
        <v>1.7000000000000005E-2</v>
      </c>
      <c r="FB73" s="460">
        <f t="shared" si="310"/>
        <v>6350.43058559991</v>
      </c>
      <c r="FC73" s="173">
        <f t="shared" si="311"/>
        <v>13.080322078520245</v>
      </c>
      <c r="FD73" s="5">
        <f t="shared" si="312"/>
        <v>102.00000000000001</v>
      </c>
      <c r="FE73" s="173">
        <f t="shared" si="313"/>
        <v>0.88633745681042297</v>
      </c>
      <c r="FF73" s="5">
        <f t="shared" si="314"/>
        <v>88.633745681042299</v>
      </c>
      <c r="FI73" s="562">
        <f t="shared" si="280"/>
        <v>-50</v>
      </c>
      <c r="FJ73">
        <f t="shared" si="281"/>
        <v>-50</v>
      </c>
      <c r="FL73">
        <f t="shared" si="282"/>
        <v>0.82379862700228834</v>
      </c>
    </row>
    <row r="74" spans="5:168">
      <c r="E74" s="170">
        <v>69</v>
      </c>
      <c r="F74" s="217">
        <f t="shared" si="283"/>
        <v>6.8999999999999995</v>
      </c>
      <c r="G74" s="217"/>
      <c r="H74" s="217">
        <f t="shared" si="183"/>
        <v>103.49999999999999</v>
      </c>
      <c r="I74" s="541">
        <f t="shared" si="184"/>
        <v>71.579554886526864</v>
      </c>
      <c r="J74" s="172">
        <f t="shared" si="185"/>
        <v>15.652267068083885</v>
      </c>
      <c r="K74" s="172">
        <f t="shared" si="186"/>
        <v>87.652267068083887</v>
      </c>
      <c r="L74" s="443"/>
      <c r="M74" s="217">
        <f t="shared" si="187"/>
        <v>0.17942366271603474</v>
      </c>
      <c r="N74" s="172">
        <f t="shared" si="188"/>
        <v>322.23252376530149</v>
      </c>
      <c r="O74" s="172">
        <f t="shared" si="284"/>
        <v>103.49999999999999</v>
      </c>
      <c r="P74" s="217">
        <f t="shared" si="189"/>
        <v>21.482168251020099</v>
      </c>
      <c r="Q74" s="217">
        <f t="shared" si="190"/>
        <v>15</v>
      </c>
      <c r="R74" s="217">
        <f t="shared" si="191"/>
        <v>21.405109855540157</v>
      </c>
      <c r="S74" s="172">
        <f t="shared" si="192"/>
        <v>187.91869765886523</v>
      </c>
      <c r="T74" s="172">
        <f t="shared" si="193"/>
        <v>15</v>
      </c>
      <c r="U74" s="217">
        <f t="shared" si="194"/>
        <v>16.817448143431449</v>
      </c>
      <c r="V74" s="217">
        <f t="shared" si="195"/>
        <v>2.8193717890688248</v>
      </c>
      <c r="W74" s="217">
        <f t="shared" si="196"/>
        <v>12.893300174559469</v>
      </c>
      <c r="X74" s="197">
        <f t="shared" si="197"/>
        <v>107.03111591943426</v>
      </c>
      <c r="Y74" s="443">
        <f t="shared" si="198"/>
        <v>62.842997221692691</v>
      </c>
      <c r="AA74" s="217">
        <f t="shared" si="199"/>
        <v>10</v>
      </c>
      <c r="AB74" s="173">
        <f t="shared" si="200"/>
        <v>7.6666210382193611</v>
      </c>
      <c r="AC74" s="173">
        <f t="shared" si="201"/>
        <v>4.1028350252601493</v>
      </c>
      <c r="AD74" s="173"/>
      <c r="AE74" s="173">
        <f t="shared" si="202"/>
        <v>7.6666210382193611</v>
      </c>
      <c r="AF74" s="545">
        <f t="shared" si="203"/>
        <v>180.00107128296466</v>
      </c>
      <c r="AG74" s="528">
        <f t="shared" si="204"/>
        <v>4.1028350252601493</v>
      </c>
      <c r="AI74" s="173">
        <f t="shared" si="205"/>
        <v>7.1713929964420773</v>
      </c>
      <c r="AJ74" s="173">
        <f t="shared" si="206"/>
        <v>16.817448143431449</v>
      </c>
      <c r="AK74" s="173">
        <f t="shared" si="207"/>
        <v>6.2499615877269994</v>
      </c>
      <c r="AM74" s="545">
        <f t="shared" si="208"/>
        <v>6899.9999999999991</v>
      </c>
      <c r="AN74" s="460">
        <f t="shared" si="209"/>
        <v>62.842997221692691</v>
      </c>
      <c r="AP74">
        <f t="shared" si="210"/>
        <v>6899.9999999999991</v>
      </c>
      <c r="AQ74">
        <f t="shared" si="211"/>
        <v>62.842997221692691</v>
      </c>
      <c r="AS74" s="5">
        <f t="shared" si="285"/>
        <v>15.912671963628291</v>
      </c>
      <c r="AT74" s="5">
        <f t="shared" si="212"/>
        <v>2.8193717890688248</v>
      </c>
      <c r="AU74" s="5">
        <f t="shared" si="286"/>
        <v>13.093300174559467</v>
      </c>
      <c r="AV74" s="5">
        <f t="shared" si="213"/>
        <v>12.893300174559469</v>
      </c>
      <c r="AW74" s="173">
        <f t="shared" si="287"/>
        <v>0.17717777350737093</v>
      </c>
      <c r="AX74" s="173">
        <f t="shared" si="214"/>
        <v>106.64201312141591</v>
      </c>
      <c r="AY74" s="173">
        <f t="shared" si="215"/>
        <v>6.9188850626512979</v>
      </c>
      <c r="AZ74" s="173">
        <f t="shared" si="288"/>
        <v>15.413178880088374</v>
      </c>
      <c r="BA74" s="460">
        <f t="shared" si="216"/>
        <v>129.69110229716594</v>
      </c>
      <c r="BB74" s="5">
        <f t="shared" si="217"/>
        <v>5.2589371450455751</v>
      </c>
      <c r="BC74" s="5"/>
      <c r="BD74" s="173">
        <f t="shared" si="289"/>
        <v>4.0869948435659733</v>
      </c>
      <c r="BE74" s="173">
        <f t="shared" si="218"/>
        <v>8.8074964566744942</v>
      </c>
      <c r="BF74" s="173"/>
      <c r="BG74" s="528">
        <f t="shared" si="219"/>
        <v>0.33407053702669709</v>
      </c>
      <c r="BH74" s="528">
        <f t="shared" si="220"/>
        <v>1.7369263857458659</v>
      </c>
      <c r="BI74" s="528">
        <f t="shared" si="221"/>
        <v>0.11245684422160017</v>
      </c>
      <c r="BJ74" s="528">
        <f t="shared" si="222"/>
        <v>4.8281771532371232E-2</v>
      </c>
      <c r="BK74">
        <f t="shared" si="223"/>
        <v>3.2210799698937087E-2</v>
      </c>
      <c r="BL74" s="460">
        <f t="shared" si="290"/>
        <v>144.66764392053727</v>
      </c>
      <c r="BM74" s="528">
        <f t="shared" si="224"/>
        <v>2.3999762360705534</v>
      </c>
      <c r="BN74" s="460">
        <f t="shared" si="291"/>
        <v>2399.9762360705536</v>
      </c>
      <c r="BO74" s="528">
        <f t="shared" si="225"/>
        <v>4.286624999999999</v>
      </c>
      <c r="BP74" s="528"/>
      <c r="BR74" s="460">
        <f t="shared" si="292"/>
        <v>4286.6249999999991</v>
      </c>
      <c r="BS74" s="528">
        <f t="shared" si="226"/>
        <v>0.50110580554004558</v>
      </c>
      <c r="BT74" s="528">
        <f t="shared" si="227"/>
        <v>2.3271598150300128</v>
      </c>
      <c r="BU74" s="528">
        <f t="shared" si="228"/>
        <v>1.5524999999999998</v>
      </c>
      <c r="BV74" s="528">
        <f t="shared" si="229"/>
        <v>6.5390926423026476</v>
      </c>
      <c r="BW74" s="528">
        <f t="shared" si="230"/>
        <v>1.7773668853569319E-2</v>
      </c>
      <c r="BX74" s="460">
        <f t="shared" si="293"/>
        <v>6556.8663111562164</v>
      </c>
      <c r="BY74" s="173">
        <f t="shared" si="231"/>
        <v>13.388135191147308</v>
      </c>
      <c r="BZ74" s="5">
        <f t="shared" si="294"/>
        <v>103.49999999999999</v>
      </c>
      <c r="CA74" s="173">
        <f t="shared" si="295"/>
        <v>0.88546198320938496</v>
      </c>
      <c r="CB74" s="5">
        <f t="shared" si="296"/>
        <v>88.546198320938501</v>
      </c>
      <c r="CE74" s="562">
        <f t="shared" si="232"/>
        <v>-50</v>
      </c>
      <c r="CF74">
        <f t="shared" si="233"/>
        <v>-50</v>
      </c>
      <c r="CG74" s="173">
        <f t="shared" si="234"/>
        <v>0.82055894799224183</v>
      </c>
      <c r="CI74" s="170">
        <v>69</v>
      </c>
      <c r="CJ74" s="217">
        <f t="shared" si="297"/>
        <v>6.8999999999999995</v>
      </c>
      <c r="CK74" s="217"/>
      <c r="CL74" s="217">
        <f t="shared" si="235"/>
        <v>103.49999999999999</v>
      </c>
      <c r="CM74" s="541">
        <f t="shared" si="236"/>
        <v>72</v>
      </c>
      <c r="CN74" s="172">
        <f t="shared" si="237"/>
        <v>15.4</v>
      </c>
      <c r="CO74" s="443">
        <f t="shared" si="238"/>
        <v>87.4</v>
      </c>
      <c r="CP74" s="443"/>
      <c r="CQ74" s="217">
        <f t="shared" si="239"/>
        <v>0.17620137299771166</v>
      </c>
      <c r="CR74" s="172">
        <f t="shared" si="240"/>
        <v>318.30425629290613</v>
      </c>
      <c r="CS74" s="172">
        <f t="shared" si="298"/>
        <v>103.49999999999999</v>
      </c>
      <c r="CT74" s="217">
        <f t="shared" si="241"/>
        <v>21.220283752860407</v>
      </c>
      <c r="CU74" s="217">
        <f t="shared" si="242"/>
        <v>15</v>
      </c>
      <c r="CV74" s="217">
        <f t="shared" si="243"/>
        <v>21.144164759725399</v>
      </c>
      <c r="CW74" s="172">
        <f t="shared" si="244"/>
        <v>189.02160700636753</v>
      </c>
      <c r="CX74" s="172">
        <f t="shared" si="245"/>
        <v>15</v>
      </c>
      <c r="CY74" s="217">
        <f t="shared" si="246"/>
        <v>16.316558441558442</v>
      </c>
      <c r="CZ74" s="217">
        <f t="shared" si="247"/>
        <v>2.7194264069264071</v>
      </c>
      <c r="DA74" s="217">
        <f t="shared" si="248"/>
        <v>12.714201383032551</v>
      </c>
      <c r="DB74" s="197">
        <f t="shared" si="249"/>
        <v>105.72082379862701</v>
      </c>
      <c r="DC74" s="443">
        <f t="shared" si="299"/>
        <v>64.793580200929497</v>
      </c>
      <c r="DE74" s="217">
        <f t="shared" si="250"/>
        <v>9.9999999999999982</v>
      </c>
      <c r="DF74" s="173">
        <f t="shared" si="251"/>
        <v>7.7922077922077895</v>
      </c>
      <c r="DG74" s="173">
        <f t="shared" si="252"/>
        <v>4.118993135011439</v>
      </c>
      <c r="DH74" s="173"/>
      <c r="DI74" s="173">
        <f t="shared" si="253"/>
        <v>7.7922077922077913</v>
      </c>
      <c r="DJ74" s="545">
        <f t="shared" si="300"/>
        <v>177.1</v>
      </c>
      <c r="DK74" s="528">
        <f t="shared" si="254"/>
        <v>4.1189931350114417</v>
      </c>
      <c r="DM74" s="173">
        <f t="shared" si="255"/>
        <v>7.1133676975114959</v>
      </c>
      <c r="DN74" s="173">
        <f t="shared" si="256"/>
        <v>16.316558441558442</v>
      </c>
      <c r="DO74" s="173">
        <f t="shared" si="257"/>
        <v>5.8789321789321791</v>
      </c>
      <c r="DQ74" s="545">
        <f t="shared" si="258"/>
        <v>6899.9999999999991</v>
      </c>
      <c r="DR74" s="460">
        <f t="shared" si="259"/>
        <v>64.793580200929497</v>
      </c>
      <c r="DT74">
        <f t="shared" si="260"/>
        <v>6899.9999999999991</v>
      </c>
      <c r="DU74">
        <f t="shared" si="261"/>
        <v>64.793580200929497</v>
      </c>
      <c r="DW74" s="5">
        <f t="shared" si="301"/>
        <v>15.433627789958958</v>
      </c>
      <c r="DX74" s="5">
        <f t="shared" si="262"/>
        <v>2.7194264069264071</v>
      </c>
      <c r="DY74" s="5">
        <f t="shared" si="302"/>
        <v>12.714201383032551</v>
      </c>
      <c r="DZ74" s="5">
        <f t="shared" si="263"/>
        <v>12.714201383032551</v>
      </c>
      <c r="EA74" s="173">
        <f t="shared" si="303"/>
        <v>0.17620137299771169</v>
      </c>
      <c r="EB74" s="173">
        <f t="shared" si="264"/>
        <v>103.50000000000003</v>
      </c>
      <c r="EC74" s="173">
        <f t="shared" si="265"/>
        <v>6.720779220779221</v>
      </c>
      <c r="ED74" s="173">
        <f t="shared" si="304"/>
        <v>15.400000000000004</v>
      </c>
      <c r="EE74" s="460">
        <f t="shared" si="266"/>
        <v>125.09361471861472</v>
      </c>
      <c r="EF74" s="5">
        <f t="shared" si="267"/>
        <v>5.076851246697025</v>
      </c>
      <c r="EG74" s="5"/>
      <c r="EH74" s="173">
        <f t="shared" si="305"/>
        <v>3.9543269768478733</v>
      </c>
      <c r="EI74" s="173">
        <f t="shared" si="268"/>
        <v>8.5502431516558168</v>
      </c>
      <c r="EJ74" s="173"/>
      <c r="EK74" s="528">
        <f t="shared" si="269"/>
        <v>0.31273403679653683</v>
      </c>
      <c r="EL74" s="528">
        <f t="shared" si="270"/>
        <v>1.8480000000000003</v>
      </c>
      <c r="EM74" s="528">
        <f t="shared" si="271"/>
        <v>8.0991975251161873E-3</v>
      </c>
      <c r="EN74" s="528">
        <f t="shared" si="272"/>
        <v>4.9494260869565231E-2</v>
      </c>
      <c r="EO74">
        <f t="shared" si="273"/>
        <v>3.2399999999999998E-2</v>
      </c>
      <c r="EP74" s="460">
        <f t="shared" si="306"/>
        <v>40.499197525116188</v>
      </c>
      <c r="EQ74" s="528">
        <f t="shared" si="274"/>
        <v>2.5226097329150146</v>
      </c>
      <c r="ER74" s="460">
        <f t="shared" si="307"/>
        <v>2522.6097329150148</v>
      </c>
      <c r="ES74" s="528">
        <f t="shared" si="308"/>
        <v>4.286624999999999</v>
      </c>
      <c r="ET74" s="528"/>
      <c r="EV74" s="460">
        <f t="shared" si="309"/>
        <v>4286.6249999999991</v>
      </c>
      <c r="EW74" s="528">
        <f t="shared" si="275"/>
        <v>0.46910105519480522</v>
      </c>
      <c r="EX74" s="528">
        <f t="shared" si="276"/>
        <v>2.1931997385731155</v>
      </c>
      <c r="EY74" s="528">
        <f t="shared" si="277"/>
        <v>1.8170687138586974</v>
      </c>
      <c r="EZ74" s="528">
        <f t="shared" si="278"/>
        <v>6.503453692313184</v>
      </c>
      <c r="FA74" s="528">
        <f t="shared" si="279"/>
        <v>1.7250000000000001E-2</v>
      </c>
      <c r="FB74" s="460">
        <f t="shared" si="310"/>
        <v>6520.7036923131836</v>
      </c>
      <c r="FC74" s="173">
        <f t="shared" si="311"/>
        <v>13.3299384252282</v>
      </c>
      <c r="FD74" s="5">
        <f t="shared" si="312"/>
        <v>103.49999999999999</v>
      </c>
      <c r="FE74" s="173">
        <f t="shared" si="313"/>
        <v>0.88590306042351086</v>
      </c>
      <c r="FF74" s="5">
        <f t="shared" si="314"/>
        <v>88.590306042351088</v>
      </c>
      <c r="FI74" s="562">
        <f t="shared" si="280"/>
        <v>-50</v>
      </c>
      <c r="FJ74">
        <f t="shared" si="281"/>
        <v>-50</v>
      </c>
      <c r="FL74">
        <f t="shared" si="282"/>
        <v>0.82379862700228834</v>
      </c>
    </row>
    <row r="75" spans="5:168">
      <c r="E75" s="170">
        <v>70</v>
      </c>
      <c r="F75" s="217">
        <f t="shared" si="283"/>
        <v>7</v>
      </c>
      <c r="G75" s="217"/>
      <c r="H75" s="217">
        <f t="shared" si="183"/>
        <v>105</v>
      </c>
      <c r="I75" s="541">
        <f t="shared" si="184"/>
        <v>71.573485535334783</v>
      </c>
      <c r="J75" s="172">
        <f t="shared" si="185"/>
        <v>15.655908678799129</v>
      </c>
      <c r="K75" s="172">
        <f t="shared" si="186"/>
        <v>87.655908678799136</v>
      </c>
      <c r="L75" s="443"/>
      <c r="M75" s="217">
        <f t="shared" si="187"/>
        <v>0.17947040495380603</v>
      </c>
      <c r="N75" s="172">
        <f t="shared" si="188"/>
        <v>322.28913984351618</v>
      </c>
      <c r="O75" s="172">
        <f t="shared" si="284"/>
        <v>105</v>
      </c>
      <c r="P75" s="217">
        <f t="shared" si="189"/>
        <v>21.48594265623441</v>
      </c>
      <c r="Q75" s="217">
        <f t="shared" si="190"/>
        <v>15</v>
      </c>
      <c r="R75" s="217">
        <f t="shared" si="191"/>
        <v>21.408870721636521</v>
      </c>
      <c r="S75" s="172">
        <f t="shared" si="192"/>
        <v>184.20119346901558</v>
      </c>
      <c r="T75" s="172">
        <f t="shared" si="193"/>
        <v>15</v>
      </c>
      <c r="U75" s="217">
        <f t="shared" si="194"/>
        <v>17.06215118202023</v>
      </c>
      <c r="V75" s="217">
        <f t="shared" si="195"/>
        <v>2.8606377438913855</v>
      </c>
      <c r="W75" s="217">
        <f t="shared" si="196"/>
        <v>13.07786206376541</v>
      </c>
      <c r="X75" s="197">
        <f t="shared" si="197"/>
        <v>107.04991930183814</v>
      </c>
      <c r="Y75" s="443">
        <f t="shared" si="198"/>
        <v>61.963628089245148</v>
      </c>
      <c r="AA75" s="217">
        <f t="shared" si="199"/>
        <v>10</v>
      </c>
      <c r="AB75" s="173">
        <f t="shared" si="200"/>
        <v>7.6648377594652963</v>
      </c>
      <c r="AC75" s="173">
        <f t="shared" si="201"/>
        <v>4.1026013180622094</v>
      </c>
      <c r="AD75" s="173"/>
      <c r="AE75" s="173">
        <f t="shared" si="202"/>
        <v>7.6648377594652963</v>
      </c>
      <c r="AF75" s="545">
        <f t="shared" si="203"/>
        <v>182.65226791932318</v>
      </c>
      <c r="AG75" s="528">
        <f t="shared" si="204"/>
        <v>4.1026013180622094</v>
      </c>
      <c r="AI75" s="173">
        <f t="shared" si="205"/>
        <v>7.2240128919225883</v>
      </c>
      <c r="AJ75" s="173">
        <f t="shared" si="206"/>
        <v>17.06215118202023</v>
      </c>
      <c r="AK75" s="173">
        <f t="shared" si="207"/>
        <v>6.4312230977927634</v>
      </c>
      <c r="AM75" s="545">
        <f t="shared" si="208"/>
        <v>7000</v>
      </c>
      <c r="AN75" s="460">
        <f t="shared" si="209"/>
        <v>61.963628089245148</v>
      </c>
      <c r="AP75">
        <f t="shared" si="210"/>
        <v>7000</v>
      </c>
      <c r="AQ75">
        <f t="shared" si="211"/>
        <v>61.963628089245148</v>
      </c>
      <c r="AS75" s="5">
        <f t="shared" si="285"/>
        <v>16.138499807656796</v>
      </c>
      <c r="AT75" s="5">
        <f t="shared" si="212"/>
        <v>2.8606377438913855</v>
      </c>
      <c r="AU75" s="5">
        <f t="shared" si="286"/>
        <v>13.277862063765411</v>
      </c>
      <c r="AV75" s="5">
        <f t="shared" si="213"/>
        <v>13.07786206376541</v>
      </c>
      <c r="AW75" s="173">
        <f t="shared" si="287"/>
        <v>0.1772554932605431</v>
      </c>
      <c r="AX75" s="173">
        <f t="shared" si="214"/>
        <v>108.23199421051365</v>
      </c>
      <c r="AY75" s="173">
        <f t="shared" si="215"/>
        <v>7.0188955790826375</v>
      </c>
      <c r="AZ75" s="173">
        <f t="shared" si="288"/>
        <v>15.42008895716603</v>
      </c>
      <c r="BA75" s="460">
        <f t="shared" si="216"/>
        <v>133.49642804826468</v>
      </c>
      <c r="BB75" s="5">
        <f t="shared" si="217"/>
        <v>5.4108162256347638</v>
      </c>
      <c r="BC75" s="5"/>
      <c r="BD75" s="173">
        <f t="shared" si="289"/>
        <v>4.1473721782944093</v>
      </c>
      <c r="BE75" s="173">
        <f t="shared" si="218"/>
        <v>8.9352283127375998</v>
      </c>
      <c r="BF75" s="173"/>
      <c r="BG75" s="528">
        <f t="shared" si="219"/>
        <v>0.34401391970581024</v>
      </c>
      <c r="BH75" s="528">
        <f t="shared" si="220"/>
        <v>1.7376131421368088</v>
      </c>
      <c r="BI75" s="528">
        <f t="shared" si="221"/>
        <v>0.11087382096906129</v>
      </c>
      <c r="BJ75" s="528">
        <f t="shared" si="222"/>
        <v>4.7610115053324631E-2</v>
      </c>
      <c r="BK75">
        <f t="shared" si="223"/>
        <v>3.2208068490900653E-2</v>
      </c>
      <c r="BL75" s="460">
        <f t="shared" si="290"/>
        <v>143.08188945996196</v>
      </c>
      <c r="BM75" s="528">
        <f t="shared" si="224"/>
        <v>2.4199196165794969</v>
      </c>
      <c r="BN75" s="460">
        <f t="shared" si="291"/>
        <v>2419.919616579497</v>
      </c>
      <c r="BO75" s="528">
        <f t="shared" si="225"/>
        <v>4.348749999999999</v>
      </c>
      <c r="BP75" s="528"/>
      <c r="BR75" s="460">
        <f t="shared" si="292"/>
        <v>4348.7499999999991</v>
      </c>
      <c r="BS75" s="528">
        <f t="shared" si="226"/>
        <v>0.51602087955871534</v>
      </c>
      <c r="BT75" s="528">
        <f t="shared" si="227"/>
        <v>2.3951491500224282</v>
      </c>
      <c r="BU75" s="528">
        <f t="shared" si="228"/>
        <v>1.575</v>
      </c>
      <c r="BV75" s="528">
        <f t="shared" si="229"/>
        <v>6.7589722268979484</v>
      </c>
      <c r="BW75" s="528">
        <f t="shared" si="230"/>
        <v>1.8038665701752277E-2</v>
      </c>
      <c r="BX75" s="460">
        <f t="shared" si="293"/>
        <v>6777.0108925997001</v>
      </c>
      <c r="BY75" s="173">
        <f t="shared" si="231"/>
        <v>13.688762398639158</v>
      </c>
      <c r="BZ75" s="5">
        <f t="shared" si="294"/>
        <v>105</v>
      </c>
      <c r="CA75" s="173">
        <f t="shared" si="295"/>
        <v>0.88466673573810806</v>
      </c>
      <c r="CB75" s="5">
        <f t="shared" si="296"/>
        <v>88.466673573810809</v>
      </c>
      <c r="CE75" s="562">
        <f t="shared" si="232"/>
        <v>-50</v>
      </c>
      <c r="CF75">
        <f t="shared" si="233"/>
        <v>-50</v>
      </c>
      <c r="CG75" s="173">
        <f t="shared" si="234"/>
        <v>0.82060522912095679</v>
      </c>
      <c r="CI75" s="170">
        <v>70</v>
      </c>
      <c r="CJ75" s="217">
        <f t="shared" si="297"/>
        <v>7</v>
      </c>
      <c r="CK75" s="217"/>
      <c r="CL75" s="217">
        <f t="shared" si="235"/>
        <v>105</v>
      </c>
      <c r="CM75" s="541">
        <f t="shared" si="236"/>
        <v>72</v>
      </c>
      <c r="CN75" s="172">
        <f t="shared" si="237"/>
        <v>15.4</v>
      </c>
      <c r="CO75" s="443">
        <f t="shared" si="238"/>
        <v>87.4</v>
      </c>
      <c r="CP75" s="443"/>
      <c r="CQ75" s="217">
        <f t="shared" si="239"/>
        <v>0.17620137299771166</v>
      </c>
      <c r="CR75" s="172">
        <f t="shared" si="240"/>
        <v>318.30425629290613</v>
      </c>
      <c r="CS75" s="172">
        <f t="shared" si="298"/>
        <v>105</v>
      </c>
      <c r="CT75" s="217">
        <f t="shared" si="241"/>
        <v>21.220283752860407</v>
      </c>
      <c r="CU75" s="217">
        <f t="shared" si="242"/>
        <v>15</v>
      </c>
      <c r="CV75" s="217">
        <f t="shared" si="243"/>
        <v>21.144164759725399</v>
      </c>
      <c r="CW75" s="172">
        <f t="shared" si="244"/>
        <v>185.29794770985148</v>
      </c>
      <c r="CX75" s="172">
        <f t="shared" si="245"/>
        <v>15</v>
      </c>
      <c r="CY75" s="217">
        <f t="shared" si="246"/>
        <v>16.553030303030305</v>
      </c>
      <c r="CZ75" s="217">
        <f t="shared" si="247"/>
        <v>2.7588383838383845</v>
      </c>
      <c r="DA75" s="217">
        <f t="shared" si="248"/>
        <v>12.898465171192447</v>
      </c>
      <c r="DB75" s="197">
        <f t="shared" si="249"/>
        <v>105.72082379862701</v>
      </c>
      <c r="DC75" s="443">
        <f t="shared" si="299"/>
        <v>63.867957626630485</v>
      </c>
      <c r="DE75" s="217">
        <f t="shared" si="250"/>
        <v>9.9999999999999982</v>
      </c>
      <c r="DF75" s="173">
        <f t="shared" si="251"/>
        <v>7.7922077922077895</v>
      </c>
      <c r="DG75" s="173">
        <f t="shared" si="252"/>
        <v>4.118993135011439</v>
      </c>
      <c r="DH75" s="173"/>
      <c r="DI75" s="173">
        <f t="shared" si="253"/>
        <v>7.7922077922077913</v>
      </c>
      <c r="DJ75" s="545">
        <f t="shared" si="300"/>
        <v>179.66666666666669</v>
      </c>
      <c r="DK75" s="528">
        <f t="shared" si="254"/>
        <v>4.1189931350114417</v>
      </c>
      <c r="DM75" s="173">
        <f t="shared" si="255"/>
        <v>7.1647284200682257</v>
      </c>
      <c r="DN75" s="173">
        <f t="shared" si="256"/>
        <v>16.553030303030305</v>
      </c>
      <c r="DO75" s="173">
        <f t="shared" si="257"/>
        <v>6.0540965207631894</v>
      </c>
      <c r="DQ75" s="545">
        <f t="shared" si="258"/>
        <v>7000</v>
      </c>
      <c r="DR75" s="460">
        <f t="shared" si="259"/>
        <v>63.867957626630485</v>
      </c>
      <c r="DT75">
        <f t="shared" si="260"/>
        <v>7000</v>
      </c>
      <c r="DU75">
        <f t="shared" si="261"/>
        <v>63.867957626630485</v>
      </c>
      <c r="DW75" s="5">
        <f t="shared" si="301"/>
        <v>15.657303555030831</v>
      </c>
      <c r="DX75" s="5">
        <f t="shared" si="262"/>
        <v>2.7588383838383845</v>
      </c>
      <c r="DY75" s="5">
        <f t="shared" si="302"/>
        <v>12.898465171192447</v>
      </c>
      <c r="DZ75" s="5">
        <f t="shared" si="263"/>
        <v>12.898465171192447</v>
      </c>
      <c r="EA75" s="173">
        <f t="shared" si="303"/>
        <v>0.17620137299771169</v>
      </c>
      <c r="EB75" s="173">
        <f t="shared" si="264"/>
        <v>105</v>
      </c>
      <c r="EC75" s="173">
        <f t="shared" si="265"/>
        <v>6.8181818181818192</v>
      </c>
      <c r="ED75" s="173">
        <f t="shared" si="304"/>
        <v>15.399999999999997</v>
      </c>
      <c r="EE75" s="460">
        <f t="shared" si="266"/>
        <v>128.74579124579128</v>
      </c>
      <c r="EF75" s="5">
        <f t="shared" si="267"/>
        <v>5.2250726966636067</v>
      </c>
      <c r="EG75" s="5"/>
      <c r="EH75" s="173">
        <f t="shared" si="305"/>
        <v>4.011636063468857</v>
      </c>
      <c r="EI75" s="173">
        <f t="shared" si="268"/>
        <v>8.6741597190711186</v>
      </c>
      <c r="EJ75" s="173"/>
      <c r="EK75" s="528">
        <f t="shared" si="269"/>
        <v>0.32186447811447816</v>
      </c>
      <c r="EL75" s="528">
        <f t="shared" si="270"/>
        <v>1.8480000000000001</v>
      </c>
      <c r="EM75" s="528">
        <f t="shared" si="271"/>
        <v>7.9834947033288091E-3</v>
      </c>
      <c r="EN75" s="528">
        <f t="shared" si="272"/>
        <v>4.8787200000000003E-2</v>
      </c>
      <c r="EO75">
        <f t="shared" si="273"/>
        <v>3.2399999999999998E-2</v>
      </c>
      <c r="EP75" s="460">
        <f t="shared" si="306"/>
        <v>40.383494703328807</v>
      </c>
      <c r="EQ75" s="528">
        <f t="shared" si="274"/>
        <v>2.5402004081196679</v>
      </c>
      <c r="ER75" s="460">
        <f t="shared" si="307"/>
        <v>2540.2004081196678</v>
      </c>
      <c r="ES75" s="528">
        <f t="shared" si="308"/>
        <v>4.348749999999999</v>
      </c>
      <c r="ET75" s="528"/>
      <c r="EV75" s="460">
        <f t="shared" si="309"/>
        <v>4348.7499999999991</v>
      </c>
      <c r="EW75" s="528">
        <f t="shared" si="275"/>
        <v>0.48279671717171718</v>
      </c>
      <c r="EX75" s="528">
        <f t="shared" si="276"/>
        <v>2.2572314049586781</v>
      </c>
      <c r="EY75" s="528">
        <f t="shared" si="277"/>
        <v>1.8170687138587007</v>
      </c>
      <c r="EZ75" s="528">
        <f t="shared" si="278"/>
        <v>6.6786867454051642</v>
      </c>
      <c r="FA75" s="528">
        <f t="shared" si="279"/>
        <v>1.7500000000000002E-2</v>
      </c>
      <c r="FB75" s="460">
        <f t="shared" si="310"/>
        <v>6696.1867454051644</v>
      </c>
      <c r="FC75" s="173">
        <f t="shared" si="311"/>
        <v>13.585137153524832</v>
      </c>
      <c r="FD75" s="5">
        <f t="shared" si="312"/>
        <v>105</v>
      </c>
      <c r="FE75" s="173">
        <f t="shared" si="313"/>
        <v>0.88543979895273894</v>
      </c>
      <c r="FF75" s="5">
        <f t="shared" si="314"/>
        <v>88.543979895273893</v>
      </c>
      <c r="FI75" s="562">
        <f t="shared" si="280"/>
        <v>-50</v>
      </c>
      <c r="FJ75">
        <f t="shared" si="281"/>
        <v>-50</v>
      </c>
      <c r="FL75">
        <f t="shared" si="282"/>
        <v>0.82379862700228834</v>
      </c>
    </row>
    <row r="76" spans="5:168">
      <c r="E76" s="170">
        <v>71</v>
      </c>
      <c r="F76" s="217">
        <f t="shared" si="283"/>
        <v>7.1</v>
      </c>
      <c r="G76" s="217"/>
      <c r="H76" s="217">
        <f t="shared" si="183"/>
        <v>106.5</v>
      </c>
      <c r="I76" s="541">
        <f t="shared" si="184"/>
        <v>71.567416181505806</v>
      </c>
      <c r="J76" s="172">
        <f t="shared" si="185"/>
        <v>15.659550291096515</v>
      </c>
      <c r="K76" s="172">
        <f t="shared" si="186"/>
        <v>87.659550291096508</v>
      </c>
      <c r="L76" s="443"/>
      <c r="M76" s="217">
        <f t="shared" si="187"/>
        <v>0.17951714979887617</v>
      </c>
      <c r="N76" s="172">
        <f t="shared" si="188"/>
        <v>322.34574635577098</v>
      </c>
      <c r="O76" s="172">
        <f t="shared" si="284"/>
        <v>106.5</v>
      </c>
      <c r="P76" s="217">
        <f t="shared" si="189"/>
        <v>21.489716423718065</v>
      </c>
      <c r="Q76" s="217">
        <f t="shared" si="190"/>
        <v>15</v>
      </c>
      <c r="R76" s="217">
        <f t="shared" si="191"/>
        <v>21.41263095228982</v>
      </c>
      <c r="S76" s="172">
        <f t="shared" si="192"/>
        <v>180.58869803174738</v>
      </c>
      <c r="T76" s="172">
        <f t="shared" si="193"/>
        <v>15</v>
      </c>
      <c r="U76" s="217">
        <f t="shared" si="194"/>
        <v>17.306882156670518</v>
      </c>
      <c r="V76" s="217">
        <f t="shared" si="195"/>
        <v>2.9019153821807917</v>
      </c>
      <c r="W76" s="217">
        <f t="shared" si="196"/>
        <v>13.262359519872511</v>
      </c>
      <c r="X76" s="197">
        <f t="shared" si="197"/>
        <v>107.06871951597452</v>
      </c>
      <c r="Y76" s="443">
        <f t="shared" si="198"/>
        <v>61.108726539085779</v>
      </c>
      <c r="AA76" s="217">
        <f t="shared" si="199"/>
        <v>10</v>
      </c>
      <c r="AB76" s="173">
        <f t="shared" si="200"/>
        <v>7.6630553093359204</v>
      </c>
      <c r="AC76" s="173">
        <f t="shared" si="201"/>
        <v>4.1023675977534353</v>
      </c>
      <c r="AD76" s="173"/>
      <c r="AE76" s="173">
        <f t="shared" si="202"/>
        <v>7.6630553093359204</v>
      </c>
      <c r="AF76" s="545">
        <f t="shared" si="203"/>
        <v>185.30467844464209</v>
      </c>
      <c r="AG76" s="528">
        <f t="shared" si="204"/>
        <v>4.1023675977534353</v>
      </c>
      <c r="AI76" s="173">
        <f t="shared" si="205"/>
        <v>7.2762760971066998</v>
      </c>
      <c r="AJ76" s="173">
        <f t="shared" si="206"/>
        <v>17.306882156670518</v>
      </c>
      <c r="AK76" s="173">
        <f t="shared" si="207"/>
        <v>6.6125053012374204</v>
      </c>
      <c r="AM76" s="545">
        <f t="shared" si="208"/>
        <v>7100</v>
      </c>
      <c r="AN76" s="460">
        <f t="shared" si="209"/>
        <v>61.108726539085779</v>
      </c>
      <c r="AP76">
        <f t="shared" si="210"/>
        <v>7100</v>
      </c>
      <c r="AQ76">
        <f t="shared" si="211"/>
        <v>61.108726539085779</v>
      </c>
      <c r="AS76" s="5">
        <f t="shared" si="285"/>
        <v>16.364274902053303</v>
      </c>
      <c r="AT76" s="5">
        <f t="shared" si="212"/>
        <v>2.9019153821807917</v>
      </c>
      <c r="AU76" s="5">
        <f t="shared" si="286"/>
        <v>13.462359519872511</v>
      </c>
      <c r="AV76" s="5">
        <f t="shared" si="213"/>
        <v>13.262359519872511</v>
      </c>
      <c r="AW76" s="173">
        <f t="shared" si="287"/>
        <v>0.17733235352925258</v>
      </c>
      <c r="AX76" s="173">
        <f t="shared" si="214"/>
        <v>109.82271018215314</v>
      </c>
      <c r="AY76" s="173">
        <f t="shared" si="215"/>
        <v>7.1189060057873546</v>
      </c>
      <c r="AZ76" s="173">
        <f t="shared" si="288"/>
        <v>15.426908304853605</v>
      </c>
      <c r="BA76" s="460">
        <f t="shared" si="216"/>
        <v>137.35732808989079</v>
      </c>
      <c r="BB76" s="5">
        <f t="shared" si="217"/>
        <v>5.5648434773655984</v>
      </c>
      <c r="BC76" s="5"/>
      <c r="BD76" s="173">
        <f t="shared" si="289"/>
        <v>4.207771988900574</v>
      </c>
      <c r="BE76" s="173">
        <f t="shared" si="218"/>
        <v>9.0629674068550621</v>
      </c>
      <c r="BF76" s="173"/>
      <c r="BG76" s="528">
        <f t="shared" si="219"/>
        <v>0.35410690221152585</v>
      </c>
      <c r="BH76" s="528">
        <f t="shared" si="220"/>
        <v>1.7382913952901229</v>
      </c>
      <c r="BI76" s="528">
        <f t="shared" si="221"/>
        <v>0.10933484161361451</v>
      </c>
      <c r="BJ76" s="528">
        <f t="shared" si="222"/>
        <v>4.6957147831054258E-2</v>
      </c>
      <c r="BK76">
        <f t="shared" si="223"/>
        <v>3.2205337281677612E-2</v>
      </c>
      <c r="BL76" s="460">
        <f t="shared" si="290"/>
        <v>141.54017889529214</v>
      </c>
      <c r="BM76" s="528">
        <f t="shared" si="224"/>
        <v>2.4402791471110281</v>
      </c>
      <c r="BN76" s="460">
        <f t="shared" si="291"/>
        <v>2440.2791471110281</v>
      </c>
      <c r="BO76" s="528">
        <f t="shared" si="225"/>
        <v>4.4108749999999999</v>
      </c>
      <c r="BP76" s="528"/>
      <c r="BR76" s="460">
        <f t="shared" si="292"/>
        <v>4410.875</v>
      </c>
      <c r="BS76" s="528">
        <f t="shared" si="226"/>
        <v>0.53116035331728872</v>
      </c>
      <c r="BT76" s="528">
        <f t="shared" si="227"/>
        <v>2.464121346531515</v>
      </c>
      <c r="BU76" s="528">
        <f t="shared" si="228"/>
        <v>1.5974999999999999</v>
      </c>
      <c r="BV76" s="528">
        <f t="shared" si="229"/>
        <v>6.9855427852712131</v>
      </c>
      <c r="BW76" s="528">
        <f t="shared" si="230"/>
        <v>1.8303785030358854E-2</v>
      </c>
      <c r="BX76" s="460">
        <f t="shared" si="293"/>
        <v>7003.8465703015718</v>
      </c>
      <c r="BY76" s="173">
        <f t="shared" si="231"/>
        <v>13.996540896307893</v>
      </c>
      <c r="BZ76" s="5">
        <f t="shared" si="294"/>
        <v>106.5</v>
      </c>
      <c r="CA76" s="173">
        <f t="shared" si="295"/>
        <v>0.88384279920240638</v>
      </c>
      <c r="CB76" s="5">
        <f t="shared" si="296"/>
        <v>88.384279920240644</v>
      </c>
      <c r="CE76" s="562">
        <f t="shared" si="232"/>
        <v>-50</v>
      </c>
      <c r="CF76">
        <f t="shared" si="233"/>
        <v>-50</v>
      </c>
      <c r="CG76" s="173">
        <f t="shared" si="234"/>
        <v>0.82065020655590515</v>
      </c>
      <c r="CI76" s="170">
        <v>71</v>
      </c>
      <c r="CJ76" s="217">
        <f t="shared" si="297"/>
        <v>7.1</v>
      </c>
      <c r="CK76" s="217"/>
      <c r="CL76" s="217">
        <f t="shared" si="235"/>
        <v>106.5</v>
      </c>
      <c r="CM76" s="541">
        <f t="shared" si="236"/>
        <v>72</v>
      </c>
      <c r="CN76" s="172">
        <f t="shared" si="237"/>
        <v>15.4</v>
      </c>
      <c r="CO76" s="443">
        <f t="shared" si="238"/>
        <v>87.4</v>
      </c>
      <c r="CP76" s="443"/>
      <c r="CQ76" s="217">
        <f t="shared" si="239"/>
        <v>0.17620137299771166</v>
      </c>
      <c r="CR76" s="172">
        <f t="shared" si="240"/>
        <v>318.30425629290613</v>
      </c>
      <c r="CS76" s="172">
        <f t="shared" si="298"/>
        <v>106.5</v>
      </c>
      <c r="CT76" s="217">
        <f t="shared" si="241"/>
        <v>21.220283752860407</v>
      </c>
      <c r="CU76" s="217">
        <f t="shared" si="242"/>
        <v>15</v>
      </c>
      <c r="CV76" s="217">
        <f t="shared" si="243"/>
        <v>21.144164759725399</v>
      </c>
      <c r="CW76" s="172">
        <f t="shared" si="244"/>
        <v>181.67929960098576</v>
      </c>
      <c r="CX76" s="172">
        <f t="shared" si="245"/>
        <v>15</v>
      </c>
      <c r="CY76" s="217">
        <f t="shared" si="246"/>
        <v>16.789502164502167</v>
      </c>
      <c r="CZ76" s="217">
        <f t="shared" si="247"/>
        <v>2.7982503607503615</v>
      </c>
      <c r="DA76" s="217">
        <f t="shared" si="248"/>
        <v>13.082728959352337</v>
      </c>
      <c r="DB76" s="197">
        <f t="shared" si="249"/>
        <v>105.72082379862701</v>
      </c>
      <c r="DC76" s="443">
        <f t="shared" si="299"/>
        <v>62.968408927663866</v>
      </c>
      <c r="DE76" s="217">
        <f t="shared" si="250"/>
        <v>9.9999999999999982</v>
      </c>
      <c r="DF76" s="173">
        <f t="shared" si="251"/>
        <v>7.7922077922077895</v>
      </c>
      <c r="DG76" s="173">
        <f t="shared" si="252"/>
        <v>4.118993135011439</v>
      </c>
      <c r="DH76" s="173"/>
      <c r="DI76" s="173">
        <f t="shared" si="253"/>
        <v>7.7922077922077913</v>
      </c>
      <c r="DJ76" s="545">
        <f t="shared" si="300"/>
        <v>182.23333333333335</v>
      </c>
      <c r="DK76" s="528">
        <f t="shared" si="254"/>
        <v>4.1189931350114417</v>
      </c>
      <c r="DM76" s="173">
        <f t="shared" si="255"/>
        <v>7.2157235719411172</v>
      </c>
      <c r="DN76" s="173">
        <f t="shared" si="256"/>
        <v>16.789502164502167</v>
      </c>
      <c r="DO76" s="173">
        <f t="shared" si="257"/>
        <v>6.2292608625941979</v>
      </c>
      <c r="DQ76" s="545">
        <f t="shared" si="258"/>
        <v>7100</v>
      </c>
      <c r="DR76" s="460">
        <f t="shared" si="259"/>
        <v>62.968408927663866</v>
      </c>
      <c r="DT76">
        <f t="shared" si="260"/>
        <v>7100</v>
      </c>
      <c r="DU76">
        <f t="shared" si="261"/>
        <v>62.968408927663866</v>
      </c>
      <c r="DW76" s="5">
        <f t="shared" si="301"/>
        <v>15.880979320102698</v>
      </c>
      <c r="DX76" s="5">
        <f t="shared" si="262"/>
        <v>2.7982503607503615</v>
      </c>
      <c r="DY76" s="5">
        <f t="shared" si="302"/>
        <v>13.082728959352337</v>
      </c>
      <c r="DZ76" s="5">
        <f t="shared" si="263"/>
        <v>13.082728959352337</v>
      </c>
      <c r="EA76" s="173">
        <f t="shared" si="303"/>
        <v>0.17620137299771171</v>
      </c>
      <c r="EB76" s="173">
        <f t="shared" si="264"/>
        <v>106.50000000000003</v>
      </c>
      <c r="EC76" s="173">
        <f t="shared" si="265"/>
        <v>6.9155844155844166</v>
      </c>
      <c r="ED76" s="173">
        <f t="shared" si="304"/>
        <v>15.400000000000002</v>
      </c>
      <c r="EE76" s="460">
        <f t="shared" si="266"/>
        <v>132.4505170755171</v>
      </c>
      <c r="EF76" s="5">
        <f t="shared" si="267"/>
        <v>5.3754268293635192</v>
      </c>
      <c r="EG76" s="5"/>
      <c r="EH76" s="173">
        <f t="shared" si="305"/>
        <v>4.0689451500898413</v>
      </c>
      <c r="EI76" s="173">
        <f t="shared" si="268"/>
        <v>8.7980762864864204</v>
      </c>
      <c r="EJ76" s="173"/>
      <c r="EK76" s="528">
        <f t="shared" si="269"/>
        <v>0.33112629268879284</v>
      </c>
      <c r="EL76" s="528">
        <f t="shared" si="270"/>
        <v>1.8480000000000003</v>
      </c>
      <c r="EM76" s="528">
        <f t="shared" si="271"/>
        <v>7.8710511159579832E-3</v>
      </c>
      <c r="EN76" s="528">
        <f t="shared" si="272"/>
        <v>4.810005633802817E-2</v>
      </c>
      <c r="EO76">
        <f t="shared" si="273"/>
        <v>3.2399999999999998E-2</v>
      </c>
      <c r="EP76" s="460">
        <f t="shared" si="306"/>
        <v>40.271051115957981</v>
      </c>
      <c r="EQ76" s="528">
        <f t="shared" si="274"/>
        <v>2.5581668274946083</v>
      </c>
      <c r="ER76" s="460">
        <f t="shared" si="307"/>
        <v>2558.1668274946082</v>
      </c>
      <c r="ES76" s="528">
        <f t="shared" si="308"/>
        <v>4.4108749999999999</v>
      </c>
      <c r="ET76" s="528"/>
      <c r="EV76" s="460">
        <f t="shared" si="309"/>
        <v>4410.875</v>
      </c>
      <c r="EW76" s="528">
        <f t="shared" si="275"/>
        <v>0.49668943903318918</v>
      </c>
      <c r="EX76" s="528">
        <f t="shared" si="276"/>
        <v>2.3221843902850403</v>
      </c>
      <c r="EY76" s="528">
        <f t="shared" si="277"/>
        <v>1.8170687138587027</v>
      </c>
      <c r="EZ76" s="528">
        <f t="shared" si="278"/>
        <v>6.8593159625136746</v>
      </c>
      <c r="FA76" s="528">
        <f t="shared" si="279"/>
        <v>1.7750000000000005E-2</v>
      </c>
      <c r="FB76" s="460">
        <f t="shared" si="310"/>
        <v>6877.065962513675</v>
      </c>
      <c r="FC76" s="173">
        <f t="shared" si="311"/>
        <v>13.846107790008283</v>
      </c>
      <c r="FD76" s="5">
        <f t="shared" si="312"/>
        <v>106.5</v>
      </c>
      <c r="FE76" s="173">
        <f t="shared" si="313"/>
        <v>0.88494760616464352</v>
      </c>
      <c r="FF76" s="5">
        <f t="shared" si="314"/>
        <v>88.494760616464347</v>
      </c>
      <c r="FI76" s="562">
        <f t="shared" si="280"/>
        <v>-50</v>
      </c>
      <c r="FJ76">
        <f t="shared" si="281"/>
        <v>-50</v>
      </c>
      <c r="FL76">
        <f t="shared" si="282"/>
        <v>0.82379862700228834</v>
      </c>
    </row>
    <row r="77" spans="5:168">
      <c r="E77" s="170">
        <v>72</v>
      </c>
      <c r="F77" s="217">
        <f t="shared" si="283"/>
        <v>7.1999999999999993</v>
      </c>
      <c r="G77" s="217"/>
      <c r="H77" s="217">
        <f t="shared" si="183"/>
        <v>107.99999999999999</v>
      </c>
      <c r="I77" s="541">
        <f t="shared" si="184"/>
        <v>71.56134682515021</v>
      </c>
      <c r="J77" s="172">
        <f t="shared" si="185"/>
        <v>15.663191904909873</v>
      </c>
      <c r="K77" s="172">
        <f t="shared" si="186"/>
        <v>87.663191904909866</v>
      </c>
      <c r="L77" s="443"/>
      <c r="M77" s="217">
        <f t="shared" si="187"/>
        <v>0.17956389725124008</v>
      </c>
      <c r="N77" s="172">
        <f t="shared" si="188"/>
        <v>322.40234330135314</v>
      </c>
      <c r="O77" s="172">
        <f t="shared" si="284"/>
        <v>107.99999999999999</v>
      </c>
      <c r="P77" s="217">
        <f t="shared" si="189"/>
        <v>21.493489553423544</v>
      </c>
      <c r="Q77" s="217">
        <f t="shared" si="190"/>
        <v>15</v>
      </c>
      <c r="R77" s="217">
        <f t="shared" si="191"/>
        <v>21.416390547452714</v>
      </c>
      <c r="S77" s="172">
        <f t="shared" si="192"/>
        <v>177.07683792652452</v>
      </c>
      <c r="T77" s="172">
        <f t="shared" si="193"/>
        <v>15</v>
      </c>
      <c r="U77" s="217">
        <f t="shared" si="194"/>
        <v>17.551641074490448</v>
      </c>
      <c r="V77" s="217">
        <f t="shared" si="195"/>
        <v>2.9432047081017649</v>
      </c>
      <c r="W77" s="217">
        <f t="shared" si="196"/>
        <v>13.446792593268512</v>
      </c>
      <c r="X77" s="197">
        <f t="shared" si="197"/>
        <v>107.08751656123248</v>
      </c>
      <c r="Y77" s="443">
        <f t="shared" si="198"/>
        <v>60.277285272216623</v>
      </c>
      <c r="AA77" s="217">
        <f t="shared" si="199"/>
        <v>9.9999999999999982</v>
      </c>
      <c r="AB77" s="173">
        <f t="shared" si="200"/>
        <v>7.661273687286184</v>
      </c>
      <c r="AC77" s="173">
        <f t="shared" si="201"/>
        <v>4.1021338643369694</v>
      </c>
      <c r="AD77" s="173"/>
      <c r="AE77" s="173">
        <f t="shared" si="202"/>
        <v>7.6612736872861857</v>
      </c>
      <c r="AF77" s="545">
        <f t="shared" si="203"/>
        <v>187.95830285891847</v>
      </c>
      <c r="AG77" s="528">
        <f t="shared" si="204"/>
        <v>4.1021338643369702</v>
      </c>
      <c r="AI77" s="173">
        <f t="shared" si="205"/>
        <v>7.3281902435325232</v>
      </c>
      <c r="AJ77" s="173">
        <f t="shared" si="206"/>
        <v>17.551641074490448</v>
      </c>
      <c r="AK77" s="173">
        <f t="shared" si="207"/>
        <v>6.7938082033262583</v>
      </c>
      <c r="AM77" s="545">
        <f t="shared" si="208"/>
        <v>7199.9999999999991</v>
      </c>
      <c r="AN77" s="460">
        <f t="shared" si="209"/>
        <v>60.277285272216623</v>
      </c>
      <c r="AP77">
        <f t="shared" si="210"/>
        <v>7199.9999999999991</v>
      </c>
      <c r="AQ77">
        <f t="shared" si="211"/>
        <v>60.277285272216623</v>
      </c>
      <c r="AS77" s="5">
        <f t="shared" si="285"/>
        <v>16.589997301370275</v>
      </c>
      <c r="AT77" s="5">
        <f t="shared" si="212"/>
        <v>2.9432047081017649</v>
      </c>
      <c r="AU77" s="5">
        <f t="shared" si="286"/>
        <v>13.646792593268509</v>
      </c>
      <c r="AV77" s="5">
        <f t="shared" si="213"/>
        <v>13.446792593268512</v>
      </c>
      <c r="AW77" s="173">
        <f t="shared" si="287"/>
        <v>0.17740838980478113</v>
      </c>
      <c r="AX77" s="173">
        <f t="shared" si="214"/>
        <v>111.41416076624516</v>
      </c>
      <c r="AY77" s="173">
        <f t="shared" si="215"/>
        <v>7.2189163465168198</v>
      </c>
      <c r="AZ77" s="173">
        <f t="shared" si="288"/>
        <v>15.433640648849368</v>
      </c>
      <c r="BA77" s="460">
        <f t="shared" si="216"/>
        <v>141.27382598888471</v>
      </c>
      <c r="BB77" s="5">
        <f t="shared" si="217"/>
        <v>5.7210183424632026</v>
      </c>
      <c r="BC77" s="5"/>
      <c r="BD77" s="173">
        <f t="shared" si="289"/>
        <v>4.2681942741659862</v>
      </c>
      <c r="BE77" s="173">
        <f t="shared" si="218"/>
        <v>9.1907137430791224</v>
      </c>
      <c r="BF77" s="173"/>
      <c r="BG77" s="528">
        <f t="shared" si="219"/>
        <v>0.36434964724046626</v>
      </c>
      <c r="BH77" s="528">
        <f t="shared" si="220"/>
        <v>1.7389614941710263</v>
      </c>
      <c r="BI77" s="528">
        <f t="shared" si="221"/>
        <v>0.10783809292609031</v>
      </c>
      <c r="BJ77" s="528">
        <f t="shared" si="222"/>
        <v>4.6322100452194252E-2</v>
      </c>
      <c r="BK77">
        <f t="shared" si="223"/>
        <v>3.2202606071317592E-2</v>
      </c>
      <c r="BL77" s="460">
        <f t="shared" si="290"/>
        <v>140.0406989974079</v>
      </c>
      <c r="BM77" s="528">
        <f t="shared" si="224"/>
        <v>2.461060352163436</v>
      </c>
      <c r="BN77" s="460">
        <f t="shared" si="291"/>
        <v>2461.0603521634362</v>
      </c>
      <c r="BO77" s="528">
        <f t="shared" si="225"/>
        <v>4.472999999999999</v>
      </c>
      <c r="BP77" s="528"/>
      <c r="BR77" s="460">
        <f t="shared" si="292"/>
        <v>4472.9999999999991</v>
      </c>
      <c r="BS77" s="528">
        <f t="shared" si="226"/>
        <v>0.54652447086069933</v>
      </c>
      <c r="BT77" s="528">
        <f t="shared" si="227"/>
        <v>2.5340765732167037</v>
      </c>
      <c r="BU77" s="528">
        <f t="shared" si="228"/>
        <v>1.6199999999999997</v>
      </c>
      <c r="BV77" s="528">
        <f t="shared" si="229"/>
        <v>7.2190716734048177</v>
      </c>
      <c r="BW77" s="528">
        <f t="shared" si="230"/>
        <v>1.8569026794374194E-2</v>
      </c>
      <c r="BX77" s="460">
        <f t="shared" si="293"/>
        <v>7237.640700199192</v>
      </c>
      <c r="BY77" s="173">
        <f t="shared" si="231"/>
        <v>14.311741751360035</v>
      </c>
      <c r="BZ77" s="5">
        <f t="shared" si="294"/>
        <v>107.99999999999999</v>
      </c>
      <c r="CA77" s="173">
        <f t="shared" si="295"/>
        <v>0.88298963332193003</v>
      </c>
      <c r="CB77" s="5">
        <f t="shared" si="296"/>
        <v>88.298963332192997</v>
      </c>
      <c r="CE77" s="562">
        <f t="shared" si="232"/>
        <v>-50</v>
      </c>
      <c r="CF77">
        <f t="shared" si="233"/>
        <v>-50</v>
      </c>
      <c r="CG77" s="173">
        <f t="shared" si="234"/>
        <v>0.82069393461766049</v>
      </c>
      <c r="CI77" s="170">
        <v>72</v>
      </c>
      <c r="CJ77" s="217">
        <f t="shared" si="297"/>
        <v>7.1999999999999993</v>
      </c>
      <c r="CK77" s="217"/>
      <c r="CL77" s="217">
        <f t="shared" si="235"/>
        <v>107.99999999999999</v>
      </c>
      <c r="CM77" s="541">
        <f t="shared" si="236"/>
        <v>72</v>
      </c>
      <c r="CN77" s="172">
        <f t="shared" si="237"/>
        <v>15.4</v>
      </c>
      <c r="CO77" s="443">
        <f t="shared" si="238"/>
        <v>87.4</v>
      </c>
      <c r="CP77" s="443"/>
      <c r="CQ77" s="217">
        <f t="shared" si="239"/>
        <v>0.17620137299771166</v>
      </c>
      <c r="CR77" s="172">
        <f t="shared" si="240"/>
        <v>318.30425629290613</v>
      </c>
      <c r="CS77" s="172">
        <f t="shared" si="298"/>
        <v>107.99999999999999</v>
      </c>
      <c r="CT77" s="217">
        <f t="shared" si="241"/>
        <v>21.220283752860407</v>
      </c>
      <c r="CU77" s="217">
        <f t="shared" si="242"/>
        <v>15</v>
      </c>
      <c r="CV77" s="217">
        <f t="shared" si="243"/>
        <v>21.144164759725399</v>
      </c>
      <c r="CW77" s="172">
        <f t="shared" si="244"/>
        <v>178.16128915811368</v>
      </c>
      <c r="CX77" s="172">
        <f t="shared" si="245"/>
        <v>15</v>
      </c>
      <c r="CY77" s="217">
        <f t="shared" si="246"/>
        <v>17.025974025974026</v>
      </c>
      <c r="CZ77" s="217">
        <f t="shared" si="247"/>
        <v>2.837662337662338</v>
      </c>
      <c r="DA77" s="217">
        <f t="shared" si="248"/>
        <v>13.266992747512226</v>
      </c>
      <c r="DB77" s="197">
        <f t="shared" si="249"/>
        <v>105.72082379862701</v>
      </c>
      <c r="DC77" s="443">
        <f t="shared" si="299"/>
        <v>62.093847692557432</v>
      </c>
      <c r="DE77" s="217">
        <f t="shared" si="250"/>
        <v>9.9999999999999982</v>
      </c>
      <c r="DF77" s="173">
        <f t="shared" si="251"/>
        <v>7.7922077922077895</v>
      </c>
      <c r="DG77" s="173">
        <f t="shared" si="252"/>
        <v>4.118993135011439</v>
      </c>
      <c r="DH77" s="173"/>
      <c r="DI77" s="173">
        <f t="shared" si="253"/>
        <v>7.7922077922077913</v>
      </c>
      <c r="DJ77" s="545">
        <f t="shared" si="300"/>
        <v>184.8</v>
      </c>
      <c r="DK77" s="528">
        <f t="shared" si="254"/>
        <v>4.1189931350114417</v>
      </c>
      <c r="DM77" s="173">
        <f t="shared" si="255"/>
        <v>7.2663608498339798</v>
      </c>
      <c r="DN77" s="173">
        <f t="shared" si="256"/>
        <v>17.025974025974026</v>
      </c>
      <c r="DO77" s="173">
        <f t="shared" si="257"/>
        <v>6.4044252044252046</v>
      </c>
      <c r="DQ77" s="545">
        <f t="shared" si="258"/>
        <v>7199.9999999999991</v>
      </c>
      <c r="DR77" s="460">
        <f t="shared" si="259"/>
        <v>62.093847692557432</v>
      </c>
      <c r="DT77">
        <f t="shared" si="260"/>
        <v>7199.9999999999991</v>
      </c>
      <c r="DU77">
        <f t="shared" si="261"/>
        <v>62.093847692557432</v>
      </c>
      <c r="DW77" s="5">
        <f t="shared" si="301"/>
        <v>16.104655085174564</v>
      </c>
      <c r="DX77" s="5">
        <f t="shared" si="262"/>
        <v>2.837662337662338</v>
      </c>
      <c r="DY77" s="5">
        <f t="shared" si="302"/>
        <v>13.266992747512226</v>
      </c>
      <c r="DZ77" s="5">
        <f t="shared" si="263"/>
        <v>13.266992747512226</v>
      </c>
      <c r="EA77" s="173">
        <f t="shared" si="303"/>
        <v>0.17620137299771171</v>
      </c>
      <c r="EB77" s="173">
        <f t="shared" si="264"/>
        <v>108.00000000000001</v>
      </c>
      <c r="EC77" s="173">
        <f t="shared" si="265"/>
        <v>7.0129870129870131</v>
      </c>
      <c r="ED77" s="173">
        <f t="shared" si="304"/>
        <v>15.400000000000002</v>
      </c>
      <c r="EE77" s="460">
        <f t="shared" si="266"/>
        <v>136.20779220779221</v>
      </c>
      <c r="EF77" s="5">
        <f t="shared" si="267"/>
        <v>5.5279136447967598</v>
      </c>
      <c r="EG77" s="5"/>
      <c r="EH77" s="173">
        <f t="shared" si="305"/>
        <v>4.1262542367108246</v>
      </c>
      <c r="EI77" s="173">
        <f t="shared" si="268"/>
        <v>8.9219928539017204</v>
      </c>
      <c r="EJ77" s="173"/>
      <c r="EK77" s="528">
        <f t="shared" si="269"/>
        <v>0.34051948051948061</v>
      </c>
      <c r="EL77" s="528">
        <f t="shared" si="270"/>
        <v>1.8480000000000001</v>
      </c>
      <c r="EM77" s="528">
        <f t="shared" si="271"/>
        <v>7.7617309615696786E-3</v>
      </c>
      <c r="EN77" s="528">
        <f t="shared" si="272"/>
        <v>4.7432000000000009E-2</v>
      </c>
      <c r="EO77">
        <f t="shared" si="273"/>
        <v>3.2399999999999998E-2</v>
      </c>
      <c r="EP77" s="460">
        <f t="shared" si="306"/>
        <v>40.161730961569681</v>
      </c>
      <c r="EQ77" s="528">
        <f t="shared" si="274"/>
        <v>2.5765124698381343</v>
      </c>
      <c r="ER77" s="460">
        <f t="shared" si="307"/>
        <v>2576.5124698381342</v>
      </c>
      <c r="ES77" s="528">
        <f t="shared" si="308"/>
        <v>4.472999999999999</v>
      </c>
      <c r="ET77" s="528"/>
      <c r="EV77" s="460">
        <f t="shared" si="309"/>
        <v>4472.9999999999991</v>
      </c>
      <c r="EW77" s="528">
        <f t="shared" si="275"/>
        <v>0.51077922077922089</v>
      </c>
      <c r="EX77" s="528">
        <f t="shared" si="276"/>
        <v>2.3880586945522007</v>
      </c>
      <c r="EY77" s="528">
        <f t="shared" si="277"/>
        <v>1.8170687138586978</v>
      </c>
      <c r="EZ77" s="528">
        <f t="shared" si="278"/>
        <v>7.0455374062363623</v>
      </c>
      <c r="FA77" s="528">
        <f t="shared" si="279"/>
        <v>1.8000000000000002E-2</v>
      </c>
      <c r="FB77" s="460">
        <f t="shared" si="310"/>
        <v>7063.5374062363617</v>
      </c>
      <c r="FC77" s="173">
        <f t="shared" si="311"/>
        <v>14.113049876074495</v>
      </c>
      <c r="FD77" s="5">
        <f t="shared" si="312"/>
        <v>107.99999999999999</v>
      </c>
      <c r="FE77" s="173">
        <f t="shared" si="313"/>
        <v>0.88442635827704719</v>
      </c>
      <c r="FF77" s="5">
        <f t="shared" si="314"/>
        <v>88.44263582770472</v>
      </c>
      <c r="FI77" s="562">
        <f t="shared" si="280"/>
        <v>-50</v>
      </c>
      <c r="FJ77">
        <f t="shared" si="281"/>
        <v>-50</v>
      </c>
      <c r="FL77">
        <f t="shared" si="282"/>
        <v>0.82379862700228834</v>
      </c>
    </row>
    <row r="78" spans="5:168">
      <c r="E78" s="170">
        <v>73</v>
      </c>
      <c r="F78" s="217">
        <f t="shared" si="283"/>
        <v>7.3</v>
      </c>
      <c r="G78" s="217"/>
      <c r="H78" s="217">
        <f t="shared" si="183"/>
        <v>109.5</v>
      </c>
      <c r="I78" s="541">
        <f t="shared" si="184"/>
        <v>71.555277466372218</v>
      </c>
      <c r="J78" s="172">
        <f t="shared" si="185"/>
        <v>15.666833520176668</v>
      </c>
      <c r="K78" s="172">
        <f t="shared" si="186"/>
        <v>87.666833520176667</v>
      </c>
      <c r="L78" s="443"/>
      <c r="M78" s="217">
        <f t="shared" si="187"/>
        <v>0.1796106473109049</v>
      </c>
      <c r="N78" s="172">
        <f t="shared" si="188"/>
        <v>322.45893067954518</v>
      </c>
      <c r="O78" s="172">
        <f t="shared" si="284"/>
        <v>109.5</v>
      </c>
      <c r="P78" s="217">
        <f t="shared" si="189"/>
        <v>21.49726204530301</v>
      </c>
      <c r="Q78" s="217">
        <f t="shared" si="190"/>
        <v>15</v>
      </c>
      <c r="R78" s="217">
        <f t="shared" si="191"/>
        <v>21.420149507077536</v>
      </c>
      <c r="S78" s="172">
        <f t="shared" si="192"/>
        <v>173.66147941422525</v>
      </c>
      <c r="T78" s="172">
        <f t="shared" si="193"/>
        <v>15</v>
      </c>
      <c r="U78" s="217">
        <f t="shared" si="194"/>
        <v>17.796427942590569</v>
      </c>
      <c r="V78" s="217">
        <f t="shared" si="195"/>
        <v>2.9845057258208403</v>
      </c>
      <c r="W78" s="217">
        <f t="shared" si="196"/>
        <v>13.631161334296138</v>
      </c>
      <c r="X78" s="197">
        <f t="shared" si="197"/>
        <v>107.10631043702004</v>
      </c>
      <c r="Y78" s="443">
        <f t="shared" si="198"/>
        <v>59.468351533420744</v>
      </c>
      <c r="AA78" s="217">
        <f t="shared" si="199"/>
        <v>10</v>
      </c>
      <c r="AB78" s="173">
        <f t="shared" si="200"/>
        <v>7.6594928927697445</v>
      </c>
      <c r="AC78" s="173">
        <f t="shared" si="201"/>
        <v>4.1019001178157248</v>
      </c>
      <c r="AD78" s="173"/>
      <c r="AE78" s="173">
        <f t="shared" si="202"/>
        <v>7.6594928927697445</v>
      </c>
      <c r="AF78" s="545">
        <f t="shared" si="203"/>
        <v>190.61314116214947</v>
      </c>
      <c r="AG78" s="528">
        <f t="shared" si="204"/>
        <v>4.1019001178157248</v>
      </c>
      <c r="AI78" s="173">
        <f t="shared" si="205"/>
        <v>7.3797626977362789</v>
      </c>
      <c r="AJ78" s="173">
        <f t="shared" si="206"/>
        <v>17.796427942590569</v>
      </c>
      <c r="AK78" s="173">
        <f t="shared" si="207"/>
        <v>6.9751318093263475</v>
      </c>
      <c r="AM78" s="545">
        <f t="shared" si="208"/>
        <v>7300</v>
      </c>
      <c r="AN78" s="460">
        <f t="shared" si="209"/>
        <v>59.468351533420744</v>
      </c>
      <c r="AP78">
        <f t="shared" si="210"/>
        <v>7300</v>
      </c>
      <c r="AQ78">
        <f t="shared" si="211"/>
        <v>59.468351533420744</v>
      </c>
      <c r="AS78" s="5">
        <f t="shared" si="285"/>
        <v>16.815667060116972</v>
      </c>
      <c r="AT78" s="5">
        <f t="shared" si="212"/>
        <v>2.9845057258208403</v>
      </c>
      <c r="AU78" s="5">
        <f t="shared" si="286"/>
        <v>13.831161334296132</v>
      </c>
      <c r="AV78" s="5">
        <f t="shared" si="213"/>
        <v>13.631161334296138</v>
      </c>
      <c r="AW78" s="173">
        <f t="shared" si="287"/>
        <v>0.17748363565662079</v>
      </c>
      <c r="AX78" s="173">
        <f t="shared" si="214"/>
        <v>113.00634570732822</v>
      </c>
      <c r="AY78" s="173">
        <f t="shared" si="215"/>
        <v>7.3189266048192598</v>
      </c>
      <c r="AZ78" s="173">
        <f t="shared" si="288"/>
        <v>15.440289513617675</v>
      </c>
      <c r="BA78" s="460">
        <f t="shared" si="216"/>
        <v>145.24594532328089</v>
      </c>
      <c r="BB78" s="5">
        <f t="shared" si="217"/>
        <v>5.8793402641179497</v>
      </c>
      <c r="BC78" s="5"/>
      <c r="BD78" s="173">
        <f t="shared" si="289"/>
        <v>4.3286390330860502</v>
      </c>
      <c r="BE78" s="173">
        <f t="shared" si="218"/>
        <v>9.3184673253268056</v>
      </c>
      <c r="BF78" s="173"/>
      <c r="BG78" s="528">
        <f t="shared" si="219"/>
        <v>0.37474231757512272</v>
      </c>
      <c r="BH78" s="528">
        <f t="shared" si="220"/>
        <v>1.7396237688481877</v>
      </c>
      <c r="BI78" s="528">
        <f t="shared" si="221"/>
        <v>0.10638185986104207</v>
      </c>
      <c r="BJ78" s="528">
        <f t="shared" si="222"/>
        <v>4.5704245166001217E-2</v>
      </c>
      <c r="BK78">
        <f t="shared" si="223"/>
        <v>3.21998748598675E-2</v>
      </c>
      <c r="BL78" s="460">
        <f t="shared" si="290"/>
        <v>138.58173472090957</v>
      </c>
      <c r="BM78" s="528">
        <f t="shared" si="224"/>
        <v>2.4822689423255304</v>
      </c>
      <c r="BN78" s="460">
        <f t="shared" si="291"/>
        <v>2482.2689423255306</v>
      </c>
      <c r="BO78" s="528">
        <f t="shared" si="225"/>
        <v>4.535124999999999</v>
      </c>
      <c r="BP78" s="528"/>
      <c r="BR78" s="460">
        <f t="shared" si="292"/>
        <v>4535.1249999999991</v>
      </c>
      <c r="BS78" s="528">
        <f t="shared" si="226"/>
        <v>0.56211347636268405</v>
      </c>
      <c r="BT78" s="528">
        <f t="shared" si="227"/>
        <v>2.6050149987954989</v>
      </c>
      <c r="BU78" s="528">
        <f t="shared" si="228"/>
        <v>1.6424999999999998</v>
      </c>
      <c r="BV78" s="528">
        <f t="shared" si="229"/>
        <v>7.4598413981844525</v>
      </c>
      <c r="BW78" s="528">
        <f t="shared" si="230"/>
        <v>1.8834390951221372E-2</v>
      </c>
      <c r="BX78" s="460">
        <f t="shared" si="293"/>
        <v>7478.6757891356738</v>
      </c>
      <c r="BY78" s="173">
        <f t="shared" si="231"/>
        <v>14.634651466182111</v>
      </c>
      <c r="BZ78" s="5">
        <f t="shared" si="294"/>
        <v>109.5</v>
      </c>
      <c r="CA78" s="173">
        <f t="shared" si="295"/>
        <v>0.88210663748333795</v>
      </c>
      <c r="CB78" s="5">
        <f t="shared" si="296"/>
        <v>88.210663748333801</v>
      </c>
      <c r="CE78" s="562">
        <f t="shared" si="232"/>
        <v>-50</v>
      </c>
      <c r="CF78">
        <f t="shared" si="233"/>
        <v>-50</v>
      </c>
      <c r="CG78" s="173">
        <f t="shared" si="234"/>
        <v>0.82073646465032657</v>
      </c>
      <c r="CI78" s="170">
        <v>73</v>
      </c>
      <c r="CJ78" s="217">
        <f t="shared" si="297"/>
        <v>7.3</v>
      </c>
      <c r="CK78" s="217"/>
      <c r="CL78" s="217">
        <f t="shared" si="235"/>
        <v>109.5</v>
      </c>
      <c r="CM78" s="541">
        <f t="shared" si="236"/>
        <v>72</v>
      </c>
      <c r="CN78" s="172">
        <f t="shared" si="237"/>
        <v>15.4</v>
      </c>
      <c r="CO78" s="443">
        <f t="shared" si="238"/>
        <v>87.4</v>
      </c>
      <c r="CP78" s="443"/>
      <c r="CQ78" s="217">
        <f t="shared" si="239"/>
        <v>0.17620137299771166</v>
      </c>
      <c r="CR78" s="172">
        <f t="shared" si="240"/>
        <v>318.30425629290613</v>
      </c>
      <c r="CS78" s="172">
        <f t="shared" si="298"/>
        <v>109.5</v>
      </c>
      <c r="CT78" s="217">
        <f t="shared" si="241"/>
        <v>21.220283752860407</v>
      </c>
      <c r="CU78" s="217">
        <f t="shared" si="242"/>
        <v>15</v>
      </c>
      <c r="CV78" s="217">
        <f t="shared" si="243"/>
        <v>21.144164759725399</v>
      </c>
      <c r="CW78" s="172">
        <f t="shared" si="244"/>
        <v>174.73978254659193</v>
      </c>
      <c r="CX78" s="172">
        <f t="shared" si="245"/>
        <v>15</v>
      </c>
      <c r="CY78" s="217">
        <f t="shared" si="246"/>
        <v>17.262445887445889</v>
      </c>
      <c r="CZ78" s="217">
        <f t="shared" si="247"/>
        <v>2.8770743145743154</v>
      </c>
      <c r="DA78" s="217">
        <f t="shared" si="248"/>
        <v>13.451256535672123</v>
      </c>
      <c r="DB78" s="197">
        <f t="shared" si="249"/>
        <v>105.72082379862701</v>
      </c>
      <c r="DC78" s="443">
        <f t="shared" si="299"/>
        <v>61.24324703923471</v>
      </c>
      <c r="DE78" s="217">
        <f t="shared" si="250"/>
        <v>9.9999999999999982</v>
      </c>
      <c r="DF78" s="173">
        <f t="shared" si="251"/>
        <v>7.7922077922077895</v>
      </c>
      <c r="DG78" s="173">
        <f t="shared" si="252"/>
        <v>4.118993135011439</v>
      </c>
      <c r="DH78" s="173"/>
      <c r="DI78" s="173">
        <f t="shared" si="253"/>
        <v>7.7922077922077913</v>
      </c>
      <c r="DJ78" s="545">
        <f t="shared" si="300"/>
        <v>187.36666666666665</v>
      </c>
      <c r="DK78" s="528">
        <f t="shared" si="254"/>
        <v>4.1189931350114417</v>
      </c>
      <c r="DM78" s="173">
        <f t="shared" si="255"/>
        <v>7.316647684105976</v>
      </c>
      <c r="DN78" s="173">
        <f t="shared" si="256"/>
        <v>17.262445887445889</v>
      </c>
      <c r="DO78" s="173">
        <f t="shared" si="257"/>
        <v>6.5795895462562139</v>
      </c>
      <c r="DQ78" s="545">
        <f t="shared" si="258"/>
        <v>7300</v>
      </c>
      <c r="DR78" s="460">
        <f t="shared" si="259"/>
        <v>61.24324703923471</v>
      </c>
      <c r="DT78">
        <f t="shared" si="260"/>
        <v>7300</v>
      </c>
      <c r="DU78">
        <f t="shared" si="261"/>
        <v>61.24324703923471</v>
      </c>
      <c r="DW78" s="5">
        <f t="shared" si="301"/>
        <v>16.328330850246438</v>
      </c>
      <c r="DX78" s="5">
        <f t="shared" si="262"/>
        <v>2.8770743145743154</v>
      </c>
      <c r="DY78" s="5">
        <f t="shared" si="302"/>
        <v>13.451256535672123</v>
      </c>
      <c r="DZ78" s="5">
        <f t="shared" si="263"/>
        <v>13.451256535672123</v>
      </c>
      <c r="EA78" s="173">
        <f t="shared" si="303"/>
        <v>0.17620137299771169</v>
      </c>
      <c r="EB78" s="173">
        <f t="shared" si="264"/>
        <v>109.49999999999999</v>
      </c>
      <c r="EC78" s="173">
        <f t="shared" si="265"/>
        <v>7.1103896103896114</v>
      </c>
      <c r="ED78" s="173">
        <f t="shared" si="304"/>
        <v>15.399999999999995</v>
      </c>
      <c r="EE78" s="460">
        <f t="shared" si="266"/>
        <v>140.01761664261667</v>
      </c>
      <c r="EF78" s="5">
        <f t="shared" si="267"/>
        <v>5.6825331429633392</v>
      </c>
      <c r="EG78" s="5"/>
      <c r="EH78" s="173">
        <f t="shared" si="305"/>
        <v>4.1835633233318088</v>
      </c>
      <c r="EI78" s="173">
        <f t="shared" si="268"/>
        <v>9.0459094213170239</v>
      </c>
      <c r="EJ78" s="173"/>
      <c r="EK78" s="528">
        <f t="shared" si="269"/>
        <v>0.35004404160654173</v>
      </c>
      <c r="EL78" s="528">
        <f t="shared" si="270"/>
        <v>1.8479999999999996</v>
      </c>
      <c r="EM78" s="528">
        <f t="shared" si="271"/>
        <v>7.6554058799043392E-3</v>
      </c>
      <c r="EN78" s="528">
        <f t="shared" si="272"/>
        <v>4.6782246575342468E-2</v>
      </c>
      <c r="EO78">
        <f t="shared" si="273"/>
        <v>3.2399999999999998E-2</v>
      </c>
      <c r="EP78" s="460">
        <f t="shared" si="306"/>
        <v>40.055405879904342</v>
      </c>
      <c r="EQ78" s="528">
        <f t="shared" si="274"/>
        <v>2.5952409827654721</v>
      </c>
      <c r="ER78" s="460">
        <f t="shared" si="307"/>
        <v>2595.2409827654719</v>
      </c>
      <c r="ES78" s="528">
        <f t="shared" si="308"/>
        <v>4.535124999999999</v>
      </c>
      <c r="ET78" s="528"/>
      <c r="EV78" s="460">
        <f t="shared" si="309"/>
        <v>4535.1249999999991</v>
      </c>
      <c r="EW78" s="528">
        <f t="shared" si="275"/>
        <v>0.52506606240981257</v>
      </c>
      <c r="EX78" s="528">
        <f t="shared" si="276"/>
        <v>2.4548543177601627</v>
      </c>
      <c r="EY78" s="528">
        <f t="shared" si="277"/>
        <v>1.8170687138586994</v>
      </c>
      <c r="EZ78" s="528">
        <f t="shared" si="278"/>
        <v>7.2375576221387288</v>
      </c>
      <c r="FA78" s="528">
        <f t="shared" si="279"/>
        <v>1.8249999999999999E-2</v>
      </c>
      <c r="FB78" s="460">
        <f t="shared" si="310"/>
        <v>7255.8076221387291</v>
      </c>
      <c r="FC78" s="173">
        <f t="shared" si="311"/>
        <v>14.386173604904199</v>
      </c>
      <c r="FD78" s="5">
        <f t="shared" si="312"/>
        <v>109.5</v>
      </c>
      <c r="FE78" s="173">
        <f t="shared" si="313"/>
        <v>0.88387587422964276</v>
      </c>
      <c r="FF78" s="5">
        <f t="shared" si="314"/>
        <v>88.387587422964273</v>
      </c>
      <c r="FI78" s="562">
        <f t="shared" si="280"/>
        <v>-50</v>
      </c>
      <c r="FJ78">
        <f t="shared" si="281"/>
        <v>-50</v>
      </c>
      <c r="FL78">
        <f t="shared" si="282"/>
        <v>0.82379862700228834</v>
      </c>
    </row>
    <row r="79" spans="5:168">
      <c r="E79" s="170">
        <v>74</v>
      </c>
      <c r="F79" s="217">
        <f t="shared" si="283"/>
        <v>7.4</v>
      </c>
      <c r="G79" s="217"/>
      <c r="H79" s="217">
        <f t="shared" si="183"/>
        <v>111</v>
      </c>
      <c r="I79" s="541">
        <f t="shared" si="184"/>
        <v>71.549208105270395</v>
      </c>
      <c r="J79" s="172">
        <f t="shared" si="185"/>
        <v>15.670475136837762</v>
      </c>
      <c r="K79" s="172">
        <f t="shared" si="186"/>
        <v>87.670475136837766</v>
      </c>
      <c r="L79" s="443"/>
      <c r="M79" s="217">
        <f t="shared" si="187"/>
        <v>0.17965739997788924</v>
      </c>
      <c r="N79" s="172">
        <f t="shared" si="188"/>
        <v>322.51550848962523</v>
      </c>
      <c r="O79" s="172">
        <f t="shared" si="284"/>
        <v>111</v>
      </c>
      <c r="P79" s="217">
        <f t="shared" si="189"/>
        <v>21.50103389930835</v>
      </c>
      <c r="Q79" s="217">
        <f t="shared" si="190"/>
        <v>15</v>
      </c>
      <c r="R79" s="217">
        <f t="shared" si="191"/>
        <v>21.423907831116328</v>
      </c>
      <c r="S79" s="172">
        <f t="shared" si="192"/>
        <v>170.33871224357802</v>
      </c>
      <c r="T79" s="172">
        <f t="shared" si="193"/>
        <v>15</v>
      </c>
      <c r="U79" s="217">
        <f t="shared" si="194"/>
        <v>18.041242768083841</v>
      </c>
      <c r="V79" s="217">
        <f t="shared" si="195"/>
        <v>3.0258184395063745</v>
      </c>
      <c r="W79" s="217">
        <f t="shared" si="196"/>
        <v>13.815465793253152</v>
      </c>
      <c r="X79" s="197">
        <f t="shared" si="197"/>
        <v>107.12510114276301</v>
      </c>
      <c r="Y79" s="443">
        <f t="shared" si="198"/>
        <v>58.681023468738196</v>
      </c>
      <c r="AA79" s="217">
        <f t="shared" si="199"/>
        <v>10</v>
      </c>
      <c r="AB79" s="173">
        <f t="shared" si="200"/>
        <v>7.6577129252390694</v>
      </c>
      <c r="AC79" s="173">
        <f t="shared" si="201"/>
        <v>4.1016663581923947</v>
      </c>
      <c r="AD79" s="173"/>
      <c r="AE79" s="173">
        <f t="shared" si="202"/>
        <v>7.6577129252390694</v>
      </c>
      <c r="AF79" s="545">
        <f t="shared" si="203"/>
        <v>193.26919335433237</v>
      </c>
      <c r="AG79" s="528">
        <f t="shared" si="204"/>
        <v>4.1016663581923956</v>
      </c>
      <c r="AI79" s="173">
        <f t="shared" si="205"/>
        <v>7.4310005739341225</v>
      </c>
      <c r="AJ79" s="173">
        <f t="shared" si="206"/>
        <v>18.041242768083841</v>
      </c>
      <c r="AK79" s="173">
        <f t="shared" si="207"/>
        <v>7.1564761245065487</v>
      </c>
      <c r="AM79" s="545">
        <f t="shared" si="208"/>
        <v>7400</v>
      </c>
      <c r="AN79" s="460">
        <f t="shared" si="209"/>
        <v>58.681023468738196</v>
      </c>
      <c r="AP79">
        <f t="shared" si="210"/>
        <v>7400</v>
      </c>
      <c r="AQ79">
        <f t="shared" si="211"/>
        <v>58.681023468738196</v>
      </c>
      <c r="AS79" s="5">
        <f t="shared" si="285"/>
        <v>17.041284232759526</v>
      </c>
      <c r="AT79" s="5">
        <f t="shared" si="212"/>
        <v>3.0258184395063745</v>
      </c>
      <c r="AU79" s="5">
        <f t="shared" si="286"/>
        <v>14.015465793253153</v>
      </c>
      <c r="AV79" s="5">
        <f t="shared" si="213"/>
        <v>13.815465793253152</v>
      </c>
      <c r="AW79" s="173">
        <f t="shared" si="287"/>
        <v>0.17755812286081435</v>
      </c>
      <c r="AX79" s="173">
        <f t="shared" si="214"/>
        <v>114.59926476359144</v>
      </c>
      <c r="AY79" s="173">
        <f t="shared" si="215"/>
        <v>7.418936784053316</v>
      </c>
      <c r="AZ79" s="173">
        <f t="shared" si="288"/>
        <v>15.446858235794325</v>
      </c>
      <c r="BA79" s="460">
        <f t="shared" si="216"/>
        <v>149.27370968231449</v>
      </c>
      <c r="BB79" s="5">
        <f t="shared" si="217"/>
        <v>6.0398086864845872</v>
      </c>
      <c r="BC79" s="5"/>
      <c r="BD79" s="173">
        <f t="shared" si="289"/>
        <v>4.3891062648558776</v>
      </c>
      <c r="BE79" s="173">
        <f t="shared" si="218"/>
        <v>9.4462281573889975</v>
      </c>
      <c r="BF79" s="173"/>
      <c r="BG79" s="528">
        <f t="shared" si="219"/>
        <v>0.3852850760839423</v>
      </c>
      <c r="BH79" s="528">
        <f t="shared" si="220"/>
        <v>1.740278531755669</v>
      </c>
      <c r="BI79" s="528">
        <f t="shared" si="221"/>
        <v>0.10496451899987512</v>
      </c>
      <c r="BJ79" s="528">
        <f t="shared" si="222"/>
        <v>4.5102893102055029E-2</v>
      </c>
      <c r="BK79">
        <f t="shared" si="223"/>
        <v>3.2197143647371675E-2</v>
      </c>
      <c r="BL79" s="460">
        <f t="shared" si="290"/>
        <v>137.1616626472468</v>
      </c>
      <c r="BM79" s="528">
        <f t="shared" si="224"/>
        <v>2.503910817516994</v>
      </c>
      <c r="BN79" s="460">
        <f t="shared" si="291"/>
        <v>2503.910817516994</v>
      </c>
      <c r="BO79" s="528">
        <f t="shared" si="225"/>
        <v>4.5972499999999998</v>
      </c>
      <c r="BP79" s="528"/>
      <c r="BR79" s="460">
        <f t="shared" si="292"/>
        <v>4597.25</v>
      </c>
      <c r="BS79" s="528">
        <f t="shared" si="226"/>
        <v>0.57792761412591342</v>
      </c>
      <c r="BT79" s="528">
        <f t="shared" si="227"/>
        <v>2.6769367920434619</v>
      </c>
      <c r="BU79" s="528">
        <f t="shared" si="228"/>
        <v>1.665</v>
      </c>
      <c r="BV79" s="528">
        <f t="shared" si="229"/>
        <v>7.7081506887989608</v>
      </c>
      <c r="BW79" s="528">
        <f t="shared" si="230"/>
        <v>1.9099877460598571E-2</v>
      </c>
      <c r="BX79" s="460">
        <f t="shared" si="293"/>
        <v>7727.2505662595586</v>
      </c>
      <c r="BY79" s="173">
        <f t="shared" si="231"/>
        <v>14.965573046423799</v>
      </c>
      <c r="BZ79" s="5">
        <f t="shared" si="294"/>
        <v>111</v>
      </c>
      <c r="CA79" s="173">
        <f t="shared" si="295"/>
        <v>0.88119314917173175</v>
      </c>
      <c r="CB79" s="5">
        <f t="shared" si="296"/>
        <v>88.11931491717317</v>
      </c>
      <c r="CE79" s="562">
        <f t="shared" si="232"/>
        <v>-50</v>
      </c>
      <c r="CF79">
        <f t="shared" si="233"/>
        <v>-50</v>
      </c>
      <c r="CG79" s="173">
        <f t="shared" si="234"/>
        <v>0.8207778452226504</v>
      </c>
      <c r="CI79" s="170">
        <v>74</v>
      </c>
      <c r="CJ79" s="217">
        <f t="shared" si="297"/>
        <v>7.4</v>
      </c>
      <c r="CK79" s="217"/>
      <c r="CL79" s="217">
        <f t="shared" si="235"/>
        <v>111</v>
      </c>
      <c r="CM79" s="541">
        <f t="shared" si="236"/>
        <v>72</v>
      </c>
      <c r="CN79" s="172">
        <f t="shared" si="237"/>
        <v>15.4</v>
      </c>
      <c r="CO79" s="443">
        <f t="shared" si="238"/>
        <v>87.4</v>
      </c>
      <c r="CP79" s="443"/>
      <c r="CQ79" s="217">
        <f t="shared" si="239"/>
        <v>0.17620137299771166</v>
      </c>
      <c r="CR79" s="172">
        <f t="shared" si="240"/>
        <v>318.30425629290613</v>
      </c>
      <c r="CS79" s="172">
        <f t="shared" si="298"/>
        <v>111</v>
      </c>
      <c r="CT79" s="217">
        <f t="shared" si="241"/>
        <v>21.220283752860407</v>
      </c>
      <c r="CU79" s="217">
        <f t="shared" si="242"/>
        <v>15</v>
      </c>
      <c r="CV79" s="217">
        <f t="shared" si="243"/>
        <v>21.144164759725399</v>
      </c>
      <c r="CW79" s="172">
        <f t="shared" si="244"/>
        <v>171.41086942484867</v>
      </c>
      <c r="CX79" s="172">
        <f t="shared" si="245"/>
        <v>15</v>
      </c>
      <c r="CY79" s="217">
        <f t="shared" si="246"/>
        <v>17.498917748917751</v>
      </c>
      <c r="CZ79" s="217">
        <f t="shared" si="247"/>
        <v>2.9164862914862919</v>
      </c>
      <c r="DA79" s="217">
        <f t="shared" si="248"/>
        <v>13.635520323832013</v>
      </c>
      <c r="DB79" s="197">
        <f t="shared" si="249"/>
        <v>105.72082379862701</v>
      </c>
      <c r="DC79" s="443">
        <f t="shared" si="299"/>
        <v>60.415635592758576</v>
      </c>
      <c r="DE79" s="217">
        <f t="shared" si="250"/>
        <v>9.9999999999999982</v>
      </c>
      <c r="DF79" s="173">
        <f t="shared" si="251"/>
        <v>7.7922077922077895</v>
      </c>
      <c r="DG79" s="173">
        <f t="shared" si="252"/>
        <v>4.118993135011439</v>
      </c>
      <c r="DH79" s="173"/>
      <c r="DI79" s="173">
        <f t="shared" si="253"/>
        <v>7.7922077922077913</v>
      </c>
      <c r="DJ79" s="545">
        <f t="shared" si="300"/>
        <v>189.93333333333334</v>
      </c>
      <c r="DK79" s="528">
        <f t="shared" si="254"/>
        <v>4.1189931350114417</v>
      </c>
      <c r="DM79" s="173">
        <f t="shared" si="255"/>
        <v>7.3665912514993437</v>
      </c>
      <c r="DN79" s="173">
        <f t="shared" si="256"/>
        <v>17.498917748917751</v>
      </c>
      <c r="DO79" s="173">
        <f t="shared" si="257"/>
        <v>6.7547538880872233</v>
      </c>
      <c r="DQ79" s="545">
        <f t="shared" si="258"/>
        <v>7400</v>
      </c>
      <c r="DR79" s="460">
        <f t="shared" si="259"/>
        <v>60.415635592758576</v>
      </c>
      <c r="DT79">
        <f t="shared" si="260"/>
        <v>7400</v>
      </c>
      <c r="DU79">
        <f t="shared" si="261"/>
        <v>60.415635592758576</v>
      </c>
      <c r="DW79" s="5">
        <f t="shared" si="301"/>
        <v>16.552006615318305</v>
      </c>
      <c r="DX79" s="5">
        <f t="shared" si="262"/>
        <v>2.9164862914862919</v>
      </c>
      <c r="DY79" s="5">
        <f t="shared" si="302"/>
        <v>13.635520323832013</v>
      </c>
      <c r="DZ79" s="5">
        <f t="shared" si="263"/>
        <v>13.635520323832013</v>
      </c>
      <c r="EA79" s="173">
        <f t="shared" si="303"/>
        <v>0.17620137299771169</v>
      </c>
      <c r="EB79" s="173">
        <f t="shared" si="264"/>
        <v>111.00000000000001</v>
      </c>
      <c r="EC79" s="173">
        <f t="shared" si="265"/>
        <v>7.2077922077922087</v>
      </c>
      <c r="ED79" s="173">
        <f t="shared" si="304"/>
        <v>15.4</v>
      </c>
      <c r="EE79" s="460">
        <f t="shared" si="266"/>
        <v>143.87999037999037</v>
      </c>
      <c r="EF79" s="5">
        <f t="shared" si="267"/>
        <v>5.8392853238632467</v>
      </c>
      <c r="EG79" s="5"/>
      <c r="EH79" s="173">
        <f t="shared" si="305"/>
        <v>4.2408724099527921</v>
      </c>
      <c r="EI79" s="173">
        <f t="shared" si="268"/>
        <v>9.1698259887323257</v>
      </c>
      <c r="EJ79" s="173"/>
      <c r="EK79" s="528">
        <f t="shared" si="269"/>
        <v>0.3596999759499761</v>
      </c>
      <c r="EL79" s="528">
        <f t="shared" si="270"/>
        <v>1.8480000000000003</v>
      </c>
      <c r="EM79" s="528">
        <f t="shared" si="271"/>
        <v>7.5519544490948217E-3</v>
      </c>
      <c r="EN79" s="528">
        <f t="shared" si="272"/>
        <v>4.6150054054054063E-2</v>
      </c>
      <c r="EO79">
        <f t="shared" si="273"/>
        <v>3.2399999999999998E-2</v>
      </c>
      <c r="EP79" s="460">
        <f t="shared" si="306"/>
        <v>39.951954449094821</v>
      </c>
      <c r="EQ79" s="528">
        <f t="shared" si="274"/>
        <v>2.6143561821042494</v>
      </c>
      <c r="ER79" s="460">
        <f t="shared" si="307"/>
        <v>2614.3561821042495</v>
      </c>
      <c r="ES79" s="528">
        <f t="shared" si="308"/>
        <v>4.5972499999999998</v>
      </c>
      <c r="ET79" s="528"/>
      <c r="EV79" s="460">
        <f t="shared" si="309"/>
        <v>4597.25</v>
      </c>
      <c r="EW79" s="528">
        <f t="shared" si="275"/>
        <v>0.53954996392496413</v>
      </c>
      <c r="EX79" s="528">
        <f t="shared" si="276"/>
        <v>2.5225712599089229</v>
      </c>
      <c r="EY79" s="528">
        <f t="shared" si="277"/>
        <v>1.8170687138587012</v>
      </c>
      <c r="EZ79" s="528">
        <f t="shared" si="278"/>
        <v>7.4355943276023133</v>
      </c>
      <c r="FA79" s="528">
        <f t="shared" si="279"/>
        <v>1.8500000000000006E-2</v>
      </c>
      <c r="FB79" s="460">
        <f t="shared" si="310"/>
        <v>7454.0943276023136</v>
      </c>
      <c r="FC79" s="173">
        <f t="shared" si="311"/>
        <v>14.665700509706562</v>
      </c>
      <c r="FD79" s="5">
        <f t="shared" si="312"/>
        <v>111</v>
      </c>
      <c r="FE79" s="173">
        <f t="shared" si="313"/>
        <v>0.88329591566973542</v>
      </c>
      <c r="FF79" s="5">
        <f t="shared" si="314"/>
        <v>88.329591566973548</v>
      </c>
      <c r="FI79" s="562">
        <f t="shared" si="280"/>
        <v>-50</v>
      </c>
      <c r="FJ79">
        <f t="shared" si="281"/>
        <v>-50</v>
      </c>
      <c r="FL79">
        <f t="shared" si="282"/>
        <v>0.82379862700228834</v>
      </c>
    </row>
    <row r="80" spans="5:168">
      <c r="E80" s="170">
        <v>75</v>
      </c>
      <c r="F80" s="217">
        <f t="shared" si="283"/>
        <v>7.5</v>
      </c>
      <c r="G80" s="217"/>
      <c r="H80" s="217">
        <f t="shared" si="183"/>
        <v>112.5</v>
      </c>
      <c r="I80" s="541">
        <f t="shared" si="184"/>
        <v>71.543138741938037</v>
      </c>
      <c r="J80" s="172">
        <f t="shared" si="185"/>
        <v>15.674116754837181</v>
      </c>
      <c r="K80" s="172">
        <f t="shared" si="186"/>
        <v>87.674116754837186</v>
      </c>
      <c r="L80" s="443"/>
      <c r="M80" s="217">
        <f t="shared" si="187"/>
        <v>0.1797041552522223</v>
      </c>
      <c r="N80" s="172">
        <f t="shared" si="188"/>
        <v>322.57207673086697</v>
      </c>
      <c r="O80" s="172">
        <f t="shared" si="284"/>
        <v>112.5</v>
      </c>
      <c r="P80" s="217">
        <f t="shared" si="189"/>
        <v>21.504805115391132</v>
      </c>
      <c r="Q80" s="217">
        <f t="shared" si="190"/>
        <v>15</v>
      </c>
      <c r="R80" s="217">
        <f t="shared" si="191"/>
        <v>21.427665519520858</v>
      </c>
      <c r="S80" s="172">
        <f t="shared" si="192"/>
        <v>167.1048347531181</v>
      </c>
      <c r="T80" s="172">
        <f t="shared" si="193"/>
        <v>15</v>
      </c>
      <c r="U80" s="217">
        <f t="shared" si="194"/>
        <v>18.286085558085645</v>
      </c>
      <c r="V80" s="217">
        <f t="shared" si="195"/>
        <v>3.0671428533285443</v>
      </c>
      <c r="W80" s="217">
        <f t="shared" si="196"/>
        <v>13.999706020392418</v>
      </c>
      <c r="X80" s="197">
        <f t="shared" si="197"/>
        <v>107.14388867790367</v>
      </c>
      <c r="Y80" s="443">
        <f t="shared" si="198"/>
        <v>57.914446770999191</v>
      </c>
      <c r="AA80" s="217">
        <f t="shared" si="199"/>
        <v>10</v>
      </c>
      <c r="AB80" s="173">
        <f t="shared" si="200"/>
        <v>7.6559337841455628</v>
      </c>
      <c r="AC80" s="173">
        <f t="shared" si="201"/>
        <v>4.1014325854694702</v>
      </c>
      <c r="AD80" s="173"/>
      <c r="AE80" s="173">
        <f t="shared" si="202"/>
        <v>7.6559337841455628</v>
      </c>
      <c r="AF80" s="545">
        <f t="shared" si="203"/>
        <v>195.92645943546478</v>
      </c>
      <c r="AG80" s="528">
        <f t="shared" si="204"/>
        <v>4.1014325854694702</v>
      </c>
      <c r="AI80" s="173">
        <f t="shared" si="205"/>
        <v>7.4819107459346768</v>
      </c>
      <c r="AJ80" s="173">
        <f t="shared" si="206"/>
        <v>18.286085558085645</v>
      </c>
      <c r="AK80" s="173">
        <f t="shared" si="207"/>
        <v>7.3378411541375153</v>
      </c>
      <c r="AM80" s="545">
        <f t="shared" si="208"/>
        <v>7500</v>
      </c>
      <c r="AN80" s="460">
        <f t="shared" si="209"/>
        <v>57.914446770999191</v>
      </c>
      <c r="AP80">
        <f t="shared" si="210"/>
        <v>7500</v>
      </c>
      <c r="AQ80">
        <f t="shared" si="211"/>
        <v>57.914446770999191</v>
      </c>
      <c r="AS80" s="5">
        <f t="shared" si="285"/>
        <v>17.26684887372096</v>
      </c>
      <c r="AT80" s="5">
        <f t="shared" si="212"/>
        <v>3.0671428533285443</v>
      </c>
      <c r="AU80" s="5">
        <f t="shared" si="286"/>
        <v>14.199706020392416</v>
      </c>
      <c r="AV80" s="5">
        <f t="shared" si="213"/>
        <v>13.999706020392418</v>
      </c>
      <c r="AW80" s="173">
        <f t="shared" si="287"/>
        <v>0.17763188151814657</v>
      </c>
      <c r="AX80" s="173">
        <f t="shared" si="214"/>
        <v>116.1929177059752</v>
      </c>
      <c r="AY80" s="173">
        <f t="shared" si="215"/>
        <v>7.5189468874005421</v>
      </c>
      <c r="AZ80" s="173">
        <f t="shared" si="288"/>
        <v>15.453349976534485</v>
      </c>
      <c r="BA80" s="460">
        <f t="shared" si="216"/>
        <v>153.35714266642719</v>
      </c>
      <c r="BB80" s="5">
        <f t="shared" si="217"/>
        <v>6.2024230546813497</v>
      </c>
      <c r="BC80" s="5"/>
      <c r="BD80" s="173">
        <f t="shared" si="289"/>
        <v>4.4495959688572571</v>
      </c>
      <c r="BE80" s="173">
        <f t="shared" si="218"/>
        <v>9.5739962429387528</v>
      </c>
      <c r="BF80" s="173"/>
      <c r="BG80" s="528">
        <f t="shared" si="219"/>
        <v>0.39597808572141502</v>
      </c>
      <c r="BH80" s="528">
        <f t="shared" si="220"/>
        <v>1.740926078855074</v>
      </c>
      <c r="BI80" s="528">
        <f t="shared" si="221"/>
        <v>0.1035845325125045</v>
      </c>
      <c r="BJ80" s="528">
        <f t="shared" si="222"/>
        <v>4.4517391707988858E-2</v>
      </c>
      <c r="BK80">
        <f t="shared" si="223"/>
        <v>3.2194412433872117E-2</v>
      </c>
      <c r="BL80" s="460">
        <f t="shared" si="290"/>
        <v>135.77894494637664</v>
      </c>
      <c r="BM80" s="528">
        <f t="shared" si="224"/>
        <v>2.525992070530839</v>
      </c>
      <c r="BN80" s="460">
        <f t="shared" si="291"/>
        <v>2525.9920705308391</v>
      </c>
      <c r="BO80" s="528">
        <f t="shared" si="225"/>
        <v>4.6593749999999998</v>
      </c>
      <c r="BP80" s="528"/>
      <c r="BR80" s="460">
        <f t="shared" si="292"/>
        <v>4659.375</v>
      </c>
      <c r="BS80" s="528">
        <f t="shared" si="226"/>
        <v>0.59396712858212253</v>
      </c>
      <c r="BT80" s="528">
        <f t="shared" si="227"/>
        <v>2.7498421217941602</v>
      </c>
      <c r="BU80" s="528">
        <f t="shared" si="228"/>
        <v>1.6875</v>
      </c>
      <c r="BV80" s="528">
        <f t="shared" si="229"/>
        <v>7.9643156608362728</v>
      </c>
      <c r="BW80" s="528">
        <f t="shared" si="230"/>
        <v>1.9365486284329204E-2</v>
      </c>
      <c r="BX80" s="460">
        <f t="shared" si="293"/>
        <v>7983.681147120602</v>
      </c>
      <c r="BY80" s="173">
        <f t="shared" si="231"/>
        <v>15.304827162597817</v>
      </c>
      <c r="BZ80" s="5">
        <f t="shared" si="294"/>
        <v>112.5</v>
      </c>
      <c r="CA80" s="173">
        <f t="shared" si="295"/>
        <v>0.88024844207858854</v>
      </c>
      <c r="CB80" s="5">
        <f t="shared" si="296"/>
        <v>88.024844207858848</v>
      </c>
      <c r="CE80" s="562">
        <f t="shared" si="232"/>
        <v>-50</v>
      </c>
      <c r="CF80">
        <f t="shared" si="233"/>
        <v>-50</v>
      </c>
      <c r="CG80" s="173">
        <f t="shared" si="234"/>
        <v>0.82081812231304563</v>
      </c>
      <c r="CI80" s="170">
        <v>75</v>
      </c>
      <c r="CJ80" s="217">
        <f t="shared" si="297"/>
        <v>7.5</v>
      </c>
      <c r="CK80" s="217"/>
      <c r="CL80" s="217">
        <f t="shared" si="235"/>
        <v>112.5</v>
      </c>
      <c r="CM80" s="541">
        <f t="shared" si="236"/>
        <v>72</v>
      </c>
      <c r="CN80" s="172">
        <f t="shared" si="237"/>
        <v>15.4</v>
      </c>
      <c r="CO80" s="443">
        <f t="shared" si="238"/>
        <v>87.4</v>
      </c>
      <c r="CP80" s="443"/>
      <c r="CQ80" s="217">
        <f t="shared" si="239"/>
        <v>0.17620137299771166</v>
      </c>
      <c r="CR80" s="172">
        <f t="shared" si="240"/>
        <v>318.30425629290613</v>
      </c>
      <c r="CS80" s="172">
        <f t="shared" si="298"/>
        <v>112.5</v>
      </c>
      <c r="CT80" s="217">
        <f t="shared" si="241"/>
        <v>21.220283752860407</v>
      </c>
      <c r="CU80" s="217">
        <f t="shared" si="242"/>
        <v>15</v>
      </c>
      <c r="CV80" s="217">
        <f t="shared" si="243"/>
        <v>21.144164759725399</v>
      </c>
      <c r="CW80" s="172">
        <f t="shared" si="244"/>
        <v>168.17084804599278</v>
      </c>
      <c r="CX80" s="172">
        <f t="shared" si="245"/>
        <v>15</v>
      </c>
      <c r="CY80" s="217">
        <f t="shared" si="246"/>
        <v>17.73538961038961</v>
      </c>
      <c r="CZ80" s="217">
        <f t="shared" si="247"/>
        <v>2.9558982683982684</v>
      </c>
      <c r="DA80" s="217">
        <f t="shared" si="248"/>
        <v>13.819784111991904</v>
      </c>
      <c r="DB80" s="197">
        <f t="shared" si="249"/>
        <v>105.72082379862701</v>
      </c>
      <c r="DC80" s="443">
        <f t="shared" si="299"/>
        <v>59.610093784855138</v>
      </c>
      <c r="DE80" s="217">
        <f t="shared" si="250"/>
        <v>9.9999999999999982</v>
      </c>
      <c r="DF80" s="173">
        <f t="shared" si="251"/>
        <v>7.7922077922077895</v>
      </c>
      <c r="DG80" s="173">
        <f t="shared" si="252"/>
        <v>4.118993135011439</v>
      </c>
      <c r="DH80" s="173"/>
      <c r="DI80" s="173">
        <f t="shared" si="253"/>
        <v>7.7922077922077913</v>
      </c>
      <c r="DJ80" s="545">
        <f t="shared" si="300"/>
        <v>192.5</v>
      </c>
      <c r="DK80" s="528">
        <f t="shared" si="254"/>
        <v>4.1189931350114417</v>
      </c>
      <c r="DM80" s="173">
        <f t="shared" si="255"/>
        <v>7.4161984870956639</v>
      </c>
      <c r="DN80" s="173">
        <f t="shared" si="256"/>
        <v>17.73538961038961</v>
      </c>
      <c r="DO80" s="173">
        <f t="shared" si="257"/>
        <v>6.92991822991823</v>
      </c>
      <c r="DQ80" s="545">
        <f t="shared" si="258"/>
        <v>7500</v>
      </c>
      <c r="DR80" s="460">
        <f t="shared" si="259"/>
        <v>59.610093784855138</v>
      </c>
      <c r="DT80">
        <f t="shared" si="260"/>
        <v>7500</v>
      </c>
      <c r="DU80">
        <f t="shared" si="261"/>
        <v>59.610093784855138</v>
      </c>
      <c r="DW80" s="5">
        <f t="shared" si="301"/>
        <v>16.775682380390172</v>
      </c>
      <c r="DX80" s="5">
        <f t="shared" si="262"/>
        <v>2.9558982683982684</v>
      </c>
      <c r="DY80" s="5">
        <f t="shared" si="302"/>
        <v>13.819784111991904</v>
      </c>
      <c r="DZ80" s="5">
        <f t="shared" si="263"/>
        <v>13.819784111991904</v>
      </c>
      <c r="EA80" s="173">
        <f t="shared" si="303"/>
        <v>0.17620137299771169</v>
      </c>
      <c r="EB80" s="173">
        <f t="shared" si="264"/>
        <v>112.5</v>
      </c>
      <c r="EC80" s="173">
        <f t="shared" si="265"/>
        <v>7.3051948051948052</v>
      </c>
      <c r="ED80" s="173">
        <f t="shared" si="304"/>
        <v>15.4</v>
      </c>
      <c r="EE80" s="460">
        <f t="shared" si="266"/>
        <v>147.7949134199134</v>
      </c>
      <c r="EF80" s="5">
        <f t="shared" si="267"/>
        <v>5.9981701874964859</v>
      </c>
      <c r="EG80" s="5"/>
      <c r="EH80" s="173">
        <f t="shared" si="305"/>
        <v>4.2981814965737755</v>
      </c>
      <c r="EI80" s="173">
        <f t="shared" si="268"/>
        <v>9.2937425561476257</v>
      </c>
      <c r="EJ80" s="173"/>
      <c r="EK80" s="528">
        <f t="shared" si="269"/>
        <v>0.36948728354978355</v>
      </c>
      <c r="EL80" s="528">
        <f t="shared" si="270"/>
        <v>1.8480000000000003</v>
      </c>
      <c r="EM80" s="528">
        <f t="shared" si="271"/>
        <v>7.4512617231068919E-3</v>
      </c>
      <c r="EN80" s="528">
        <f t="shared" si="272"/>
        <v>4.5534720000000015E-2</v>
      </c>
      <c r="EO80">
        <f t="shared" si="273"/>
        <v>3.2399999999999998E-2</v>
      </c>
      <c r="EP80" s="460">
        <f t="shared" si="306"/>
        <v>39.851261723106894</v>
      </c>
      <c r="EQ80" s="528">
        <f t="shared" si="274"/>
        <v>2.6338620516809081</v>
      </c>
      <c r="ER80" s="460">
        <f t="shared" si="307"/>
        <v>2633.8620516809083</v>
      </c>
      <c r="ES80" s="528">
        <f t="shared" si="308"/>
        <v>4.6593749999999998</v>
      </c>
      <c r="ET80" s="528"/>
      <c r="EV80" s="460">
        <f t="shared" si="309"/>
        <v>4659.375</v>
      </c>
      <c r="EW80" s="528">
        <f t="shared" si="275"/>
        <v>0.55423092532467533</v>
      </c>
      <c r="EX80" s="528">
        <f t="shared" si="276"/>
        <v>2.5912095209984822</v>
      </c>
      <c r="EY80" s="528">
        <f t="shared" si="277"/>
        <v>1.8170687138587007</v>
      </c>
      <c r="EZ80" s="528">
        <f t="shared" si="278"/>
        <v>7.6398771562849355</v>
      </c>
      <c r="FA80" s="528">
        <f t="shared" si="279"/>
        <v>1.8750000000000003E-2</v>
      </c>
      <c r="FB80" s="460">
        <f t="shared" si="310"/>
        <v>7658.6271562849352</v>
      </c>
      <c r="FC80" s="173">
        <f t="shared" si="311"/>
        <v>14.951864207965844</v>
      </c>
      <c r="FD80" s="5">
        <f t="shared" si="312"/>
        <v>112.5</v>
      </c>
      <c r="FE80" s="173">
        <f t="shared" si="313"/>
        <v>0.88268618665656728</v>
      </c>
      <c r="FF80" s="5">
        <f t="shared" si="314"/>
        <v>88.268618665656732</v>
      </c>
      <c r="FI80" s="562">
        <f t="shared" si="280"/>
        <v>-50</v>
      </c>
      <c r="FJ80">
        <f t="shared" si="281"/>
        <v>-50</v>
      </c>
      <c r="FL80">
        <f t="shared" si="282"/>
        <v>0.82379862700228834</v>
      </c>
    </row>
    <row r="81" spans="5:168">
      <c r="E81" s="170">
        <v>76</v>
      </c>
      <c r="F81" s="217">
        <f t="shared" si="283"/>
        <v>7.6</v>
      </c>
      <c r="G81" s="217"/>
      <c r="H81" s="217">
        <f t="shared" si="183"/>
        <v>114</v>
      </c>
      <c r="I81" s="541">
        <f t="shared" si="184"/>
        <v>71.537069376463492</v>
      </c>
      <c r="J81" s="172">
        <f t="shared" si="185"/>
        <v>15.677758374121906</v>
      </c>
      <c r="K81" s="172">
        <f t="shared" si="186"/>
        <v>87.677758374121908</v>
      </c>
      <c r="L81" s="443"/>
      <c r="M81" s="217">
        <f t="shared" si="187"/>
        <v>0.17975091313394337</v>
      </c>
      <c r="N81" s="172">
        <f t="shared" si="188"/>
        <v>322.62863540254034</v>
      </c>
      <c r="O81" s="172">
        <f t="shared" si="284"/>
        <v>114</v>
      </c>
      <c r="P81" s="217">
        <f t="shared" si="189"/>
        <v>21.508575693502689</v>
      </c>
      <c r="Q81" s="217">
        <f t="shared" si="190"/>
        <v>15</v>
      </c>
      <c r="R81" s="217">
        <f t="shared" si="191"/>
        <v>21.431422572242617</v>
      </c>
      <c r="S81" s="172">
        <f t="shared" si="192"/>
        <v>163.95634014934217</v>
      </c>
      <c r="T81" s="172">
        <f t="shared" si="193"/>
        <v>15</v>
      </c>
      <c r="U81" s="217">
        <f t="shared" si="194"/>
        <v>18.530956319713766</v>
      </c>
      <c r="V81" s="217">
        <f t="shared" si="195"/>
        <v>3.1084789714593475</v>
      </c>
      <c r="W81" s="217">
        <f t="shared" si="196"/>
        <v>14.183882065921939</v>
      </c>
      <c r="X81" s="197">
        <f t="shared" si="197"/>
        <v>107.16267304189971</v>
      </c>
      <c r="Y81" s="443">
        <f t="shared" si="198"/>
        <v>57.167811587183323</v>
      </c>
      <c r="AA81" s="217">
        <f t="shared" si="199"/>
        <v>10</v>
      </c>
      <c r="AB81" s="173">
        <f t="shared" si="200"/>
        <v>7.6541554689396767</v>
      </c>
      <c r="AC81" s="173">
        <f t="shared" si="201"/>
        <v>4.1011987996492554</v>
      </c>
      <c r="AD81" s="173"/>
      <c r="AE81" s="173">
        <f t="shared" si="202"/>
        <v>7.6541554689396767</v>
      </c>
      <c r="AF81" s="545">
        <f t="shared" si="203"/>
        <v>198.58493940554413</v>
      </c>
      <c r="AG81" s="528">
        <f t="shared" si="204"/>
        <v>4.1011987996492554</v>
      </c>
      <c r="AI81" s="173">
        <f t="shared" si="205"/>
        <v>7.5324998583385154</v>
      </c>
      <c r="AJ81" s="173">
        <f t="shared" si="206"/>
        <v>18.530956319713766</v>
      </c>
      <c r="AK81" s="173">
        <f t="shared" si="207"/>
        <v>7.5192269034916785</v>
      </c>
      <c r="AM81" s="545">
        <f t="shared" si="208"/>
        <v>7600</v>
      </c>
      <c r="AN81" s="460">
        <f t="shared" si="209"/>
        <v>57.167811587183323</v>
      </c>
      <c r="AP81">
        <f t="shared" si="210"/>
        <v>7600</v>
      </c>
      <c r="AQ81">
        <f t="shared" si="211"/>
        <v>57.167811587183323</v>
      </c>
      <c r="AS81" s="5">
        <f t="shared" si="285"/>
        <v>17.492361037381286</v>
      </c>
      <c r="AT81" s="5">
        <f t="shared" si="212"/>
        <v>3.1084789714593475</v>
      </c>
      <c r="AU81" s="5">
        <f t="shared" si="286"/>
        <v>14.383882065921938</v>
      </c>
      <c r="AV81" s="5">
        <f t="shared" si="213"/>
        <v>14.183882065921939</v>
      </c>
      <c r="AW81" s="173">
        <f t="shared" si="287"/>
        <v>0.17770494016310939</v>
      </c>
      <c r="AX81" s="173">
        <f t="shared" si="214"/>
        <v>117.78730431734152</v>
      </c>
      <c r="AY81" s="173">
        <f t="shared" si="215"/>
        <v>7.6189569178769183</v>
      </c>
      <c r="AZ81" s="173">
        <f t="shared" si="288"/>
        <v>15.459767732899042</v>
      </c>
      <c r="BA81" s="460">
        <f t="shared" si="216"/>
        <v>157.49626788727358</v>
      </c>
      <c r="BB81" s="5">
        <f t="shared" si="217"/>
        <v>6.3671828147891096</v>
      </c>
      <c r="BC81" s="5"/>
      <c r="BD81" s="173">
        <f t="shared" si="289"/>
        <v>4.5101081446466136</v>
      </c>
      <c r="BE81" s="173">
        <f t="shared" si="218"/>
        <v>9.7017715855390101</v>
      </c>
      <c r="BF81" s="173"/>
      <c r="BG81" s="528">
        <f t="shared" si="219"/>
        <v>0.40682150952815443</v>
      </c>
      <c r="BH81" s="528">
        <f t="shared" si="220"/>
        <v>1.7415666907069793</v>
      </c>
      <c r="BI81" s="528">
        <f t="shared" si="221"/>
        <v>0.10224044259032317</v>
      </c>
      <c r="BJ81" s="528">
        <f t="shared" si="222"/>
        <v>4.3947122387211802E-2</v>
      </c>
      <c r="BK81">
        <f t="shared" si="223"/>
        <v>3.2191681219408567E-2</v>
      </c>
      <c r="BL81" s="460">
        <f t="shared" si="290"/>
        <v>134.43212380973173</v>
      </c>
      <c r="BM81" s="528">
        <f t="shared" si="224"/>
        <v>2.548518990874848</v>
      </c>
      <c r="BN81" s="460">
        <f t="shared" si="291"/>
        <v>2548.518990874848</v>
      </c>
      <c r="BO81" s="528">
        <f t="shared" si="225"/>
        <v>4.7214999999999989</v>
      </c>
      <c r="BP81" s="528"/>
      <c r="BR81" s="460">
        <f t="shared" si="292"/>
        <v>4721.4999999999991</v>
      </c>
      <c r="BS81" s="528">
        <f t="shared" si="226"/>
        <v>0.61023226429223154</v>
      </c>
      <c r="BT81" s="528">
        <f t="shared" si="227"/>
        <v>2.8237311569391634</v>
      </c>
      <c r="BU81" s="528">
        <f t="shared" si="228"/>
        <v>1.71</v>
      </c>
      <c r="BV81" s="528">
        <f t="shared" si="229"/>
        <v>8.2286710825536247</v>
      </c>
      <c r="BW81" s="528">
        <f t="shared" si="230"/>
        <v>1.9631217386223587E-2</v>
      </c>
      <c r="BX81" s="460">
        <f t="shared" si="293"/>
        <v>8248.3022999398472</v>
      </c>
      <c r="BY81" s="173">
        <f t="shared" si="231"/>
        <v>15.652753414624428</v>
      </c>
      <c r="BZ81" s="5">
        <f t="shared" si="294"/>
        <v>114</v>
      </c>
      <c r="CA81" s="173">
        <f t="shared" si="295"/>
        <v>0.87927172387486796</v>
      </c>
      <c r="CB81" s="5">
        <f t="shared" si="296"/>
        <v>87.927172387486792</v>
      </c>
      <c r="CE81" s="562">
        <f t="shared" si="232"/>
        <v>-50</v>
      </c>
      <c r="CF81">
        <f t="shared" si="233"/>
        <v>-50</v>
      </c>
      <c r="CG81" s="173">
        <f t="shared" si="234"/>
        <v>0.82085733948000927</v>
      </c>
      <c r="CI81" s="170">
        <v>76</v>
      </c>
      <c r="CJ81" s="217">
        <f t="shared" si="297"/>
        <v>7.6</v>
      </c>
      <c r="CK81" s="217"/>
      <c r="CL81" s="217">
        <f t="shared" si="235"/>
        <v>114</v>
      </c>
      <c r="CM81" s="541">
        <f t="shared" si="236"/>
        <v>72</v>
      </c>
      <c r="CN81" s="172">
        <f t="shared" si="237"/>
        <v>15.4</v>
      </c>
      <c r="CO81" s="443">
        <f t="shared" si="238"/>
        <v>87.4</v>
      </c>
      <c r="CP81" s="443"/>
      <c r="CQ81" s="217">
        <f t="shared" si="239"/>
        <v>0.17620137299771166</v>
      </c>
      <c r="CR81" s="172">
        <f t="shared" si="240"/>
        <v>318.30425629290613</v>
      </c>
      <c r="CS81" s="172">
        <f t="shared" si="298"/>
        <v>114</v>
      </c>
      <c r="CT81" s="217">
        <f t="shared" si="241"/>
        <v>21.220283752860407</v>
      </c>
      <c r="CU81" s="217">
        <f t="shared" si="242"/>
        <v>15</v>
      </c>
      <c r="CV81" s="217">
        <f t="shared" si="243"/>
        <v>21.144164759725399</v>
      </c>
      <c r="CW81" s="172">
        <f t="shared" si="244"/>
        <v>165.01621153564858</v>
      </c>
      <c r="CX81" s="172">
        <f t="shared" si="245"/>
        <v>15</v>
      </c>
      <c r="CY81" s="217">
        <f t="shared" si="246"/>
        <v>17.971861471861473</v>
      </c>
      <c r="CZ81" s="217">
        <f t="shared" si="247"/>
        <v>2.9953102453102458</v>
      </c>
      <c r="DA81" s="217">
        <f t="shared" si="248"/>
        <v>14.004047900151798</v>
      </c>
      <c r="DB81" s="197">
        <f t="shared" si="249"/>
        <v>105.72082379862701</v>
      </c>
      <c r="DC81" s="443">
        <f t="shared" si="299"/>
        <v>58.825750445580724</v>
      </c>
      <c r="DE81" s="217">
        <f t="shared" si="250"/>
        <v>9.9999999999999982</v>
      </c>
      <c r="DF81" s="173">
        <f t="shared" si="251"/>
        <v>7.7922077922077895</v>
      </c>
      <c r="DG81" s="173">
        <f t="shared" si="252"/>
        <v>4.118993135011439</v>
      </c>
      <c r="DH81" s="173"/>
      <c r="DI81" s="173">
        <f t="shared" si="253"/>
        <v>7.7922077922077913</v>
      </c>
      <c r="DJ81" s="545">
        <f t="shared" si="300"/>
        <v>195.06666666666666</v>
      </c>
      <c r="DK81" s="528">
        <f t="shared" si="254"/>
        <v>4.1189931350114417</v>
      </c>
      <c r="DM81" s="173">
        <f t="shared" si="255"/>
        <v>7.4654760955570234</v>
      </c>
      <c r="DN81" s="173">
        <f t="shared" si="256"/>
        <v>17.971861471861473</v>
      </c>
      <c r="DO81" s="173">
        <f t="shared" si="257"/>
        <v>7.1050825717492394</v>
      </c>
      <c r="DQ81" s="545">
        <f t="shared" si="258"/>
        <v>7600</v>
      </c>
      <c r="DR81" s="460">
        <f t="shared" si="259"/>
        <v>58.825750445580724</v>
      </c>
      <c r="DT81">
        <f t="shared" si="260"/>
        <v>7600</v>
      </c>
      <c r="DU81">
        <f t="shared" si="261"/>
        <v>58.825750445580724</v>
      </c>
      <c r="DW81" s="5">
        <f t="shared" si="301"/>
        <v>16.99935814546204</v>
      </c>
      <c r="DX81" s="5">
        <f t="shared" si="262"/>
        <v>2.9953102453102458</v>
      </c>
      <c r="DY81" s="5">
        <f t="shared" si="302"/>
        <v>14.004047900151793</v>
      </c>
      <c r="DZ81" s="5">
        <f t="shared" si="263"/>
        <v>14.004047900151798</v>
      </c>
      <c r="EA81" s="173">
        <f t="shared" si="303"/>
        <v>0.17620137299771171</v>
      </c>
      <c r="EB81" s="173">
        <f t="shared" si="264"/>
        <v>114.00000000000001</v>
      </c>
      <c r="EC81" s="173">
        <f t="shared" si="265"/>
        <v>7.4025974025974035</v>
      </c>
      <c r="ED81" s="173">
        <f t="shared" si="304"/>
        <v>15.4</v>
      </c>
      <c r="EE81" s="460">
        <f t="shared" si="266"/>
        <v>151.76238576238578</v>
      </c>
      <c r="EF81" s="5">
        <f t="shared" si="267"/>
        <v>6.1591877338630567</v>
      </c>
      <c r="EG81" s="5"/>
      <c r="EH81" s="173">
        <f t="shared" si="305"/>
        <v>4.3554905831947597</v>
      </c>
      <c r="EI81" s="173">
        <f t="shared" si="268"/>
        <v>9.4176591235629292</v>
      </c>
      <c r="EJ81" s="173"/>
      <c r="EK81" s="528">
        <f t="shared" si="269"/>
        <v>0.37940596440596458</v>
      </c>
      <c r="EL81" s="528">
        <f t="shared" si="270"/>
        <v>1.8480000000000003</v>
      </c>
      <c r="EM81" s="528">
        <f t="shared" si="271"/>
        <v>7.3532188056975901E-3</v>
      </c>
      <c r="EN81" s="528">
        <f t="shared" si="272"/>
        <v>4.4935578947368437E-2</v>
      </c>
      <c r="EO81">
        <f t="shared" si="273"/>
        <v>3.2399999999999998E-2</v>
      </c>
      <c r="EP81" s="460">
        <f t="shared" si="306"/>
        <v>39.753218805697585</v>
      </c>
      <c r="EQ81" s="528">
        <f t="shared" si="274"/>
        <v>2.6537627434757902</v>
      </c>
      <c r="ER81" s="460">
        <f t="shared" si="307"/>
        <v>2653.7627434757901</v>
      </c>
      <c r="ES81" s="528">
        <f t="shared" si="308"/>
        <v>4.7214999999999989</v>
      </c>
      <c r="ET81" s="528"/>
      <c r="EV81" s="460">
        <f t="shared" si="309"/>
        <v>4721.4999999999991</v>
      </c>
      <c r="EW81" s="528">
        <f t="shared" si="275"/>
        <v>0.56910894660894684</v>
      </c>
      <c r="EX81" s="528">
        <f t="shared" si="276"/>
        <v>2.6607691010288423</v>
      </c>
      <c r="EY81" s="528">
        <f t="shared" si="277"/>
        <v>1.8170687138587027</v>
      </c>
      <c r="EZ81" s="528">
        <f t="shared" si="278"/>
        <v>7.8506484634837639</v>
      </c>
      <c r="FA81" s="528">
        <f t="shared" si="279"/>
        <v>1.9000000000000003E-2</v>
      </c>
      <c r="FB81" s="460">
        <f t="shared" si="310"/>
        <v>7869.6484634837643</v>
      </c>
      <c r="FC81" s="173">
        <f t="shared" si="311"/>
        <v>15.244911206959552</v>
      </c>
      <c r="FD81" s="5">
        <f t="shared" si="312"/>
        <v>114</v>
      </c>
      <c r="FE81" s="173">
        <f t="shared" si="313"/>
        <v>0.88204633308503788</v>
      </c>
      <c r="FF81" s="5">
        <f t="shared" si="314"/>
        <v>88.204633308503787</v>
      </c>
      <c r="FI81" s="562">
        <f t="shared" si="280"/>
        <v>-50</v>
      </c>
      <c r="FJ81">
        <f t="shared" si="281"/>
        <v>-50</v>
      </c>
      <c r="FL81">
        <f t="shared" si="282"/>
        <v>0.82379862700228834</v>
      </c>
    </row>
    <row r="82" spans="5:168">
      <c r="E82" s="170">
        <v>77</v>
      </c>
      <c r="F82" s="217">
        <f t="shared" si="283"/>
        <v>7.7</v>
      </c>
      <c r="G82" s="217"/>
      <c r="H82" s="217">
        <f t="shared" si="183"/>
        <v>115.5</v>
      </c>
      <c r="I82" s="541">
        <f t="shared" si="184"/>
        <v>71.531000008930533</v>
      </c>
      <c r="J82" s="172">
        <f t="shared" si="185"/>
        <v>15.681399994641682</v>
      </c>
      <c r="K82" s="172">
        <f t="shared" si="186"/>
        <v>87.68139999464168</v>
      </c>
      <c r="L82" s="443"/>
      <c r="M82" s="217">
        <f t="shared" si="187"/>
        <v>0.17979767362310087</v>
      </c>
      <c r="N82" s="172">
        <f t="shared" si="188"/>
        <v>322.6851845039115</v>
      </c>
      <c r="O82" s="172">
        <f t="shared" si="284"/>
        <v>115.5</v>
      </c>
      <c r="P82" s="217">
        <f t="shared" si="189"/>
        <v>21.512345633594101</v>
      </c>
      <c r="Q82" s="217">
        <f t="shared" si="190"/>
        <v>15</v>
      </c>
      <c r="R82" s="217">
        <f t="shared" si="191"/>
        <v>21.435178989232863</v>
      </c>
      <c r="S82" s="172">
        <f t="shared" si="192"/>
        <v>160.88990385413533</v>
      </c>
      <c r="T82" s="172">
        <f t="shared" si="193"/>
        <v>15</v>
      </c>
      <c r="U82" s="217">
        <f t="shared" si="194"/>
        <v>18.775855060088425</v>
      </c>
      <c r="V82" s="217">
        <f t="shared" si="195"/>
        <v>3.1498267980726045</v>
      </c>
      <c r="W82" s="217">
        <f t="shared" si="196"/>
        <v>14.367993980004936</v>
      </c>
      <c r="X82" s="197">
        <f t="shared" si="197"/>
        <v>107.18145423422322</v>
      </c>
      <c r="Y82" s="443">
        <f t="shared" si="198"/>
        <v>56.440349664068798</v>
      </c>
      <c r="AA82" s="217">
        <f t="shared" si="199"/>
        <v>10</v>
      </c>
      <c r="AB82" s="173">
        <f t="shared" si="200"/>
        <v>7.6523779790709927</v>
      </c>
      <c r="AC82" s="173">
        <f t="shared" si="201"/>
        <v>4.1009650007338756</v>
      </c>
      <c r="AD82" s="173"/>
      <c r="AE82" s="173">
        <f t="shared" si="202"/>
        <v>7.6523779790709927</v>
      </c>
      <c r="AF82" s="545">
        <f t="shared" si="203"/>
        <v>201.24463326456828</v>
      </c>
      <c r="AG82" s="528">
        <f t="shared" si="204"/>
        <v>4.1009650007338756</v>
      </c>
      <c r="AI82" s="173">
        <f t="shared" si="205"/>
        <v>7.5827743370760752</v>
      </c>
      <c r="AJ82" s="173">
        <f t="shared" si="206"/>
        <v>18.775855060088425</v>
      </c>
      <c r="AK82" s="173">
        <f t="shared" si="207"/>
        <v>7.7006333778432783</v>
      </c>
      <c r="AM82" s="545">
        <f t="shared" si="208"/>
        <v>7700</v>
      </c>
      <c r="AN82" s="460">
        <f t="shared" si="209"/>
        <v>56.440349664068798</v>
      </c>
      <c r="AP82">
        <f t="shared" si="210"/>
        <v>7700</v>
      </c>
      <c r="AQ82">
        <f t="shared" si="211"/>
        <v>56.440349664068798</v>
      </c>
      <c r="AS82" s="5">
        <f t="shared" si="285"/>
        <v>17.717820778077542</v>
      </c>
      <c r="AT82" s="5">
        <f t="shared" si="212"/>
        <v>3.1498267980726045</v>
      </c>
      <c r="AU82" s="5">
        <f t="shared" si="286"/>
        <v>14.567993980004937</v>
      </c>
      <c r="AV82" s="5">
        <f t="shared" si="213"/>
        <v>14.367993980004936</v>
      </c>
      <c r="AW82" s="173">
        <f t="shared" si="287"/>
        <v>0.17777732586447204</v>
      </c>
      <c r="AX82" s="173">
        <f t="shared" si="214"/>
        <v>119.38242439170877</v>
      </c>
      <c r="AY82" s="173">
        <f t="shared" si="215"/>
        <v>7.7189668783434948</v>
      </c>
      <c r="AZ82" s="173">
        <f t="shared" si="288"/>
        <v>15.46611434836581</v>
      </c>
      <c r="BA82" s="460">
        <f t="shared" si="216"/>
        <v>161.69110896772705</v>
      </c>
      <c r="BB82" s="5">
        <f t="shared" si="217"/>
        <v>6.5340874138504823</v>
      </c>
      <c r="BC82" s="5"/>
      <c r="BD82" s="173">
        <f t="shared" si="289"/>
        <v>4.5706427919439223</v>
      </c>
      <c r="BE82" s="173">
        <f t="shared" si="218"/>
        <v>9.8295541886496789</v>
      </c>
      <c r="BF82" s="173"/>
      <c r="BG82" s="528">
        <f t="shared" si="219"/>
        <v>0.41781551063097866</v>
      </c>
      <c r="BH82" s="528">
        <f t="shared" si="220"/>
        <v>1.7422006334598232</v>
      </c>
      <c r="BI82" s="528">
        <f t="shared" si="221"/>
        <v>0.1009308663081137</v>
      </c>
      <c r="BJ82" s="528">
        <f t="shared" si="222"/>
        <v>4.3391498318646686E-2</v>
      </c>
      <c r="BK82">
        <f t="shared" si="223"/>
        <v>3.2188950004018738E-2</v>
      </c>
      <c r="BL82" s="460">
        <f t="shared" si="290"/>
        <v>133.11981631213243</v>
      </c>
      <c r="BM82" s="528">
        <f t="shared" si="224"/>
        <v>2.5714980689104294</v>
      </c>
      <c r="BN82" s="460">
        <f t="shared" si="291"/>
        <v>2571.4980689104295</v>
      </c>
      <c r="BO82" s="528">
        <f t="shared" si="225"/>
        <v>4.7836249999999998</v>
      </c>
      <c r="BP82" s="528"/>
      <c r="BR82" s="460">
        <f t="shared" si="292"/>
        <v>4783.625</v>
      </c>
      <c r="BS82" s="528">
        <f t="shared" si="226"/>
        <v>0.62672326594646799</v>
      </c>
      <c r="BT82" s="528">
        <f t="shared" si="227"/>
        <v>2.898604066428013</v>
      </c>
      <c r="BU82" s="528">
        <f t="shared" si="228"/>
        <v>1.7324999999999999</v>
      </c>
      <c r="BV82" s="528">
        <f t="shared" si="229"/>
        <v>8.5015717539246225</v>
      </c>
      <c r="BW82" s="528">
        <f t="shared" si="230"/>
        <v>1.9897070731951461E-2</v>
      </c>
      <c r="BX82" s="460">
        <f t="shared" si="293"/>
        <v>8521.4688246565747</v>
      </c>
      <c r="BY82" s="173">
        <f t="shared" si="231"/>
        <v>16.009711709879138</v>
      </c>
      <c r="BZ82" s="5">
        <f t="shared" si="294"/>
        <v>115.5</v>
      </c>
      <c r="CA82" s="173">
        <f t="shared" si="295"/>
        <v>0.8782621336346792</v>
      </c>
      <c r="CB82" s="5">
        <f t="shared" si="296"/>
        <v>87.826213363467915</v>
      </c>
      <c r="CE82" s="562">
        <f t="shared" si="232"/>
        <v>-50</v>
      </c>
      <c r="CF82">
        <f t="shared" si="233"/>
        <v>-50</v>
      </c>
      <c r="CG82" s="173">
        <f t="shared" si="234"/>
        <v>0.82089553801925963</v>
      </c>
      <c r="CI82" s="170">
        <v>77</v>
      </c>
      <c r="CJ82" s="217">
        <f t="shared" si="297"/>
        <v>7.7</v>
      </c>
      <c r="CK82" s="217"/>
      <c r="CL82" s="217">
        <f t="shared" si="235"/>
        <v>115.5</v>
      </c>
      <c r="CM82" s="541">
        <f t="shared" si="236"/>
        <v>72</v>
      </c>
      <c r="CN82" s="172">
        <f t="shared" si="237"/>
        <v>15.4</v>
      </c>
      <c r="CO82" s="443">
        <f t="shared" si="238"/>
        <v>87.4</v>
      </c>
      <c r="CP82" s="443"/>
      <c r="CQ82" s="217">
        <f t="shared" si="239"/>
        <v>0.17620137299771166</v>
      </c>
      <c r="CR82" s="172">
        <f t="shared" si="240"/>
        <v>318.30425629290613</v>
      </c>
      <c r="CS82" s="172">
        <f t="shared" si="298"/>
        <v>115.5</v>
      </c>
      <c r="CT82" s="217">
        <f t="shared" si="241"/>
        <v>21.220283752860407</v>
      </c>
      <c r="CU82" s="217">
        <f t="shared" si="242"/>
        <v>15</v>
      </c>
      <c r="CV82" s="217">
        <f t="shared" si="243"/>
        <v>21.144164759725399</v>
      </c>
      <c r="CW82" s="172">
        <f t="shared" si="244"/>
        <v>161.94363523908845</v>
      </c>
      <c r="CX82" s="172">
        <f t="shared" si="245"/>
        <v>15</v>
      </c>
      <c r="CY82" s="217">
        <f t="shared" si="246"/>
        <v>18.208333333333336</v>
      </c>
      <c r="CZ82" s="217">
        <f t="shared" si="247"/>
        <v>3.0347222222222228</v>
      </c>
      <c r="DA82" s="217">
        <f t="shared" si="248"/>
        <v>14.188311688311689</v>
      </c>
      <c r="DB82" s="197">
        <f t="shared" si="249"/>
        <v>105.72082379862701</v>
      </c>
      <c r="DC82" s="443">
        <f t="shared" si="299"/>
        <v>58.06177966057318</v>
      </c>
      <c r="DE82" s="217">
        <f t="shared" si="250"/>
        <v>9.9999999999999982</v>
      </c>
      <c r="DF82" s="173">
        <f t="shared" si="251"/>
        <v>7.7922077922077895</v>
      </c>
      <c r="DG82" s="173">
        <f t="shared" si="252"/>
        <v>4.118993135011439</v>
      </c>
      <c r="DH82" s="173"/>
      <c r="DI82" s="173">
        <f t="shared" si="253"/>
        <v>7.7922077922077913</v>
      </c>
      <c r="DJ82" s="545">
        <f t="shared" si="300"/>
        <v>197.63333333333335</v>
      </c>
      <c r="DK82" s="528">
        <f t="shared" si="254"/>
        <v>4.1189931350114417</v>
      </c>
      <c r="DM82" s="173">
        <f t="shared" si="255"/>
        <v>7.5144305617037057</v>
      </c>
      <c r="DN82" s="173">
        <f t="shared" si="256"/>
        <v>18.208333333333336</v>
      </c>
      <c r="DO82" s="173">
        <f t="shared" si="257"/>
        <v>7.2802469135802488</v>
      </c>
      <c r="DQ82" s="545">
        <f t="shared" si="258"/>
        <v>7700</v>
      </c>
      <c r="DR82" s="460">
        <f t="shared" si="259"/>
        <v>58.06177966057318</v>
      </c>
      <c r="DT82">
        <f t="shared" si="260"/>
        <v>7700</v>
      </c>
      <c r="DU82">
        <f t="shared" si="261"/>
        <v>58.06177966057318</v>
      </c>
      <c r="DW82" s="5">
        <f t="shared" si="301"/>
        <v>17.223033910533911</v>
      </c>
      <c r="DX82" s="5">
        <f t="shared" si="262"/>
        <v>3.0347222222222228</v>
      </c>
      <c r="DY82" s="5">
        <f t="shared" si="302"/>
        <v>14.188311688311687</v>
      </c>
      <c r="DZ82" s="5">
        <f t="shared" si="263"/>
        <v>14.188311688311689</v>
      </c>
      <c r="EA82" s="173">
        <f t="shared" si="303"/>
        <v>0.17620137299771171</v>
      </c>
      <c r="EB82" s="173">
        <f t="shared" si="264"/>
        <v>115.50000000000003</v>
      </c>
      <c r="EC82" s="173">
        <f t="shared" si="265"/>
        <v>7.5000000000000009</v>
      </c>
      <c r="ED82" s="173">
        <f t="shared" si="304"/>
        <v>15.400000000000002</v>
      </c>
      <c r="EE82" s="460">
        <f t="shared" si="266"/>
        <v>155.78240740740742</v>
      </c>
      <c r="EF82" s="5">
        <f t="shared" si="267"/>
        <v>6.3223379629629628</v>
      </c>
      <c r="EG82" s="5"/>
      <c r="EH82" s="173">
        <f t="shared" si="305"/>
        <v>4.412799669815743</v>
      </c>
      <c r="EI82" s="173">
        <f t="shared" si="268"/>
        <v>9.541575690978231</v>
      </c>
      <c r="EJ82" s="173"/>
      <c r="EK82" s="528">
        <f t="shared" si="269"/>
        <v>0.38945601851851863</v>
      </c>
      <c r="EL82" s="528">
        <f t="shared" si="270"/>
        <v>1.8480000000000003</v>
      </c>
      <c r="EM82" s="528">
        <f t="shared" si="271"/>
        <v>7.2577224575716467E-3</v>
      </c>
      <c r="EN82" s="528">
        <f t="shared" si="272"/>
        <v>4.4352000000000009E-2</v>
      </c>
      <c r="EO82">
        <f t="shared" si="273"/>
        <v>3.2399999999999998E-2</v>
      </c>
      <c r="EP82" s="460">
        <f t="shared" si="306"/>
        <v>39.657722457571644</v>
      </c>
      <c r="EQ82" s="528">
        <f t="shared" si="274"/>
        <v>2.6740625781274714</v>
      </c>
      <c r="ER82" s="460">
        <f t="shared" si="307"/>
        <v>2674.0625781274712</v>
      </c>
      <c r="ES82" s="528">
        <f t="shared" si="308"/>
        <v>4.7836249999999998</v>
      </c>
      <c r="ET82" s="528"/>
      <c r="EV82" s="460">
        <f t="shared" si="309"/>
        <v>4783.625</v>
      </c>
      <c r="EW82" s="528">
        <f t="shared" si="275"/>
        <v>0.58418402777777789</v>
      </c>
      <c r="EX82" s="528">
        <f t="shared" si="276"/>
        <v>2.7312500000000011</v>
      </c>
      <c r="EY82" s="528">
        <f t="shared" si="277"/>
        <v>1.8170687138586994</v>
      </c>
      <c r="EZ82" s="528">
        <f t="shared" si="278"/>
        <v>8.0681641982762162</v>
      </c>
      <c r="FA82" s="528">
        <f t="shared" si="279"/>
        <v>1.9250000000000007E-2</v>
      </c>
      <c r="FB82" s="460">
        <f t="shared" si="310"/>
        <v>8087.4141982762158</v>
      </c>
      <c r="FC82" s="173">
        <f t="shared" si="311"/>
        <v>15.545101776403687</v>
      </c>
      <c r="FD82" s="5">
        <f t="shared" si="312"/>
        <v>115.5</v>
      </c>
      <c r="FE82" s="173">
        <f t="shared" si="313"/>
        <v>0.88137594182705437</v>
      </c>
      <c r="FF82" s="5">
        <f t="shared" si="314"/>
        <v>88.137594182705442</v>
      </c>
      <c r="FI82" s="562">
        <f t="shared" si="280"/>
        <v>-50</v>
      </c>
      <c r="FJ82">
        <f t="shared" si="281"/>
        <v>-50</v>
      </c>
      <c r="FL82">
        <f t="shared" si="282"/>
        <v>0.82379862700228834</v>
      </c>
    </row>
    <row r="83" spans="5:168">
      <c r="E83" s="170">
        <v>78</v>
      </c>
      <c r="F83" s="217">
        <f t="shared" si="283"/>
        <v>7.8000000000000007</v>
      </c>
      <c r="G83" s="217"/>
      <c r="H83" s="217">
        <f t="shared" si="183"/>
        <v>117.00000000000001</v>
      </c>
      <c r="I83" s="541">
        <f t="shared" si="184"/>
        <v>71.524930639418599</v>
      </c>
      <c r="J83" s="172">
        <f t="shared" si="185"/>
        <v>15.685041616348842</v>
      </c>
      <c r="K83" s="172">
        <f t="shared" si="186"/>
        <v>87.68504161634884</v>
      </c>
      <c r="L83" s="443"/>
      <c r="M83" s="217">
        <f t="shared" si="187"/>
        <v>0.17984443671975206</v>
      </c>
      <c r="N83" s="172">
        <f t="shared" si="188"/>
        <v>322.74172403424325</v>
      </c>
      <c r="O83" s="172">
        <f t="shared" si="284"/>
        <v>117.00000000000001</v>
      </c>
      <c r="P83" s="217">
        <f t="shared" si="189"/>
        <v>21.516114935616216</v>
      </c>
      <c r="Q83" s="217">
        <f t="shared" si="190"/>
        <v>15</v>
      </c>
      <c r="R83" s="217">
        <f t="shared" si="191"/>
        <v>21.438934770442625</v>
      </c>
      <c r="S83" s="172">
        <f t="shared" si="192"/>
        <v>157.90237182551141</v>
      </c>
      <c r="T83" s="172">
        <f t="shared" si="193"/>
        <v>15</v>
      </c>
      <c r="U83" s="217">
        <f t="shared" si="194"/>
        <v>19.020781786332243</v>
      </c>
      <c r="V83" s="217">
        <f t="shared" si="195"/>
        <v>3.1911863373439586</v>
      </c>
      <c r="W83" s="217">
        <f t="shared" si="196"/>
        <v>14.552041812759866</v>
      </c>
      <c r="X83" s="197">
        <f t="shared" si="197"/>
        <v>107.20023225435979</v>
      </c>
      <c r="Y83" s="443">
        <f t="shared" si="198"/>
        <v>55.731331711022904</v>
      </c>
      <c r="AA83" s="217">
        <f t="shared" si="199"/>
        <v>10</v>
      </c>
      <c r="AB83" s="173">
        <f t="shared" si="200"/>
        <v>7.6506013139883242</v>
      </c>
      <c r="AC83" s="173">
        <f t="shared" si="201"/>
        <v>4.1007311887252929</v>
      </c>
      <c r="AD83" s="173"/>
      <c r="AE83" s="173">
        <f t="shared" si="202"/>
        <v>7.6506013139883242</v>
      </c>
      <c r="AF83" s="545">
        <f t="shared" si="203"/>
        <v>203.90554101253497</v>
      </c>
      <c r="AG83" s="528">
        <f t="shared" si="204"/>
        <v>4.1007311887252929</v>
      </c>
      <c r="AI83" s="173">
        <f t="shared" si="205"/>
        <v>7.632740399331122</v>
      </c>
      <c r="AJ83" s="173">
        <f t="shared" si="206"/>
        <v>19.020781786332243</v>
      </c>
      <c r="AK83" s="173">
        <f t="shared" si="207"/>
        <v>7.8820605824683287</v>
      </c>
      <c r="AM83" s="545">
        <f t="shared" si="208"/>
        <v>7800.0000000000009</v>
      </c>
      <c r="AN83" s="460">
        <f t="shared" si="209"/>
        <v>55.731331711022904</v>
      </c>
      <c r="AP83">
        <f t="shared" si="210"/>
        <v>7800.0000000000009</v>
      </c>
      <c r="AQ83">
        <f t="shared" si="211"/>
        <v>55.731331711022904</v>
      </c>
      <c r="AS83" s="5">
        <f t="shared" si="285"/>
        <v>17.943228150103824</v>
      </c>
      <c r="AT83" s="5">
        <f t="shared" si="212"/>
        <v>3.1911863373439586</v>
      </c>
      <c r="AU83" s="5">
        <f t="shared" si="286"/>
        <v>14.752041812759865</v>
      </c>
      <c r="AV83" s="5">
        <f t="shared" si="213"/>
        <v>14.552041812759866</v>
      </c>
      <c r="AW83" s="173">
        <f t="shared" si="287"/>
        <v>0.17784906431820038</v>
      </c>
      <c r="AX83" s="173">
        <f t="shared" si="214"/>
        <v>120.9782777335443</v>
      </c>
      <c r="AY83" s="173">
        <f t="shared" si="215"/>
        <v>7.8189767715161933</v>
      </c>
      <c r="AZ83" s="173">
        <f t="shared" si="288"/>
        <v>15.472392522542968</v>
      </c>
      <c r="BA83" s="460">
        <f t="shared" si="216"/>
        <v>165.94168954188586</v>
      </c>
      <c r="BB83" s="5">
        <f t="shared" si="217"/>
        <v>6.703136299868949</v>
      </c>
      <c r="BC83" s="5"/>
      <c r="BD83" s="173">
        <f t="shared" si="289"/>
        <v>4.6311999106224526</v>
      </c>
      <c r="BE83" s="173">
        <f t="shared" si="218"/>
        <v>9.9573440556341826</v>
      </c>
      <c r="BF83" s="173"/>
      <c r="BG83" s="528">
        <f t="shared" si="219"/>
        <v>0.42896025224298828</v>
      </c>
      <c r="BH83" s="528">
        <f t="shared" si="220"/>
        <v>1.742828159763558</v>
      </c>
      <c r="BI83" s="528">
        <f t="shared" si="221"/>
        <v>9.965449087683359E-2</v>
      </c>
      <c r="BJ83" s="528">
        <f t="shared" si="222"/>
        <v>4.2849962442328651E-2</v>
      </c>
      <c r="BK83">
        <f t="shared" si="223"/>
        <v>3.218621878773837E-2</v>
      </c>
      <c r="BL83" s="460">
        <f t="shared" si="290"/>
        <v>131.84070966457196</v>
      </c>
      <c r="BM83" s="528">
        <f t="shared" si="224"/>
        <v>2.5949360002886892</v>
      </c>
      <c r="BN83" s="460">
        <f t="shared" si="291"/>
        <v>2594.9360002886892</v>
      </c>
      <c r="BO83" s="528">
        <f t="shared" si="225"/>
        <v>4.8457499999999998</v>
      </c>
      <c r="BP83" s="528"/>
      <c r="BR83" s="460">
        <f t="shared" si="292"/>
        <v>4845.75</v>
      </c>
      <c r="BS83" s="528">
        <f t="shared" si="226"/>
        <v>0.64344037836448231</v>
      </c>
      <c r="BT83" s="528">
        <f t="shared" si="227"/>
        <v>2.9744610192682019</v>
      </c>
      <c r="BU83" s="528">
        <f t="shared" si="228"/>
        <v>1.7550000000000001</v>
      </c>
      <c r="BV83" s="528">
        <f t="shared" si="229"/>
        <v>8.7833940103427288</v>
      </c>
      <c r="BW83" s="528">
        <f t="shared" si="230"/>
        <v>2.0163046288924052E-2</v>
      </c>
      <c r="BX83" s="460">
        <f t="shared" si="293"/>
        <v>8803.5570566316528</v>
      </c>
      <c r="BY83" s="173">
        <f t="shared" si="231"/>
        <v>16.376083766584916</v>
      </c>
      <c r="BZ83" s="5">
        <f t="shared" si="294"/>
        <v>117.00000000000001</v>
      </c>
      <c r="CA83" s="173">
        <f t="shared" si="295"/>
        <v>0.87721873889141988</v>
      </c>
      <c r="CB83" s="5">
        <f t="shared" si="296"/>
        <v>87.721873889141989</v>
      </c>
      <c r="CE83" s="562">
        <f t="shared" si="232"/>
        <v>-50</v>
      </c>
      <c r="CF83">
        <f t="shared" si="233"/>
        <v>-50</v>
      </c>
      <c r="CG83" s="173">
        <f t="shared" si="234"/>
        <v>0.82093275710878566</v>
      </c>
      <c r="CI83" s="170">
        <v>78</v>
      </c>
      <c r="CJ83" s="217">
        <f t="shared" si="297"/>
        <v>7.8000000000000007</v>
      </c>
      <c r="CK83" s="217"/>
      <c r="CL83" s="217">
        <f t="shared" si="235"/>
        <v>117.00000000000001</v>
      </c>
      <c r="CM83" s="541">
        <f t="shared" si="236"/>
        <v>72</v>
      </c>
      <c r="CN83" s="172">
        <f t="shared" si="237"/>
        <v>15.4</v>
      </c>
      <c r="CO83" s="443">
        <f t="shared" si="238"/>
        <v>87.4</v>
      </c>
      <c r="CP83" s="443"/>
      <c r="CQ83" s="217">
        <f t="shared" si="239"/>
        <v>0.17620137299771166</v>
      </c>
      <c r="CR83" s="172">
        <f t="shared" si="240"/>
        <v>318.30425629290613</v>
      </c>
      <c r="CS83" s="172">
        <f t="shared" si="298"/>
        <v>117.00000000000001</v>
      </c>
      <c r="CT83" s="217">
        <f t="shared" si="241"/>
        <v>21.220283752860407</v>
      </c>
      <c r="CU83" s="217">
        <f t="shared" si="242"/>
        <v>15</v>
      </c>
      <c r="CV83" s="217">
        <f t="shared" si="243"/>
        <v>21.144164759725399</v>
      </c>
      <c r="CW83" s="172">
        <f t="shared" si="244"/>
        <v>158.94996504170118</v>
      </c>
      <c r="CX83" s="172">
        <f t="shared" si="245"/>
        <v>15</v>
      </c>
      <c r="CY83" s="217">
        <f t="shared" si="246"/>
        <v>18.444805194805198</v>
      </c>
      <c r="CZ83" s="217">
        <f t="shared" si="247"/>
        <v>3.0741341991341997</v>
      </c>
      <c r="DA83" s="217">
        <f t="shared" si="248"/>
        <v>14.372575476471583</v>
      </c>
      <c r="DB83" s="197">
        <f t="shared" si="249"/>
        <v>105.72082379862701</v>
      </c>
      <c r="DC83" s="443">
        <f t="shared" si="299"/>
        <v>57.317397870053007</v>
      </c>
      <c r="DE83" s="217">
        <f t="shared" si="250"/>
        <v>9.9999999999999982</v>
      </c>
      <c r="DF83" s="173">
        <f t="shared" si="251"/>
        <v>7.7922077922077895</v>
      </c>
      <c r="DG83" s="173">
        <f t="shared" si="252"/>
        <v>4.118993135011439</v>
      </c>
      <c r="DH83" s="173"/>
      <c r="DI83" s="173">
        <f t="shared" si="253"/>
        <v>7.7922077922077913</v>
      </c>
      <c r="DJ83" s="545">
        <f t="shared" si="300"/>
        <v>200.20000000000002</v>
      </c>
      <c r="DK83" s="528">
        <f t="shared" si="254"/>
        <v>4.1189931350114417</v>
      </c>
      <c r="DM83" s="173">
        <f t="shared" si="255"/>
        <v>7.5630681604756154</v>
      </c>
      <c r="DN83" s="173">
        <f t="shared" si="256"/>
        <v>18.444805194805198</v>
      </c>
      <c r="DO83" s="173">
        <f t="shared" si="257"/>
        <v>7.4554112554112582</v>
      </c>
      <c r="DQ83" s="545">
        <f t="shared" si="258"/>
        <v>7800.0000000000009</v>
      </c>
      <c r="DR83" s="460">
        <f t="shared" si="259"/>
        <v>57.317397870053007</v>
      </c>
      <c r="DT83">
        <f t="shared" si="260"/>
        <v>7800.0000000000009</v>
      </c>
      <c r="DU83">
        <f t="shared" si="261"/>
        <v>57.317397870053007</v>
      </c>
      <c r="DW83" s="5">
        <f t="shared" si="301"/>
        <v>17.446709675605781</v>
      </c>
      <c r="DX83" s="5">
        <f t="shared" si="262"/>
        <v>3.0741341991341997</v>
      </c>
      <c r="DY83" s="5">
        <f t="shared" si="302"/>
        <v>14.372575476471582</v>
      </c>
      <c r="DZ83" s="5">
        <f t="shared" si="263"/>
        <v>14.372575476471583</v>
      </c>
      <c r="EA83" s="173">
        <f t="shared" si="303"/>
        <v>0.17620137299771169</v>
      </c>
      <c r="EB83" s="173">
        <f t="shared" si="264"/>
        <v>117.00000000000001</v>
      </c>
      <c r="EC83" s="173">
        <f t="shared" si="265"/>
        <v>7.5974025974025992</v>
      </c>
      <c r="ED83" s="173">
        <f t="shared" si="304"/>
        <v>15.399999999999999</v>
      </c>
      <c r="EE83" s="460">
        <f t="shared" si="266"/>
        <v>159.85497835497841</v>
      </c>
      <c r="EF83" s="5">
        <f t="shared" si="267"/>
        <v>6.4876208747962005</v>
      </c>
      <c r="EG83" s="5"/>
      <c r="EH83" s="173">
        <f t="shared" si="305"/>
        <v>4.4701087564367272</v>
      </c>
      <c r="EI83" s="173">
        <f t="shared" si="268"/>
        <v>9.6654922583935328</v>
      </c>
      <c r="EJ83" s="173"/>
      <c r="EK83" s="528">
        <f t="shared" si="269"/>
        <v>0.3996374458874461</v>
      </c>
      <c r="EL83" s="528">
        <f t="shared" si="270"/>
        <v>1.8480000000000003</v>
      </c>
      <c r="EM83" s="528">
        <f t="shared" si="271"/>
        <v>7.164674733756626E-3</v>
      </c>
      <c r="EN83" s="528">
        <f t="shared" si="272"/>
        <v>4.378338461538462E-2</v>
      </c>
      <c r="EO83">
        <f t="shared" si="273"/>
        <v>3.2399999999999998E-2</v>
      </c>
      <c r="EP83" s="460">
        <f t="shared" si="306"/>
        <v>39.564674733756625</v>
      </c>
      <c r="EQ83" s="528">
        <f t="shared" si="274"/>
        <v>2.6947660457696299</v>
      </c>
      <c r="ER83" s="460">
        <f t="shared" si="307"/>
        <v>2694.7660457696297</v>
      </c>
      <c r="ES83" s="528">
        <f t="shared" si="308"/>
        <v>4.8457499999999998</v>
      </c>
      <c r="ET83" s="528"/>
      <c r="EV83" s="460">
        <f t="shared" si="309"/>
        <v>4845.75</v>
      </c>
      <c r="EW83" s="528">
        <f t="shared" si="275"/>
        <v>0.59945616883116914</v>
      </c>
      <c r="EX83" s="528">
        <f t="shared" si="276"/>
        <v>2.8026522179119593</v>
      </c>
      <c r="EY83" s="528">
        <f t="shared" si="277"/>
        <v>1.8170687138587023</v>
      </c>
      <c r="EZ83" s="528">
        <f t="shared" si="278"/>
        <v>8.2926948489710597</v>
      </c>
      <c r="FA83" s="528">
        <f t="shared" si="279"/>
        <v>1.9500000000000007E-2</v>
      </c>
      <c r="FB83" s="460">
        <f t="shared" si="310"/>
        <v>8312.1948489710612</v>
      </c>
      <c r="FC83" s="173">
        <f t="shared" si="311"/>
        <v>15.852710894740691</v>
      </c>
      <c r="FD83" s="5">
        <f t="shared" si="312"/>
        <v>117.00000000000001</v>
      </c>
      <c r="FE83" s="173">
        <f t="shared" si="313"/>
        <v>0.8806745395861677</v>
      </c>
      <c r="FF83" s="5">
        <f t="shared" si="314"/>
        <v>88.067453958616767</v>
      </c>
      <c r="FI83" s="562">
        <f t="shared" si="280"/>
        <v>-50</v>
      </c>
      <c r="FJ83">
        <f t="shared" si="281"/>
        <v>-50</v>
      </c>
      <c r="FL83">
        <f t="shared" si="282"/>
        <v>0.82379862700228834</v>
      </c>
    </row>
    <row r="84" spans="5:168">
      <c r="E84" s="170">
        <v>79</v>
      </c>
      <c r="F84" s="217">
        <f t="shared" si="283"/>
        <v>7.9</v>
      </c>
      <c r="G84" s="217"/>
      <c r="H84" s="217">
        <f t="shared" si="183"/>
        <v>118.5</v>
      </c>
      <c r="I84" s="541">
        <f t="shared" si="184"/>
        <v>71.518861268003093</v>
      </c>
      <c r="J84" s="172">
        <f t="shared" si="185"/>
        <v>15.688683239198141</v>
      </c>
      <c r="K84" s="172">
        <f t="shared" si="186"/>
        <v>87.688683239198141</v>
      </c>
      <c r="L84" s="443"/>
      <c r="M84" s="217">
        <f t="shared" si="187"/>
        <v>0.17989120242396237</v>
      </c>
      <c r="N84" s="172">
        <f t="shared" si="188"/>
        <v>322.79825399279508</v>
      </c>
      <c r="O84" s="172">
        <f t="shared" si="284"/>
        <v>118.5</v>
      </c>
      <c r="P84" s="217">
        <f t="shared" si="189"/>
        <v>21.519883599519673</v>
      </c>
      <c r="Q84" s="217">
        <f t="shared" si="190"/>
        <v>15</v>
      </c>
      <c r="R84" s="217">
        <f t="shared" si="191"/>
        <v>21.442689915822715</v>
      </c>
      <c r="S84" s="172">
        <f t="shared" si="192"/>
        <v>154.99074976542482</v>
      </c>
      <c r="T84" s="172">
        <f t="shared" si="193"/>
        <v>15</v>
      </c>
      <c r="U84" s="217">
        <f t="shared" si="194"/>
        <v>19.265736505570263</v>
      </c>
      <c r="V84" s="217">
        <f t="shared" si="195"/>
        <v>3.2325575934508763</v>
      </c>
      <c r="W84" s="217">
        <f t="shared" si="196"/>
        <v>14.736025614260498</v>
      </c>
      <c r="X84" s="197">
        <f t="shared" si="197"/>
        <v>107.21900710180761</v>
      </c>
      <c r="Y84" s="443">
        <f t="shared" si="198"/>
        <v>55.040064960902697</v>
      </c>
      <c r="AA84" s="217">
        <f t="shared" si="199"/>
        <v>9.9999999999999982</v>
      </c>
      <c r="AB84" s="173">
        <f t="shared" si="200"/>
        <v>7.6488254731397873</v>
      </c>
      <c r="AC84" s="173">
        <f t="shared" si="201"/>
        <v>4.1004973636253084</v>
      </c>
      <c r="AD84" s="173"/>
      <c r="AE84" s="173">
        <f t="shared" si="202"/>
        <v>7.6488254731397891</v>
      </c>
      <c r="AF84" s="545">
        <f t="shared" si="203"/>
        <v>206.56766264944221</v>
      </c>
      <c r="AG84" s="528">
        <f t="shared" si="204"/>
        <v>4.1004973636253093</v>
      </c>
      <c r="AI84" s="173">
        <f t="shared" si="205"/>
        <v>7.6824040628930019</v>
      </c>
      <c r="AJ84" s="173">
        <f t="shared" si="206"/>
        <v>19.265736505570263</v>
      </c>
      <c r="AK84" s="173">
        <f t="shared" si="207"/>
        <v>8.0635085226446392</v>
      </c>
      <c r="AM84" s="545">
        <f t="shared" si="208"/>
        <v>7900</v>
      </c>
      <c r="AN84" s="460">
        <f t="shared" si="209"/>
        <v>55.040064960902697</v>
      </c>
      <c r="AP84">
        <f t="shared" si="210"/>
        <v>7900</v>
      </c>
      <c r="AQ84">
        <f t="shared" si="211"/>
        <v>55.040064960902697</v>
      </c>
      <c r="AS84" s="5">
        <f t="shared" si="285"/>
        <v>18.168583207711375</v>
      </c>
      <c r="AT84" s="5">
        <f t="shared" si="212"/>
        <v>3.2325575934508763</v>
      </c>
      <c r="AU84" s="5">
        <f t="shared" si="286"/>
        <v>14.936025614260499</v>
      </c>
      <c r="AV84" s="5">
        <f t="shared" si="213"/>
        <v>14.736025614260498</v>
      </c>
      <c r="AW84" s="173">
        <f t="shared" si="287"/>
        <v>0.17792017993339554</v>
      </c>
      <c r="AX84" s="173">
        <f t="shared" si="214"/>
        <v>122.57486415711024</v>
      </c>
      <c r="AY84" s="173">
        <f t="shared" si="215"/>
        <v>7.9189865999749074</v>
      </c>
      <c r="AZ84" s="173">
        <f t="shared" si="288"/>
        <v>15.478604820154468</v>
      </c>
      <c r="BA84" s="460">
        <f t="shared" si="216"/>
        <v>170.24803325507949</v>
      </c>
      <c r="BB84" s="5">
        <f t="shared" si="217"/>
        <v>6.8743289218080061</v>
      </c>
      <c r="BC84" s="5"/>
      <c r="BD84" s="173">
        <f t="shared" si="289"/>
        <v>4.6917795006992842</v>
      </c>
      <c r="BE84" s="173">
        <f t="shared" si="218"/>
        <v>10.085141189765544</v>
      </c>
      <c r="BF84" s="173"/>
      <c r="BG84" s="528">
        <f t="shared" si="219"/>
        <v>0.44025589766364048</v>
      </c>
      <c r="BH84" s="528">
        <f t="shared" si="220"/>
        <v>1.7434495096146647</v>
      </c>
      <c r="BI84" s="528">
        <f t="shared" si="221"/>
        <v>9.8410069253016957E-2</v>
      </c>
      <c r="BJ84" s="528">
        <f t="shared" si="222"/>
        <v>4.2321985596327751E-2</v>
      </c>
      <c r="BK84">
        <f t="shared" si="223"/>
        <v>3.2183487570601389E-2</v>
      </c>
      <c r="BL84" s="460">
        <f t="shared" si="290"/>
        <v>130.59355682361834</v>
      </c>
      <c r="BM84" s="528">
        <f t="shared" si="224"/>
        <v>2.6188396906848657</v>
      </c>
      <c r="BN84" s="460">
        <f t="shared" si="291"/>
        <v>2618.8396906848657</v>
      </c>
      <c r="BO84" s="528">
        <f t="shared" si="225"/>
        <v>4.9078749999999998</v>
      </c>
      <c r="BP84" s="528"/>
      <c r="BR84" s="460">
        <f t="shared" si="292"/>
        <v>4907.875</v>
      </c>
      <c r="BS84" s="528">
        <f t="shared" si="226"/>
        <v>0.66038384649546067</v>
      </c>
      <c r="BT84" s="528">
        <f t="shared" si="227"/>
        <v>3.0513021845251673</v>
      </c>
      <c r="BU84" s="528">
        <f t="shared" si="228"/>
        <v>1.7774999999999999</v>
      </c>
      <c r="BV84" s="528">
        <f t="shared" si="229"/>
        <v>9.0745373643132901</v>
      </c>
      <c r="BW84" s="528">
        <f t="shared" si="230"/>
        <v>2.0429144026185043E-2</v>
      </c>
      <c r="BX84" s="460">
        <f t="shared" si="293"/>
        <v>9094.9665083394757</v>
      </c>
      <c r="BY84" s="173">
        <f t="shared" si="231"/>
        <v>16.75227475584796</v>
      </c>
      <c r="BZ84" s="5">
        <f t="shared" si="294"/>
        <v>118.5</v>
      </c>
      <c r="CA84" s="173">
        <f t="shared" si="295"/>
        <v>0.87614053230462474</v>
      </c>
      <c r="CB84" s="5">
        <f t="shared" si="296"/>
        <v>87.614053230462474</v>
      </c>
      <c r="CE84" s="562">
        <f t="shared" si="232"/>
        <v>-50</v>
      </c>
      <c r="CF84">
        <f t="shared" si="233"/>
        <v>-50</v>
      </c>
      <c r="CG84" s="173">
        <f t="shared" si="234"/>
        <v>0.82096903394288068</v>
      </c>
      <c r="CI84" s="170">
        <v>79</v>
      </c>
      <c r="CJ84" s="217">
        <f t="shared" si="297"/>
        <v>7.9</v>
      </c>
      <c r="CK84" s="217"/>
      <c r="CL84" s="217">
        <f t="shared" si="235"/>
        <v>118.5</v>
      </c>
      <c r="CM84" s="541">
        <f t="shared" si="236"/>
        <v>72</v>
      </c>
      <c r="CN84" s="172">
        <f t="shared" si="237"/>
        <v>15.4</v>
      </c>
      <c r="CO84" s="443">
        <f t="shared" si="238"/>
        <v>87.4</v>
      </c>
      <c r="CP84" s="443"/>
      <c r="CQ84" s="217">
        <f t="shared" si="239"/>
        <v>0.17620137299771166</v>
      </c>
      <c r="CR84" s="172">
        <f t="shared" si="240"/>
        <v>318.30425629290613</v>
      </c>
      <c r="CS84" s="172">
        <f t="shared" si="298"/>
        <v>118.5</v>
      </c>
      <c r="CT84" s="217">
        <f t="shared" si="241"/>
        <v>21.220283752860407</v>
      </c>
      <c r="CU84" s="217">
        <f t="shared" si="242"/>
        <v>15</v>
      </c>
      <c r="CV84" s="217">
        <f t="shared" si="243"/>
        <v>21.144164759725399</v>
      </c>
      <c r="CW84" s="172">
        <f t="shared" si="244"/>
        <v>156.03220657655308</v>
      </c>
      <c r="CX84" s="172">
        <f t="shared" si="245"/>
        <v>15</v>
      </c>
      <c r="CY84" s="217">
        <f t="shared" si="246"/>
        <v>18.681277056277057</v>
      </c>
      <c r="CZ84" s="217">
        <f t="shared" si="247"/>
        <v>3.1135461760461767</v>
      </c>
      <c r="DA84" s="217">
        <f t="shared" si="248"/>
        <v>14.556839264631474</v>
      </c>
      <c r="DB84" s="197">
        <f t="shared" si="249"/>
        <v>105.72082379862701</v>
      </c>
      <c r="DC84" s="443">
        <f t="shared" si="299"/>
        <v>56.591861188153594</v>
      </c>
      <c r="DE84" s="217">
        <f t="shared" si="250"/>
        <v>9.9999999999999982</v>
      </c>
      <c r="DF84" s="173">
        <f t="shared" si="251"/>
        <v>7.7922077922077895</v>
      </c>
      <c r="DG84" s="173">
        <f t="shared" si="252"/>
        <v>4.118993135011439</v>
      </c>
      <c r="DH84" s="173"/>
      <c r="DI84" s="173">
        <f t="shared" si="253"/>
        <v>7.7922077922077913</v>
      </c>
      <c r="DJ84" s="545">
        <f t="shared" si="300"/>
        <v>202.76666666666668</v>
      </c>
      <c r="DK84" s="528">
        <f t="shared" si="254"/>
        <v>4.1189931350114417</v>
      </c>
      <c r="DM84" s="173">
        <f t="shared" si="255"/>
        <v>7.6113949663207823</v>
      </c>
      <c r="DN84" s="173">
        <f t="shared" si="256"/>
        <v>18.681277056277057</v>
      </c>
      <c r="DO84" s="173">
        <f t="shared" si="257"/>
        <v>7.6305755972422649</v>
      </c>
      <c r="DQ84" s="545">
        <f t="shared" si="258"/>
        <v>7900</v>
      </c>
      <c r="DR84" s="460">
        <f t="shared" si="259"/>
        <v>56.591861188153594</v>
      </c>
      <c r="DT84">
        <f t="shared" si="260"/>
        <v>7900</v>
      </c>
      <c r="DU84">
        <f t="shared" si="261"/>
        <v>56.591861188153594</v>
      </c>
      <c r="DW84" s="5">
        <f t="shared" si="301"/>
        <v>17.670385440677656</v>
      </c>
      <c r="DX84" s="5">
        <f t="shared" si="262"/>
        <v>3.1135461760461767</v>
      </c>
      <c r="DY84" s="5">
        <f t="shared" si="302"/>
        <v>14.556839264631479</v>
      </c>
      <c r="DZ84" s="5">
        <f t="shared" si="263"/>
        <v>14.556839264631474</v>
      </c>
      <c r="EA84" s="173">
        <f t="shared" si="303"/>
        <v>0.17620137299771163</v>
      </c>
      <c r="EB84" s="173">
        <f t="shared" si="264"/>
        <v>118.49999999999999</v>
      </c>
      <c r="EC84" s="173">
        <f t="shared" si="265"/>
        <v>7.6948051948051956</v>
      </c>
      <c r="ED84" s="173">
        <f t="shared" si="304"/>
        <v>15.399999999999997</v>
      </c>
      <c r="EE84" s="460">
        <f t="shared" si="266"/>
        <v>163.98009860509862</v>
      </c>
      <c r="EF84" s="5">
        <f t="shared" si="267"/>
        <v>6.6550364693627708</v>
      </c>
      <c r="EG84" s="5"/>
      <c r="EH84" s="173">
        <f t="shared" si="305"/>
        <v>4.5274178430577097</v>
      </c>
      <c r="EI84" s="173">
        <f t="shared" si="268"/>
        <v>9.7894088258088328</v>
      </c>
      <c r="EJ84" s="173"/>
      <c r="EK84" s="528">
        <f t="shared" si="269"/>
        <v>0.40995024651274647</v>
      </c>
      <c r="EL84" s="528">
        <f t="shared" si="270"/>
        <v>1.8479999999999996</v>
      </c>
      <c r="EM84" s="528">
        <f t="shared" si="271"/>
        <v>7.0739826485191988E-3</v>
      </c>
      <c r="EN84" s="528">
        <f t="shared" si="272"/>
        <v>4.3229164556962026E-2</v>
      </c>
      <c r="EO84">
        <f t="shared" si="273"/>
        <v>3.2399999999999998E-2</v>
      </c>
      <c r="EP84" s="460">
        <f t="shared" si="306"/>
        <v>39.473982648519197</v>
      </c>
      <c r="EQ84" s="528">
        <f t="shared" si="274"/>
        <v>2.715877807185993</v>
      </c>
      <c r="ER84" s="460">
        <f t="shared" si="307"/>
        <v>2715.8778071859929</v>
      </c>
      <c r="ES84" s="528">
        <f t="shared" si="308"/>
        <v>4.9078749999999998</v>
      </c>
      <c r="ET84" s="528"/>
      <c r="EV84" s="460">
        <f t="shared" si="309"/>
        <v>4907.875</v>
      </c>
      <c r="EW84" s="528">
        <f t="shared" si="275"/>
        <v>0.61492536976911971</v>
      </c>
      <c r="EX84" s="528">
        <f t="shared" si="276"/>
        <v>2.8749757547647161</v>
      </c>
      <c r="EY84" s="528">
        <f t="shared" si="277"/>
        <v>1.8170687138587007</v>
      </c>
      <c r="EZ84" s="528">
        <f t="shared" si="278"/>
        <v>8.5245264691431473</v>
      </c>
      <c r="FA84" s="528">
        <f t="shared" si="279"/>
        <v>1.9749999999999997E-2</v>
      </c>
      <c r="FB84" s="460">
        <f t="shared" si="310"/>
        <v>8544.2764691431476</v>
      </c>
      <c r="FC84" s="173">
        <f t="shared" si="311"/>
        <v>16.16802927632914</v>
      </c>
      <c r="FD84" s="5">
        <f t="shared" si="312"/>
        <v>118.5</v>
      </c>
      <c r="FE84" s="173">
        <f t="shared" si="313"/>
        <v>0.87994159145855244</v>
      </c>
      <c r="FF84" s="5">
        <f t="shared" si="314"/>
        <v>87.994159145855249</v>
      </c>
      <c r="FI84" s="562">
        <f t="shared" si="280"/>
        <v>-50</v>
      </c>
      <c r="FJ84">
        <f t="shared" si="281"/>
        <v>-50</v>
      </c>
      <c r="FL84">
        <f t="shared" si="282"/>
        <v>0.82379862700228834</v>
      </c>
    </row>
    <row r="85" spans="5:168">
      <c r="E85" s="170">
        <v>80</v>
      </c>
      <c r="F85" s="217">
        <f t="shared" si="283"/>
        <v>8</v>
      </c>
      <c r="G85" s="217"/>
      <c r="H85" s="217">
        <f t="shared" si="183"/>
        <v>120</v>
      </c>
      <c r="I85" s="541">
        <f t="shared" si="184"/>
        <v>71.512791894755665</v>
      </c>
      <c r="J85" s="172">
        <f t="shared" si="185"/>
        <v>15.692324863146604</v>
      </c>
      <c r="K85" s="172">
        <f t="shared" si="186"/>
        <v>87.692324863146609</v>
      </c>
      <c r="L85" s="443"/>
      <c r="M85" s="217">
        <f t="shared" si="187"/>
        <v>0.17993797073580478</v>
      </c>
      <c r="N85" s="172">
        <f t="shared" si="188"/>
        <v>322.85477437882349</v>
      </c>
      <c r="O85" s="172">
        <f t="shared" si="284"/>
        <v>120</v>
      </c>
      <c r="P85" s="217">
        <f t="shared" si="189"/>
        <v>21.523651625254899</v>
      </c>
      <c r="Q85" s="217">
        <f t="shared" si="190"/>
        <v>15</v>
      </c>
      <c r="R85" s="217">
        <f t="shared" si="191"/>
        <v>21.446444425323737</v>
      </c>
      <c r="S85" s="172">
        <f t="shared" si="192"/>
        <v>152.15219313703744</v>
      </c>
      <c r="T85" s="172">
        <f t="shared" si="193"/>
        <v>15</v>
      </c>
      <c r="U85" s="217">
        <f t="shared" si="194"/>
        <v>19.51071922492995</v>
      </c>
      <c r="V85" s="217">
        <f t="shared" si="195"/>
        <v>3.2739405705726483</v>
      </c>
      <c r="W85" s="217">
        <f t="shared" si="196"/>
        <v>14.919945434535967</v>
      </c>
      <c r="X85" s="197">
        <f t="shared" si="197"/>
        <v>107.23777877607668</v>
      </c>
      <c r="Y85" s="443">
        <f t="shared" si="198"/>
        <v>54.365890911918534</v>
      </c>
      <c r="AA85" s="217">
        <f t="shared" si="199"/>
        <v>10</v>
      </c>
      <c r="AB85" s="173">
        <f t="shared" si="200"/>
        <v>7.6470504559728925</v>
      </c>
      <c r="AC85" s="173">
        <f t="shared" si="201"/>
        <v>4.1002635254355866</v>
      </c>
      <c r="AD85" s="173"/>
      <c r="AE85" s="173">
        <f t="shared" si="202"/>
        <v>7.6470504559728925</v>
      </c>
      <c r="AF85" s="545">
        <f t="shared" si="203"/>
        <v>209.23099817528805</v>
      </c>
      <c r="AG85" s="528">
        <f t="shared" si="204"/>
        <v>4.1002635254355866</v>
      </c>
      <c r="AI85" s="173">
        <f t="shared" si="205"/>
        <v>7.731771154977328</v>
      </c>
      <c r="AJ85" s="173">
        <f t="shared" si="206"/>
        <v>19.51071922492995</v>
      </c>
      <c r="AK85" s="173">
        <f t="shared" si="207"/>
        <v>8.2449772036518141</v>
      </c>
      <c r="AM85" s="545">
        <f t="shared" si="208"/>
        <v>8000</v>
      </c>
      <c r="AN85" s="460">
        <f t="shared" si="209"/>
        <v>54.365890911918534</v>
      </c>
      <c r="AP85">
        <f t="shared" si="210"/>
        <v>8000</v>
      </c>
      <c r="AQ85">
        <f t="shared" si="211"/>
        <v>54.365890911918534</v>
      </c>
      <c r="AS85" s="5">
        <f t="shared" si="285"/>
        <v>18.393886005108616</v>
      </c>
      <c r="AT85" s="5">
        <f t="shared" si="212"/>
        <v>3.2739405705726483</v>
      </c>
      <c r="AU85" s="5">
        <f t="shared" si="286"/>
        <v>15.119945434535968</v>
      </c>
      <c r="AV85" s="5">
        <f t="shared" si="213"/>
        <v>14.919945434535967</v>
      </c>
      <c r="AW85" s="173">
        <f t="shared" si="287"/>
        <v>0.17799069591185693</v>
      </c>
      <c r="AX85" s="173">
        <f t="shared" si="214"/>
        <v>124.17218348585823</v>
      </c>
      <c r="AY85" s="173">
        <f t="shared" si="215"/>
        <v>8.0189963661719119</v>
      </c>
      <c r="AZ85" s="173">
        <f t="shared" si="288"/>
        <v>15.484753679360404</v>
      </c>
      <c r="BA85" s="460">
        <f t="shared" si="216"/>
        <v>174.6101637638746</v>
      </c>
      <c r="BB85" s="5">
        <f t="shared" si="217"/>
        <v>7.0476647295902772</v>
      </c>
      <c r="BC85" s="5"/>
      <c r="BD85" s="173">
        <f t="shared" si="289"/>
        <v>4.7523815623265397</v>
      </c>
      <c r="BE85" s="173">
        <f t="shared" si="218"/>
        <v>10.212945594231984</v>
      </c>
      <c r="BF85" s="173"/>
      <c r="BG85" s="528">
        <f t="shared" si="219"/>
        <v>0.45170261027882486</v>
      </c>
      <c r="BH85" s="528">
        <f t="shared" si="220"/>
        <v>1.7440649111384856</v>
      </c>
      <c r="BI85" s="528">
        <f t="shared" si="221"/>
        <v>9.7196416073925457E-2</v>
      </c>
      <c r="BJ85" s="528">
        <f t="shared" si="222"/>
        <v>4.1807064791898128E-2</v>
      </c>
      <c r="BK85">
        <f t="shared" si="223"/>
        <v>3.2180756352640047E-2</v>
      </c>
      <c r="BL85" s="460">
        <f t="shared" si="290"/>
        <v>129.37717242656549</v>
      </c>
      <c r="BM85" s="528">
        <f t="shared" si="224"/>
        <v>2.6432162608335608</v>
      </c>
      <c r="BN85" s="460">
        <f t="shared" si="291"/>
        <v>2643.2162608335607</v>
      </c>
      <c r="BO85" s="528">
        <f t="shared" si="225"/>
        <v>4.97</v>
      </c>
      <c r="BP85" s="528"/>
      <c r="BR85" s="460">
        <f t="shared" si="292"/>
        <v>4970</v>
      </c>
      <c r="BS85" s="528">
        <f t="shared" si="226"/>
        <v>0.67755391541823717</v>
      </c>
      <c r="BT85" s="528">
        <f t="shared" si="227"/>
        <v>3.1291277313222747</v>
      </c>
      <c r="BU85" s="528">
        <f t="shared" si="228"/>
        <v>1.7999999999999998</v>
      </c>
      <c r="BV85" s="528">
        <f t="shared" si="229"/>
        <v>9.3754263001215001</v>
      </c>
      <c r="BW85" s="528">
        <f t="shared" si="230"/>
        <v>2.0695363914309706E-2</v>
      </c>
      <c r="BX85" s="460">
        <f t="shared" si="293"/>
        <v>9396.1216640358107</v>
      </c>
      <c r="BY85" s="173">
        <f t="shared" si="231"/>
        <v>17.138715097295936</v>
      </c>
      <c r="BZ85" s="5">
        <f t="shared" si="294"/>
        <v>120</v>
      </c>
      <c r="CA85" s="173">
        <f t="shared" si="295"/>
        <v>0.87502642791179341</v>
      </c>
      <c r="CB85" s="5">
        <f t="shared" si="296"/>
        <v>87.502642791179341</v>
      </c>
      <c r="CE85" s="562">
        <f t="shared" si="232"/>
        <v>-50</v>
      </c>
      <c r="CF85">
        <f t="shared" si="233"/>
        <v>-50</v>
      </c>
      <c r="CG85" s="173">
        <f t="shared" si="234"/>
        <v>0.82100440385612328</v>
      </c>
      <c r="CI85" s="170">
        <v>80</v>
      </c>
      <c r="CJ85" s="217">
        <f t="shared" si="297"/>
        <v>8</v>
      </c>
      <c r="CK85" s="217"/>
      <c r="CL85" s="217">
        <f t="shared" si="235"/>
        <v>120</v>
      </c>
      <c r="CM85" s="541">
        <f t="shared" si="236"/>
        <v>72</v>
      </c>
      <c r="CN85" s="172">
        <f t="shared" si="237"/>
        <v>15.4</v>
      </c>
      <c r="CO85" s="443">
        <f t="shared" si="238"/>
        <v>87.4</v>
      </c>
      <c r="CP85" s="443"/>
      <c r="CQ85" s="217">
        <f t="shared" si="239"/>
        <v>0.17620137299771166</v>
      </c>
      <c r="CR85" s="172">
        <f t="shared" si="240"/>
        <v>318.30425629290613</v>
      </c>
      <c r="CS85" s="172">
        <f t="shared" si="298"/>
        <v>120</v>
      </c>
      <c r="CT85" s="217">
        <f t="shared" si="241"/>
        <v>21.220283752860407</v>
      </c>
      <c r="CU85" s="217">
        <f t="shared" si="242"/>
        <v>15</v>
      </c>
      <c r="CV85" s="217">
        <f t="shared" si="243"/>
        <v>21.144164759725399</v>
      </c>
      <c r="CW85" s="172">
        <f t="shared" si="244"/>
        <v>153.18751524142266</v>
      </c>
      <c r="CX85" s="172">
        <f t="shared" si="245"/>
        <v>15</v>
      </c>
      <c r="CY85" s="217">
        <f t="shared" si="246"/>
        <v>18.91774891774892</v>
      </c>
      <c r="CZ85" s="217">
        <f t="shared" si="247"/>
        <v>3.1529581529581536</v>
      </c>
      <c r="DA85" s="217">
        <f t="shared" si="248"/>
        <v>14.741103052791365</v>
      </c>
      <c r="DB85" s="197">
        <f t="shared" si="249"/>
        <v>105.72082379862701</v>
      </c>
      <c r="DC85" s="443">
        <f t="shared" si="299"/>
        <v>55.884462923301683</v>
      </c>
      <c r="DE85" s="217">
        <f t="shared" si="250"/>
        <v>9.9999999999999982</v>
      </c>
      <c r="DF85" s="173">
        <f t="shared" si="251"/>
        <v>7.7922077922077895</v>
      </c>
      <c r="DG85" s="173">
        <f t="shared" si="252"/>
        <v>4.118993135011439</v>
      </c>
      <c r="DH85" s="173"/>
      <c r="DI85" s="173">
        <f t="shared" si="253"/>
        <v>7.7922077922077913</v>
      </c>
      <c r="DJ85" s="545">
        <f t="shared" si="300"/>
        <v>205.33333333333334</v>
      </c>
      <c r="DK85" s="528">
        <f t="shared" si="254"/>
        <v>4.1189931350114417</v>
      </c>
      <c r="DM85" s="173">
        <f t="shared" si="255"/>
        <v>7.6594168620507048</v>
      </c>
      <c r="DN85" s="173">
        <f t="shared" si="256"/>
        <v>18.91774891774892</v>
      </c>
      <c r="DO85" s="173">
        <f t="shared" si="257"/>
        <v>7.8057399390732742</v>
      </c>
      <c r="DQ85" s="545">
        <f t="shared" si="258"/>
        <v>8000</v>
      </c>
      <c r="DR85" s="460">
        <f t="shared" si="259"/>
        <v>55.884462923301683</v>
      </c>
      <c r="DT85">
        <f t="shared" si="260"/>
        <v>8000</v>
      </c>
      <c r="DU85">
        <f t="shared" si="261"/>
        <v>55.884462923301683</v>
      </c>
      <c r="DW85" s="5">
        <f t="shared" si="301"/>
        <v>17.894061205749516</v>
      </c>
      <c r="DX85" s="5">
        <f t="shared" si="262"/>
        <v>3.1529581529581536</v>
      </c>
      <c r="DY85" s="5">
        <f t="shared" si="302"/>
        <v>14.741103052791363</v>
      </c>
      <c r="DZ85" s="5">
        <f t="shared" si="263"/>
        <v>14.741103052791365</v>
      </c>
      <c r="EA85" s="173">
        <f t="shared" si="303"/>
        <v>0.17620137299771171</v>
      </c>
      <c r="EB85" s="173">
        <f t="shared" si="264"/>
        <v>120.00000000000003</v>
      </c>
      <c r="EC85" s="173">
        <f t="shared" si="265"/>
        <v>7.792207792207793</v>
      </c>
      <c r="ED85" s="173">
        <f t="shared" si="304"/>
        <v>15.400000000000002</v>
      </c>
      <c r="EE85" s="460">
        <f t="shared" si="266"/>
        <v>168.1577681577682</v>
      </c>
      <c r="EF85" s="5">
        <f t="shared" si="267"/>
        <v>6.8245847466626683</v>
      </c>
      <c r="EG85" s="5"/>
      <c r="EH85" s="173">
        <f t="shared" si="305"/>
        <v>4.5847269296786939</v>
      </c>
      <c r="EI85" s="173">
        <f t="shared" si="268"/>
        <v>9.9133253932241363</v>
      </c>
      <c r="EJ85" s="173"/>
      <c r="EK85" s="528">
        <f t="shared" si="269"/>
        <v>0.42039442039442043</v>
      </c>
      <c r="EL85" s="528">
        <f t="shared" si="270"/>
        <v>1.8480000000000003</v>
      </c>
      <c r="EM85" s="528">
        <f t="shared" si="271"/>
        <v>6.9855578654127101E-3</v>
      </c>
      <c r="EN85" s="528">
        <f t="shared" si="272"/>
        <v>4.2688800000000013E-2</v>
      </c>
      <c r="EO85">
        <f t="shared" si="273"/>
        <v>3.2399999999999998E-2</v>
      </c>
      <c r="EP85" s="460">
        <f t="shared" si="306"/>
        <v>39.385557865412707</v>
      </c>
      <c r="EQ85" s="528">
        <f t="shared" si="274"/>
        <v>2.7374026952711228</v>
      </c>
      <c r="ER85" s="460">
        <f t="shared" si="307"/>
        <v>2737.4026952711229</v>
      </c>
      <c r="ES85" s="528">
        <f t="shared" si="308"/>
        <v>4.97</v>
      </c>
      <c r="ET85" s="528"/>
      <c r="EV85" s="460">
        <f t="shared" si="309"/>
        <v>4970</v>
      </c>
      <c r="EW85" s="528">
        <f t="shared" si="275"/>
        <v>0.63059163059163059</v>
      </c>
      <c r="EX85" s="528">
        <f t="shared" si="276"/>
        <v>2.9482206105582742</v>
      </c>
      <c r="EY85" s="528">
        <f t="shared" si="277"/>
        <v>1.8170687138587045</v>
      </c>
      <c r="EZ85" s="528">
        <f t="shared" si="278"/>
        <v>8.7639617923628421</v>
      </c>
      <c r="FA85" s="528">
        <f t="shared" si="279"/>
        <v>2.0000000000000004E-2</v>
      </c>
      <c r="FB85" s="460">
        <f t="shared" si="310"/>
        <v>8783.9617923628412</v>
      </c>
      <c r="FC85" s="173">
        <f t="shared" si="311"/>
        <v>16.491364487633962</v>
      </c>
      <c r="FD85" s="5">
        <f t="shared" si="312"/>
        <v>120</v>
      </c>
      <c r="FE85" s="173">
        <f t="shared" si="313"/>
        <v>0.87917649919070096</v>
      </c>
      <c r="FF85" s="5">
        <f t="shared" si="314"/>
        <v>87.917649919070101</v>
      </c>
      <c r="FI85" s="562">
        <f t="shared" si="280"/>
        <v>-50</v>
      </c>
      <c r="FJ85">
        <f t="shared" si="281"/>
        <v>-50</v>
      </c>
      <c r="FL85">
        <f t="shared" si="282"/>
        <v>0.82379862700228834</v>
      </c>
    </row>
    <row r="86" spans="5:168">
      <c r="E86" s="170">
        <v>81</v>
      </c>
      <c r="F86" s="217">
        <f t="shared" si="283"/>
        <v>8.1000000000000014</v>
      </c>
      <c r="G86" s="217"/>
      <c r="H86" s="217">
        <f t="shared" si="183"/>
        <v>121.50000000000003</v>
      </c>
      <c r="I86" s="541">
        <f t="shared" si="184"/>
        <v>71.506722519744372</v>
      </c>
      <c r="J86" s="172">
        <f t="shared" si="185"/>
        <v>15.695966488153381</v>
      </c>
      <c r="K86" s="172">
        <f t="shared" si="186"/>
        <v>87.695966488153374</v>
      </c>
      <c r="L86" s="443"/>
      <c r="M86" s="217">
        <f t="shared" si="187"/>
        <v>0.17998474165535958</v>
      </c>
      <c r="N86" s="172">
        <f t="shared" si="188"/>
        <v>322.91128519158224</v>
      </c>
      <c r="O86" s="172">
        <f t="shared" si="284"/>
        <v>121.50000000000003</v>
      </c>
      <c r="P86" s="217">
        <f t="shared" si="189"/>
        <v>21.52741901277215</v>
      </c>
      <c r="Q86" s="217">
        <f t="shared" si="190"/>
        <v>15</v>
      </c>
      <c r="R86" s="217">
        <f t="shared" si="191"/>
        <v>21.450198298896122</v>
      </c>
      <c r="S86" s="172">
        <f t="shared" si="192"/>
        <v>149.38399792148826</v>
      </c>
      <c r="T86" s="172">
        <f t="shared" si="193"/>
        <v>15</v>
      </c>
      <c r="U86" s="217">
        <f t="shared" si="194"/>
        <v>19.755729951541195</v>
      </c>
      <c r="V86" s="217">
        <f t="shared" si="195"/>
        <v>3.3153352728903931</v>
      </c>
      <c r="W86" s="217">
        <f t="shared" si="196"/>
        <v>15.103801323570824</v>
      </c>
      <c r="X86" s="197">
        <f t="shared" si="197"/>
        <v>107.25654727668815</v>
      </c>
      <c r="Y86" s="443">
        <f t="shared" si="198"/>
        <v>53.708183234987466</v>
      </c>
      <c r="AA86" s="217">
        <f t="shared" si="199"/>
        <v>10</v>
      </c>
      <c r="AB86" s="173">
        <f t="shared" si="200"/>
        <v>7.6452762619345984</v>
      </c>
      <c r="AC86" s="173">
        <f t="shared" si="201"/>
        <v>4.1000296741576507</v>
      </c>
      <c r="AD86" s="173"/>
      <c r="AE86" s="173">
        <f t="shared" si="202"/>
        <v>7.6452762619345984</v>
      </c>
      <c r="AF86" s="545">
        <f t="shared" si="203"/>
        <v>211.89554759007066</v>
      </c>
      <c r="AG86" s="528">
        <f t="shared" si="204"/>
        <v>4.1000296741576499</v>
      </c>
      <c r="AI86" s="173">
        <f t="shared" si="205"/>
        <v>7.7808473205515662</v>
      </c>
      <c r="AJ86" s="173">
        <f t="shared" si="206"/>
        <v>19.755729951541195</v>
      </c>
      <c r="AK86" s="173">
        <f t="shared" si="207"/>
        <v>8.4264666307712552</v>
      </c>
      <c r="AM86" s="545">
        <f t="shared" si="208"/>
        <v>8100.0000000000018</v>
      </c>
      <c r="AN86" s="460">
        <f t="shared" si="209"/>
        <v>53.708183234987466</v>
      </c>
      <c r="AP86">
        <f t="shared" si="210"/>
        <v>8100.0000000000018</v>
      </c>
      <c r="AQ86">
        <f t="shared" si="211"/>
        <v>53.708183234987466</v>
      </c>
      <c r="AS86" s="5">
        <f t="shared" si="285"/>
        <v>18.619136596461217</v>
      </c>
      <c r="AT86" s="5">
        <f t="shared" si="212"/>
        <v>3.3153352728903931</v>
      </c>
      <c r="AU86" s="5">
        <f t="shared" si="286"/>
        <v>15.303801323570823</v>
      </c>
      <c r="AV86" s="5">
        <f t="shared" si="213"/>
        <v>15.103801323570824</v>
      </c>
      <c r="AW86" s="173">
        <f t="shared" si="287"/>
        <v>0.1780606343218144</v>
      </c>
      <c r="AX86" s="173">
        <f t="shared" si="214"/>
        <v>125.7702355518679</v>
      </c>
      <c r="AY86" s="173">
        <f t="shared" si="215"/>
        <v>8.1190060724396513</v>
      </c>
      <c r="AZ86" s="173">
        <f t="shared" si="288"/>
        <v>15.490841419468929</v>
      </c>
      <c r="BA86" s="460">
        <f t="shared" si="216"/>
        <v>179.02810473608125</v>
      </c>
      <c r="BB86" s="5">
        <f t="shared" si="217"/>
        <v>7.2231431740966592</v>
      </c>
      <c r="BC86" s="5"/>
      <c r="BD86" s="173">
        <f t="shared" si="289"/>
        <v>4.8130060957832494</v>
      </c>
      <c r="BE86" s="173">
        <f t="shared" si="218"/>
        <v>10.34075727214214</v>
      </c>
      <c r="BF86" s="173"/>
      <c r="BG86" s="528">
        <f t="shared" si="219"/>
        <v>0.46330055356093441</v>
      </c>
      <c r="BH86" s="528">
        <f t="shared" si="220"/>
        <v>1.7446745813142113</v>
      </c>
      <c r="BI86" s="528">
        <f t="shared" si="221"/>
        <v>9.6012403890595885E-2</v>
      </c>
      <c r="BJ86" s="528">
        <f t="shared" si="222"/>
        <v>4.1304721615034519E-2</v>
      </c>
      <c r="BK86">
        <f t="shared" si="223"/>
        <v>3.2178025133884965E-2</v>
      </c>
      <c r="BL86" s="460">
        <f t="shared" si="290"/>
        <v>128.19042902448086</v>
      </c>
      <c r="BM86" s="528">
        <f t="shared" si="224"/>
        <v>2.6680730518683262</v>
      </c>
      <c r="BN86" s="460">
        <f t="shared" si="291"/>
        <v>2668.0730518683263</v>
      </c>
      <c r="BO86" s="528">
        <f t="shared" si="225"/>
        <v>5.0321250000000006</v>
      </c>
      <c r="BP86" s="528"/>
      <c r="BR86" s="460">
        <f t="shared" si="292"/>
        <v>5032.1250000000009</v>
      </c>
      <c r="BS86" s="528">
        <f t="shared" si="226"/>
        <v>0.69495083034140159</v>
      </c>
      <c r="BT86" s="528">
        <f t="shared" si="227"/>
        <v>3.2079378288408162</v>
      </c>
      <c r="BU86" s="528">
        <f t="shared" si="228"/>
        <v>1.8225000000000005</v>
      </c>
      <c r="BV86" s="528">
        <f t="shared" si="229"/>
        <v>9.6865122383541138</v>
      </c>
      <c r="BW86" s="528">
        <f t="shared" si="230"/>
        <v>2.0961705925311314E-2</v>
      </c>
      <c r="BX86" s="460">
        <f t="shared" si="293"/>
        <v>9707.4739442794253</v>
      </c>
      <c r="BY86" s="173">
        <f t="shared" si="231"/>
        <v>17.535862425172233</v>
      </c>
      <c r="BZ86" s="5">
        <f t="shared" si="294"/>
        <v>121.50000000000003</v>
      </c>
      <c r="CA86" s="173">
        <f t="shared" si="295"/>
        <v>0.87387525693516754</v>
      </c>
      <c r="CB86" s="5">
        <f t="shared" si="296"/>
        <v>87.38752569351675</v>
      </c>
      <c r="CE86" s="562">
        <f t="shared" si="232"/>
        <v>-50</v>
      </c>
      <c r="CF86">
        <f t="shared" si="233"/>
        <v>-50</v>
      </c>
      <c r="CG86" s="173">
        <f t="shared" si="234"/>
        <v>0.82103890043817462</v>
      </c>
      <c r="CI86" s="170">
        <v>81</v>
      </c>
      <c r="CJ86" s="217">
        <f t="shared" si="297"/>
        <v>8.1000000000000014</v>
      </c>
      <c r="CK86" s="217"/>
      <c r="CL86" s="217">
        <f t="shared" si="235"/>
        <v>121.50000000000003</v>
      </c>
      <c r="CM86" s="541">
        <f t="shared" si="236"/>
        <v>72</v>
      </c>
      <c r="CN86" s="172">
        <f t="shared" si="237"/>
        <v>15.4</v>
      </c>
      <c r="CO86" s="443">
        <f t="shared" si="238"/>
        <v>87.4</v>
      </c>
      <c r="CP86" s="443"/>
      <c r="CQ86" s="217">
        <f t="shared" si="239"/>
        <v>0.17620137299771166</v>
      </c>
      <c r="CR86" s="172">
        <f t="shared" si="240"/>
        <v>318.30425629290613</v>
      </c>
      <c r="CS86" s="172">
        <f t="shared" si="298"/>
        <v>121.50000000000003</v>
      </c>
      <c r="CT86" s="217">
        <f t="shared" si="241"/>
        <v>21.220283752860407</v>
      </c>
      <c r="CU86" s="217">
        <f t="shared" si="242"/>
        <v>15</v>
      </c>
      <c r="CV86" s="217">
        <f t="shared" si="243"/>
        <v>21.144164759725399</v>
      </c>
      <c r="CW86" s="172">
        <f t="shared" si="244"/>
        <v>150.41318695535605</v>
      </c>
      <c r="CX86" s="172">
        <f t="shared" si="245"/>
        <v>15</v>
      </c>
      <c r="CY86" s="217">
        <f t="shared" si="246"/>
        <v>19.154220779220786</v>
      </c>
      <c r="CZ86" s="217">
        <f t="shared" si="247"/>
        <v>3.1923701298701306</v>
      </c>
      <c r="DA86" s="217">
        <f t="shared" si="248"/>
        <v>14.925366840951261</v>
      </c>
      <c r="DB86" s="197">
        <f t="shared" si="249"/>
        <v>105.72082379862701</v>
      </c>
      <c r="DC86" s="443">
        <f t="shared" si="299"/>
        <v>55.19453128227326</v>
      </c>
      <c r="DE86" s="217">
        <f t="shared" si="250"/>
        <v>9.9999999999999982</v>
      </c>
      <c r="DF86" s="173">
        <f t="shared" si="251"/>
        <v>7.7922077922077895</v>
      </c>
      <c r="DG86" s="173">
        <f t="shared" si="252"/>
        <v>4.118993135011439</v>
      </c>
      <c r="DH86" s="173"/>
      <c r="DI86" s="173">
        <f t="shared" si="253"/>
        <v>7.7922077922077913</v>
      </c>
      <c r="DJ86" s="545">
        <f t="shared" si="300"/>
        <v>207.90000000000006</v>
      </c>
      <c r="DK86" s="528">
        <f t="shared" si="254"/>
        <v>4.1189931350114417</v>
      </c>
      <c r="DM86" s="173">
        <f t="shared" si="255"/>
        <v>7.7071395471990787</v>
      </c>
      <c r="DN86" s="173">
        <f t="shared" si="256"/>
        <v>19.154220779220786</v>
      </c>
      <c r="DO86" s="173">
        <f t="shared" si="257"/>
        <v>7.9809042809042854</v>
      </c>
      <c r="DQ86" s="545">
        <f t="shared" si="258"/>
        <v>8100.0000000000018</v>
      </c>
      <c r="DR86" s="460">
        <f t="shared" si="259"/>
        <v>55.19453128227326</v>
      </c>
      <c r="DT86">
        <f t="shared" si="260"/>
        <v>8100.0000000000018</v>
      </c>
      <c r="DU86">
        <f t="shared" si="261"/>
        <v>55.19453128227326</v>
      </c>
      <c r="DW86" s="5">
        <f t="shared" si="301"/>
        <v>18.11773697082139</v>
      </c>
      <c r="DX86" s="5">
        <f t="shared" si="262"/>
        <v>3.1923701298701306</v>
      </c>
      <c r="DY86" s="5">
        <f t="shared" si="302"/>
        <v>14.925366840951259</v>
      </c>
      <c r="DZ86" s="5">
        <f t="shared" si="263"/>
        <v>14.925366840951261</v>
      </c>
      <c r="EA86" s="173">
        <f t="shared" si="303"/>
        <v>0.17620137299771169</v>
      </c>
      <c r="EB86" s="173">
        <f t="shared" si="264"/>
        <v>121.50000000000007</v>
      </c>
      <c r="EC86" s="173">
        <f t="shared" si="265"/>
        <v>7.8896103896103922</v>
      </c>
      <c r="ED86" s="173">
        <f t="shared" si="304"/>
        <v>15.400000000000004</v>
      </c>
      <c r="EE86" s="460">
        <f t="shared" si="266"/>
        <v>172.38798701298708</v>
      </c>
      <c r="EF86" s="5">
        <f t="shared" si="267"/>
        <v>6.9962657066959046</v>
      </c>
      <c r="EG86" s="5"/>
      <c r="EH86" s="173">
        <f t="shared" si="305"/>
        <v>4.642036016299679</v>
      </c>
      <c r="EI86" s="173">
        <f t="shared" si="268"/>
        <v>10.03724196063944</v>
      </c>
      <c r="EJ86" s="173"/>
      <c r="EK86" s="528">
        <f t="shared" si="269"/>
        <v>0.43096996753246786</v>
      </c>
      <c r="EL86" s="528">
        <f t="shared" si="270"/>
        <v>1.8480000000000003</v>
      </c>
      <c r="EM86" s="528">
        <f t="shared" si="271"/>
        <v>6.8993164102841573E-3</v>
      </c>
      <c r="EN86" s="528">
        <f t="shared" si="272"/>
        <v>4.2161777777777784E-2</v>
      </c>
      <c r="EO86">
        <f t="shared" si="273"/>
        <v>3.2399999999999998E-2</v>
      </c>
      <c r="EP86" s="460">
        <f t="shared" si="306"/>
        <v>39.299316410284156</v>
      </c>
      <c r="EQ86" s="528">
        <f t="shared" si="274"/>
        <v>2.7593457167866089</v>
      </c>
      <c r="ER86" s="460">
        <f t="shared" si="307"/>
        <v>2759.345716786609</v>
      </c>
      <c r="ES86" s="528">
        <f t="shared" si="308"/>
        <v>5.0321250000000006</v>
      </c>
      <c r="ET86" s="528"/>
      <c r="EV86" s="460">
        <f t="shared" si="309"/>
        <v>5032.1250000000009</v>
      </c>
      <c r="EW86" s="528">
        <f t="shared" si="275"/>
        <v>0.64645495129870179</v>
      </c>
      <c r="EX86" s="528">
        <f t="shared" si="276"/>
        <v>3.0223867852926318</v>
      </c>
      <c r="EY86" s="528">
        <f t="shared" si="277"/>
        <v>1.8170687138586978</v>
      </c>
      <c r="EZ86" s="528">
        <f t="shared" si="278"/>
        <v>9.0113214446779519</v>
      </c>
      <c r="FA86" s="528">
        <f t="shared" si="279"/>
        <v>2.0250000000000011E-2</v>
      </c>
      <c r="FB86" s="460">
        <f t="shared" si="310"/>
        <v>9031.571444677953</v>
      </c>
      <c r="FC86" s="173">
        <f t="shared" si="311"/>
        <v>16.82304216146456</v>
      </c>
      <c r="FD86" s="5">
        <f t="shared" si="312"/>
        <v>121.50000000000003</v>
      </c>
      <c r="FE86" s="173">
        <f t="shared" si="313"/>
        <v>0.87837859912141736</v>
      </c>
      <c r="FF86" s="5">
        <f t="shared" si="314"/>
        <v>87.837859912141738</v>
      </c>
      <c r="FI86" s="562">
        <f t="shared" si="280"/>
        <v>-50</v>
      </c>
      <c r="FJ86">
        <f t="shared" si="281"/>
        <v>-50</v>
      </c>
      <c r="FL86">
        <f t="shared" si="282"/>
        <v>0.82379862700228834</v>
      </c>
    </row>
    <row r="87" spans="5:168">
      <c r="E87" s="170">
        <v>82</v>
      </c>
      <c r="F87" s="217">
        <f t="shared" si="283"/>
        <v>8.1999999999999993</v>
      </c>
      <c r="G87" s="217"/>
      <c r="H87" s="217">
        <f t="shared" si="183"/>
        <v>122.99999999999999</v>
      </c>
      <c r="I87" s="541">
        <f t="shared" si="184"/>
        <v>71.500653143033958</v>
      </c>
      <c r="J87" s="172">
        <f t="shared" si="185"/>
        <v>15.699608114179627</v>
      </c>
      <c r="K87" s="172">
        <f t="shared" si="186"/>
        <v>87.699608114179625</v>
      </c>
      <c r="L87" s="443"/>
      <c r="M87" s="217">
        <f t="shared" si="187"/>
        <v>0.18003151518271371</v>
      </c>
      <c r="N87" s="172">
        <f t="shared" si="188"/>
        <v>322.96778643032212</v>
      </c>
      <c r="O87" s="172">
        <f t="shared" si="284"/>
        <v>122.99999999999999</v>
      </c>
      <c r="P87" s="217">
        <f t="shared" si="189"/>
        <v>21.531185762021476</v>
      </c>
      <c r="Q87" s="217">
        <f t="shared" si="190"/>
        <v>15</v>
      </c>
      <c r="R87" s="217">
        <f t="shared" si="191"/>
        <v>21.453951536490106</v>
      </c>
      <c r="S87" s="172">
        <f t="shared" si="192"/>
        <v>146.68359205104019</v>
      </c>
      <c r="T87" s="172">
        <f t="shared" si="193"/>
        <v>15</v>
      </c>
      <c r="U87" s="217">
        <f t="shared" si="194"/>
        <v>20.00076869253629</v>
      </c>
      <c r="V87" s="217">
        <f t="shared" si="195"/>
        <v>3.356741704587054</v>
      </c>
      <c r="W87" s="217">
        <f t="shared" si="196"/>
        <v>15.287593331305075</v>
      </c>
      <c r="X87" s="197">
        <f t="shared" si="197"/>
        <v>107.27531260317356</v>
      </c>
      <c r="Y87" s="443">
        <f t="shared" si="198"/>
        <v>53.066345832598273</v>
      </c>
      <c r="AA87" s="217">
        <f t="shared" si="199"/>
        <v>10</v>
      </c>
      <c r="AB87" s="173">
        <f t="shared" si="200"/>
        <v>7.6435028904713862</v>
      </c>
      <c r="AC87" s="173">
        <f t="shared" si="201"/>
        <v>4.0997958097928935</v>
      </c>
      <c r="AD87" s="173"/>
      <c r="AE87" s="173">
        <f t="shared" si="202"/>
        <v>7.6435028904713862</v>
      </c>
      <c r="AF87" s="545">
        <f t="shared" si="203"/>
        <v>214.5613108937882</v>
      </c>
      <c r="AG87" s="528">
        <f t="shared" si="204"/>
        <v>4.0997958097928935</v>
      </c>
      <c r="AI87" s="173">
        <f t="shared" si="205"/>
        <v>7.8296380301990647</v>
      </c>
      <c r="AJ87" s="173">
        <f t="shared" si="206"/>
        <v>20.00076869253629</v>
      </c>
      <c r="AK87" s="173">
        <f t="shared" si="207"/>
        <v>8.6079768092861393</v>
      </c>
      <c r="AM87" s="545">
        <f t="shared" si="208"/>
        <v>8200</v>
      </c>
      <c r="AN87" s="460">
        <f t="shared" si="209"/>
        <v>53.066345832598273</v>
      </c>
      <c r="AP87">
        <f t="shared" si="210"/>
        <v>8200</v>
      </c>
      <c r="AQ87">
        <f t="shared" si="211"/>
        <v>53.066345832598273</v>
      </c>
      <c r="AS87" s="5">
        <f t="shared" si="285"/>
        <v>18.844335035892129</v>
      </c>
      <c r="AT87" s="5">
        <f t="shared" si="212"/>
        <v>3.356741704587054</v>
      </c>
      <c r="AU87" s="5">
        <f t="shared" si="286"/>
        <v>15.487593331305074</v>
      </c>
      <c r="AV87" s="5">
        <f t="shared" si="213"/>
        <v>15.287593331305075</v>
      </c>
      <c r="AW87" s="173">
        <f t="shared" si="287"/>
        <v>0.17813001616632204</v>
      </c>
      <c r="AX87" s="173">
        <f t="shared" si="214"/>
        <v>127.36902019532626</v>
      </c>
      <c r="AY87" s="173">
        <f t="shared" si="215"/>
        <v>8.219015720997966</v>
      </c>
      <c r="AZ87" s="173">
        <f t="shared" si="288"/>
        <v>15.496870248091083</v>
      </c>
      <c r="BA87" s="460">
        <f t="shared" si="216"/>
        <v>183.50187985075894</v>
      </c>
      <c r="BB87" s="5">
        <f t="shared" si="217"/>
        <v>7.4007637071654351</v>
      </c>
      <c r="BC87" s="5"/>
      <c r="BD87" s="173">
        <f t="shared" si="289"/>
        <v>4.8736531014678093</v>
      </c>
      <c r="BE87" s="173">
        <f t="shared" si="218"/>
        <v>10.468576226529876</v>
      </c>
      <c r="BF87" s="173"/>
      <c r="BG87" s="528">
        <f t="shared" si="219"/>
        <v>0.47504989106893597</v>
      </c>
      <c r="BH87" s="528">
        <f t="shared" si="220"/>
        <v>1.7452787266473826</v>
      </c>
      <c r="BI87" s="528">
        <f t="shared" si="221"/>
        <v>9.4856959673622357E-2</v>
      </c>
      <c r="BJ87" s="528">
        <f t="shared" si="222"/>
        <v>4.0814500743759266E-2</v>
      </c>
      <c r="BK87">
        <f t="shared" si="223"/>
        <v>3.2175293914365279E-2</v>
      </c>
      <c r="BL87" s="460">
        <f t="shared" si="290"/>
        <v>127.03225358798764</v>
      </c>
      <c r="BM87" s="528">
        <f t="shared" si="224"/>
        <v>2.6934176309703712</v>
      </c>
      <c r="BN87" s="460">
        <f t="shared" si="291"/>
        <v>2693.4176309703712</v>
      </c>
      <c r="BO87" s="528">
        <f t="shared" si="225"/>
        <v>5.0942499999999988</v>
      </c>
      <c r="BP87" s="528"/>
      <c r="BR87" s="460">
        <f t="shared" si="292"/>
        <v>5094.2499999999991</v>
      </c>
      <c r="BS87" s="528">
        <f t="shared" si="226"/>
        <v>0.71257483660340393</v>
      </c>
      <c r="BT87" s="528">
        <f t="shared" si="227"/>
        <v>3.287732646319995</v>
      </c>
      <c r="BU87" s="528">
        <f t="shared" si="228"/>
        <v>1.8449999999999998</v>
      </c>
      <c r="BV87" s="528">
        <f t="shared" si="229"/>
        <v>10.008275689315271</v>
      </c>
      <c r="BW87" s="528">
        <f t="shared" si="230"/>
        <v>2.122817003255438E-2</v>
      </c>
      <c r="BX87" s="460">
        <f t="shared" si="293"/>
        <v>10029.503859347826</v>
      </c>
      <c r="BY87" s="173">
        <f t="shared" si="231"/>
        <v>17.944203743906179</v>
      </c>
      <c r="BZ87" s="5">
        <f t="shared" si="294"/>
        <v>122.99999999999999</v>
      </c>
      <c r="CA87" s="173">
        <f t="shared" si="295"/>
        <v>0.87268576310870805</v>
      </c>
      <c r="CB87" s="5">
        <f t="shared" si="296"/>
        <v>87.268576310870799</v>
      </c>
      <c r="CE87" s="562">
        <f t="shared" si="232"/>
        <v>-50</v>
      </c>
      <c r="CF87">
        <f t="shared" si="233"/>
        <v>-50</v>
      </c>
      <c r="CG87" s="173">
        <f t="shared" si="234"/>
        <v>0.82107255564017612</v>
      </c>
      <c r="CI87" s="170">
        <v>82</v>
      </c>
      <c r="CJ87" s="217">
        <f t="shared" si="297"/>
        <v>8.1999999999999993</v>
      </c>
      <c r="CK87" s="217"/>
      <c r="CL87" s="217">
        <f t="shared" si="235"/>
        <v>122.99999999999999</v>
      </c>
      <c r="CM87" s="541">
        <f t="shared" si="236"/>
        <v>72</v>
      </c>
      <c r="CN87" s="172">
        <f t="shared" si="237"/>
        <v>15.4</v>
      </c>
      <c r="CO87" s="443">
        <f t="shared" si="238"/>
        <v>87.4</v>
      </c>
      <c r="CP87" s="443"/>
      <c r="CQ87" s="217">
        <f t="shared" si="239"/>
        <v>0.17620137299771166</v>
      </c>
      <c r="CR87" s="172">
        <f t="shared" si="240"/>
        <v>318.30425629290613</v>
      </c>
      <c r="CS87" s="172">
        <f t="shared" si="298"/>
        <v>122.99999999999999</v>
      </c>
      <c r="CT87" s="217">
        <f t="shared" si="241"/>
        <v>21.220283752860407</v>
      </c>
      <c r="CU87" s="217">
        <f t="shared" si="242"/>
        <v>15</v>
      </c>
      <c r="CV87" s="217">
        <f t="shared" si="243"/>
        <v>21.144164759725399</v>
      </c>
      <c r="CW87" s="172">
        <f t="shared" si="244"/>
        <v>147.70664959161491</v>
      </c>
      <c r="CX87" s="172">
        <f t="shared" si="245"/>
        <v>15</v>
      </c>
      <c r="CY87" s="217">
        <f t="shared" si="246"/>
        <v>19.390692640692638</v>
      </c>
      <c r="CZ87" s="217">
        <f t="shared" si="247"/>
        <v>3.2317821067821062</v>
      </c>
      <c r="DA87" s="217">
        <f t="shared" si="248"/>
        <v>15.109630629111145</v>
      </c>
      <c r="DB87" s="197">
        <f t="shared" si="249"/>
        <v>105.72082379862701</v>
      </c>
      <c r="DC87" s="443">
        <f t="shared" si="299"/>
        <v>54.521427242245558</v>
      </c>
      <c r="DE87" s="217">
        <f t="shared" si="250"/>
        <v>9.9999999999999982</v>
      </c>
      <c r="DF87" s="173">
        <f t="shared" si="251"/>
        <v>7.7922077922077895</v>
      </c>
      <c r="DG87" s="173">
        <f t="shared" si="252"/>
        <v>4.118993135011439</v>
      </c>
      <c r="DH87" s="173"/>
      <c r="DI87" s="173">
        <f t="shared" si="253"/>
        <v>7.7922077922077913</v>
      </c>
      <c r="DJ87" s="545">
        <f t="shared" si="300"/>
        <v>210.46666666666667</v>
      </c>
      <c r="DK87" s="528">
        <f t="shared" si="254"/>
        <v>4.1189931350114417</v>
      </c>
      <c r="DM87" s="173">
        <f t="shared" si="255"/>
        <v>7.7545685459175182</v>
      </c>
      <c r="DN87" s="173">
        <f t="shared" si="256"/>
        <v>19.390692640692638</v>
      </c>
      <c r="DO87" s="173">
        <f t="shared" si="257"/>
        <v>8.1560686227352868</v>
      </c>
      <c r="DQ87" s="545">
        <f t="shared" si="258"/>
        <v>8200</v>
      </c>
      <c r="DR87" s="460">
        <f t="shared" si="259"/>
        <v>54.521427242245558</v>
      </c>
      <c r="DT87">
        <f t="shared" si="260"/>
        <v>8200</v>
      </c>
      <c r="DU87">
        <f t="shared" si="261"/>
        <v>54.521427242245558</v>
      </c>
      <c r="DW87" s="5">
        <f t="shared" si="301"/>
        <v>18.341412735893254</v>
      </c>
      <c r="DX87" s="5">
        <f t="shared" si="262"/>
        <v>3.2317821067821062</v>
      </c>
      <c r="DY87" s="5">
        <f t="shared" si="302"/>
        <v>15.109630629111148</v>
      </c>
      <c r="DZ87" s="5">
        <f t="shared" si="263"/>
        <v>15.109630629111145</v>
      </c>
      <c r="EA87" s="173">
        <f t="shared" si="303"/>
        <v>0.17620137299771166</v>
      </c>
      <c r="EB87" s="173">
        <f t="shared" si="264"/>
        <v>122.99999999999999</v>
      </c>
      <c r="EC87" s="173">
        <f t="shared" si="265"/>
        <v>7.987012987012986</v>
      </c>
      <c r="ED87" s="173">
        <f t="shared" si="304"/>
        <v>15.4</v>
      </c>
      <c r="EE87" s="460">
        <f t="shared" si="266"/>
        <v>176.67075517075511</v>
      </c>
      <c r="EF87" s="5">
        <f t="shared" si="267"/>
        <v>7.1700793494624646</v>
      </c>
      <c r="EG87" s="5"/>
      <c r="EH87" s="173">
        <f t="shared" si="305"/>
        <v>4.6993451029206597</v>
      </c>
      <c r="EI87" s="173">
        <f t="shared" si="268"/>
        <v>10.161158528054736</v>
      </c>
      <c r="EJ87" s="173"/>
      <c r="EK87" s="528">
        <f t="shared" si="269"/>
        <v>0.44167688792688775</v>
      </c>
      <c r="EL87" s="528">
        <f t="shared" si="270"/>
        <v>1.8480000000000003</v>
      </c>
      <c r="EM87" s="528">
        <f t="shared" si="271"/>
        <v>6.8151784052806951E-3</v>
      </c>
      <c r="EN87" s="528">
        <f t="shared" si="272"/>
        <v>4.1647609756097582E-2</v>
      </c>
      <c r="EO87">
        <f t="shared" si="273"/>
        <v>3.2399999999999998E-2</v>
      </c>
      <c r="EP87" s="460">
        <f t="shared" si="306"/>
        <v>39.215178405280696</v>
      </c>
      <c r="EQ87" s="528">
        <f t="shared" si="274"/>
        <v>2.7817120544041112</v>
      </c>
      <c r="ER87" s="460">
        <f t="shared" si="307"/>
        <v>2781.7120544041113</v>
      </c>
      <c r="ES87" s="528">
        <f t="shared" si="308"/>
        <v>5.0942499999999988</v>
      </c>
      <c r="ET87" s="528"/>
      <c r="EV87" s="460">
        <f t="shared" si="309"/>
        <v>5094.2499999999991</v>
      </c>
      <c r="EW87" s="528">
        <f t="shared" si="275"/>
        <v>0.66251533189033152</v>
      </c>
      <c r="EX87" s="528">
        <f t="shared" si="276"/>
        <v>3.0974742789677845</v>
      </c>
      <c r="EY87" s="528">
        <f t="shared" si="277"/>
        <v>1.8170687138587007</v>
      </c>
      <c r="EZ87" s="528">
        <f t="shared" si="278"/>
        <v>9.2669452649800199</v>
      </c>
      <c r="FA87" s="528">
        <f t="shared" si="279"/>
        <v>2.0500000000000001E-2</v>
      </c>
      <c r="FB87" s="460">
        <f t="shared" si="310"/>
        <v>9287.4452649800205</v>
      </c>
      <c r="FC87" s="173">
        <f t="shared" si="311"/>
        <v>17.163407319384127</v>
      </c>
      <c r="FD87" s="5">
        <f t="shared" si="312"/>
        <v>122.99999999999999</v>
      </c>
      <c r="FE87" s="173">
        <f t="shared" si="313"/>
        <v>0.87754715979275089</v>
      </c>
      <c r="FF87" s="5">
        <f t="shared" si="314"/>
        <v>87.75471597927509</v>
      </c>
      <c r="FI87" s="562">
        <f t="shared" si="280"/>
        <v>-50</v>
      </c>
      <c r="FJ87">
        <f t="shared" si="281"/>
        <v>-50</v>
      </c>
      <c r="FL87">
        <f t="shared" si="282"/>
        <v>0.82379862700228834</v>
      </c>
    </row>
    <row r="88" spans="5:168">
      <c r="E88" s="170">
        <v>83</v>
      </c>
      <c r="F88" s="217">
        <f t="shared" si="283"/>
        <v>8.2999999999999989</v>
      </c>
      <c r="G88" s="217"/>
      <c r="H88" s="217">
        <f t="shared" si="183"/>
        <v>124.49999999999999</v>
      </c>
      <c r="I88" s="541">
        <f t="shared" si="184"/>
        <v>71.494583764686041</v>
      </c>
      <c r="J88" s="172">
        <f t="shared" si="185"/>
        <v>15.703249741188372</v>
      </c>
      <c r="K88" s="172">
        <f t="shared" si="186"/>
        <v>87.703249741188372</v>
      </c>
      <c r="L88" s="443"/>
      <c r="M88" s="217">
        <f t="shared" si="187"/>
        <v>0.18007829131796046</v>
      </c>
      <c r="N88" s="172">
        <f t="shared" si="188"/>
        <v>323.0242780942915</v>
      </c>
      <c r="O88" s="172">
        <f t="shared" si="284"/>
        <v>124.49999999999999</v>
      </c>
      <c r="P88" s="217">
        <f t="shared" si="189"/>
        <v>21.534951872952767</v>
      </c>
      <c r="Q88" s="217">
        <f t="shared" si="190"/>
        <v>15</v>
      </c>
      <c r="R88" s="217">
        <f t="shared" si="191"/>
        <v>21.457704138055767</v>
      </c>
      <c r="S88" s="172">
        <f t="shared" si="192"/>
        <v>144.04852746155993</v>
      </c>
      <c r="T88" s="172">
        <f t="shared" si="193"/>
        <v>15</v>
      </c>
      <c r="U88" s="217">
        <f t="shared" si="194"/>
        <v>20.245835455049981</v>
      </c>
      <c r="V88" s="217">
        <f t="shared" si="195"/>
        <v>3.3981598698474031</v>
      </c>
      <c r="W88" s="217">
        <f t="shared" si="196"/>
        <v>15.471321507634258</v>
      </c>
      <c r="X88" s="197">
        <f t="shared" si="197"/>
        <v>107.29407475507419</v>
      </c>
      <c r="Y88" s="443">
        <f t="shared" si="198"/>
        <v>52.439811036542267</v>
      </c>
      <c r="AA88" s="217">
        <f t="shared" si="199"/>
        <v>10</v>
      </c>
      <c r="AB88" s="173">
        <f t="shared" si="200"/>
        <v>7.6417303410293211</v>
      </c>
      <c r="AC88" s="173">
        <f t="shared" si="201"/>
        <v>4.0995619323425938</v>
      </c>
      <c r="AD88" s="173"/>
      <c r="AE88" s="173">
        <f t="shared" si="202"/>
        <v>7.6417303410293211</v>
      </c>
      <c r="AF88" s="545">
        <f t="shared" si="203"/>
        <v>217.22828808643908</v>
      </c>
      <c r="AG88" s="528">
        <f t="shared" si="204"/>
        <v>4.0995619323425929</v>
      </c>
      <c r="AI88" s="173">
        <f t="shared" si="205"/>
        <v>7.8781485875524107</v>
      </c>
      <c r="AJ88" s="173">
        <f t="shared" si="206"/>
        <v>20.245835455049981</v>
      </c>
      <c r="AK88" s="173">
        <f t="shared" si="207"/>
        <v>8.7895077444814671</v>
      </c>
      <c r="AM88" s="545">
        <f t="shared" si="208"/>
        <v>8299.9999999999982</v>
      </c>
      <c r="AN88" s="460">
        <f t="shared" si="209"/>
        <v>52.439811036542267</v>
      </c>
      <c r="AP88">
        <f t="shared" si="210"/>
        <v>8299.9999999999982</v>
      </c>
      <c r="AQ88">
        <f t="shared" si="211"/>
        <v>52.439811036542267</v>
      </c>
      <c r="AS88" s="5">
        <f t="shared" si="285"/>
        <v>19.069481377481658</v>
      </c>
      <c r="AT88" s="5">
        <f t="shared" si="212"/>
        <v>3.3981598698474031</v>
      </c>
      <c r="AU88" s="5">
        <f t="shared" si="286"/>
        <v>15.671321507634255</v>
      </c>
      <c r="AV88" s="5">
        <f t="shared" si="213"/>
        <v>15.471321507634258</v>
      </c>
      <c r="AW88" s="173">
        <f t="shared" si="287"/>
        <v>0.17819886144675889</v>
      </c>
      <c r="AX88" s="173">
        <f t="shared" si="214"/>
        <v>128.96853726404487</v>
      </c>
      <c r="AY88" s="173">
        <f t="shared" si="215"/>
        <v>8.3190253139608252</v>
      </c>
      <c r="AZ88" s="173">
        <f t="shared" si="288"/>
        <v>15.502842267784953</v>
      </c>
      <c r="BA88" s="460">
        <f t="shared" si="216"/>
        <v>188.03151279822293</v>
      </c>
      <c r="BB88" s="5">
        <f t="shared" si="217"/>
        <v>7.5805257815914393</v>
      </c>
      <c r="BC88" s="5"/>
      <c r="BD88" s="173">
        <f t="shared" si="289"/>
        <v>4.9343225798909867</v>
      </c>
      <c r="BE88" s="173">
        <f t="shared" si="218"/>
        <v>10.59640246035878</v>
      </c>
      <c r="BF88" s="173"/>
      <c r="BG88" s="528">
        <f t="shared" si="219"/>
        <v>0.48695078644844086</v>
      </c>
      <c r="BH88" s="528">
        <f t="shared" si="220"/>
        <v>1.7458775437942844</v>
      </c>
      <c r="BI88" s="528">
        <f t="shared" si="221"/>
        <v>9.3729061568909464E-2</v>
      </c>
      <c r="BJ88" s="528">
        <f t="shared" si="222"/>
        <v>4.0335968571480127E-2</v>
      </c>
      <c r="BK88">
        <f t="shared" si="223"/>
        <v>3.2172562694108717E-2</v>
      </c>
      <c r="BL88" s="460">
        <f t="shared" si="290"/>
        <v>125.90162426301818</v>
      </c>
      <c r="BM88" s="528">
        <f t="shared" si="224"/>
        <v>2.7192577973322414</v>
      </c>
      <c r="BN88" s="460">
        <f t="shared" si="291"/>
        <v>2719.2577973322414</v>
      </c>
      <c r="BO88" s="528">
        <f t="shared" si="225"/>
        <v>5.1563749999999988</v>
      </c>
      <c r="BP88" s="528"/>
      <c r="BR88" s="460">
        <f t="shared" si="292"/>
        <v>5156.3749999999991</v>
      </c>
      <c r="BS88" s="528">
        <f t="shared" si="226"/>
        <v>0.73042617967266132</v>
      </c>
      <c r="BT88" s="528">
        <f t="shared" si="227"/>
        <v>3.3685123530569281</v>
      </c>
      <c r="BU88" s="528">
        <f t="shared" si="228"/>
        <v>1.8674999999999997</v>
      </c>
      <c r="BV88" s="528">
        <f t="shared" si="229"/>
        <v>10.34122861685667</v>
      </c>
      <c r="BW88" s="528">
        <f t="shared" si="230"/>
        <v>2.1494756210674149E-2</v>
      </c>
      <c r="BX88" s="460">
        <f t="shared" si="293"/>
        <v>10362.723373067343</v>
      </c>
      <c r="BY88" s="173">
        <f t="shared" si="231"/>
        <v>18.364257794662603</v>
      </c>
      <c r="BZ88" s="5">
        <f t="shared" si="294"/>
        <v>124.49999999999999</v>
      </c>
      <c r="CA88" s="173">
        <f t="shared" si="295"/>
        <v>0.87145659748530402</v>
      </c>
      <c r="CB88" s="5">
        <f t="shared" si="296"/>
        <v>87.145659748530406</v>
      </c>
      <c r="CE88" s="562">
        <f t="shared" si="232"/>
        <v>-50</v>
      </c>
      <c r="CF88">
        <f t="shared" si="233"/>
        <v>-50</v>
      </c>
      <c r="CG88" s="173">
        <f t="shared" si="234"/>
        <v>0.82110539987345454</v>
      </c>
      <c r="CI88" s="170">
        <v>83</v>
      </c>
      <c r="CJ88" s="217">
        <f t="shared" si="297"/>
        <v>8.2999999999999989</v>
      </c>
      <c r="CK88" s="217"/>
      <c r="CL88" s="217">
        <f t="shared" si="235"/>
        <v>124.49999999999999</v>
      </c>
      <c r="CM88" s="541">
        <f t="shared" si="236"/>
        <v>72</v>
      </c>
      <c r="CN88" s="172">
        <f t="shared" si="237"/>
        <v>15.4</v>
      </c>
      <c r="CO88" s="443">
        <f t="shared" si="238"/>
        <v>87.4</v>
      </c>
      <c r="CP88" s="443"/>
      <c r="CQ88" s="217">
        <f t="shared" si="239"/>
        <v>0.17620137299771166</v>
      </c>
      <c r="CR88" s="172">
        <f t="shared" si="240"/>
        <v>318.30425629290613</v>
      </c>
      <c r="CS88" s="172">
        <f t="shared" si="298"/>
        <v>124.49999999999999</v>
      </c>
      <c r="CT88" s="217">
        <f t="shared" si="241"/>
        <v>21.220283752860407</v>
      </c>
      <c r="CU88" s="217">
        <f t="shared" si="242"/>
        <v>15</v>
      </c>
      <c r="CV88" s="217">
        <f t="shared" si="243"/>
        <v>21.144164759725399</v>
      </c>
      <c r="CW88" s="172">
        <f t="shared" si="244"/>
        <v>145.0654550299723</v>
      </c>
      <c r="CX88" s="172">
        <f t="shared" si="245"/>
        <v>15</v>
      </c>
      <c r="CY88" s="217">
        <f t="shared" si="246"/>
        <v>19.627164502164501</v>
      </c>
      <c r="CZ88" s="217">
        <f t="shared" si="247"/>
        <v>3.2711940836940836</v>
      </c>
      <c r="DA88" s="217">
        <f t="shared" si="248"/>
        <v>15.293894417271039</v>
      </c>
      <c r="DB88" s="197">
        <f t="shared" si="249"/>
        <v>105.72082379862701</v>
      </c>
      <c r="DC88" s="443">
        <f t="shared" si="299"/>
        <v>53.864542576676335</v>
      </c>
      <c r="DE88" s="217">
        <f t="shared" si="250"/>
        <v>9.9999999999999982</v>
      </c>
      <c r="DF88" s="173">
        <f t="shared" si="251"/>
        <v>7.7922077922077895</v>
      </c>
      <c r="DG88" s="173">
        <f t="shared" si="252"/>
        <v>4.118993135011439</v>
      </c>
      <c r="DH88" s="173"/>
      <c r="DI88" s="173">
        <f t="shared" si="253"/>
        <v>7.7922077922077913</v>
      </c>
      <c r="DJ88" s="545">
        <f t="shared" si="300"/>
        <v>213.0333333333333</v>
      </c>
      <c r="DK88" s="528">
        <f t="shared" si="254"/>
        <v>4.1189931350114417</v>
      </c>
      <c r="DM88" s="173">
        <f t="shared" si="255"/>
        <v>7.8017092144392732</v>
      </c>
      <c r="DN88" s="173">
        <f t="shared" si="256"/>
        <v>19.627164502164501</v>
      </c>
      <c r="DO88" s="173">
        <f t="shared" si="257"/>
        <v>8.331232964566297</v>
      </c>
      <c r="DQ88" s="545">
        <f t="shared" si="258"/>
        <v>8299.9999999999982</v>
      </c>
      <c r="DR88" s="460">
        <f t="shared" si="259"/>
        <v>53.864542576676335</v>
      </c>
      <c r="DT88">
        <f t="shared" si="260"/>
        <v>8299.9999999999982</v>
      </c>
      <c r="DU88">
        <f t="shared" si="261"/>
        <v>53.864542576676335</v>
      </c>
      <c r="DW88" s="5">
        <f t="shared" si="301"/>
        <v>18.565088500965121</v>
      </c>
      <c r="DX88" s="5">
        <f t="shared" si="262"/>
        <v>3.2711940836940836</v>
      </c>
      <c r="DY88" s="5">
        <f t="shared" si="302"/>
        <v>15.293894417271037</v>
      </c>
      <c r="DZ88" s="5">
        <f t="shared" si="263"/>
        <v>15.293894417271039</v>
      </c>
      <c r="EA88" s="173">
        <f t="shared" si="303"/>
        <v>0.17620137299771169</v>
      </c>
      <c r="EB88" s="173">
        <f t="shared" si="264"/>
        <v>124.5</v>
      </c>
      <c r="EC88" s="173">
        <f t="shared" si="265"/>
        <v>8.0844155844155843</v>
      </c>
      <c r="ED88" s="173">
        <f t="shared" si="304"/>
        <v>15.4</v>
      </c>
      <c r="EE88" s="460">
        <f t="shared" si="266"/>
        <v>181.00607263107261</v>
      </c>
      <c r="EF88" s="5">
        <f t="shared" si="267"/>
        <v>7.3460256749623607</v>
      </c>
      <c r="EG88" s="5"/>
      <c r="EH88" s="173">
        <f t="shared" si="305"/>
        <v>4.7566541895416448</v>
      </c>
      <c r="EI88" s="173">
        <f t="shared" si="268"/>
        <v>10.285075095470038</v>
      </c>
      <c r="EJ88" s="173"/>
      <c r="EK88" s="528">
        <f t="shared" si="269"/>
        <v>0.45251518157768161</v>
      </c>
      <c r="EL88" s="528">
        <f t="shared" si="270"/>
        <v>1.8480000000000003</v>
      </c>
      <c r="EM88" s="528">
        <f t="shared" si="271"/>
        <v>6.7330678220845416E-3</v>
      </c>
      <c r="EN88" s="528">
        <f t="shared" si="272"/>
        <v>4.1145831325301224E-2</v>
      </c>
      <c r="EO88">
        <f t="shared" si="273"/>
        <v>3.2399999999999998E-2</v>
      </c>
      <c r="EP88" s="460">
        <f t="shared" si="306"/>
        <v>39.133067822084541</v>
      </c>
      <c r="EQ88" s="528">
        <f t="shared" si="274"/>
        <v>2.8045070690281793</v>
      </c>
      <c r="ER88" s="460">
        <f t="shared" si="307"/>
        <v>2804.5070690281791</v>
      </c>
      <c r="ES88" s="528">
        <f t="shared" si="308"/>
        <v>5.1563749999999988</v>
      </c>
      <c r="ET88" s="528"/>
      <c r="EV88" s="460">
        <f t="shared" si="309"/>
        <v>5156.3749999999991</v>
      </c>
      <c r="EW88" s="528">
        <f t="shared" si="275"/>
        <v>0.67877277236652234</v>
      </c>
      <c r="EX88" s="528">
        <f t="shared" si="276"/>
        <v>3.1734830915837402</v>
      </c>
      <c r="EY88" s="528">
        <f t="shared" si="277"/>
        <v>1.8170687138586994</v>
      </c>
      <c r="EZ88" s="528">
        <f t="shared" si="278"/>
        <v>9.5311937446051136</v>
      </c>
      <c r="FA88" s="528">
        <f t="shared" si="279"/>
        <v>2.0750000000000005E-2</v>
      </c>
      <c r="FB88" s="460">
        <f t="shared" si="310"/>
        <v>9551.9437446051124</v>
      </c>
      <c r="FC88" s="173">
        <f t="shared" si="311"/>
        <v>17.512825813633292</v>
      </c>
      <c r="FD88" s="5">
        <f t="shared" si="312"/>
        <v>124.49999999999999</v>
      </c>
      <c r="FE88" s="173">
        <f t="shared" si="313"/>
        <v>0.87668137921136946</v>
      </c>
      <c r="FF88" s="5">
        <f t="shared" si="314"/>
        <v>87.668137921136946</v>
      </c>
      <c r="FI88" s="562">
        <f t="shared" si="280"/>
        <v>-50</v>
      </c>
      <c r="FJ88">
        <f t="shared" si="281"/>
        <v>-50</v>
      </c>
      <c r="FL88">
        <f t="shared" si="282"/>
        <v>0.82379862700228834</v>
      </c>
    </row>
    <row r="89" spans="5:168">
      <c r="E89" s="170">
        <v>84</v>
      </c>
      <c r="F89" s="217">
        <f t="shared" si="283"/>
        <v>8.4</v>
      </c>
      <c r="G89" s="217"/>
      <c r="H89" s="217">
        <f t="shared" si="183"/>
        <v>126</v>
      </c>
      <c r="I89" s="541">
        <f t="shared" si="184"/>
        <v>71.488514384759313</v>
      </c>
      <c r="J89" s="172">
        <f t="shared" si="185"/>
        <v>15.706891369144413</v>
      </c>
      <c r="K89" s="172">
        <f t="shared" si="186"/>
        <v>87.706891369144415</v>
      </c>
      <c r="L89" s="443"/>
      <c r="M89" s="217">
        <f t="shared" si="187"/>
        <v>0.18012507006119913</v>
      </c>
      <c r="N89" s="172">
        <f t="shared" si="188"/>
        <v>323.08076018273664</v>
      </c>
      <c r="O89" s="172">
        <f t="shared" si="284"/>
        <v>126</v>
      </c>
      <c r="P89" s="217">
        <f t="shared" si="189"/>
        <v>21.538717345515774</v>
      </c>
      <c r="Q89" s="217">
        <f t="shared" si="190"/>
        <v>15</v>
      </c>
      <c r="R89" s="217">
        <f t="shared" si="191"/>
        <v>21.461456103543021</v>
      </c>
      <c r="S89" s="172">
        <f t="shared" si="192"/>
        <v>141.47647271272439</v>
      </c>
      <c r="T89" s="172">
        <f t="shared" si="193"/>
        <v>15</v>
      </c>
      <c r="U89" s="217">
        <f t="shared" si="194"/>
        <v>20.490930246219417</v>
      </c>
      <c r="V89" s="217">
        <f t="shared" si="195"/>
        <v>3.43958977285804</v>
      </c>
      <c r="W89" s="217">
        <f t="shared" si="196"/>
        <v>15.654985902409486</v>
      </c>
      <c r="X89" s="197">
        <f t="shared" si="197"/>
        <v>107.3128337319406</v>
      </c>
      <c r="Y89" s="443">
        <f t="shared" si="198"/>
        <v>51.828037933056784</v>
      </c>
      <c r="AA89" s="217">
        <f t="shared" si="199"/>
        <v>10</v>
      </c>
      <c r="AB89" s="173">
        <f t="shared" si="200"/>
        <v>7.6399586130541017</v>
      </c>
      <c r="AC89" s="173">
        <f t="shared" si="201"/>
        <v>4.0993280418079117</v>
      </c>
      <c r="AD89" s="173"/>
      <c r="AE89" s="173">
        <f t="shared" si="202"/>
        <v>7.6399586130541017</v>
      </c>
      <c r="AF89" s="545">
        <f t="shared" si="203"/>
        <v>219.89647916802178</v>
      </c>
      <c r="AG89" s="528">
        <f t="shared" si="204"/>
        <v>4.0993280418079117</v>
      </c>
      <c r="AI89" s="173">
        <f t="shared" si="205"/>
        <v>7.9263841363245611</v>
      </c>
      <c r="AJ89" s="173">
        <f t="shared" si="206"/>
        <v>20.490930246219417</v>
      </c>
      <c r="AK89" s="173">
        <f t="shared" si="207"/>
        <v>8.9710594416440124</v>
      </c>
      <c r="AM89" s="545">
        <f t="shared" si="208"/>
        <v>8400</v>
      </c>
      <c r="AN89" s="460">
        <f t="shared" si="209"/>
        <v>51.828037933056784</v>
      </c>
      <c r="AP89">
        <f t="shared" si="210"/>
        <v>8400</v>
      </c>
      <c r="AQ89">
        <f t="shared" si="211"/>
        <v>51.828037933056784</v>
      </c>
      <c r="AS89" s="5">
        <f t="shared" si="285"/>
        <v>19.294575675267524</v>
      </c>
      <c r="AT89" s="5">
        <f t="shared" si="212"/>
        <v>3.43958977285804</v>
      </c>
      <c r="AU89" s="5">
        <f t="shared" si="286"/>
        <v>15.854985902409483</v>
      </c>
      <c r="AV89" s="5">
        <f t="shared" si="213"/>
        <v>15.654985902409486</v>
      </c>
      <c r="AW89" s="173">
        <f t="shared" si="287"/>
        <v>0.17826718922184068</v>
      </c>
      <c r="AX89" s="173">
        <f t="shared" si="214"/>
        <v>130.56878661300999</v>
      </c>
      <c r="AY89" s="173">
        <f t="shared" si="215"/>
        <v>8.4190348533425414</v>
      </c>
      <c r="AZ89" s="173">
        <f t="shared" si="288"/>
        <v>15.508759482231069</v>
      </c>
      <c r="BA89" s="460">
        <f t="shared" si="216"/>
        <v>192.61702728005022</v>
      </c>
      <c r="BB89" s="5">
        <f t="shared" si="217"/>
        <v>7.7624288511251631</v>
      </c>
      <c r="BC89" s="5"/>
      <c r="BD89" s="173">
        <f t="shared" si="289"/>
        <v>4.9950145316694021</v>
      </c>
      <c r="BE89" s="173">
        <f t="shared" si="218"/>
        <v>10.72423597652632</v>
      </c>
      <c r="BF89" s="173"/>
      <c r="BG89" s="528">
        <f t="shared" si="219"/>
        <v>0.49900340343176991</v>
      </c>
      <c r="BH89" s="528">
        <f t="shared" si="220"/>
        <v>1.7464712201421897</v>
      </c>
      <c r="BI89" s="528">
        <f t="shared" si="221"/>
        <v>9.2627735882779519E-2</v>
      </c>
      <c r="BJ89" s="528">
        <f t="shared" si="222"/>
        <v>3.9868711927671038E-2</v>
      </c>
      <c r="BK89">
        <f t="shared" si="223"/>
        <v>3.2169831473141688E-2</v>
      </c>
      <c r="BL89" s="460">
        <f t="shared" si="290"/>
        <v>124.7975673559212</v>
      </c>
      <c r="BM89" s="528">
        <f t="shared" si="224"/>
        <v>2.7456015884433884</v>
      </c>
      <c r="BN89" s="460">
        <f t="shared" si="291"/>
        <v>2745.6015884433882</v>
      </c>
      <c r="BO89" s="528">
        <f t="shared" si="225"/>
        <v>5.2184999999999997</v>
      </c>
      <c r="BP89" s="528"/>
      <c r="BR89" s="460">
        <f t="shared" si="292"/>
        <v>5218.5</v>
      </c>
      <c r="BS89" s="528">
        <f t="shared" si="226"/>
        <v>0.74850510514765489</v>
      </c>
      <c r="BT89" s="528">
        <f t="shared" si="227"/>
        <v>3.4502771184066425</v>
      </c>
      <c r="BU89" s="528">
        <f t="shared" si="228"/>
        <v>1.89</v>
      </c>
      <c r="BV89" s="528">
        <f t="shared" si="229"/>
        <v>10.685917036990752</v>
      </c>
      <c r="BW89" s="528">
        <f t="shared" si="230"/>
        <v>2.1761464435501664E-2</v>
      </c>
      <c r="BX89" s="460">
        <f t="shared" si="293"/>
        <v>10707.678501426253</v>
      </c>
      <c r="BY89" s="173">
        <f t="shared" si="231"/>
        <v>18.796577657225562</v>
      </c>
      <c r="BZ89" s="5">
        <f t="shared" si="294"/>
        <v>126</v>
      </c>
      <c r="CA89" s="173">
        <f t="shared" si="295"/>
        <v>0.87018631267845037</v>
      </c>
      <c r="CB89" s="5">
        <f t="shared" si="296"/>
        <v>87.018631267845038</v>
      </c>
      <c r="CE89" s="562">
        <f t="shared" si="232"/>
        <v>-50</v>
      </c>
      <c r="CF89">
        <f t="shared" si="233"/>
        <v>-50</v>
      </c>
      <c r="CG89" s="173">
        <f t="shared" si="234"/>
        <v>0.82113746210117877</v>
      </c>
      <c r="CI89" s="170">
        <v>84</v>
      </c>
      <c r="CJ89" s="217">
        <f t="shared" si="297"/>
        <v>8.4</v>
      </c>
      <c r="CK89" s="217"/>
      <c r="CL89" s="217">
        <f t="shared" si="235"/>
        <v>126</v>
      </c>
      <c r="CM89" s="541">
        <f t="shared" si="236"/>
        <v>72</v>
      </c>
      <c r="CN89" s="172">
        <f t="shared" si="237"/>
        <v>15.4</v>
      </c>
      <c r="CO89" s="443">
        <f t="shared" si="238"/>
        <v>87.4</v>
      </c>
      <c r="CP89" s="443"/>
      <c r="CQ89" s="217">
        <f t="shared" si="239"/>
        <v>0.17620137299771166</v>
      </c>
      <c r="CR89" s="172">
        <f t="shared" si="240"/>
        <v>318.30425629290613</v>
      </c>
      <c r="CS89" s="172">
        <f t="shared" si="298"/>
        <v>126</v>
      </c>
      <c r="CT89" s="217">
        <f t="shared" si="241"/>
        <v>21.220283752860407</v>
      </c>
      <c r="CU89" s="217">
        <f t="shared" si="242"/>
        <v>15</v>
      </c>
      <c r="CV89" s="217">
        <f t="shared" si="243"/>
        <v>21.144164759725399</v>
      </c>
      <c r="CW89" s="172">
        <f t="shared" si="244"/>
        <v>142.48727177674817</v>
      </c>
      <c r="CX89" s="172">
        <f t="shared" si="245"/>
        <v>15</v>
      </c>
      <c r="CY89" s="217">
        <f t="shared" si="246"/>
        <v>19.863636363636363</v>
      </c>
      <c r="CZ89" s="217">
        <f t="shared" si="247"/>
        <v>3.3106060606060606</v>
      </c>
      <c r="DA89" s="217">
        <f t="shared" si="248"/>
        <v>15.478158205430933</v>
      </c>
      <c r="DB89" s="197">
        <f t="shared" si="249"/>
        <v>105.72082379862701</v>
      </c>
      <c r="DC89" s="443">
        <f t="shared" si="299"/>
        <v>53.22329802219209</v>
      </c>
      <c r="DE89" s="217">
        <f t="shared" si="250"/>
        <v>9.9999999999999982</v>
      </c>
      <c r="DF89" s="173">
        <f t="shared" si="251"/>
        <v>7.7922077922077895</v>
      </c>
      <c r="DG89" s="173">
        <f t="shared" si="252"/>
        <v>4.118993135011439</v>
      </c>
      <c r="DH89" s="173"/>
      <c r="DI89" s="173">
        <f t="shared" si="253"/>
        <v>7.7922077922077913</v>
      </c>
      <c r="DJ89" s="545">
        <f t="shared" si="300"/>
        <v>215.60000000000002</v>
      </c>
      <c r="DK89" s="528">
        <f t="shared" si="254"/>
        <v>4.1189931350114417</v>
      </c>
      <c r="DM89" s="173">
        <f t="shared" si="255"/>
        <v>7.8485667481394339</v>
      </c>
      <c r="DN89" s="173">
        <f t="shared" si="256"/>
        <v>19.863636363636363</v>
      </c>
      <c r="DO89" s="173">
        <f t="shared" si="257"/>
        <v>8.5063973063973055</v>
      </c>
      <c r="DQ89" s="545">
        <f t="shared" si="258"/>
        <v>8400</v>
      </c>
      <c r="DR89" s="460">
        <f t="shared" si="259"/>
        <v>53.22329802219209</v>
      </c>
      <c r="DT89">
        <f t="shared" si="260"/>
        <v>8400</v>
      </c>
      <c r="DU89">
        <f t="shared" si="261"/>
        <v>53.22329802219209</v>
      </c>
      <c r="DW89" s="5">
        <f t="shared" si="301"/>
        <v>18.788764266036992</v>
      </c>
      <c r="DX89" s="5">
        <f t="shared" si="262"/>
        <v>3.3106060606060606</v>
      </c>
      <c r="DY89" s="5">
        <f t="shared" si="302"/>
        <v>15.478158205430931</v>
      </c>
      <c r="DZ89" s="5">
        <f t="shared" si="263"/>
        <v>15.478158205430933</v>
      </c>
      <c r="EA89" s="173">
        <f t="shared" si="303"/>
        <v>0.17620137299771169</v>
      </c>
      <c r="EB89" s="173">
        <f t="shared" si="264"/>
        <v>126</v>
      </c>
      <c r="EC89" s="173">
        <f t="shared" si="265"/>
        <v>8.1818181818181817</v>
      </c>
      <c r="ED89" s="173">
        <f t="shared" si="304"/>
        <v>15.4</v>
      </c>
      <c r="EE89" s="460">
        <f t="shared" si="266"/>
        <v>185.39393939393938</v>
      </c>
      <c r="EF89" s="5">
        <f t="shared" si="267"/>
        <v>7.524104683195592</v>
      </c>
      <c r="EG89" s="5"/>
      <c r="EH89" s="173">
        <f t="shared" si="305"/>
        <v>4.8139632761626281</v>
      </c>
      <c r="EI89" s="173">
        <f t="shared" si="268"/>
        <v>10.408991662885342</v>
      </c>
      <c r="EJ89" s="173"/>
      <c r="EK89" s="528">
        <f t="shared" si="269"/>
        <v>0.46348484848484844</v>
      </c>
      <c r="EL89" s="528">
        <f t="shared" si="270"/>
        <v>1.8480000000000003</v>
      </c>
      <c r="EM89" s="528">
        <f t="shared" si="271"/>
        <v>6.6529122527740105E-3</v>
      </c>
      <c r="EN89" s="528">
        <f t="shared" si="272"/>
        <v>4.0656000000000012E-2</v>
      </c>
      <c r="EO89">
        <f t="shared" si="273"/>
        <v>3.2399999999999998E-2</v>
      </c>
      <c r="EP89" s="460">
        <f t="shared" si="306"/>
        <v>39.052912252774007</v>
      </c>
      <c r="EQ89" s="528">
        <f t="shared" si="274"/>
        <v>2.8277363023932907</v>
      </c>
      <c r="ER89" s="460">
        <f t="shared" si="307"/>
        <v>2827.7363023932908</v>
      </c>
      <c r="ES89" s="528">
        <f t="shared" si="308"/>
        <v>5.2184999999999997</v>
      </c>
      <c r="ET89" s="528"/>
      <c r="EV89" s="460">
        <f t="shared" si="309"/>
        <v>5218.5</v>
      </c>
      <c r="EW89" s="528">
        <f t="shared" si="275"/>
        <v>0.69522727272727258</v>
      </c>
      <c r="EX89" s="528">
        <f t="shared" si="276"/>
        <v>3.2504132231404963</v>
      </c>
      <c r="EY89" s="528">
        <f t="shared" si="277"/>
        <v>1.8170687138587012</v>
      </c>
      <c r="EZ89" s="528">
        <f t="shared" si="278"/>
        <v>9.8044495989056735</v>
      </c>
      <c r="FA89" s="528">
        <f t="shared" si="279"/>
        <v>2.1000000000000001E-2</v>
      </c>
      <c r="FB89" s="460">
        <f t="shared" si="310"/>
        <v>9825.4495989056741</v>
      </c>
      <c r="FC89" s="173">
        <f t="shared" si="311"/>
        <v>17.871685901298964</v>
      </c>
      <c r="FD89" s="5">
        <f t="shared" si="312"/>
        <v>126</v>
      </c>
      <c r="FE89" s="173">
        <f t="shared" si="313"/>
        <v>0.87578038173849182</v>
      </c>
      <c r="FF89" s="5">
        <f t="shared" si="314"/>
        <v>87.57803817384918</v>
      </c>
      <c r="FI89" s="562">
        <f t="shared" si="280"/>
        <v>-50</v>
      </c>
      <c r="FJ89">
        <f t="shared" si="281"/>
        <v>-50</v>
      </c>
      <c r="FL89">
        <f t="shared" si="282"/>
        <v>0.82379862700228834</v>
      </c>
    </row>
    <row r="90" spans="5:168">
      <c r="E90" s="170">
        <v>85</v>
      </c>
      <c r="F90" s="217">
        <f t="shared" si="283"/>
        <v>8.5</v>
      </c>
      <c r="G90" s="217"/>
      <c r="H90" s="217">
        <f t="shared" si="183"/>
        <v>127.5</v>
      </c>
      <c r="I90" s="541">
        <f t="shared" si="184"/>
        <v>71.48244500330965</v>
      </c>
      <c r="J90" s="172">
        <f t="shared" si="185"/>
        <v>15.710532998014211</v>
      </c>
      <c r="K90" s="172">
        <f t="shared" si="186"/>
        <v>87.710532998014216</v>
      </c>
      <c r="L90" s="443"/>
      <c r="M90" s="217">
        <f t="shared" si="187"/>
        <v>0.18017185141253456</v>
      </c>
      <c r="N90" s="172">
        <f t="shared" si="188"/>
        <v>323.13723269490117</v>
      </c>
      <c r="O90" s="172">
        <f t="shared" si="284"/>
        <v>127.5</v>
      </c>
      <c r="P90" s="217">
        <f t="shared" si="189"/>
        <v>21.542482179660077</v>
      </c>
      <c r="Q90" s="217">
        <f t="shared" si="190"/>
        <v>15</v>
      </c>
      <c r="R90" s="217">
        <f t="shared" si="191"/>
        <v>21.465207432901632</v>
      </c>
      <c r="S90" s="172">
        <f t="shared" si="192"/>
        <v>138.96520612919835</v>
      </c>
      <c r="T90" s="172">
        <f t="shared" si="193"/>
        <v>15</v>
      </c>
      <c r="U90" s="217">
        <f t="shared" si="194"/>
        <v>20.73605307318417</v>
      </c>
      <c r="V90" s="217">
        <f t="shared" si="195"/>
        <v>3.4810314178073942</v>
      </c>
      <c r="W90" s="217">
        <f t="shared" si="196"/>
        <v>15.838586565437478</v>
      </c>
      <c r="X90" s="197">
        <f t="shared" si="197"/>
        <v>107.33158953333195</v>
      </c>
      <c r="Y90" s="443">
        <f t="shared" si="198"/>
        <v>51.230510804994942</v>
      </c>
      <c r="AA90" s="217">
        <f t="shared" si="199"/>
        <v>10</v>
      </c>
      <c r="AB90" s="173">
        <f t="shared" si="200"/>
        <v>7.6381877059911227</v>
      </c>
      <c r="AC90" s="173">
        <f t="shared" si="201"/>
        <v>4.0990941381899084</v>
      </c>
      <c r="AD90" s="173"/>
      <c r="AE90" s="173">
        <f t="shared" si="202"/>
        <v>7.6381877059911227</v>
      </c>
      <c r="AF90" s="545">
        <f t="shared" si="203"/>
        <v>222.56588413853467</v>
      </c>
      <c r="AG90" s="528">
        <f t="shared" si="204"/>
        <v>4.0990941381899075</v>
      </c>
      <c r="AI90" s="173">
        <f t="shared" si="205"/>
        <v>7.9743496669640654</v>
      </c>
      <c r="AJ90" s="173">
        <f t="shared" si="206"/>
        <v>20.73605307318417</v>
      </c>
      <c r="AK90" s="173">
        <f t="shared" si="207"/>
        <v>9.1526319060623482</v>
      </c>
      <c r="AM90" s="545">
        <f t="shared" si="208"/>
        <v>8500</v>
      </c>
      <c r="AN90" s="460">
        <f t="shared" si="209"/>
        <v>51.230510804994942</v>
      </c>
      <c r="AP90">
        <f t="shared" si="210"/>
        <v>8500</v>
      </c>
      <c r="AQ90">
        <f t="shared" si="211"/>
        <v>51.230510804994942</v>
      </c>
      <c r="AS90" s="5">
        <f t="shared" si="285"/>
        <v>19.519617983244871</v>
      </c>
      <c r="AT90" s="5">
        <f t="shared" si="212"/>
        <v>3.4810314178073942</v>
      </c>
      <c r="AU90" s="5">
        <f t="shared" si="286"/>
        <v>16.038586565437477</v>
      </c>
      <c r="AV90" s="5">
        <f t="shared" si="213"/>
        <v>15.838586565437478</v>
      </c>
      <c r="AW90" s="173">
        <f t="shared" si="287"/>
        <v>0.17833501766250859</v>
      </c>
      <c r="AX90" s="173">
        <f t="shared" si="214"/>
        <v>132.16976810396523</v>
      </c>
      <c r="AY90" s="173">
        <f t="shared" si="215"/>
        <v>8.5190443410635783</v>
      </c>
      <c r="AZ90" s="173">
        <f t="shared" si="288"/>
        <v>15.514623801977324</v>
      </c>
      <c r="BA90" s="460">
        <f t="shared" si="216"/>
        <v>197.25844700908567</v>
      </c>
      <c r="BB90" s="5">
        <f t="shared" si="217"/>
        <v>7.9464723704719011</v>
      </c>
      <c r="BC90" s="5"/>
      <c r="BD90" s="173">
        <f t="shared" si="289"/>
        <v>5.0557289575194932</v>
      </c>
      <c r="BE90" s="173">
        <f t="shared" si="218"/>
        <v>10.852076777867717</v>
      </c>
      <c r="BF90" s="173"/>
      <c r="BG90" s="528">
        <f t="shared" si="219"/>
        <v>0.51120790583802278</v>
      </c>
      <c r="BH90" s="528">
        <f t="shared" si="220"/>
        <v>1.7470599343490727</v>
      </c>
      <c r="BI90" s="528">
        <f t="shared" si="221"/>
        <v>9.1552054277737785E-2</v>
      </c>
      <c r="BJ90" s="528">
        <f t="shared" si="222"/>
        <v>3.941233688794181E-2</v>
      </c>
      <c r="BK90">
        <f t="shared" si="223"/>
        <v>3.216710025148934E-2</v>
      </c>
      <c r="BL90" s="460">
        <f t="shared" si="290"/>
        <v>123.71915452922713</v>
      </c>
      <c r="BM90" s="528">
        <f t="shared" si="224"/>
        <v>2.7724572867056763</v>
      </c>
      <c r="BN90" s="460">
        <f t="shared" si="291"/>
        <v>2772.4572867056763</v>
      </c>
      <c r="BO90" s="528">
        <f t="shared" si="225"/>
        <v>5.2806249999999988</v>
      </c>
      <c r="BP90" s="528"/>
      <c r="BR90" s="460">
        <f t="shared" si="292"/>
        <v>5280.6249999999991</v>
      </c>
      <c r="BS90" s="528">
        <f t="shared" si="226"/>
        <v>0.76681185875703417</v>
      </c>
      <c r="BT90" s="528">
        <f t="shared" si="227"/>
        <v>3.5330271117820731</v>
      </c>
      <c r="BU90" s="528">
        <f t="shared" si="228"/>
        <v>1.9124999999999999</v>
      </c>
      <c r="BV90" s="528">
        <f t="shared" si="229"/>
        <v>11.042923878936252</v>
      </c>
      <c r="BW90" s="528">
        <f t="shared" si="230"/>
        <v>2.2028294683994202E-2</v>
      </c>
      <c r="BX90" s="460">
        <f t="shared" si="293"/>
        <v>11064.952173620246</v>
      </c>
      <c r="BY90" s="173">
        <f t="shared" si="231"/>
        <v>19.241753614855146</v>
      </c>
      <c r="BZ90" s="5">
        <f t="shared" si="294"/>
        <v>127.5</v>
      </c>
      <c r="CA90" s="173">
        <f t="shared" si="295"/>
        <v>0.86887335648613073</v>
      </c>
      <c r="CB90" s="5">
        <f t="shared" si="296"/>
        <v>86.887335648613075</v>
      </c>
      <c r="CE90" s="562">
        <f t="shared" si="232"/>
        <v>-50</v>
      </c>
      <c r="CF90">
        <f t="shared" si="233"/>
        <v>-50</v>
      </c>
      <c r="CG90" s="173">
        <f t="shared" si="234"/>
        <v>0.82116876992354471</v>
      </c>
      <c r="CI90" s="170">
        <v>85</v>
      </c>
      <c r="CJ90" s="217">
        <f t="shared" si="297"/>
        <v>8.5</v>
      </c>
      <c r="CK90" s="217"/>
      <c r="CL90" s="217">
        <f t="shared" si="235"/>
        <v>127.5</v>
      </c>
      <c r="CM90" s="541">
        <f t="shared" si="236"/>
        <v>72</v>
      </c>
      <c r="CN90" s="172">
        <f t="shared" si="237"/>
        <v>15.4</v>
      </c>
      <c r="CO90" s="443">
        <f t="shared" si="238"/>
        <v>87.4</v>
      </c>
      <c r="CP90" s="443"/>
      <c r="CQ90" s="217">
        <f t="shared" si="239"/>
        <v>0.17620137299771166</v>
      </c>
      <c r="CR90" s="172">
        <f t="shared" si="240"/>
        <v>318.30425629290613</v>
      </c>
      <c r="CS90" s="172">
        <f t="shared" si="298"/>
        <v>127.5</v>
      </c>
      <c r="CT90" s="217">
        <f t="shared" si="241"/>
        <v>21.220283752860407</v>
      </c>
      <c r="CU90" s="217">
        <f t="shared" si="242"/>
        <v>15</v>
      </c>
      <c r="CV90" s="217">
        <f t="shared" si="243"/>
        <v>21.144164759725399</v>
      </c>
      <c r="CW90" s="172">
        <f t="shared" si="244"/>
        <v>139.96987810582874</v>
      </c>
      <c r="CX90" s="172">
        <f t="shared" si="245"/>
        <v>15</v>
      </c>
      <c r="CY90" s="217">
        <f t="shared" si="246"/>
        <v>20.100108225108226</v>
      </c>
      <c r="CZ90" s="217">
        <f t="shared" si="247"/>
        <v>3.3500180375180379</v>
      </c>
      <c r="DA90" s="217">
        <f t="shared" si="248"/>
        <v>15.662421993590824</v>
      </c>
      <c r="DB90" s="197">
        <f t="shared" si="249"/>
        <v>105.72082379862701</v>
      </c>
      <c r="DC90" s="443">
        <f t="shared" si="299"/>
        <v>52.597141574872175</v>
      </c>
      <c r="DE90" s="217">
        <f t="shared" si="250"/>
        <v>9.9999999999999982</v>
      </c>
      <c r="DF90" s="173">
        <f t="shared" si="251"/>
        <v>7.7922077922077895</v>
      </c>
      <c r="DG90" s="173">
        <f t="shared" si="252"/>
        <v>4.118993135011439</v>
      </c>
      <c r="DH90" s="173"/>
      <c r="DI90" s="173">
        <f t="shared" si="253"/>
        <v>7.7922077922077913</v>
      </c>
      <c r="DJ90" s="545">
        <f t="shared" si="300"/>
        <v>218.16666666666669</v>
      </c>
      <c r="DK90" s="528">
        <f t="shared" si="254"/>
        <v>4.1189931350114417</v>
      </c>
      <c r="DM90" s="173">
        <f t="shared" si="255"/>
        <v>7.8951461882180078</v>
      </c>
      <c r="DN90" s="173">
        <f t="shared" si="256"/>
        <v>20.100108225108226</v>
      </c>
      <c r="DO90" s="173">
        <f t="shared" si="257"/>
        <v>8.681561648228314</v>
      </c>
      <c r="DQ90" s="545">
        <f t="shared" si="258"/>
        <v>8500</v>
      </c>
      <c r="DR90" s="460">
        <f t="shared" si="259"/>
        <v>52.597141574872175</v>
      </c>
      <c r="DT90">
        <f t="shared" si="260"/>
        <v>8500</v>
      </c>
      <c r="DU90">
        <f t="shared" si="261"/>
        <v>52.597141574872175</v>
      </c>
      <c r="DW90" s="5">
        <f t="shared" si="301"/>
        <v>19.012440031108863</v>
      </c>
      <c r="DX90" s="5">
        <f t="shared" si="262"/>
        <v>3.3500180375180379</v>
      </c>
      <c r="DY90" s="5">
        <f t="shared" si="302"/>
        <v>15.662421993590826</v>
      </c>
      <c r="DZ90" s="5">
        <f t="shared" si="263"/>
        <v>15.662421993590824</v>
      </c>
      <c r="EA90" s="173">
        <f t="shared" si="303"/>
        <v>0.17620137299771169</v>
      </c>
      <c r="EB90" s="173">
        <f t="shared" si="264"/>
        <v>127.50000000000003</v>
      </c>
      <c r="EC90" s="173">
        <f t="shared" si="265"/>
        <v>8.279220779220779</v>
      </c>
      <c r="ED90" s="173">
        <f t="shared" si="304"/>
        <v>15.400000000000004</v>
      </c>
      <c r="EE90" s="460">
        <f t="shared" si="266"/>
        <v>189.83435545935549</v>
      </c>
      <c r="EF90" s="5">
        <f t="shared" si="267"/>
        <v>7.7043163741621532</v>
      </c>
      <c r="EG90" s="5"/>
      <c r="EH90" s="173">
        <f t="shared" si="305"/>
        <v>4.8712723627836123</v>
      </c>
      <c r="EI90" s="173">
        <f t="shared" si="268"/>
        <v>10.532908230300643</v>
      </c>
      <c r="EJ90" s="173"/>
      <c r="EK90" s="528">
        <f t="shared" si="269"/>
        <v>0.47458588864838874</v>
      </c>
      <c r="EL90" s="528">
        <f t="shared" si="270"/>
        <v>1.8480000000000003</v>
      </c>
      <c r="EM90" s="528">
        <f t="shared" si="271"/>
        <v>6.5746426968590213E-3</v>
      </c>
      <c r="EN90" s="528">
        <f t="shared" si="272"/>
        <v>4.0177694117647066E-2</v>
      </c>
      <c r="EO90">
        <f t="shared" si="273"/>
        <v>3.2399999999999998E-2</v>
      </c>
      <c r="EP90" s="460">
        <f t="shared" si="306"/>
        <v>38.974642696859021</v>
      </c>
      <c r="EQ90" s="528">
        <f t="shared" si="274"/>
        <v>2.8514054799309205</v>
      </c>
      <c r="ER90" s="460">
        <f t="shared" si="307"/>
        <v>2851.4054799309206</v>
      </c>
      <c r="ES90" s="528">
        <f t="shared" si="308"/>
        <v>5.2806249999999988</v>
      </c>
      <c r="ET90" s="528"/>
      <c r="EV90" s="460">
        <f t="shared" si="309"/>
        <v>5280.6249999999991</v>
      </c>
      <c r="EW90" s="528">
        <f t="shared" si="275"/>
        <v>0.71187883297258303</v>
      </c>
      <c r="EX90" s="528">
        <f t="shared" si="276"/>
        <v>3.328264673638051</v>
      </c>
      <c r="EY90" s="528">
        <f t="shared" si="277"/>
        <v>1.8170687138587012</v>
      </c>
      <c r="EZ90" s="528">
        <f t="shared" si="278"/>
        <v>10.08711948510957</v>
      </c>
      <c r="FA90" s="528">
        <f t="shared" si="279"/>
        <v>2.1250000000000005E-2</v>
      </c>
      <c r="FB90" s="460">
        <f t="shared" si="310"/>
        <v>10108.36948510957</v>
      </c>
      <c r="FC90" s="173">
        <f t="shared" si="311"/>
        <v>18.240399965040485</v>
      </c>
      <c r="FD90" s="5">
        <f t="shared" si="312"/>
        <v>127.5</v>
      </c>
      <c r="FE90" s="173">
        <f t="shared" si="313"/>
        <v>0.87484321458280667</v>
      </c>
      <c r="FF90" s="5">
        <f t="shared" si="314"/>
        <v>87.484321458280661</v>
      </c>
      <c r="FI90" s="562">
        <f t="shared" si="280"/>
        <v>-50</v>
      </c>
      <c r="FJ90">
        <f t="shared" si="281"/>
        <v>-50</v>
      </c>
      <c r="FL90">
        <f t="shared" si="282"/>
        <v>0.82379862700228834</v>
      </c>
    </row>
    <row r="91" spans="5:168">
      <c r="E91" s="170">
        <v>86</v>
      </c>
      <c r="F91" s="217">
        <f t="shared" si="283"/>
        <v>8.6</v>
      </c>
      <c r="G91" s="217"/>
      <c r="H91" s="217">
        <f t="shared" si="183"/>
        <v>129</v>
      </c>
      <c r="I91" s="541">
        <f t="shared" si="184"/>
        <v>71.476375620390357</v>
      </c>
      <c r="J91" s="172">
        <f t="shared" si="185"/>
        <v>15.714174627765788</v>
      </c>
      <c r="K91" s="172">
        <f t="shared" si="186"/>
        <v>87.714174627765786</v>
      </c>
      <c r="L91" s="443"/>
      <c r="M91" s="217">
        <f t="shared" si="187"/>
        <v>0.18021863537207691</v>
      </c>
      <c r="N91" s="172">
        <f t="shared" si="188"/>
        <v>323.19369563002681</v>
      </c>
      <c r="O91" s="172">
        <f t="shared" si="284"/>
        <v>129</v>
      </c>
      <c r="P91" s="217">
        <f t="shared" si="189"/>
        <v>21.546246375335119</v>
      </c>
      <c r="Q91" s="217">
        <f t="shared" si="190"/>
        <v>15</v>
      </c>
      <c r="R91" s="217">
        <f t="shared" si="191"/>
        <v>21.468958126081226</v>
      </c>
      <c r="S91" s="172">
        <f t="shared" si="192"/>
        <v>136.51260942038263</v>
      </c>
      <c r="T91" s="172">
        <f t="shared" si="193"/>
        <v>15</v>
      </c>
      <c r="U91" s="217">
        <f t="shared" si="194"/>
        <v>20.981203943086243</v>
      </c>
      <c r="V91" s="217">
        <f t="shared" si="195"/>
        <v>3.5224848088857237</v>
      </c>
      <c r="W91" s="217">
        <f t="shared" si="196"/>
        <v>16.022123546480643</v>
      </c>
      <c r="X91" s="197">
        <f t="shared" si="197"/>
        <v>107.35034215881552</v>
      </c>
      <c r="Y91" s="443">
        <f t="shared" si="198"/>
        <v>50.646737681591496</v>
      </c>
      <c r="AA91" s="217">
        <f t="shared" si="199"/>
        <v>10</v>
      </c>
      <c r="AB91" s="173">
        <f t="shared" si="200"/>
        <v>7.6364176192855115</v>
      </c>
      <c r="AC91" s="173">
        <f t="shared" si="201"/>
        <v>4.0988602214895353</v>
      </c>
      <c r="AD91" s="173"/>
      <c r="AE91" s="173">
        <f t="shared" si="202"/>
        <v>7.6364176192855115</v>
      </c>
      <c r="AF91" s="545">
        <f t="shared" si="203"/>
        <v>225.23650299797626</v>
      </c>
      <c r="AG91" s="528">
        <f t="shared" si="204"/>
        <v>4.0988602214895362</v>
      </c>
      <c r="AI91" s="173">
        <f t="shared" si="205"/>
        <v>8.0220500229586182</v>
      </c>
      <c r="AJ91" s="173">
        <f t="shared" si="206"/>
        <v>20.981203943086243</v>
      </c>
      <c r="AK91" s="173">
        <f t="shared" si="207"/>
        <v>9.3342251430268455</v>
      </c>
      <c r="AM91" s="545">
        <f t="shared" si="208"/>
        <v>8600</v>
      </c>
      <c r="AN91" s="460">
        <f t="shared" si="209"/>
        <v>50.646737681591496</v>
      </c>
      <c r="AP91">
        <f t="shared" si="210"/>
        <v>8600</v>
      </c>
      <c r="AQ91">
        <f t="shared" si="211"/>
        <v>50.646737681591496</v>
      </c>
      <c r="AS91" s="5">
        <f t="shared" si="285"/>
        <v>19.744608355366363</v>
      </c>
      <c r="AT91" s="5">
        <f t="shared" si="212"/>
        <v>3.5224848088857237</v>
      </c>
      <c r="AU91" s="5">
        <f t="shared" si="286"/>
        <v>16.222123546480638</v>
      </c>
      <c r="AV91" s="5">
        <f t="shared" si="213"/>
        <v>16.022123546480643</v>
      </c>
      <c r="AW91" s="173">
        <f t="shared" si="287"/>
        <v>0.17840236410302623</v>
      </c>
      <c r="AX91" s="173">
        <f t="shared" si="214"/>
        <v>133.77148160502256</v>
      </c>
      <c r="AY91" s="173">
        <f t="shared" si="215"/>
        <v>8.6190537789559603</v>
      </c>
      <c r="AZ91" s="173">
        <f t="shared" si="288"/>
        <v>15.520437049787907</v>
      </c>
      <c r="BA91" s="460">
        <f t="shared" si="216"/>
        <v>201.95579570944815</v>
      </c>
      <c r="BB91" s="5">
        <f t="shared" si="217"/>
        <v>8.1326557952908907</v>
      </c>
      <c r="BC91" s="5"/>
      <c r="BD91" s="173">
        <f t="shared" si="289"/>
        <v>5.1164658582518765</v>
      </c>
      <c r="BE91" s="173">
        <f t="shared" si="218"/>
        <v>10.979924867159555</v>
      </c>
      <c r="BF91" s="173"/>
      <c r="BG91" s="528">
        <f t="shared" si="219"/>
        <v>0.52356445757314218</v>
      </c>
      <c r="BH91" s="528">
        <f t="shared" si="220"/>
        <v>1.747643856846034</v>
      </c>
      <c r="BI91" s="528">
        <f t="shared" si="221"/>
        <v>9.0501131161920295E-2</v>
      </c>
      <c r="BJ91" s="528">
        <f t="shared" si="222"/>
        <v>3.8966467666293865E-2</v>
      </c>
      <c r="BK91">
        <f t="shared" si="223"/>
        <v>3.216436902917566E-2</v>
      </c>
      <c r="BL91" s="460">
        <f t="shared" si="290"/>
        <v>122.66550019109596</v>
      </c>
      <c r="BM91" s="528">
        <f t="shared" si="224"/>
        <v>2.7998334263878379</v>
      </c>
      <c r="BN91" s="460">
        <f t="shared" si="291"/>
        <v>2799.8334263878378</v>
      </c>
      <c r="BO91" s="528">
        <f t="shared" si="225"/>
        <v>5.3427499999999997</v>
      </c>
      <c r="BP91" s="528"/>
      <c r="BR91" s="460">
        <f t="shared" si="292"/>
        <v>5342.75</v>
      </c>
      <c r="BS91" s="528">
        <f t="shared" si="226"/>
        <v>0.78534668635971328</v>
      </c>
      <c r="BT91" s="528">
        <f t="shared" si="227"/>
        <v>3.6167625026540633</v>
      </c>
      <c r="BU91" s="528">
        <f t="shared" si="228"/>
        <v>1.9349999999999998</v>
      </c>
      <c r="BV91" s="528">
        <f t="shared" si="229"/>
        <v>11.412872140030485</v>
      </c>
      <c r="BW91" s="528">
        <f t="shared" si="230"/>
        <v>2.2295246934170423E-2</v>
      </c>
      <c r="BX91" s="460">
        <f t="shared" si="293"/>
        <v>11435.167386964657</v>
      </c>
      <c r="BY91" s="173">
        <f t="shared" si="231"/>
        <v>19.700416313543592</v>
      </c>
      <c r="BZ91" s="5">
        <f t="shared" si="294"/>
        <v>129</v>
      </c>
      <c r="CA91" s="173">
        <f t="shared" si="295"/>
        <v>0.86751606483734311</v>
      </c>
      <c r="CB91" s="5">
        <f t="shared" si="296"/>
        <v>86.751606483734307</v>
      </c>
      <c r="CE91" s="562">
        <f t="shared" si="232"/>
        <v>-50</v>
      </c>
      <c r="CF91">
        <f t="shared" si="233"/>
        <v>-50</v>
      </c>
      <c r="CG91" s="173">
        <f t="shared" si="234"/>
        <v>0.82119934965701846</v>
      </c>
      <c r="CI91" s="170">
        <v>86</v>
      </c>
      <c r="CJ91" s="217">
        <f t="shared" si="297"/>
        <v>8.6</v>
      </c>
      <c r="CK91" s="217"/>
      <c r="CL91" s="217">
        <f t="shared" si="235"/>
        <v>129</v>
      </c>
      <c r="CM91" s="541">
        <f t="shared" si="236"/>
        <v>72</v>
      </c>
      <c r="CN91" s="172">
        <f t="shared" si="237"/>
        <v>15.4</v>
      </c>
      <c r="CO91" s="443">
        <f t="shared" si="238"/>
        <v>87.4</v>
      </c>
      <c r="CP91" s="443"/>
      <c r="CQ91" s="217">
        <f t="shared" si="239"/>
        <v>0.17620137299771166</v>
      </c>
      <c r="CR91" s="172">
        <f t="shared" si="240"/>
        <v>318.30425629290613</v>
      </c>
      <c r="CS91" s="172">
        <f t="shared" si="298"/>
        <v>129</v>
      </c>
      <c r="CT91" s="217">
        <f t="shared" si="241"/>
        <v>21.220283752860407</v>
      </c>
      <c r="CU91" s="217">
        <f t="shared" si="242"/>
        <v>15</v>
      </c>
      <c r="CV91" s="217">
        <f t="shared" si="243"/>
        <v>21.144164759725399</v>
      </c>
      <c r="CW91" s="172">
        <f t="shared" si="244"/>
        <v>137.51115567826719</v>
      </c>
      <c r="CX91" s="172">
        <f t="shared" si="245"/>
        <v>15</v>
      </c>
      <c r="CY91" s="217">
        <f t="shared" si="246"/>
        <v>20.336580086580089</v>
      </c>
      <c r="CZ91" s="217">
        <f t="shared" si="247"/>
        <v>3.3894300144300149</v>
      </c>
      <c r="DA91" s="217">
        <f t="shared" si="248"/>
        <v>15.84668578175072</v>
      </c>
      <c r="DB91" s="197">
        <f t="shared" si="249"/>
        <v>105.72082379862701</v>
      </c>
      <c r="DC91" s="443">
        <f t="shared" si="299"/>
        <v>51.985546905396909</v>
      </c>
      <c r="DE91" s="217">
        <f t="shared" si="250"/>
        <v>9.9999999999999982</v>
      </c>
      <c r="DF91" s="173">
        <f t="shared" si="251"/>
        <v>7.7922077922077895</v>
      </c>
      <c r="DG91" s="173">
        <f t="shared" si="252"/>
        <v>4.118993135011439</v>
      </c>
      <c r="DH91" s="173"/>
      <c r="DI91" s="173">
        <f t="shared" si="253"/>
        <v>7.7922077922077913</v>
      </c>
      <c r="DJ91" s="545">
        <f t="shared" si="300"/>
        <v>220.73333333333335</v>
      </c>
      <c r="DK91" s="528">
        <f t="shared" si="254"/>
        <v>4.1189931350114417</v>
      </c>
      <c r="DM91" s="173">
        <f t="shared" si="255"/>
        <v>7.9414524280301944</v>
      </c>
      <c r="DN91" s="173">
        <f t="shared" si="256"/>
        <v>20.336580086580089</v>
      </c>
      <c r="DO91" s="173">
        <f t="shared" si="257"/>
        <v>8.8567259900593243</v>
      </c>
      <c r="DQ91" s="545">
        <f t="shared" si="258"/>
        <v>8600</v>
      </c>
      <c r="DR91" s="460">
        <f t="shared" si="259"/>
        <v>51.985546905396909</v>
      </c>
      <c r="DT91">
        <f t="shared" si="260"/>
        <v>8600</v>
      </c>
      <c r="DU91">
        <f t="shared" si="261"/>
        <v>51.985546905396909</v>
      </c>
      <c r="DW91" s="5">
        <f t="shared" si="301"/>
        <v>19.236115796180734</v>
      </c>
      <c r="DX91" s="5">
        <f t="shared" si="262"/>
        <v>3.3894300144300149</v>
      </c>
      <c r="DY91" s="5">
        <f t="shared" si="302"/>
        <v>15.846685781750718</v>
      </c>
      <c r="DZ91" s="5">
        <f t="shared" si="263"/>
        <v>15.84668578175072</v>
      </c>
      <c r="EA91" s="173">
        <f t="shared" si="303"/>
        <v>0.17620137299771169</v>
      </c>
      <c r="EB91" s="173">
        <f t="shared" si="264"/>
        <v>129</v>
      </c>
      <c r="EC91" s="173">
        <f t="shared" si="265"/>
        <v>8.3766233766233782</v>
      </c>
      <c r="ED91" s="173">
        <f t="shared" si="304"/>
        <v>15.399999999999997</v>
      </c>
      <c r="EE91" s="460">
        <f t="shared" si="266"/>
        <v>194.32732082732085</v>
      </c>
      <c r="EF91" s="5">
        <f t="shared" si="267"/>
        <v>7.8866607478620478</v>
      </c>
      <c r="EG91" s="5"/>
      <c r="EH91" s="173">
        <f t="shared" si="305"/>
        <v>4.9285814494045965</v>
      </c>
      <c r="EI91" s="173">
        <f t="shared" si="268"/>
        <v>10.656824797715945</v>
      </c>
      <c r="EJ91" s="173"/>
      <c r="EK91" s="528">
        <f t="shared" si="269"/>
        <v>0.48581830206830229</v>
      </c>
      <c r="EL91" s="528">
        <f t="shared" si="270"/>
        <v>1.8479999999999996</v>
      </c>
      <c r="EM91" s="528">
        <f t="shared" si="271"/>
        <v>6.498193363174613E-3</v>
      </c>
      <c r="EN91" s="528">
        <f t="shared" si="272"/>
        <v>3.9710511627906973E-2</v>
      </c>
      <c r="EO91">
        <f t="shared" si="273"/>
        <v>3.2399999999999998E-2</v>
      </c>
      <c r="EP91" s="460">
        <f t="shared" si="306"/>
        <v>38.898193363174613</v>
      </c>
      <c r="EQ91" s="528">
        <f t="shared" si="274"/>
        <v>2.8755205139036595</v>
      </c>
      <c r="ER91" s="460">
        <f t="shared" si="307"/>
        <v>2875.5205139036593</v>
      </c>
      <c r="ES91" s="528">
        <f t="shared" si="308"/>
        <v>5.3427499999999997</v>
      </c>
      <c r="ET91" s="528"/>
      <c r="EV91" s="460">
        <f t="shared" si="309"/>
        <v>5342.75</v>
      </c>
      <c r="EW91" s="528">
        <f t="shared" si="275"/>
        <v>0.72872745310245335</v>
      </c>
      <c r="EX91" s="528">
        <f t="shared" si="276"/>
        <v>3.4070374430764048</v>
      </c>
      <c r="EY91" s="528">
        <f t="shared" si="277"/>
        <v>1.8170687138587007</v>
      </c>
      <c r="EZ91" s="528">
        <f t="shared" si="278"/>
        <v>10.379635882585847</v>
      </c>
      <c r="FA91" s="528">
        <f t="shared" si="279"/>
        <v>2.1500000000000002E-2</v>
      </c>
      <c r="FB91" s="460">
        <f t="shared" si="310"/>
        <v>10401.135882585846</v>
      </c>
      <c r="FC91" s="173">
        <f t="shared" si="311"/>
        <v>18.619406396489506</v>
      </c>
      <c r="FD91" s="5">
        <f t="shared" si="312"/>
        <v>129</v>
      </c>
      <c r="FE91" s="173">
        <f t="shared" si="313"/>
        <v>0.87386884386677577</v>
      </c>
      <c r="FF91" s="5">
        <f t="shared" si="314"/>
        <v>87.386884386677579</v>
      </c>
      <c r="FI91" s="562">
        <f t="shared" si="280"/>
        <v>-50</v>
      </c>
      <c r="FJ91">
        <f t="shared" si="281"/>
        <v>-50</v>
      </c>
      <c r="FL91">
        <f t="shared" si="282"/>
        <v>0.82379862700228834</v>
      </c>
    </row>
    <row r="92" spans="5:168">
      <c r="E92" s="170">
        <v>87</v>
      </c>
      <c r="F92" s="217">
        <f t="shared" si="283"/>
        <v>8.6999999999999993</v>
      </c>
      <c r="G92" s="217"/>
      <c r="H92" s="217">
        <f t="shared" si="183"/>
        <v>130.5</v>
      </c>
      <c r="I92" s="541">
        <f t="shared" si="184"/>
        <v>71.470306236052267</v>
      </c>
      <c r="J92" s="172">
        <f t="shared" si="185"/>
        <v>15.717816258368641</v>
      </c>
      <c r="K92" s="172">
        <f t="shared" si="186"/>
        <v>87.717816258368643</v>
      </c>
      <c r="L92" s="443"/>
      <c r="M92" s="217">
        <f t="shared" si="187"/>
        <v>0.18026542193994133</v>
      </c>
      <c r="N92" s="172">
        <f t="shared" si="188"/>
        <v>323.25014898735321</v>
      </c>
      <c r="O92" s="172">
        <f t="shared" si="284"/>
        <v>130.5</v>
      </c>
      <c r="P92" s="217">
        <f t="shared" si="189"/>
        <v>21.550009932490216</v>
      </c>
      <c r="Q92" s="217">
        <f t="shared" si="190"/>
        <v>15</v>
      </c>
      <c r="R92" s="217">
        <f t="shared" si="191"/>
        <v>21.472708183031301</v>
      </c>
      <c r="S92" s="172">
        <f t="shared" si="192"/>
        <v>134.11666174022812</v>
      </c>
      <c r="T92" s="172">
        <f t="shared" si="193"/>
        <v>15</v>
      </c>
      <c r="U92" s="217">
        <f t="shared" si="194"/>
        <v>21.226382863070064</v>
      </c>
      <c r="V92" s="217">
        <f t="shared" si="195"/>
        <v>3.56394995028512</v>
      </c>
      <c r="W92" s="217">
        <f t="shared" si="196"/>
        <v>16.20559689525712</v>
      </c>
      <c r="X92" s="197">
        <f t="shared" si="197"/>
        <v>107.36909160796633</v>
      </c>
      <c r="Y92" s="443">
        <f t="shared" si="198"/>
        <v>50.076248987253706</v>
      </c>
      <c r="AA92" s="217">
        <f t="shared" si="199"/>
        <v>9.9999999999999982</v>
      </c>
      <c r="AB92" s="173">
        <f t="shared" si="200"/>
        <v>7.6346483523821789</v>
      </c>
      <c r="AC92" s="173">
        <f t="shared" si="201"/>
        <v>4.0986262917076557</v>
      </c>
      <c r="AD92" s="173"/>
      <c r="AE92" s="173">
        <f t="shared" si="202"/>
        <v>7.6346483523821798</v>
      </c>
      <c r="AF92" s="545">
        <f t="shared" si="203"/>
        <v>227.90833574634527</v>
      </c>
      <c r="AG92" s="528">
        <f t="shared" si="204"/>
        <v>4.0986262917076575</v>
      </c>
      <c r="AI92" s="173">
        <f t="shared" si="205"/>
        <v>8.0694899068093928</v>
      </c>
      <c r="AJ92" s="173">
        <f t="shared" si="206"/>
        <v>21.226382863070064</v>
      </c>
      <c r="AK92" s="173">
        <f t="shared" si="207"/>
        <v>9.5158391578296762</v>
      </c>
      <c r="AM92" s="545">
        <f t="shared" si="208"/>
        <v>8700</v>
      </c>
      <c r="AN92" s="460">
        <f t="shared" si="209"/>
        <v>50.076248987253706</v>
      </c>
      <c r="AP92">
        <f t="shared" si="210"/>
        <v>8700</v>
      </c>
      <c r="AQ92">
        <f t="shared" si="211"/>
        <v>50.076248987253706</v>
      </c>
      <c r="AS92" s="5">
        <f t="shared" si="285"/>
        <v>19.969546845542236</v>
      </c>
      <c r="AT92" s="5">
        <f t="shared" si="212"/>
        <v>3.56394995028512</v>
      </c>
      <c r="AU92" s="5">
        <f t="shared" si="286"/>
        <v>16.405596895257116</v>
      </c>
      <c r="AV92" s="5">
        <f t="shared" si="213"/>
        <v>16.20559689525712</v>
      </c>
      <c r="AW92" s="173">
        <f t="shared" si="287"/>
        <v>0.17846924508858816</v>
      </c>
      <c r="AX92" s="173">
        <f t="shared" si="214"/>
        <v>135.37392699029982</v>
      </c>
      <c r="AY92" s="173">
        <f t="shared" si="215"/>
        <v>8.7190631687683027</v>
      </c>
      <c r="AZ92" s="173">
        <f t="shared" si="288"/>
        <v>15.526200965627757</v>
      </c>
      <c r="BA92" s="460">
        <f t="shared" si="216"/>
        <v>206.70909711653695</v>
      </c>
      <c r="BB92" s="5">
        <f t="shared" si="217"/>
        <v>8.3209785821944653</v>
      </c>
      <c r="BC92" s="5"/>
      <c r="BD92" s="173">
        <f t="shared" si="289"/>
        <v>5.1772252347661016</v>
      </c>
      <c r="BE92" s="173">
        <f t="shared" si="218"/>
        <v>11.107780247123152</v>
      </c>
      <c r="BF92" s="173"/>
      <c r="BG92" s="528">
        <f t="shared" si="219"/>
        <v>0.53607322262997836</v>
      </c>
      <c r="BH92" s="528">
        <f t="shared" si="220"/>
        <v>1.7482231503054235</v>
      </c>
      <c r="BI92" s="528">
        <f t="shared" si="221"/>
        <v>8.9474121256795616E-2</v>
      </c>
      <c r="BJ92" s="528">
        <f t="shared" si="222"/>
        <v>3.8530745583015225E-2</v>
      </c>
      <c r="BK92">
        <f t="shared" si="223"/>
        <v>3.2161637806223518E-2</v>
      </c>
      <c r="BL92" s="460">
        <f t="shared" si="290"/>
        <v>121.63575906301912</v>
      </c>
      <c r="BM92" s="528">
        <f t="shared" si="224"/>
        <v>2.827738800929029</v>
      </c>
      <c r="BN92" s="460">
        <f t="shared" si="291"/>
        <v>2827.7388009290289</v>
      </c>
      <c r="BO92" s="528">
        <f t="shared" si="225"/>
        <v>5.4048749999999988</v>
      </c>
      <c r="BP92" s="528"/>
      <c r="BR92" s="460">
        <f t="shared" si="292"/>
        <v>5404.8749999999991</v>
      </c>
      <c r="BS92" s="528">
        <f t="shared" si="226"/>
        <v>0.80410983394496749</v>
      </c>
      <c r="BT92" s="528">
        <f t="shared" si="227"/>
        <v>3.701483460551378</v>
      </c>
      <c r="BU92" s="528">
        <f t="shared" si="228"/>
        <v>1.9575</v>
      </c>
      <c r="BV92" s="528">
        <f t="shared" si="229"/>
        <v>11.796428370321703</v>
      </c>
      <c r="BW92" s="528">
        <f t="shared" si="230"/>
        <v>2.256232116504997E-2</v>
      </c>
      <c r="BX92" s="460">
        <f t="shared" si="293"/>
        <v>11818.990691486753</v>
      </c>
      <c r="BY92" s="173">
        <f t="shared" si="231"/>
        <v>20.173240251478799</v>
      </c>
      <c r="BZ92" s="5">
        <f t="shared" si="294"/>
        <v>130.5</v>
      </c>
      <c r="CA92" s="173">
        <f t="shared" si="295"/>
        <v>0.86611265399344317</v>
      </c>
      <c r="CB92" s="5">
        <f t="shared" si="296"/>
        <v>86.611265399344319</v>
      </c>
      <c r="CE92" s="562">
        <f t="shared" si="232"/>
        <v>-50</v>
      </c>
      <c r="CF92">
        <f t="shared" si="233"/>
        <v>-50</v>
      </c>
      <c r="CG92" s="173">
        <f t="shared" si="234"/>
        <v>0.82122922640811358</v>
      </c>
      <c r="CI92" s="170">
        <v>87</v>
      </c>
      <c r="CJ92" s="217">
        <f t="shared" si="297"/>
        <v>8.6999999999999993</v>
      </c>
      <c r="CK92" s="217"/>
      <c r="CL92" s="217">
        <f t="shared" si="235"/>
        <v>130.5</v>
      </c>
      <c r="CM92" s="541">
        <f t="shared" si="236"/>
        <v>72</v>
      </c>
      <c r="CN92" s="172">
        <f t="shared" si="237"/>
        <v>15.4</v>
      </c>
      <c r="CO92" s="443">
        <f t="shared" si="238"/>
        <v>87.4</v>
      </c>
      <c r="CP92" s="443"/>
      <c r="CQ92" s="217">
        <f t="shared" si="239"/>
        <v>0.17620137299771166</v>
      </c>
      <c r="CR92" s="172">
        <f t="shared" si="240"/>
        <v>318.30425629290613</v>
      </c>
      <c r="CS92" s="172">
        <f t="shared" si="298"/>
        <v>130.5</v>
      </c>
      <c r="CT92" s="217">
        <f t="shared" si="241"/>
        <v>21.220283752860407</v>
      </c>
      <c r="CU92" s="217">
        <f t="shared" si="242"/>
        <v>15</v>
      </c>
      <c r="CV92" s="217">
        <f t="shared" si="243"/>
        <v>21.144164759725399</v>
      </c>
      <c r="CW92" s="172">
        <f t="shared" si="244"/>
        <v>135.10908360196095</v>
      </c>
      <c r="CX92" s="172">
        <f t="shared" si="245"/>
        <v>15</v>
      </c>
      <c r="CY92" s="217">
        <f t="shared" si="246"/>
        <v>20.573051948051951</v>
      </c>
      <c r="CZ92" s="217">
        <f t="shared" si="247"/>
        <v>3.4288419913419919</v>
      </c>
      <c r="DA92" s="217">
        <f t="shared" si="248"/>
        <v>16.030949569910611</v>
      </c>
      <c r="DB92" s="197">
        <f t="shared" si="249"/>
        <v>105.72082379862701</v>
      </c>
      <c r="DC92" s="443">
        <f t="shared" si="299"/>
        <v>51.3880118834958</v>
      </c>
      <c r="DE92" s="217">
        <f t="shared" si="250"/>
        <v>9.9999999999999982</v>
      </c>
      <c r="DF92" s="173">
        <f t="shared" si="251"/>
        <v>7.7922077922077895</v>
      </c>
      <c r="DG92" s="173">
        <f t="shared" si="252"/>
        <v>4.118993135011439</v>
      </c>
      <c r="DH92" s="173"/>
      <c r="DI92" s="173">
        <f t="shared" si="253"/>
        <v>7.7922077922077913</v>
      </c>
      <c r="DJ92" s="545">
        <f t="shared" si="300"/>
        <v>223.3</v>
      </c>
      <c r="DK92" s="528">
        <f t="shared" si="254"/>
        <v>4.1189931350114417</v>
      </c>
      <c r="DM92" s="173">
        <f t="shared" si="255"/>
        <v>7.987490219086343</v>
      </c>
      <c r="DN92" s="173">
        <f t="shared" si="256"/>
        <v>20.573051948051951</v>
      </c>
      <c r="DO92" s="173">
        <f t="shared" si="257"/>
        <v>9.0318903318903345</v>
      </c>
      <c r="DQ92" s="545">
        <f t="shared" si="258"/>
        <v>8700</v>
      </c>
      <c r="DR92" s="460">
        <f t="shared" si="259"/>
        <v>51.3880118834958</v>
      </c>
      <c r="DT92">
        <f t="shared" si="260"/>
        <v>8700</v>
      </c>
      <c r="DU92">
        <f t="shared" si="261"/>
        <v>51.3880118834958</v>
      </c>
      <c r="DW92" s="5">
        <f t="shared" si="301"/>
        <v>19.459791561252601</v>
      </c>
      <c r="DX92" s="5">
        <f t="shared" si="262"/>
        <v>3.4288419913419919</v>
      </c>
      <c r="DY92" s="5">
        <f t="shared" si="302"/>
        <v>16.030949569910611</v>
      </c>
      <c r="DZ92" s="5">
        <f t="shared" si="263"/>
        <v>16.030949569910611</v>
      </c>
      <c r="EA92" s="173">
        <f t="shared" si="303"/>
        <v>0.17620137299771169</v>
      </c>
      <c r="EB92" s="173">
        <f t="shared" si="264"/>
        <v>130.5</v>
      </c>
      <c r="EC92" s="173">
        <f t="shared" si="265"/>
        <v>8.4740259740259756</v>
      </c>
      <c r="ED92" s="173">
        <f t="shared" si="304"/>
        <v>15.399999999999997</v>
      </c>
      <c r="EE92" s="460">
        <f t="shared" si="266"/>
        <v>198.87283549783552</v>
      </c>
      <c r="EF92" s="5">
        <f t="shared" si="267"/>
        <v>8.0711378042952724</v>
      </c>
      <c r="EG92" s="5"/>
      <c r="EH92" s="173">
        <f t="shared" si="305"/>
        <v>4.9858905360255799</v>
      </c>
      <c r="EI92" s="173">
        <f t="shared" si="268"/>
        <v>10.780741365131249</v>
      </c>
      <c r="EJ92" s="173"/>
      <c r="EK92" s="528">
        <f t="shared" si="269"/>
        <v>0.49718208874458891</v>
      </c>
      <c r="EL92" s="528">
        <f t="shared" si="270"/>
        <v>1.8480000000000001</v>
      </c>
      <c r="EM92" s="528">
        <f t="shared" si="271"/>
        <v>6.4235014854369743E-3</v>
      </c>
      <c r="EN92" s="528">
        <f t="shared" si="272"/>
        <v>3.9254068965517246E-2</v>
      </c>
      <c r="EO92">
        <f t="shared" si="273"/>
        <v>3.2399999999999998E-2</v>
      </c>
      <c r="EP92" s="460">
        <f t="shared" si="306"/>
        <v>38.823501485436971</v>
      </c>
      <c r="EQ92" s="528">
        <f t="shared" si="274"/>
        <v>2.9000875068046104</v>
      </c>
      <c r="ER92" s="460">
        <f t="shared" si="307"/>
        <v>2900.0875068046103</v>
      </c>
      <c r="ES92" s="528">
        <f t="shared" si="308"/>
        <v>5.4048749999999988</v>
      </c>
      <c r="ET92" s="528"/>
      <c r="EV92" s="460">
        <f t="shared" si="309"/>
        <v>5404.8749999999991</v>
      </c>
      <c r="EW92" s="528">
        <f t="shared" si="275"/>
        <v>0.74577313311688331</v>
      </c>
      <c r="EX92" s="528">
        <f t="shared" si="276"/>
        <v>3.4867315314555594</v>
      </c>
      <c r="EY92" s="528">
        <f t="shared" si="277"/>
        <v>1.8170687138587027</v>
      </c>
      <c r="EZ92" s="528">
        <f t="shared" si="278"/>
        <v>10.682459153699574</v>
      </c>
      <c r="FA92" s="528">
        <f t="shared" si="279"/>
        <v>2.1750000000000002E-2</v>
      </c>
      <c r="FB92" s="460">
        <f t="shared" si="310"/>
        <v>10704.209153699574</v>
      </c>
      <c r="FC92" s="173">
        <f t="shared" si="311"/>
        <v>19.009171660504183</v>
      </c>
      <c r="FD92" s="5">
        <f t="shared" si="312"/>
        <v>130.5</v>
      </c>
      <c r="FE92" s="173">
        <f t="shared" si="313"/>
        <v>0.87285615023224794</v>
      </c>
      <c r="FF92" s="5">
        <f t="shared" si="314"/>
        <v>87.285615023224793</v>
      </c>
      <c r="FI92" s="562">
        <f t="shared" si="280"/>
        <v>-50</v>
      </c>
      <c r="FJ92">
        <f t="shared" si="281"/>
        <v>-50</v>
      </c>
      <c r="FL92">
        <f t="shared" si="282"/>
        <v>0.82379862700228834</v>
      </c>
    </row>
    <row r="93" spans="5:168">
      <c r="E93" s="170">
        <v>88</v>
      </c>
      <c r="F93" s="217">
        <f t="shared" si="283"/>
        <v>8.8000000000000007</v>
      </c>
      <c r="G93" s="217"/>
      <c r="H93" s="217">
        <f t="shared" si="183"/>
        <v>132</v>
      </c>
      <c r="I93" s="541">
        <f t="shared" si="184"/>
        <v>71.464236850343895</v>
      </c>
      <c r="J93" s="172">
        <f t="shared" si="185"/>
        <v>15.721457889793662</v>
      </c>
      <c r="K93" s="172">
        <f t="shared" si="186"/>
        <v>87.721457889793669</v>
      </c>
      <c r="L93" s="443"/>
      <c r="M93" s="217">
        <f t="shared" si="187"/>
        <v>0.18031221111624765</v>
      </c>
      <c r="N93" s="172">
        <f t="shared" si="188"/>
        <v>323.30659276611817</v>
      </c>
      <c r="O93" s="172">
        <f t="shared" si="284"/>
        <v>132</v>
      </c>
      <c r="P93" s="217">
        <f t="shared" si="189"/>
        <v>21.553772851074545</v>
      </c>
      <c r="Q93" s="217">
        <f t="shared" si="190"/>
        <v>15</v>
      </c>
      <c r="R93" s="217">
        <f t="shared" si="191"/>
        <v>21.47645760370122</v>
      </c>
      <c r="S93" s="172">
        <f t="shared" si="192"/>
        <v>131.7754341521125</v>
      </c>
      <c r="T93" s="172">
        <f t="shared" si="193"/>
        <v>15</v>
      </c>
      <c r="U93" s="217">
        <f t="shared" si="194"/>
        <v>21.471589840282498</v>
      </c>
      <c r="V93" s="217">
        <f t="shared" si="195"/>
        <v>3.6054268461995074</v>
      </c>
      <c r="W93" s="217">
        <f t="shared" si="196"/>
        <v>16.389006661440842</v>
      </c>
      <c r="X93" s="197">
        <f t="shared" si="197"/>
        <v>107.38783788036653</v>
      </c>
      <c r="Y93" s="443">
        <f t="shared" si="198"/>
        <v>49.518596281577331</v>
      </c>
      <c r="AA93" s="217">
        <f t="shared" si="199"/>
        <v>10</v>
      </c>
      <c r="AB93" s="173">
        <f t="shared" si="200"/>
        <v>7.6328799047258693</v>
      </c>
      <c r="AC93" s="173">
        <f t="shared" si="201"/>
        <v>4.0983923488450467</v>
      </c>
      <c r="AD93" s="173"/>
      <c r="AE93" s="173">
        <f t="shared" si="202"/>
        <v>7.6328799047258693</v>
      </c>
      <c r="AF93" s="545">
        <f t="shared" si="203"/>
        <v>230.5813823836404</v>
      </c>
      <c r="AG93" s="528">
        <f t="shared" si="204"/>
        <v>4.0983923488450458</v>
      </c>
      <c r="AI93" s="173">
        <f t="shared" si="205"/>
        <v>8.1166738856969243</v>
      </c>
      <c r="AJ93" s="173">
        <f t="shared" si="206"/>
        <v>21.471589840282498</v>
      </c>
      <c r="AK93" s="173">
        <f t="shared" si="207"/>
        <v>9.6974739557648117</v>
      </c>
      <c r="AM93" s="545">
        <f t="shared" si="208"/>
        <v>8800</v>
      </c>
      <c r="AN93" s="460">
        <f t="shared" si="209"/>
        <v>49.518596281577331</v>
      </c>
      <c r="AP93">
        <f t="shared" si="210"/>
        <v>8800</v>
      </c>
      <c r="AQ93">
        <f t="shared" si="211"/>
        <v>49.518596281577331</v>
      </c>
      <c r="AS93" s="5">
        <f t="shared" si="285"/>
        <v>20.194433507640348</v>
      </c>
      <c r="AT93" s="5">
        <f t="shared" si="212"/>
        <v>3.6054268461995074</v>
      </c>
      <c r="AU93" s="5">
        <f t="shared" si="286"/>
        <v>16.589006661440841</v>
      </c>
      <c r="AV93" s="5">
        <f t="shared" si="213"/>
        <v>16.389006661440842</v>
      </c>
      <c r="AW93" s="173">
        <f t="shared" si="287"/>
        <v>0.17853567641971402</v>
      </c>
      <c r="AX93" s="173">
        <f t="shared" si="214"/>
        <v>136.97710413958293</v>
      </c>
      <c r="AY93" s="173">
        <f t="shared" si="215"/>
        <v>8.8190725121705018</v>
      </c>
      <c r="AZ93" s="173">
        <f t="shared" si="288"/>
        <v>15.531917211311248</v>
      </c>
      <c r="BA93" s="460">
        <f t="shared" si="216"/>
        <v>211.51837497703778</v>
      </c>
      <c r="BB93" s="5">
        <f t="shared" si="217"/>
        <v>8.5114401887471782</v>
      </c>
      <c r="BC93" s="5"/>
      <c r="BD93" s="173">
        <f t="shared" si="289"/>
        <v>5.238007088045765</v>
      </c>
      <c r="BE93" s="173">
        <f t="shared" si="218"/>
        <v>11.235642920427674</v>
      </c>
      <c r="BF93" s="173"/>
      <c r="BG93" s="528">
        <f t="shared" si="219"/>
        <v>0.54873436508835349</v>
      </c>
      <c r="BH93" s="528">
        <f t="shared" si="220"/>
        <v>1.7487979700773606</v>
      </c>
      <c r="BI93" s="528">
        <f t="shared" si="221"/>
        <v>8.8470217329080003E-2</v>
      </c>
      <c r="BJ93" s="528">
        <f t="shared" si="222"/>
        <v>3.8104828102256509E-2</v>
      </c>
      <c r="BK93">
        <f t="shared" si="223"/>
        <v>3.2158906582654752E-2</v>
      </c>
      <c r="BL93" s="460">
        <f t="shared" si="290"/>
        <v>120.62912391173475</v>
      </c>
      <c r="BM93" s="528">
        <f t="shared" si="224"/>
        <v>2.85618247060266</v>
      </c>
      <c r="BN93" s="460">
        <f t="shared" si="291"/>
        <v>2856.18247060266</v>
      </c>
      <c r="BO93" s="528">
        <f t="shared" si="225"/>
        <v>5.4669999999999996</v>
      </c>
      <c r="BP93" s="528"/>
      <c r="BR93" s="460">
        <f t="shared" si="292"/>
        <v>5467</v>
      </c>
      <c r="BS93" s="528">
        <f t="shared" si="226"/>
        <v>0.82310154763253018</v>
      </c>
      <c r="BT93" s="528">
        <f t="shared" si="227"/>
        <v>3.7871901550606952</v>
      </c>
      <c r="BU93" s="528">
        <f t="shared" si="228"/>
        <v>1.98</v>
      </c>
      <c r="BV93" s="528">
        <f t="shared" si="229"/>
        <v>12.194306527731451</v>
      </c>
      <c r="BW93" s="528">
        <f t="shared" si="230"/>
        <v>2.2829517356597159E-2</v>
      </c>
      <c r="BX93" s="460">
        <f t="shared" si="293"/>
        <v>12217.136045088047</v>
      </c>
      <c r="BY93" s="173">
        <f t="shared" si="231"/>
        <v>20.660947639602441</v>
      </c>
      <c r="BZ93" s="5">
        <f t="shared" si="294"/>
        <v>132</v>
      </c>
      <c r="CA93" s="173">
        <f t="shared" si="295"/>
        <v>0.86466121192711165</v>
      </c>
      <c r="CB93" s="5">
        <f t="shared" si="296"/>
        <v>86.466121192711171</v>
      </c>
      <c r="CE93" s="562">
        <f t="shared" si="232"/>
        <v>-50</v>
      </c>
      <c r="CF93">
        <f t="shared" si="233"/>
        <v>-50</v>
      </c>
      <c r="CG93" s="173">
        <f t="shared" si="234"/>
        <v>0.82125842414213823</v>
      </c>
      <c r="CI93" s="170">
        <v>88</v>
      </c>
      <c r="CJ93" s="217">
        <f t="shared" si="297"/>
        <v>8.8000000000000007</v>
      </c>
      <c r="CK93" s="217"/>
      <c r="CL93" s="217">
        <f t="shared" si="235"/>
        <v>132</v>
      </c>
      <c r="CM93" s="541">
        <f t="shared" si="236"/>
        <v>72</v>
      </c>
      <c r="CN93" s="172">
        <f t="shared" si="237"/>
        <v>15.4</v>
      </c>
      <c r="CO93" s="443">
        <f t="shared" si="238"/>
        <v>87.4</v>
      </c>
      <c r="CP93" s="443"/>
      <c r="CQ93" s="217">
        <f t="shared" si="239"/>
        <v>0.17620137299771166</v>
      </c>
      <c r="CR93" s="172">
        <f t="shared" si="240"/>
        <v>318.30425629290613</v>
      </c>
      <c r="CS93" s="172">
        <f t="shared" si="298"/>
        <v>132</v>
      </c>
      <c r="CT93" s="217">
        <f t="shared" si="241"/>
        <v>21.220283752860407</v>
      </c>
      <c r="CU93" s="217">
        <f t="shared" si="242"/>
        <v>15</v>
      </c>
      <c r="CV93" s="217">
        <f t="shared" si="243"/>
        <v>21.144164759725399</v>
      </c>
      <c r="CW93" s="172">
        <f t="shared" si="244"/>
        <v>132.76173289640096</v>
      </c>
      <c r="CX93" s="172">
        <f t="shared" si="245"/>
        <v>15</v>
      </c>
      <c r="CY93" s="217">
        <f t="shared" si="246"/>
        <v>20.80952380952381</v>
      </c>
      <c r="CZ93" s="217">
        <f t="shared" si="247"/>
        <v>3.4682539682539688</v>
      </c>
      <c r="DA93" s="217">
        <f t="shared" si="248"/>
        <v>16.215213358070503</v>
      </c>
      <c r="DB93" s="197">
        <f t="shared" si="249"/>
        <v>105.72082379862701</v>
      </c>
      <c r="DC93" s="443">
        <f t="shared" si="299"/>
        <v>50.804057203001527</v>
      </c>
      <c r="DE93" s="217">
        <f t="shared" si="250"/>
        <v>9.9999999999999982</v>
      </c>
      <c r="DF93" s="173">
        <f t="shared" si="251"/>
        <v>7.7922077922077895</v>
      </c>
      <c r="DG93" s="173">
        <f t="shared" si="252"/>
        <v>4.118993135011439</v>
      </c>
      <c r="DH93" s="173"/>
      <c r="DI93" s="173">
        <f t="shared" si="253"/>
        <v>7.7922077922077913</v>
      </c>
      <c r="DJ93" s="545">
        <f t="shared" si="300"/>
        <v>225.86666666666667</v>
      </c>
      <c r="DK93" s="528">
        <f t="shared" si="254"/>
        <v>4.1189931350114417</v>
      </c>
      <c r="DM93" s="173">
        <f t="shared" si="255"/>
        <v>8.0332641767424366</v>
      </c>
      <c r="DN93" s="173">
        <f t="shared" si="256"/>
        <v>20.80952380952381</v>
      </c>
      <c r="DO93" s="173">
        <f t="shared" si="257"/>
        <v>9.2070546737213395</v>
      </c>
      <c r="DQ93" s="545">
        <f t="shared" si="258"/>
        <v>8800</v>
      </c>
      <c r="DR93" s="460">
        <f t="shared" si="259"/>
        <v>50.804057203001527</v>
      </c>
      <c r="DT93">
        <f t="shared" si="260"/>
        <v>8800</v>
      </c>
      <c r="DU93">
        <f t="shared" si="261"/>
        <v>50.804057203001527</v>
      </c>
      <c r="DW93" s="5">
        <f t="shared" si="301"/>
        <v>19.683467326324472</v>
      </c>
      <c r="DX93" s="5">
        <f t="shared" si="262"/>
        <v>3.4682539682539688</v>
      </c>
      <c r="DY93" s="5">
        <f t="shared" si="302"/>
        <v>16.215213358070503</v>
      </c>
      <c r="DZ93" s="5">
        <f t="shared" si="263"/>
        <v>16.215213358070503</v>
      </c>
      <c r="EA93" s="173">
        <f t="shared" si="303"/>
        <v>0.17620137299771169</v>
      </c>
      <c r="EB93" s="173">
        <f t="shared" si="264"/>
        <v>131.99999999999997</v>
      </c>
      <c r="EC93" s="173">
        <f t="shared" si="265"/>
        <v>8.5714285714285712</v>
      </c>
      <c r="ED93" s="173">
        <f t="shared" si="304"/>
        <v>15.399999999999997</v>
      </c>
      <c r="EE93" s="460">
        <f t="shared" si="266"/>
        <v>203.47089947089952</v>
      </c>
      <c r="EF93" s="5">
        <f t="shared" si="267"/>
        <v>8.2577475434618286</v>
      </c>
      <c r="EG93" s="5"/>
      <c r="EH93" s="173">
        <f t="shared" si="305"/>
        <v>5.0431996226465632</v>
      </c>
      <c r="EI93" s="173">
        <f t="shared" si="268"/>
        <v>10.904657932546549</v>
      </c>
      <c r="EJ93" s="173"/>
      <c r="EK93" s="528">
        <f t="shared" si="269"/>
        <v>0.50867724867724873</v>
      </c>
      <c r="EL93" s="528">
        <f t="shared" si="270"/>
        <v>1.8480000000000001</v>
      </c>
      <c r="EM93" s="528">
        <f t="shared" si="271"/>
        <v>6.3505071503751898E-3</v>
      </c>
      <c r="EN93" s="528">
        <f t="shared" si="272"/>
        <v>3.8808000000000002E-2</v>
      </c>
      <c r="EO93">
        <f t="shared" si="273"/>
        <v>3.2399999999999998E-2</v>
      </c>
      <c r="EP93" s="460">
        <f t="shared" si="306"/>
        <v>38.750507150375185</v>
      </c>
      <c r="EQ93" s="528">
        <f t="shared" si="274"/>
        <v>2.9251127550213729</v>
      </c>
      <c r="ER93" s="460">
        <f t="shared" si="307"/>
        <v>2925.1127550213728</v>
      </c>
      <c r="ES93" s="528">
        <f t="shared" si="308"/>
        <v>5.4669999999999996</v>
      </c>
      <c r="ET93" s="528"/>
      <c r="EV93" s="460">
        <f t="shared" si="309"/>
        <v>5467</v>
      </c>
      <c r="EW93" s="528">
        <f t="shared" si="275"/>
        <v>0.76301587301587304</v>
      </c>
      <c r="EX93" s="528">
        <f t="shared" si="276"/>
        <v>3.5673469387755112</v>
      </c>
      <c r="EY93" s="528">
        <f t="shared" si="277"/>
        <v>1.8170687138587027</v>
      </c>
      <c r="EZ93" s="528">
        <f t="shared" si="278"/>
        <v>10.996079805803278</v>
      </c>
      <c r="FA93" s="528">
        <f t="shared" si="279"/>
        <v>2.1999999999999999E-2</v>
      </c>
      <c r="FB93" s="460">
        <f t="shared" si="310"/>
        <v>11018.079805803278</v>
      </c>
      <c r="FC93" s="173">
        <f t="shared" si="311"/>
        <v>19.410192560824648</v>
      </c>
      <c r="FD93" s="5">
        <f t="shared" si="312"/>
        <v>132</v>
      </c>
      <c r="FE93" s="173">
        <f t="shared" si="313"/>
        <v>0.87180392394635409</v>
      </c>
      <c r="FF93" s="5">
        <f t="shared" si="314"/>
        <v>87.180392394635405</v>
      </c>
      <c r="FI93" s="562">
        <f t="shared" si="280"/>
        <v>-50</v>
      </c>
      <c r="FJ93">
        <f t="shared" si="281"/>
        <v>-50</v>
      </c>
      <c r="FL93">
        <f t="shared" si="282"/>
        <v>0.82379862700228834</v>
      </c>
    </row>
    <row r="94" spans="5:168">
      <c r="E94" s="170">
        <v>89</v>
      </c>
      <c r="F94" s="217">
        <f t="shared" si="283"/>
        <v>8.9</v>
      </c>
      <c r="G94" s="217"/>
      <c r="H94" s="217">
        <f t="shared" si="183"/>
        <v>133.5</v>
      </c>
      <c r="I94" s="541">
        <f t="shared" si="184"/>
        <v>71.458167463311582</v>
      </c>
      <c r="J94" s="172">
        <f t="shared" si="185"/>
        <v>15.725099522013053</v>
      </c>
      <c r="K94" s="172">
        <f t="shared" si="186"/>
        <v>87.725099522013053</v>
      </c>
      <c r="L94" s="443"/>
      <c r="M94" s="217">
        <f t="shared" si="187"/>
        <v>0.18035900290112011</v>
      </c>
      <c r="N94" s="172">
        <f t="shared" si="188"/>
        <v>323.36302696555771</v>
      </c>
      <c r="O94" s="172">
        <f t="shared" si="284"/>
        <v>133.5</v>
      </c>
      <c r="P94" s="217">
        <f t="shared" si="189"/>
        <v>21.557535131037181</v>
      </c>
      <c r="Q94" s="217">
        <f t="shared" si="190"/>
        <v>15</v>
      </c>
      <c r="R94" s="217">
        <f t="shared" si="191"/>
        <v>21.480206388040234</v>
      </c>
      <c r="S94" s="172">
        <f t="shared" si="192"/>
        <v>129.48708446692288</v>
      </c>
      <c r="T94" s="172">
        <f t="shared" si="193"/>
        <v>15</v>
      </c>
      <c r="U94" s="217">
        <f t="shared" si="194"/>
        <v>21.716824881872817</v>
      </c>
      <c r="V94" s="217">
        <f t="shared" si="195"/>
        <v>3.6469155008246381</v>
      </c>
      <c r="W94" s="217">
        <f t="shared" si="196"/>
        <v>16.572352894661538</v>
      </c>
      <c r="X94" s="197">
        <f t="shared" si="197"/>
        <v>107.40658097560522</v>
      </c>
      <c r="Y94" s="443">
        <f t="shared" si="198"/>
        <v>48.973351083482363</v>
      </c>
      <c r="AA94" s="217">
        <f t="shared" si="199"/>
        <v>10</v>
      </c>
      <c r="AB94" s="173">
        <f t="shared" si="200"/>
        <v>7.6311122757611747</v>
      </c>
      <c r="AC94" s="173">
        <f t="shared" si="201"/>
        <v>4.0981583929023886</v>
      </c>
      <c r="AD94" s="173"/>
      <c r="AE94" s="173">
        <f t="shared" si="202"/>
        <v>7.6311122757611747</v>
      </c>
      <c r="AF94" s="545">
        <f t="shared" si="203"/>
        <v>233.25564290986031</v>
      </c>
      <c r="AG94" s="528">
        <f t="shared" si="204"/>
        <v>4.0981583929023877</v>
      </c>
      <c r="AI94" s="173">
        <f t="shared" si="205"/>
        <v>8.1636063968577783</v>
      </c>
      <c r="AJ94" s="173">
        <f t="shared" si="206"/>
        <v>21.716824881872817</v>
      </c>
      <c r="AK94" s="173">
        <f t="shared" si="207"/>
        <v>9.8791295421280125</v>
      </c>
      <c r="AM94" s="545">
        <f t="shared" si="208"/>
        <v>8900</v>
      </c>
      <c r="AN94" s="460">
        <f t="shared" si="209"/>
        <v>48.973351083482363</v>
      </c>
      <c r="AP94">
        <f t="shared" si="210"/>
        <v>8900</v>
      </c>
      <c r="AQ94">
        <f t="shared" si="211"/>
        <v>48.973351083482363</v>
      </c>
      <c r="AS94" s="5">
        <f t="shared" si="285"/>
        <v>20.419268395486171</v>
      </c>
      <c r="AT94" s="5">
        <f t="shared" si="212"/>
        <v>3.6469155008246381</v>
      </c>
      <c r="AU94" s="5">
        <f t="shared" si="286"/>
        <v>16.772352894661534</v>
      </c>
      <c r="AV94" s="5">
        <f t="shared" si="213"/>
        <v>16.572352894661538</v>
      </c>
      <c r="AW94" s="173">
        <f t="shared" si="287"/>
        <v>0.17860167319367895</v>
      </c>
      <c r="AX94" s="173">
        <f t="shared" si="214"/>
        <v>138.58101293801067</v>
      </c>
      <c r="AY94" s="173">
        <f t="shared" si="215"/>
        <v>8.9190818107581062</v>
      </c>
      <c r="AZ94" s="173">
        <f t="shared" si="288"/>
        <v>15.53758737484117</v>
      </c>
      <c r="BA94" s="460">
        <f t="shared" si="216"/>
        <v>216.38365304892855</v>
      </c>
      <c r="BB94" s="5">
        <f t="shared" si="217"/>
        <v>8.704040073464931</v>
      </c>
      <c r="BC94" s="5"/>
      <c r="BD94" s="173">
        <f t="shared" si="289"/>
        <v>5.2988114191539371</v>
      </c>
      <c r="BE94" s="173">
        <f t="shared" si="218"/>
        <v>11.363512889693071</v>
      </c>
      <c r="BF94" s="173"/>
      <c r="BG94" s="528">
        <f t="shared" si="219"/>
        <v>0.56154804911512324</v>
      </c>
      <c r="BH94" s="528">
        <f t="shared" si="220"/>
        <v>1.749368464597109</v>
      </c>
      <c r="BI94" s="528">
        <f t="shared" si="221"/>
        <v>8.7488648074075845E-2</v>
      </c>
      <c r="BJ94" s="528">
        <f t="shared" si="222"/>
        <v>3.7688387933860951E-2</v>
      </c>
      <c r="BK94">
        <f t="shared" si="223"/>
        <v>3.2156175358490212E-2</v>
      </c>
      <c r="BL94" s="460">
        <f t="shared" si="290"/>
        <v>119.64482343256606</v>
      </c>
      <c r="BM94" s="528">
        <f t="shared" si="224"/>
        <v>2.8851737705527527</v>
      </c>
      <c r="BN94" s="460">
        <f t="shared" si="291"/>
        <v>2885.1737705527526</v>
      </c>
      <c r="BO94" s="528">
        <f t="shared" si="225"/>
        <v>5.5291249999999996</v>
      </c>
      <c r="BP94" s="528"/>
      <c r="BR94" s="460">
        <f t="shared" si="292"/>
        <v>5529.125</v>
      </c>
      <c r="BS94" s="528">
        <f t="shared" si="226"/>
        <v>0.84232207367268475</v>
      </c>
      <c r="BT94" s="528">
        <f t="shared" si="227"/>
        <v>3.8738827558266169</v>
      </c>
      <c r="BU94" s="528">
        <f t="shared" si="228"/>
        <v>2.0024999999999999</v>
      </c>
      <c r="BV94" s="528">
        <f t="shared" si="229"/>
        <v>12.60727225057834</v>
      </c>
      <c r="BW94" s="528">
        <f t="shared" si="230"/>
        <v>2.3096835489668448E-2</v>
      </c>
      <c r="BX94" s="460">
        <f t="shared" si="293"/>
        <v>12630.369086068009</v>
      </c>
      <c r="BY94" s="173">
        <f t="shared" si="231"/>
        <v>21.164312680053328</v>
      </c>
      <c r="BZ94" s="5">
        <f t="shared" si="294"/>
        <v>133.5</v>
      </c>
      <c r="CA94" s="173">
        <f t="shared" si="295"/>
        <v>0.86315968879107263</v>
      </c>
      <c r="CB94" s="5">
        <f t="shared" si="296"/>
        <v>86.31596887910726</v>
      </c>
      <c r="CE94" s="562">
        <f t="shared" si="232"/>
        <v>-50</v>
      </c>
      <c r="CF94">
        <f t="shared" si="233"/>
        <v>-50</v>
      </c>
      <c r="CG94" s="173">
        <f t="shared" si="234"/>
        <v>0.82128696574730853</v>
      </c>
      <c r="CI94" s="170">
        <v>89</v>
      </c>
      <c r="CJ94" s="217">
        <f t="shared" si="297"/>
        <v>8.9</v>
      </c>
      <c r="CK94" s="217"/>
      <c r="CL94" s="217">
        <f t="shared" si="235"/>
        <v>133.5</v>
      </c>
      <c r="CM94" s="541">
        <f t="shared" si="236"/>
        <v>72</v>
      </c>
      <c r="CN94" s="172">
        <f t="shared" si="237"/>
        <v>15.4</v>
      </c>
      <c r="CO94" s="443">
        <f t="shared" si="238"/>
        <v>87.4</v>
      </c>
      <c r="CP94" s="443"/>
      <c r="CQ94" s="217">
        <f t="shared" si="239"/>
        <v>0.17620137299771166</v>
      </c>
      <c r="CR94" s="172">
        <f t="shared" si="240"/>
        <v>318.30425629290613</v>
      </c>
      <c r="CS94" s="172">
        <f t="shared" si="298"/>
        <v>133.5</v>
      </c>
      <c r="CT94" s="217">
        <f t="shared" si="241"/>
        <v>21.220283752860407</v>
      </c>
      <c r="CU94" s="217">
        <f t="shared" si="242"/>
        <v>15</v>
      </c>
      <c r="CV94" s="217">
        <f t="shared" si="243"/>
        <v>21.144164759725399</v>
      </c>
      <c r="CW94" s="172">
        <f t="shared" si="244"/>
        <v>130.46726133063567</v>
      </c>
      <c r="CX94" s="172">
        <f t="shared" si="245"/>
        <v>15</v>
      </c>
      <c r="CY94" s="217">
        <f t="shared" si="246"/>
        <v>21.045995670995673</v>
      </c>
      <c r="CZ94" s="217">
        <f t="shared" si="247"/>
        <v>3.5076659451659453</v>
      </c>
      <c r="DA94" s="217">
        <f t="shared" si="248"/>
        <v>16.399477146230392</v>
      </c>
      <c r="DB94" s="197">
        <f t="shared" si="249"/>
        <v>105.72082379862701</v>
      </c>
      <c r="DC94" s="443">
        <f t="shared" si="299"/>
        <v>50.233225099597014</v>
      </c>
      <c r="DE94" s="217">
        <f t="shared" si="250"/>
        <v>9.9999999999999982</v>
      </c>
      <c r="DF94" s="173">
        <f t="shared" si="251"/>
        <v>7.7922077922077895</v>
      </c>
      <c r="DG94" s="173">
        <f t="shared" si="252"/>
        <v>4.118993135011439</v>
      </c>
      <c r="DH94" s="173"/>
      <c r="DI94" s="173">
        <f t="shared" si="253"/>
        <v>7.7922077922077913</v>
      </c>
      <c r="DJ94" s="545">
        <f t="shared" si="300"/>
        <v>228.43333333333334</v>
      </c>
      <c r="DK94" s="528">
        <f t="shared" si="254"/>
        <v>4.1189931350114417</v>
      </c>
      <c r="DM94" s="173">
        <f t="shared" si="255"/>
        <v>8.0787787856003757</v>
      </c>
      <c r="DN94" s="173">
        <f t="shared" si="256"/>
        <v>21.045995670995673</v>
      </c>
      <c r="DO94" s="173">
        <f t="shared" si="257"/>
        <v>9.3822190155523497</v>
      </c>
      <c r="DQ94" s="545">
        <f t="shared" si="258"/>
        <v>8900</v>
      </c>
      <c r="DR94" s="460">
        <f t="shared" si="259"/>
        <v>50.233225099597014</v>
      </c>
      <c r="DT94">
        <f t="shared" si="260"/>
        <v>8900</v>
      </c>
      <c r="DU94">
        <f t="shared" si="261"/>
        <v>50.233225099597014</v>
      </c>
      <c r="DW94" s="5">
        <f t="shared" si="301"/>
        <v>19.907143091396339</v>
      </c>
      <c r="DX94" s="5">
        <f t="shared" si="262"/>
        <v>3.5076659451659453</v>
      </c>
      <c r="DY94" s="5">
        <f t="shared" si="302"/>
        <v>16.399477146230392</v>
      </c>
      <c r="DZ94" s="5">
        <f t="shared" si="263"/>
        <v>16.399477146230392</v>
      </c>
      <c r="EA94" s="173">
        <f t="shared" si="303"/>
        <v>0.17620137299771166</v>
      </c>
      <c r="EB94" s="173">
        <f t="shared" si="264"/>
        <v>133.5</v>
      </c>
      <c r="EC94" s="173">
        <f t="shared" si="265"/>
        <v>8.6688311688311703</v>
      </c>
      <c r="ED94" s="173">
        <f t="shared" si="304"/>
        <v>15.399999999999997</v>
      </c>
      <c r="EE94" s="460">
        <f t="shared" si="266"/>
        <v>208.12151274651274</v>
      </c>
      <c r="EF94" s="5">
        <f t="shared" si="267"/>
        <v>8.4464899653617191</v>
      </c>
      <c r="EG94" s="5"/>
      <c r="EH94" s="173">
        <f t="shared" si="305"/>
        <v>5.1005087092675465</v>
      </c>
      <c r="EI94" s="173">
        <f t="shared" si="268"/>
        <v>11.02857449996185</v>
      </c>
      <c r="EJ94" s="173"/>
      <c r="EK94" s="528">
        <f t="shared" si="269"/>
        <v>0.5203037818662819</v>
      </c>
      <c r="EL94" s="528">
        <f t="shared" si="270"/>
        <v>1.8480000000000001</v>
      </c>
      <c r="EM94" s="528">
        <f t="shared" si="271"/>
        <v>6.2791531374496272E-3</v>
      </c>
      <c r="EN94" s="528">
        <f t="shared" si="272"/>
        <v>3.8371955056179782E-2</v>
      </c>
      <c r="EO94">
        <f t="shared" si="273"/>
        <v>3.2399999999999998E-2</v>
      </c>
      <c r="EP94" s="460">
        <f t="shared" si="306"/>
        <v>38.679153137449632</v>
      </c>
      <c r="EQ94" s="528">
        <f t="shared" si="274"/>
        <v>2.9506027527649734</v>
      </c>
      <c r="ER94" s="460">
        <f t="shared" si="307"/>
        <v>2950.6027527649735</v>
      </c>
      <c r="ES94" s="528">
        <f t="shared" si="308"/>
        <v>5.5291249999999996</v>
      </c>
      <c r="ET94" s="528"/>
      <c r="EV94" s="460">
        <f t="shared" si="309"/>
        <v>5529.125</v>
      </c>
      <c r="EW94" s="528">
        <f t="shared" si="275"/>
        <v>0.78045567279942274</v>
      </c>
      <c r="EX94" s="528">
        <f t="shared" si="276"/>
        <v>3.6488836650362635</v>
      </c>
      <c r="EY94" s="528">
        <f t="shared" si="277"/>
        <v>1.8170687138586994</v>
      </c>
      <c r="EZ94" s="528">
        <f t="shared" si="278"/>
        <v>11.321020977628942</v>
      </c>
      <c r="FA94" s="528">
        <f t="shared" si="279"/>
        <v>2.2250000000000002E-2</v>
      </c>
      <c r="FB94" s="460">
        <f t="shared" si="310"/>
        <v>11343.270977628941</v>
      </c>
      <c r="FC94" s="173">
        <f t="shared" si="311"/>
        <v>19.822998730393913</v>
      </c>
      <c r="FD94" s="5">
        <f t="shared" si="312"/>
        <v>133.5</v>
      </c>
      <c r="FE94" s="173">
        <f t="shared" si="313"/>
        <v>0.8707108594630929</v>
      </c>
      <c r="FF94" s="5">
        <f t="shared" si="314"/>
        <v>87.071085946309296</v>
      </c>
      <c r="FI94" s="562">
        <f t="shared" si="280"/>
        <v>-50</v>
      </c>
      <c r="FJ94">
        <f t="shared" si="281"/>
        <v>-50</v>
      </c>
      <c r="FL94">
        <f t="shared" si="282"/>
        <v>0.82379862700228834</v>
      </c>
    </row>
    <row r="95" spans="5:168">
      <c r="E95" s="170">
        <v>90</v>
      </c>
      <c r="F95" s="217">
        <f t="shared" si="283"/>
        <v>9</v>
      </c>
      <c r="G95" s="217"/>
      <c r="H95" s="217">
        <f t="shared" si="183"/>
        <v>135</v>
      </c>
      <c r="I95" s="541">
        <f t="shared" si="184"/>
        <v>71.452098074999583</v>
      </c>
      <c r="J95" s="172">
        <f t="shared" si="185"/>
        <v>15.728741155000252</v>
      </c>
      <c r="K95" s="172">
        <f t="shared" si="186"/>
        <v>87.72874115500025</v>
      </c>
      <c r="L95" s="443"/>
      <c r="M95" s="217">
        <f t="shared" si="187"/>
        <v>0.1804057972946872</v>
      </c>
      <c r="N95" s="172">
        <f t="shared" si="188"/>
        <v>323.41945158490597</v>
      </c>
      <c r="O95" s="172">
        <f t="shared" si="284"/>
        <v>135</v>
      </c>
      <c r="P95" s="217">
        <f t="shared" si="189"/>
        <v>21.561296772327065</v>
      </c>
      <c r="Q95" s="217">
        <f t="shared" si="190"/>
        <v>15</v>
      </c>
      <c r="R95" s="217">
        <f t="shared" si="191"/>
        <v>21.483954535997476</v>
      </c>
      <c r="S95" s="172">
        <f t="shared" si="192"/>
        <v>127.24985242531859</v>
      </c>
      <c r="T95" s="172">
        <f t="shared" si="193"/>
        <v>15</v>
      </c>
      <c r="U95" s="217">
        <f t="shared" si="194"/>
        <v>21.962087994992746</v>
      </c>
      <c r="V95" s="217">
        <f t="shared" si="195"/>
        <v>3.6884159183581051</v>
      </c>
      <c r="W95" s="217">
        <f t="shared" si="196"/>
        <v>16.755635644504874</v>
      </c>
      <c r="X95" s="197">
        <f t="shared" si="197"/>
        <v>107.42532089327788</v>
      </c>
      <c r="Y95" s="443">
        <f t="shared" si="198"/>
        <v>48.440103772988103</v>
      </c>
      <c r="AA95" s="217">
        <f t="shared" si="199"/>
        <v>10</v>
      </c>
      <c r="AB95" s="173">
        <f t="shared" si="200"/>
        <v>7.6293454649326051</v>
      </c>
      <c r="AC95" s="173">
        <f t="shared" si="201"/>
        <v>4.0979244238802979</v>
      </c>
      <c r="AD95" s="173"/>
      <c r="AE95" s="173">
        <f t="shared" si="202"/>
        <v>7.6293454649326051</v>
      </c>
      <c r="AF95" s="545">
        <f t="shared" si="203"/>
        <v>235.93111732500378</v>
      </c>
      <c r="AG95" s="528">
        <f t="shared" si="204"/>
        <v>4.097924423880297</v>
      </c>
      <c r="AI95" s="173">
        <f t="shared" si="205"/>
        <v>8.2102917526898391</v>
      </c>
      <c r="AJ95" s="173">
        <f t="shared" si="206"/>
        <v>21.962087994992746</v>
      </c>
      <c r="AK95" s="173">
        <f t="shared" si="207"/>
        <v>10.060805922216849</v>
      </c>
      <c r="AM95" s="545">
        <f t="shared" si="208"/>
        <v>9000</v>
      </c>
      <c r="AN95" s="460">
        <f t="shared" si="209"/>
        <v>48.440103772988103</v>
      </c>
      <c r="AP95">
        <f t="shared" si="210"/>
        <v>9000</v>
      </c>
      <c r="AQ95">
        <f t="shared" si="211"/>
        <v>48.440103772988103</v>
      </c>
      <c r="AS95" s="5">
        <f t="shared" si="285"/>
        <v>20.64405156286298</v>
      </c>
      <c r="AT95" s="5">
        <f t="shared" si="212"/>
        <v>3.6884159183581051</v>
      </c>
      <c r="AU95" s="5">
        <f t="shared" si="286"/>
        <v>16.955635644504873</v>
      </c>
      <c r="AV95" s="5">
        <f t="shared" si="213"/>
        <v>16.755635644504874</v>
      </c>
      <c r="AW95" s="173">
        <f t="shared" si="287"/>
        <v>0.17866724984320784</v>
      </c>
      <c r="AX95" s="173">
        <f t="shared" si="214"/>
        <v>140.18565327577966</v>
      </c>
      <c r="AY95" s="173">
        <f t="shared" si="215"/>
        <v>9.019091066056431</v>
      </c>
      <c r="AZ95" s="173">
        <f t="shared" si="288"/>
        <v>15.543212974461671</v>
      </c>
      <c r="BA95" s="460">
        <f t="shared" si="216"/>
        <v>221.30495510148629</v>
      </c>
      <c r="BB95" s="5">
        <f t="shared" si="217"/>
        <v>8.8987776958141698</v>
      </c>
      <c r="BC95" s="5"/>
      <c r="BD95" s="173">
        <f t="shared" si="289"/>
        <v>5.3596382292289082</v>
      </c>
      <c r="BE95" s="173">
        <f t="shared" si="218"/>
        <v>11.49139015749282</v>
      </c>
      <c r="BF95" s="173"/>
      <c r="BG95" s="528">
        <f t="shared" si="219"/>
        <v>0.5745144389642397</v>
      </c>
      <c r="BH95" s="528">
        <f t="shared" si="220"/>
        <v>1.7499347757655495</v>
      </c>
      <c r="BI95" s="528">
        <f t="shared" si="221"/>
        <v>8.652867613876758E-2</v>
      </c>
      <c r="BJ95" s="528">
        <f t="shared" si="222"/>
        <v>3.7281112194498339E-2</v>
      </c>
      <c r="BK95">
        <f t="shared" si="223"/>
        <v>3.2153444133749813E-2</v>
      </c>
      <c r="BL95" s="460">
        <f t="shared" si="290"/>
        <v>118.68212027251739</v>
      </c>
      <c r="BM95" s="528">
        <f t="shared" si="224"/>
        <v>2.9147223192161724</v>
      </c>
      <c r="BN95" s="460">
        <f t="shared" si="291"/>
        <v>2914.7223192161723</v>
      </c>
      <c r="BO95" s="528">
        <f t="shared" si="225"/>
        <v>5.5912499999999996</v>
      </c>
      <c r="BP95" s="528"/>
      <c r="BR95" s="460">
        <f t="shared" si="292"/>
        <v>5591.25</v>
      </c>
      <c r="BS95" s="528">
        <f t="shared" si="226"/>
        <v>0.86177165844635961</v>
      </c>
      <c r="BT95" s="528">
        <f t="shared" si="227"/>
        <v>3.9615614325516852</v>
      </c>
      <c r="BU95" s="528">
        <f t="shared" si="228"/>
        <v>2.0249999999999999</v>
      </c>
      <c r="BV95" s="528">
        <f t="shared" si="229"/>
        <v>13.036147601131276</v>
      </c>
      <c r="BW95" s="528">
        <f t="shared" si="230"/>
        <v>2.3364275545963278E-2</v>
      </c>
      <c r="BX95" s="460">
        <f t="shared" si="293"/>
        <v>13059.511876677239</v>
      </c>
      <c r="BY95" s="173">
        <f t="shared" si="231"/>
        <v>21.684166316165928</v>
      </c>
      <c r="BZ95" s="5">
        <f t="shared" si="294"/>
        <v>135</v>
      </c>
      <c r="CA95" s="173">
        <f t="shared" si="295"/>
        <v>0.86160588637648017</v>
      </c>
      <c r="CB95" s="5">
        <f t="shared" si="296"/>
        <v>86.160588637648019</v>
      </c>
      <c r="CE95" s="562">
        <f t="shared" si="232"/>
        <v>-50</v>
      </c>
      <c r="CF95">
        <f t="shared" si="233"/>
        <v>-50</v>
      </c>
      <c r="CG95" s="173">
        <f t="shared" si="234"/>
        <v>0.82131487309458606</v>
      </c>
      <c r="CI95" s="170">
        <v>90</v>
      </c>
      <c r="CJ95" s="217">
        <f t="shared" si="297"/>
        <v>9</v>
      </c>
      <c r="CK95" s="217"/>
      <c r="CL95" s="217">
        <f t="shared" si="235"/>
        <v>135</v>
      </c>
      <c r="CM95" s="541">
        <f t="shared" si="236"/>
        <v>72</v>
      </c>
      <c r="CN95" s="172">
        <f t="shared" si="237"/>
        <v>15.4</v>
      </c>
      <c r="CO95" s="443">
        <f t="shared" si="238"/>
        <v>87.4</v>
      </c>
      <c r="CP95" s="443"/>
      <c r="CQ95" s="217">
        <f t="shared" si="239"/>
        <v>0.17620137299771166</v>
      </c>
      <c r="CR95" s="172">
        <f t="shared" si="240"/>
        <v>318.30425629290613</v>
      </c>
      <c r="CS95" s="172">
        <f t="shared" si="298"/>
        <v>135</v>
      </c>
      <c r="CT95" s="217">
        <f t="shared" si="241"/>
        <v>21.220283752860407</v>
      </c>
      <c r="CU95" s="217">
        <f t="shared" si="242"/>
        <v>15</v>
      </c>
      <c r="CV95" s="217">
        <f t="shared" si="243"/>
        <v>21.144164759725399</v>
      </c>
      <c r="CW95" s="172">
        <f t="shared" si="244"/>
        <v>128.22390860542382</v>
      </c>
      <c r="CX95" s="172">
        <f t="shared" si="245"/>
        <v>15</v>
      </c>
      <c r="CY95" s="217">
        <f t="shared" si="246"/>
        <v>21.282467532467535</v>
      </c>
      <c r="CZ95" s="217">
        <f t="shared" si="247"/>
        <v>3.5470779220779227</v>
      </c>
      <c r="DA95" s="217">
        <f t="shared" si="248"/>
        <v>16.583740934390288</v>
      </c>
      <c r="DB95" s="197">
        <f t="shared" si="249"/>
        <v>105.72082379862701</v>
      </c>
      <c r="DC95" s="443">
        <f t="shared" si="299"/>
        <v>49.675078154045941</v>
      </c>
      <c r="DE95" s="217">
        <f t="shared" si="250"/>
        <v>9.9999999999999982</v>
      </c>
      <c r="DF95" s="173">
        <f t="shared" si="251"/>
        <v>7.7922077922077895</v>
      </c>
      <c r="DG95" s="173">
        <f t="shared" si="252"/>
        <v>4.118993135011439</v>
      </c>
      <c r="DH95" s="173"/>
      <c r="DI95" s="173">
        <f t="shared" si="253"/>
        <v>7.7922077922077913</v>
      </c>
      <c r="DJ95" s="545">
        <f t="shared" si="300"/>
        <v>231</v>
      </c>
      <c r="DK95" s="528">
        <f t="shared" si="254"/>
        <v>4.1189931350114417</v>
      </c>
      <c r="DM95" s="173">
        <f t="shared" si="255"/>
        <v>8.1240384046359608</v>
      </c>
      <c r="DN95" s="173">
        <f t="shared" si="256"/>
        <v>21.282467532467535</v>
      </c>
      <c r="DO95" s="173">
        <f t="shared" si="257"/>
        <v>9.55738335738336</v>
      </c>
      <c r="DQ95" s="545">
        <f t="shared" si="258"/>
        <v>9000</v>
      </c>
      <c r="DR95" s="460">
        <f t="shared" si="259"/>
        <v>49.675078154045941</v>
      </c>
      <c r="DT95">
        <f t="shared" si="260"/>
        <v>9000</v>
      </c>
      <c r="DU95">
        <f t="shared" si="261"/>
        <v>49.675078154045941</v>
      </c>
      <c r="DW95" s="5">
        <f t="shared" si="301"/>
        <v>20.130818856468206</v>
      </c>
      <c r="DX95" s="5">
        <f t="shared" si="262"/>
        <v>3.5470779220779227</v>
      </c>
      <c r="DY95" s="5">
        <f t="shared" si="302"/>
        <v>16.583740934390285</v>
      </c>
      <c r="DZ95" s="5">
        <f t="shared" si="263"/>
        <v>16.583740934390288</v>
      </c>
      <c r="EA95" s="173">
        <f t="shared" si="303"/>
        <v>0.17620137299771171</v>
      </c>
      <c r="EB95" s="173">
        <f t="shared" si="264"/>
        <v>135.00000000000003</v>
      </c>
      <c r="EC95" s="173">
        <f t="shared" si="265"/>
        <v>8.7662337662337677</v>
      </c>
      <c r="ED95" s="173">
        <f t="shared" si="304"/>
        <v>15.4</v>
      </c>
      <c r="EE95" s="460">
        <f t="shared" si="266"/>
        <v>212.82467532467535</v>
      </c>
      <c r="EF95" s="5">
        <f t="shared" si="267"/>
        <v>8.6373650699949405</v>
      </c>
      <c r="EG95" s="5"/>
      <c r="EH95" s="173">
        <f t="shared" si="305"/>
        <v>5.1578177958885316</v>
      </c>
      <c r="EI95" s="173">
        <f t="shared" si="268"/>
        <v>11.152491067377152</v>
      </c>
      <c r="EJ95" s="173"/>
      <c r="EK95" s="528">
        <f t="shared" si="269"/>
        <v>0.53206168831168865</v>
      </c>
      <c r="EL95" s="528">
        <f t="shared" si="270"/>
        <v>1.8480000000000003</v>
      </c>
      <c r="EM95" s="528">
        <f t="shared" si="271"/>
        <v>6.2093847692557425E-3</v>
      </c>
      <c r="EN95" s="528">
        <f t="shared" si="272"/>
        <v>3.7945600000000003E-2</v>
      </c>
      <c r="EO95">
        <f t="shared" si="273"/>
        <v>3.2399999999999998E-2</v>
      </c>
      <c r="EP95" s="460">
        <f t="shared" si="306"/>
        <v>38.60938476925574</v>
      </c>
      <c r="EQ95" s="528">
        <f t="shared" si="274"/>
        <v>2.9765641962650835</v>
      </c>
      <c r="ER95" s="460">
        <f t="shared" si="307"/>
        <v>2976.5641962650834</v>
      </c>
      <c r="ES95" s="528">
        <f t="shared" si="308"/>
        <v>5.5912499999999996</v>
      </c>
      <c r="ET95" s="528"/>
      <c r="EV95" s="460">
        <f t="shared" si="309"/>
        <v>5591.25</v>
      </c>
      <c r="EW95" s="528">
        <f t="shared" si="275"/>
        <v>0.79809253246753287</v>
      </c>
      <c r="EX95" s="528">
        <f t="shared" si="276"/>
        <v>3.7313417102378148</v>
      </c>
      <c r="EY95" s="528">
        <f t="shared" si="277"/>
        <v>1.8170687138587012</v>
      </c>
      <c r="EZ95" s="528">
        <f t="shared" si="278"/>
        <v>11.657841176471916</v>
      </c>
      <c r="FA95" s="528">
        <f t="shared" si="279"/>
        <v>2.2500000000000006E-2</v>
      </c>
      <c r="FB95" s="460">
        <f t="shared" si="310"/>
        <v>11680.341176471917</v>
      </c>
      <c r="FC95" s="173">
        <f t="shared" si="311"/>
        <v>20.248155372736999</v>
      </c>
      <c r="FD95" s="5">
        <f t="shared" si="312"/>
        <v>135</v>
      </c>
      <c r="FE95" s="173">
        <f t="shared" si="313"/>
        <v>0.86957554938979487</v>
      </c>
      <c r="FF95" s="5">
        <f t="shared" si="314"/>
        <v>86.957554938979484</v>
      </c>
      <c r="FI95" s="562">
        <f t="shared" si="280"/>
        <v>-50</v>
      </c>
      <c r="FJ95">
        <f t="shared" si="281"/>
        <v>-50</v>
      </c>
      <c r="FL95">
        <f t="shared" si="282"/>
        <v>0.82379862700228834</v>
      </c>
    </row>
    <row r="96" spans="5:168">
      <c r="E96" s="170">
        <v>91</v>
      </c>
      <c r="F96" s="217">
        <f t="shared" si="283"/>
        <v>9.1</v>
      </c>
      <c r="G96" s="217"/>
      <c r="H96" s="217">
        <f t="shared" si="183"/>
        <v>136.5</v>
      </c>
      <c r="I96" s="541">
        <f t="shared" si="184"/>
        <v>71.446028685450216</v>
      </c>
      <c r="J96" s="172">
        <f t="shared" si="185"/>
        <v>15.732382788729876</v>
      </c>
      <c r="K96" s="172">
        <f t="shared" si="186"/>
        <v>87.732382788729879</v>
      </c>
      <c r="L96" s="443"/>
      <c r="M96" s="217">
        <f t="shared" si="187"/>
        <v>0.1804525942970813</v>
      </c>
      <c r="N96" s="172">
        <f t="shared" si="188"/>
        <v>323.47586662339569</v>
      </c>
      <c r="O96" s="172">
        <f t="shared" si="284"/>
        <v>136.5</v>
      </c>
      <c r="P96" s="217">
        <f t="shared" si="189"/>
        <v>21.565057774893045</v>
      </c>
      <c r="Q96" s="217">
        <f t="shared" si="190"/>
        <v>15</v>
      </c>
      <c r="R96" s="217">
        <f t="shared" si="191"/>
        <v>21.487702047521971</v>
      </c>
      <c r="S96" s="172">
        <f t="shared" si="192"/>
        <v>125.06205519770232</v>
      </c>
      <c r="T96" s="217">
        <f t="shared" si="193"/>
        <v>15</v>
      </c>
      <c r="U96" s="217">
        <f t="shared" si="194"/>
        <v>22.207379186796423</v>
      </c>
      <c r="V96" s="217">
        <f t="shared" si="195"/>
        <v>3.7299281029993305</v>
      </c>
      <c r="W96" s="217">
        <f t="shared" si="196"/>
        <v>16.938854960512405</v>
      </c>
      <c r="X96" s="197">
        <f t="shared" si="197"/>
        <v>107.44405763298612</v>
      </c>
      <c r="Y96" s="443">
        <f t="shared" si="198"/>
        <v>47.918462564712819</v>
      </c>
      <c r="AA96" s="217">
        <f t="shared" si="199"/>
        <v>9.9999999999999982</v>
      </c>
      <c r="AB96" s="173">
        <f t="shared" si="200"/>
        <v>7.6275794716845908</v>
      </c>
      <c r="AC96" s="173">
        <f t="shared" si="201"/>
        <v>4.0976904417793039</v>
      </c>
      <c r="AD96" s="173"/>
      <c r="AE96" s="173">
        <f t="shared" si="202"/>
        <v>7.6275794716845926</v>
      </c>
      <c r="AF96" s="545">
        <f t="shared" si="203"/>
        <v>238.60780562906973</v>
      </c>
      <c r="AG96" s="528">
        <f t="shared" si="204"/>
        <v>4.0976904417793056</v>
      </c>
      <c r="AI96" s="173">
        <f t="shared" si="205"/>
        <v>8.2567341456027759</v>
      </c>
      <c r="AJ96" s="173">
        <f t="shared" si="206"/>
        <v>22.207379186796423</v>
      </c>
      <c r="AK96" s="173">
        <f t="shared" si="207"/>
        <v>10.242503101330684</v>
      </c>
      <c r="AM96" s="545">
        <f t="shared" si="208"/>
        <v>9100</v>
      </c>
      <c r="AN96" s="460">
        <f t="shared" si="209"/>
        <v>47.918462564712819</v>
      </c>
      <c r="AP96">
        <f t="shared" si="210"/>
        <v>9100</v>
      </c>
      <c r="AQ96">
        <f t="shared" si="211"/>
        <v>47.918462564712819</v>
      </c>
      <c r="AS96" s="5">
        <f t="shared" si="285"/>
        <v>20.868783063511735</v>
      </c>
      <c r="AT96" s="5">
        <f t="shared" si="212"/>
        <v>3.7299281029993305</v>
      </c>
      <c r="AU96" s="5">
        <f t="shared" si="286"/>
        <v>17.138854960512404</v>
      </c>
      <c r="AV96" s="5">
        <f t="shared" si="213"/>
        <v>16.938854960512405</v>
      </c>
      <c r="AW96" s="173">
        <f t="shared" si="287"/>
        <v>0.17873242017264374</v>
      </c>
      <c r="AX96" s="173">
        <f t="shared" si="214"/>
        <v>141.79102504786982</v>
      </c>
      <c r="AY96" s="173">
        <f t="shared" si="215"/>
        <v>9.1191002795243516</v>
      </c>
      <c r="AZ96" s="173">
        <f t="shared" si="288"/>
        <v>15.548795462447265</v>
      </c>
      <c r="BA96" s="460">
        <f t="shared" si="216"/>
        <v>226.28230491529268</v>
      </c>
      <c r="BB96" s="5">
        <f t="shared" si="217"/>
        <v>9.0956525162109561</v>
      </c>
      <c r="BC96" s="5"/>
      <c r="BD96" s="173">
        <f t="shared" si="289"/>
        <v>5.4204875194802034</v>
      </c>
      <c r="BE96" s="173">
        <f t="shared" si="218"/>
        <v>11.619274726356446</v>
      </c>
      <c r="BF96" s="173"/>
      <c r="BG96" s="528">
        <f t="shared" si="219"/>
        <v>0.58763369897681295</v>
      </c>
      <c r="BH96" s="528">
        <f t="shared" si="220"/>
        <v>1.7504970393048174</v>
      </c>
      <c r="BI96" s="528">
        <f t="shared" si="221"/>
        <v>8.5589596274028623E-2</v>
      </c>
      <c r="BJ96" s="528">
        <f t="shared" si="222"/>
        <v>3.6882701623584771E-2</v>
      </c>
      <c r="BK96">
        <f t="shared" si="223"/>
        <v>3.2150712908452596E-2</v>
      </c>
      <c r="BL96" s="460">
        <f t="shared" si="290"/>
        <v>117.74030918248121</v>
      </c>
      <c r="BM96" s="528">
        <f t="shared" si="224"/>
        <v>2.944838027145229</v>
      </c>
      <c r="BN96" s="460">
        <f t="shared" si="291"/>
        <v>2944.8380271452288</v>
      </c>
      <c r="BO96" s="528">
        <f t="shared" si="225"/>
        <v>5.6533749999999987</v>
      </c>
      <c r="BP96" s="528"/>
      <c r="BR96" s="460">
        <f t="shared" si="292"/>
        <v>5653.3749999999991</v>
      </c>
      <c r="BS96" s="528">
        <f t="shared" si="226"/>
        <v>0.88145054846521942</v>
      </c>
      <c r="BT96" s="528">
        <f t="shared" si="227"/>
        <v>4.0502263549963695</v>
      </c>
      <c r="BU96" s="528">
        <f t="shared" si="228"/>
        <v>2.0474999999999999</v>
      </c>
      <c r="BV96" s="528">
        <f t="shared" si="229"/>
        <v>13.481816341895223</v>
      </c>
      <c r="BW96" s="528">
        <f t="shared" si="230"/>
        <v>2.3631837507978301E-2</v>
      </c>
      <c r="BX96" s="460">
        <f t="shared" si="293"/>
        <v>13505.448179403202</v>
      </c>
      <c r="BY96" s="173">
        <f t="shared" si="231"/>
        <v>22.221401515730914</v>
      </c>
      <c r="BZ96" s="5">
        <f t="shared" si="294"/>
        <v>136.5</v>
      </c>
      <c r="CA96" s="173">
        <f t="shared" si="295"/>
        <v>0.85999744644688925</v>
      </c>
      <c r="CB96" s="5">
        <f t="shared" si="296"/>
        <v>85.999744644688931</v>
      </c>
      <c r="CE96" s="562">
        <f t="shared" si="232"/>
        <v>-50</v>
      </c>
      <c r="CF96">
        <f t="shared" si="233"/>
        <v>-50</v>
      </c>
      <c r="CG96" s="173">
        <f t="shared" si="234"/>
        <v>0.82134216709357177</v>
      </c>
      <c r="CI96" s="170">
        <v>91</v>
      </c>
      <c r="CJ96" s="217">
        <f t="shared" si="297"/>
        <v>9.1</v>
      </c>
      <c r="CK96" s="217"/>
      <c r="CL96" s="217">
        <f t="shared" si="235"/>
        <v>136.5</v>
      </c>
      <c r="CM96" s="541">
        <f t="shared" si="236"/>
        <v>72</v>
      </c>
      <c r="CN96" s="172">
        <f t="shared" si="237"/>
        <v>15.4</v>
      </c>
      <c r="CO96" s="443">
        <f t="shared" si="238"/>
        <v>87.4</v>
      </c>
      <c r="CP96" s="443"/>
      <c r="CQ96" s="217">
        <f t="shared" si="239"/>
        <v>0.17620137299771166</v>
      </c>
      <c r="CR96" s="172">
        <f t="shared" si="240"/>
        <v>318.30425629290613</v>
      </c>
      <c r="CS96" s="172">
        <f t="shared" si="298"/>
        <v>136.5</v>
      </c>
      <c r="CT96" s="217">
        <f t="shared" si="241"/>
        <v>21.220283752860407</v>
      </c>
      <c r="CU96" s="217">
        <f t="shared" si="242"/>
        <v>15</v>
      </c>
      <c r="CV96" s="217">
        <f t="shared" si="243"/>
        <v>21.144164759725399</v>
      </c>
      <c r="CW96" s="172">
        <f t="shared" si="244"/>
        <v>126.02999185310198</v>
      </c>
      <c r="CX96" s="217">
        <f t="shared" si="245"/>
        <v>15</v>
      </c>
      <c r="CY96" s="217">
        <f t="shared" si="246"/>
        <v>21.518939393939394</v>
      </c>
      <c r="CZ96" s="217">
        <f t="shared" si="247"/>
        <v>3.5864898989898992</v>
      </c>
      <c r="DA96" s="217">
        <f t="shared" si="248"/>
        <v>16.768004722550181</v>
      </c>
      <c r="DB96" s="197">
        <f t="shared" si="249"/>
        <v>105.72082379862701</v>
      </c>
      <c r="DC96" s="443">
        <f t="shared" si="299"/>
        <v>49.129198174331144</v>
      </c>
      <c r="DE96" s="217">
        <f t="shared" si="250"/>
        <v>9.9999999999999982</v>
      </c>
      <c r="DF96" s="173">
        <f t="shared" si="251"/>
        <v>7.7922077922077895</v>
      </c>
      <c r="DG96" s="173">
        <f t="shared" si="252"/>
        <v>4.118993135011439</v>
      </c>
      <c r="DH96" s="173"/>
      <c r="DI96" s="173">
        <f t="shared" si="253"/>
        <v>7.7922077922077913</v>
      </c>
      <c r="DJ96" s="545">
        <f t="shared" si="300"/>
        <v>233.56666666666666</v>
      </c>
      <c r="DK96" s="528">
        <f t="shared" si="254"/>
        <v>4.1189931350114417</v>
      </c>
      <c r="DM96" s="173">
        <f t="shared" si="255"/>
        <v>8.1690472720711647</v>
      </c>
      <c r="DN96" s="173">
        <f t="shared" si="256"/>
        <v>21.518939393939394</v>
      </c>
      <c r="DO96" s="173">
        <f t="shared" si="257"/>
        <v>9.7325476992143667</v>
      </c>
      <c r="DQ96" s="545">
        <f t="shared" si="258"/>
        <v>9100</v>
      </c>
      <c r="DR96" s="460">
        <f t="shared" si="259"/>
        <v>49.129198174331144</v>
      </c>
      <c r="DT96">
        <f t="shared" si="260"/>
        <v>9100</v>
      </c>
      <c r="DU96">
        <f t="shared" si="261"/>
        <v>49.129198174331144</v>
      </c>
      <c r="DW96" s="5">
        <f t="shared" si="301"/>
        <v>20.354494621540081</v>
      </c>
      <c r="DX96" s="5">
        <f t="shared" si="262"/>
        <v>3.5864898989898992</v>
      </c>
      <c r="DY96" s="5">
        <f t="shared" si="302"/>
        <v>16.768004722550181</v>
      </c>
      <c r="DZ96" s="5">
        <f t="shared" si="263"/>
        <v>16.768004722550181</v>
      </c>
      <c r="EA96" s="173">
        <f t="shared" si="303"/>
        <v>0.17620137299771163</v>
      </c>
      <c r="EB96" s="173">
        <f t="shared" si="264"/>
        <v>136.49999999999997</v>
      </c>
      <c r="EC96" s="173">
        <f t="shared" si="265"/>
        <v>8.8636363636363633</v>
      </c>
      <c r="ED96" s="173">
        <f t="shared" si="304"/>
        <v>15.399999999999997</v>
      </c>
      <c r="EE96" s="460">
        <f t="shared" si="266"/>
        <v>217.58038720538721</v>
      </c>
      <c r="EF96" s="5">
        <f t="shared" si="267"/>
        <v>8.8303728573614961</v>
      </c>
      <c r="EG96" s="5"/>
      <c r="EH96" s="173">
        <f t="shared" si="305"/>
        <v>5.2151268825095132</v>
      </c>
      <c r="EI96" s="173">
        <f t="shared" si="268"/>
        <v>11.276407634792454</v>
      </c>
      <c r="EJ96" s="173"/>
      <c r="EK96" s="528">
        <f t="shared" si="269"/>
        <v>0.54395096801346787</v>
      </c>
      <c r="EL96" s="528">
        <f t="shared" si="270"/>
        <v>1.8479999999999996</v>
      </c>
      <c r="EM96" s="528">
        <f t="shared" si="271"/>
        <v>6.1411497717913932E-3</v>
      </c>
      <c r="EN96" s="528">
        <f t="shared" si="272"/>
        <v>3.7528615384615389E-2</v>
      </c>
      <c r="EO96">
        <f t="shared" si="273"/>
        <v>3.2399999999999998E-2</v>
      </c>
      <c r="EP96" s="460">
        <f t="shared" si="306"/>
        <v>38.541149771791389</v>
      </c>
      <c r="EQ96" s="528">
        <f t="shared" si="274"/>
        <v>3.0030039882338166</v>
      </c>
      <c r="ER96" s="460">
        <f t="shared" si="307"/>
        <v>3003.0039882338165</v>
      </c>
      <c r="ES96" s="528">
        <f t="shared" si="308"/>
        <v>5.6533749999999987</v>
      </c>
      <c r="ET96" s="528"/>
      <c r="EV96" s="460">
        <f t="shared" si="309"/>
        <v>5653.3749999999991</v>
      </c>
      <c r="EW96" s="528">
        <f t="shared" si="275"/>
        <v>0.81592645202020175</v>
      </c>
      <c r="EX96" s="528">
        <f t="shared" si="276"/>
        <v>3.8147210743801665</v>
      </c>
      <c r="EY96" s="528">
        <f t="shared" si="277"/>
        <v>1.8170687138586996</v>
      </c>
      <c r="EZ96" s="528">
        <f t="shared" si="278"/>
        <v>12.007137296166654</v>
      </c>
      <c r="FA96" s="528">
        <f t="shared" si="279"/>
        <v>2.2749999999999996E-2</v>
      </c>
      <c r="FB96" s="460">
        <f t="shared" si="310"/>
        <v>12029.887296166655</v>
      </c>
      <c r="FC96" s="173">
        <f t="shared" si="311"/>
        <v>20.686266284400467</v>
      </c>
      <c r="FD96" s="5">
        <f t="shared" si="312"/>
        <v>136.5</v>
      </c>
      <c r="FE96" s="173">
        <f t="shared" si="313"/>
        <v>0.86839647780059637</v>
      </c>
      <c r="FF96" s="5">
        <f t="shared" si="314"/>
        <v>86.839647780059636</v>
      </c>
      <c r="FI96" s="562">
        <f t="shared" si="280"/>
        <v>-50</v>
      </c>
      <c r="FJ96">
        <f t="shared" si="281"/>
        <v>-50</v>
      </c>
      <c r="FL96">
        <f t="shared" si="282"/>
        <v>0.82379862700228834</v>
      </c>
    </row>
    <row r="97" spans="5:168" ht="13">
      <c r="E97" s="170">
        <v>92</v>
      </c>
      <c r="F97" s="217">
        <f t="shared" si="283"/>
        <v>9.2000000000000011</v>
      </c>
      <c r="G97" s="217"/>
      <c r="H97" s="217">
        <f t="shared" si="183"/>
        <v>138.00000000000003</v>
      </c>
      <c r="I97" s="541">
        <f t="shared" si="184"/>
        <v>71.439959294703939</v>
      </c>
      <c r="J97" s="172">
        <f t="shared" si="185"/>
        <v>15.736024423177637</v>
      </c>
      <c r="K97" s="172">
        <f t="shared" si="186"/>
        <v>87.736024423177639</v>
      </c>
      <c r="L97" s="443"/>
      <c r="M97" s="217">
        <f t="shared" si="187"/>
        <v>0.18049939390843864</v>
      </c>
      <c r="N97" s="172">
        <f t="shared" si="188"/>
        <v>323.53227208025811</v>
      </c>
      <c r="O97" s="172">
        <f t="shared" si="284"/>
        <v>138.00000000000003</v>
      </c>
      <c r="P97" s="217">
        <f t="shared" si="189"/>
        <v>21.568818138683874</v>
      </c>
      <c r="Q97" s="217">
        <f t="shared" si="190"/>
        <v>15</v>
      </c>
      <c r="R97" s="217">
        <f t="shared" si="191"/>
        <v>21.491448922562647</v>
      </c>
      <c r="S97" s="172">
        <f t="shared" si="192"/>
        <v>122.92208317772639</v>
      </c>
      <c r="T97" s="532">
        <f t="shared" si="193"/>
        <v>15</v>
      </c>
      <c r="U97" s="217">
        <f t="shared" si="194"/>
        <v>22.452698464440431</v>
      </c>
      <c r="V97" s="217">
        <f t="shared" si="195"/>
        <v>3.7714520589495777</v>
      </c>
      <c r="W97" s="217">
        <f t="shared" si="196"/>
        <v>17.122010892181727</v>
      </c>
      <c r="X97" s="197">
        <f t="shared" si="197"/>
        <v>107.46279119433717</v>
      </c>
      <c r="Y97" s="443">
        <f t="shared" si="198"/>
        <v>47.408052547690708</v>
      </c>
      <c r="AA97" s="217">
        <f t="shared" si="199"/>
        <v>10</v>
      </c>
      <c r="AB97" s="173">
        <f t="shared" si="200"/>
        <v>7.6258142954615433</v>
      </c>
      <c r="AC97" s="173">
        <f t="shared" si="201"/>
        <v>4.0974564465998764</v>
      </c>
      <c r="AD97" s="173"/>
      <c r="AE97" s="173">
        <f t="shared" si="202"/>
        <v>7.6258142954615433</v>
      </c>
      <c r="AF97" s="545">
        <f t="shared" si="203"/>
        <v>241.28570782205713</v>
      </c>
      <c r="AG97" s="528">
        <f t="shared" si="204"/>
        <v>4.0974564465998764</v>
      </c>
      <c r="AI97" s="173">
        <f t="shared" si="205"/>
        <v>8.3029376526290317</v>
      </c>
      <c r="AJ97" s="173">
        <f t="shared" si="206"/>
        <v>22.452698464440431</v>
      </c>
      <c r="AK97" s="173">
        <f t="shared" si="207"/>
        <v>10.424221084770688</v>
      </c>
      <c r="AM97" s="545">
        <f t="shared" si="208"/>
        <v>9200.0000000000018</v>
      </c>
      <c r="AN97" s="460">
        <f t="shared" si="209"/>
        <v>47.408052547690708</v>
      </c>
      <c r="AP97">
        <f t="shared" si="210"/>
        <v>9200.0000000000018</v>
      </c>
      <c r="AQ97">
        <f t="shared" si="211"/>
        <v>47.408052547690708</v>
      </c>
      <c r="AS97" s="5">
        <f t="shared" si="285"/>
        <v>21.093462951131308</v>
      </c>
      <c r="AT97" s="5">
        <f t="shared" si="212"/>
        <v>3.7714520589495777</v>
      </c>
      <c r="AU97" s="5">
        <f t="shared" si="286"/>
        <v>17.32201089218173</v>
      </c>
      <c r="AV97" s="5">
        <f t="shared" si="213"/>
        <v>17.122010892181727</v>
      </c>
      <c r="AW97" s="173">
        <f t="shared" si="287"/>
        <v>0.17879719739177788</v>
      </c>
      <c r="AX97" s="173">
        <f t="shared" si="214"/>
        <v>143.39712815378607</v>
      </c>
      <c r="AY97" s="173">
        <f t="shared" si="215"/>
        <v>9.2191094525579036</v>
      </c>
      <c r="AZ97" s="173">
        <f t="shared" si="288"/>
        <v>15.554336228647289</v>
      </c>
      <c r="BA97" s="460">
        <f t="shared" si="216"/>
        <v>231.31572628224077</v>
      </c>
      <c r="BB97" s="5">
        <f t="shared" si="217"/>
        <v>9.294663996020196</v>
      </c>
      <c r="BC97" s="5"/>
      <c r="BD97" s="173">
        <f t="shared" si="289"/>
        <v>5.4813592911848508</v>
      </c>
      <c r="BE97" s="173">
        <f t="shared" si="218"/>
        <v>11.747166598771953</v>
      </c>
      <c r="BF97" s="173"/>
      <c r="BG97" s="528">
        <f t="shared" si="219"/>
        <v>0.60090599358116981</v>
      </c>
      <c r="BH97" s="528">
        <f t="shared" si="220"/>
        <v>1.751055385090944</v>
      </c>
      <c r="BI97" s="528">
        <f t="shared" si="221"/>
        <v>8.4670733606205237E-2</v>
      </c>
      <c r="BJ97" s="528">
        <f t="shared" si="222"/>
        <v>3.6492869849858292E-2</v>
      </c>
      <c r="BK97">
        <f t="shared" si="223"/>
        <v>3.2147981682616775E-2</v>
      </c>
      <c r="BL97" s="460">
        <f t="shared" si="290"/>
        <v>116.81871528882201</v>
      </c>
      <c r="BM97" s="528">
        <f t="shared" si="224"/>
        <v>2.9755311062462311</v>
      </c>
      <c r="BN97" s="460">
        <f t="shared" si="291"/>
        <v>2975.531106246231</v>
      </c>
      <c r="BO97" s="528">
        <f t="shared" si="225"/>
        <v>5.7155000000000005</v>
      </c>
      <c r="BP97" s="528"/>
      <c r="BR97" s="460">
        <f t="shared" si="292"/>
        <v>5715.5000000000009</v>
      </c>
      <c r="BS97" s="528">
        <f t="shared" si="226"/>
        <v>0.90135899037175471</v>
      </c>
      <c r="BT97" s="528">
        <f t="shared" si="227"/>
        <v>4.1398776929791019</v>
      </c>
      <c r="BU97" s="528">
        <f t="shared" si="228"/>
        <v>2.0700000000000003</v>
      </c>
      <c r="BV97" s="528">
        <f t="shared" si="229"/>
        <v>13.945229815747355</v>
      </c>
      <c r="BW97" s="528">
        <f t="shared" si="230"/>
        <v>2.3899521358964344E-2</v>
      </c>
      <c r="BX97" s="460">
        <f t="shared" si="293"/>
        <v>13969.12933710632</v>
      </c>
      <c r="BY97" s="173">
        <f t="shared" si="231"/>
        <v>22.776979158641375</v>
      </c>
      <c r="BZ97" s="5">
        <f t="shared" si="294"/>
        <v>138.00000000000003</v>
      </c>
      <c r="CA97" s="173">
        <f t="shared" si="295"/>
        <v>0.85833183781760858</v>
      </c>
      <c r="CB97" s="5">
        <f t="shared" si="296"/>
        <v>85.833183781760852</v>
      </c>
      <c r="CE97" s="562">
        <f t="shared" si="232"/>
        <v>-50</v>
      </c>
      <c r="CF97">
        <f t="shared" si="233"/>
        <v>-50</v>
      </c>
      <c r="CG97" s="173">
        <f t="shared" si="234"/>
        <v>0.82136886774475348</v>
      </c>
      <c r="CI97" s="170">
        <v>92</v>
      </c>
      <c r="CJ97" s="217">
        <f t="shared" si="297"/>
        <v>9.2000000000000011</v>
      </c>
      <c r="CK97" s="217"/>
      <c r="CL97" s="217">
        <f t="shared" si="235"/>
        <v>138.00000000000003</v>
      </c>
      <c r="CM97" s="541">
        <f t="shared" si="236"/>
        <v>72</v>
      </c>
      <c r="CN97" s="172">
        <f t="shared" si="237"/>
        <v>15.4</v>
      </c>
      <c r="CO97" s="443">
        <f t="shared" si="238"/>
        <v>87.4</v>
      </c>
      <c r="CP97" s="443"/>
      <c r="CQ97" s="217">
        <f t="shared" si="239"/>
        <v>0.17620137299771166</v>
      </c>
      <c r="CR97" s="172">
        <f t="shared" si="240"/>
        <v>318.30425629290613</v>
      </c>
      <c r="CS97" s="172">
        <f t="shared" si="298"/>
        <v>138.00000000000003</v>
      </c>
      <c r="CT97" s="217">
        <f t="shared" si="241"/>
        <v>21.220283752860407</v>
      </c>
      <c r="CU97" s="217">
        <f t="shared" si="242"/>
        <v>15</v>
      </c>
      <c r="CV97" s="217">
        <f t="shared" si="243"/>
        <v>21.144164759725399</v>
      </c>
      <c r="CW97" s="172">
        <f t="shared" si="244"/>
        <v>123.88390143099549</v>
      </c>
      <c r="CX97" s="532">
        <f t="shared" si="245"/>
        <v>15</v>
      </c>
      <c r="CY97" s="217">
        <f t="shared" si="246"/>
        <v>21.755411255411261</v>
      </c>
      <c r="CZ97" s="217">
        <f t="shared" si="247"/>
        <v>3.6259018759018766</v>
      </c>
      <c r="DA97" s="217">
        <f t="shared" si="248"/>
        <v>16.952268510710073</v>
      </c>
      <c r="DB97" s="197">
        <f t="shared" si="249"/>
        <v>105.72082379862701</v>
      </c>
      <c r="DC97" s="443">
        <f t="shared" si="299"/>
        <v>48.595185150697105</v>
      </c>
      <c r="DE97" s="217">
        <f t="shared" si="250"/>
        <v>9.9999999999999982</v>
      </c>
      <c r="DF97" s="173">
        <f t="shared" si="251"/>
        <v>7.7922077922077895</v>
      </c>
      <c r="DG97" s="173">
        <f t="shared" si="252"/>
        <v>4.118993135011439</v>
      </c>
      <c r="DH97" s="173"/>
      <c r="DI97" s="173">
        <f t="shared" si="253"/>
        <v>7.7922077922077913</v>
      </c>
      <c r="DJ97" s="545">
        <f t="shared" si="300"/>
        <v>236.13333333333338</v>
      </c>
      <c r="DK97" s="528">
        <f t="shared" si="254"/>
        <v>4.1189931350114417</v>
      </c>
      <c r="DM97" s="173">
        <f t="shared" si="255"/>
        <v>8.2138095100061026</v>
      </c>
      <c r="DN97" s="173">
        <f t="shared" si="256"/>
        <v>21.755411255411261</v>
      </c>
      <c r="DO97" s="173">
        <f t="shared" si="257"/>
        <v>9.9077120410453769</v>
      </c>
      <c r="DQ97" s="545">
        <f t="shared" si="258"/>
        <v>9200.0000000000018</v>
      </c>
      <c r="DR97" s="460">
        <f t="shared" si="259"/>
        <v>48.595185150697105</v>
      </c>
      <c r="DT97">
        <f t="shared" si="260"/>
        <v>9200.0000000000018</v>
      </c>
      <c r="DU97">
        <f t="shared" si="261"/>
        <v>48.595185150697105</v>
      </c>
      <c r="DW97" s="5">
        <f t="shared" si="301"/>
        <v>20.578170386611951</v>
      </c>
      <c r="DX97" s="5">
        <f t="shared" si="262"/>
        <v>3.6259018759018766</v>
      </c>
      <c r="DY97" s="5">
        <f t="shared" si="302"/>
        <v>16.952268510710073</v>
      </c>
      <c r="DZ97" s="5">
        <f t="shared" si="263"/>
        <v>16.952268510710073</v>
      </c>
      <c r="EA97" s="173">
        <f t="shared" si="303"/>
        <v>0.17620137299771166</v>
      </c>
      <c r="EB97" s="173">
        <f t="shared" si="264"/>
        <v>138.00000000000003</v>
      </c>
      <c r="EC97" s="173">
        <f t="shared" si="265"/>
        <v>8.9610389610389625</v>
      </c>
      <c r="ED97" s="173">
        <f t="shared" si="304"/>
        <v>15.4</v>
      </c>
      <c r="EE97" s="460">
        <f t="shared" si="266"/>
        <v>222.38864838864848</v>
      </c>
      <c r="EF97" s="5">
        <f t="shared" si="267"/>
        <v>9.0255133274613843</v>
      </c>
      <c r="EG97" s="5"/>
      <c r="EH97" s="173">
        <f t="shared" si="305"/>
        <v>5.2724359691304983</v>
      </c>
      <c r="EI97" s="173">
        <f t="shared" si="268"/>
        <v>11.400324202207758</v>
      </c>
      <c r="EJ97" s="173"/>
      <c r="EK97" s="528">
        <f t="shared" si="269"/>
        <v>0.55597162097162112</v>
      </c>
      <c r="EL97" s="528">
        <f t="shared" si="270"/>
        <v>1.8480000000000001</v>
      </c>
      <c r="EM97" s="528">
        <f t="shared" si="271"/>
        <v>6.0743981438371383E-3</v>
      </c>
      <c r="EN97" s="528">
        <f t="shared" si="272"/>
        <v>3.7120695652173907E-2</v>
      </c>
      <c r="EO97">
        <f t="shared" si="273"/>
        <v>3.2399999999999998E-2</v>
      </c>
      <c r="EP97" s="460">
        <f t="shared" si="306"/>
        <v>38.474398143837135</v>
      </c>
      <c r="EQ97" s="528">
        <f t="shared" si="274"/>
        <v>3.0299292426013285</v>
      </c>
      <c r="ER97" s="460">
        <f t="shared" si="307"/>
        <v>3029.9292426013285</v>
      </c>
      <c r="ES97" s="528">
        <f t="shared" si="308"/>
        <v>5.7155000000000005</v>
      </c>
      <c r="ET97" s="528"/>
      <c r="EV97" s="460">
        <f t="shared" si="309"/>
        <v>5715.5000000000009</v>
      </c>
      <c r="EW97" s="528">
        <f t="shared" si="275"/>
        <v>0.83395743145743162</v>
      </c>
      <c r="EX97" s="528">
        <f t="shared" si="276"/>
        <v>3.8990217574633186</v>
      </c>
      <c r="EY97" s="528">
        <f t="shared" si="277"/>
        <v>1.8170687138587012</v>
      </c>
      <c r="EZ97" s="528">
        <f t="shared" si="278"/>
        <v>12.369547950027389</v>
      </c>
      <c r="FA97" s="528">
        <f t="shared" si="279"/>
        <v>2.3000000000000007E-2</v>
      </c>
      <c r="FB97" s="460">
        <f t="shared" si="310"/>
        <v>12392.547950027389</v>
      </c>
      <c r="FC97" s="173">
        <f t="shared" si="311"/>
        <v>21.137977192628718</v>
      </c>
      <c r="FD97" s="5">
        <f t="shared" si="312"/>
        <v>138.00000000000003</v>
      </c>
      <c r="FE97" s="173">
        <f t="shared" si="313"/>
        <v>0.86717201283109047</v>
      </c>
      <c r="FF97" s="5">
        <f t="shared" si="314"/>
        <v>86.717201283109048</v>
      </c>
      <c r="FI97" s="562">
        <f t="shared" si="280"/>
        <v>-50</v>
      </c>
      <c r="FJ97">
        <f t="shared" si="281"/>
        <v>-50</v>
      </c>
      <c r="FL97">
        <f t="shared" si="282"/>
        <v>0.82379862700228834</v>
      </c>
    </row>
    <row r="98" spans="5:168" ht="13">
      <c r="E98" s="170">
        <v>93</v>
      </c>
      <c r="F98" s="217">
        <f t="shared" si="283"/>
        <v>9.3000000000000007</v>
      </c>
      <c r="G98" s="217"/>
      <c r="H98" s="217">
        <f t="shared" si="183"/>
        <v>139.5</v>
      </c>
      <c r="I98" s="541">
        <f t="shared" si="184"/>
        <v>71.433889902799493</v>
      </c>
      <c r="J98" s="172">
        <f t="shared" si="185"/>
        <v>15.739666058320308</v>
      </c>
      <c r="K98" s="172">
        <f t="shared" si="186"/>
        <v>87.73966605832031</v>
      </c>
      <c r="L98" s="443"/>
      <c r="M98" s="217">
        <f t="shared" si="187"/>
        <v>0.18054619612889883</v>
      </c>
      <c r="N98" s="172">
        <f t="shared" si="188"/>
        <v>323.58866795472272</v>
      </c>
      <c r="O98" s="172">
        <f t="shared" si="284"/>
        <v>139.5</v>
      </c>
      <c r="P98" s="217">
        <f t="shared" si="189"/>
        <v>21.572577863648181</v>
      </c>
      <c r="Q98" s="217">
        <f t="shared" si="190"/>
        <v>15</v>
      </c>
      <c r="R98" s="217">
        <f t="shared" si="191"/>
        <v>21.495195161068338</v>
      </c>
      <c r="S98" s="172">
        <f t="shared" si="192"/>
        <v>120.82839604724417</v>
      </c>
      <c r="T98" s="532">
        <f t="shared" si="193"/>
        <v>15</v>
      </c>
      <c r="U98" s="217">
        <f t="shared" si="194"/>
        <v>22.698045835083775</v>
      </c>
      <c r="V98" s="217">
        <f t="shared" si="195"/>
        <v>3.8129877904119409</v>
      </c>
      <c r="W98" s="217">
        <f t="shared" si="196"/>
        <v>17.305103488966434</v>
      </c>
      <c r="X98" s="197">
        <f t="shared" si="197"/>
        <v>107.48152157694392</v>
      </c>
      <c r="Y98" s="443">
        <f t="shared" si="198"/>
        <v>46.908514786562051</v>
      </c>
      <c r="AA98" s="217">
        <f t="shared" si="199"/>
        <v>10</v>
      </c>
      <c r="AB98" s="173">
        <f t="shared" si="200"/>
        <v>7.6240499357078519</v>
      </c>
      <c r="AC98" s="173">
        <f t="shared" si="201"/>
        <v>4.0972224383424072</v>
      </c>
      <c r="AD98" s="173"/>
      <c r="AE98" s="173">
        <f t="shared" si="202"/>
        <v>7.6240499357078519</v>
      </c>
      <c r="AF98" s="545">
        <f t="shared" si="203"/>
        <v>243.9648239039648</v>
      </c>
      <c r="AG98" s="528">
        <f t="shared" si="204"/>
        <v>4.0972224383424072</v>
      </c>
      <c r="AI98" s="173">
        <f t="shared" si="205"/>
        <v>8.3489062398096667</v>
      </c>
      <c r="AJ98" s="173">
        <f t="shared" si="206"/>
        <v>22.698045835083775</v>
      </c>
      <c r="AK98" s="173">
        <f t="shared" si="207"/>
        <v>10.605959877839831</v>
      </c>
      <c r="AM98" s="545">
        <f t="shared" si="208"/>
        <v>9300</v>
      </c>
      <c r="AN98" s="460">
        <f t="shared" si="209"/>
        <v>46.908514786562051</v>
      </c>
      <c r="AP98">
        <f t="shared" si="210"/>
        <v>9300</v>
      </c>
      <c r="AQ98">
        <f t="shared" si="211"/>
        <v>46.908514786562051</v>
      </c>
      <c r="AS98" s="5">
        <f t="shared" si="285"/>
        <v>21.318091279378375</v>
      </c>
      <c r="AT98" s="5">
        <f t="shared" si="212"/>
        <v>3.8129877904119409</v>
      </c>
      <c r="AU98" s="5">
        <f t="shared" si="286"/>
        <v>17.505103488966434</v>
      </c>
      <c r="AV98" s="5">
        <f t="shared" si="213"/>
        <v>17.305103488966434</v>
      </c>
      <c r="AW98" s="173">
        <f t="shared" si="287"/>
        <v>0.17886159414751909</v>
      </c>
      <c r="AX98" s="173">
        <f t="shared" si="214"/>
        <v>145.00396249731799</v>
      </c>
      <c r="AY98" s="173">
        <f t="shared" si="215"/>
        <v>9.3191185864936177</v>
      </c>
      <c r="AZ98" s="173">
        <f t="shared" si="288"/>
        <v>15.559836603804472</v>
      </c>
      <c r="BA98" s="460">
        <f t="shared" si="216"/>
        <v>236.40524300554034</v>
      </c>
      <c r="BB98" s="5">
        <f t="shared" si="217"/>
        <v>9.4958115975547042</v>
      </c>
      <c r="BC98" s="5"/>
      <c r="BD98" s="173">
        <f t="shared" si="289"/>
        <v>5.5422535456839039</v>
      </c>
      <c r="BE98" s="173">
        <f t="shared" si="218"/>
        <v>11.875065777188022</v>
      </c>
      <c r="BF98" s="173"/>
      <c r="BG98" s="528">
        <f t="shared" si="219"/>
        <v>0.61433148729291609</v>
      </c>
      <c r="BH98" s="528">
        <f t="shared" si="220"/>
        <v>1.7516099374652569</v>
      </c>
      <c r="BI98" s="528">
        <f t="shared" si="221"/>
        <v>8.3771442019177883E-2</v>
      </c>
      <c r="BJ98" s="528">
        <f t="shared" si="222"/>
        <v>3.6111342704833571E-2</v>
      </c>
      <c r="BK98">
        <f t="shared" si="223"/>
        <v>3.2145250456259773E-2</v>
      </c>
      <c r="BL98" s="460">
        <f t="shared" si="290"/>
        <v>115.91669247543764</v>
      </c>
      <c r="BM98" s="528">
        <f t="shared" si="224"/>
        <v>3.006812079450869</v>
      </c>
      <c r="BN98" s="460">
        <f t="shared" si="291"/>
        <v>3006.8120794508691</v>
      </c>
      <c r="BO98" s="528">
        <f t="shared" si="225"/>
        <v>5.7776249999999996</v>
      </c>
      <c r="BP98" s="528"/>
      <c r="BR98" s="460">
        <f t="shared" si="292"/>
        <v>5777.625</v>
      </c>
      <c r="BS98" s="528">
        <f t="shared" si="226"/>
        <v>0.92149723093937408</v>
      </c>
      <c r="BT98" s="528">
        <f t="shared" si="227"/>
        <v>4.2305156163762643</v>
      </c>
      <c r="BU98" s="528">
        <f t="shared" si="228"/>
        <v>2.0924999999999998</v>
      </c>
      <c r="BV98" s="528">
        <f t="shared" si="229"/>
        <v>14.427413512102287</v>
      </c>
      <c r="BW98" s="528">
        <f t="shared" si="230"/>
        <v>2.4167327082886329E-2</v>
      </c>
      <c r="BX98" s="460">
        <f t="shared" si="293"/>
        <v>14451.580839185173</v>
      </c>
      <c r="BY98" s="173">
        <f t="shared" si="231"/>
        <v>23.351934611111478</v>
      </c>
      <c r="BZ98" s="5">
        <f t="shared" si="294"/>
        <v>139.5</v>
      </c>
      <c r="CA98" s="173">
        <f t="shared" si="295"/>
        <v>0.85660634203163977</v>
      </c>
      <c r="CB98" s="5">
        <f t="shared" si="296"/>
        <v>85.66063420316398</v>
      </c>
      <c r="CE98" s="562">
        <f t="shared" si="232"/>
        <v>-50</v>
      </c>
      <c r="CF98">
        <f t="shared" si="233"/>
        <v>-50</v>
      </c>
      <c r="CG98" s="173">
        <f t="shared" si="234"/>
        <v>0.82139499418838291</v>
      </c>
      <c r="CI98" s="170">
        <v>93</v>
      </c>
      <c r="CJ98" s="217">
        <f t="shared" si="297"/>
        <v>9.3000000000000007</v>
      </c>
      <c r="CK98" s="217"/>
      <c r="CL98" s="217">
        <f t="shared" si="235"/>
        <v>139.5</v>
      </c>
      <c r="CM98" s="541">
        <f t="shared" si="236"/>
        <v>72</v>
      </c>
      <c r="CN98" s="172">
        <f t="shared" si="237"/>
        <v>15.4</v>
      </c>
      <c r="CO98" s="443">
        <f t="shared" si="238"/>
        <v>87.4</v>
      </c>
      <c r="CP98" s="443"/>
      <c r="CQ98" s="217">
        <f t="shared" si="239"/>
        <v>0.17620137299771166</v>
      </c>
      <c r="CR98" s="172">
        <f t="shared" si="240"/>
        <v>318.30425629290613</v>
      </c>
      <c r="CS98" s="172">
        <f t="shared" si="298"/>
        <v>139.5</v>
      </c>
      <c r="CT98" s="217">
        <f t="shared" si="241"/>
        <v>21.220283752860407</v>
      </c>
      <c r="CU98" s="217">
        <f t="shared" si="242"/>
        <v>15</v>
      </c>
      <c r="CV98" s="217">
        <f t="shared" si="243"/>
        <v>21.144164759725399</v>
      </c>
      <c r="CW98" s="172">
        <f t="shared" si="244"/>
        <v>121.78409698627996</v>
      </c>
      <c r="CX98" s="532">
        <f t="shared" si="245"/>
        <v>15</v>
      </c>
      <c r="CY98" s="217">
        <f t="shared" si="246"/>
        <v>21.99188311688312</v>
      </c>
      <c r="CZ98" s="217">
        <f t="shared" si="247"/>
        <v>3.6653138528138531</v>
      </c>
      <c r="DA98" s="217">
        <f t="shared" si="248"/>
        <v>17.136532298869962</v>
      </c>
      <c r="DB98" s="197">
        <f t="shared" si="249"/>
        <v>105.72082379862701</v>
      </c>
      <c r="DC98" s="443">
        <f t="shared" si="299"/>
        <v>48.07265627810898</v>
      </c>
      <c r="DE98" s="217">
        <f t="shared" si="250"/>
        <v>9.9999999999999982</v>
      </c>
      <c r="DF98" s="173">
        <f t="shared" si="251"/>
        <v>7.7922077922077895</v>
      </c>
      <c r="DG98" s="173">
        <f t="shared" si="252"/>
        <v>4.118993135011439</v>
      </c>
      <c r="DH98" s="173"/>
      <c r="DI98" s="173">
        <f t="shared" si="253"/>
        <v>7.7922077922077913</v>
      </c>
      <c r="DJ98" s="545">
        <f t="shared" si="300"/>
        <v>238.70000000000002</v>
      </c>
      <c r="DK98" s="528">
        <f t="shared" si="254"/>
        <v>4.1189931350114417</v>
      </c>
      <c r="DM98" s="173">
        <f t="shared" si="255"/>
        <v>8.2583291288250322</v>
      </c>
      <c r="DN98" s="173">
        <f t="shared" si="256"/>
        <v>21.99188311688312</v>
      </c>
      <c r="DO98" s="173">
        <f t="shared" si="257"/>
        <v>10.082876382876384</v>
      </c>
      <c r="DQ98" s="545">
        <f t="shared" si="258"/>
        <v>9300</v>
      </c>
      <c r="DR98" s="460">
        <f t="shared" si="259"/>
        <v>48.07265627810898</v>
      </c>
      <c r="DT98">
        <f t="shared" si="260"/>
        <v>9300</v>
      </c>
      <c r="DU98">
        <f t="shared" si="261"/>
        <v>48.07265627810898</v>
      </c>
      <c r="DW98" s="5">
        <f t="shared" si="301"/>
        <v>20.801846151683815</v>
      </c>
      <c r="DX98" s="5">
        <f t="shared" si="262"/>
        <v>3.6653138528138531</v>
      </c>
      <c r="DY98" s="5">
        <f t="shared" si="302"/>
        <v>17.136532298869962</v>
      </c>
      <c r="DZ98" s="5">
        <f t="shared" si="263"/>
        <v>17.136532298869962</v>
      </c>
      <c r="EA98" s="173">
        <f t="shared" si="303"/>
        <v>0.17620137299771169</v>
      </c>
      <c r="EB98" s="173">
        <f t="shared" si="264"/>
        <v>139.50000000000003</v>
      </c>
      <c r="EC98" s="173">
        <f t="shared" si="265"/>
        <v>9.0584415584415598</v>
      </c>
      <c r="ED98" s="173">
        <f t="shared" si="304"/>
        <v>15.4</v>
      </c>
      <c r="EE98" s="460">
        <f t="shared" si="266"/>
        <v>227.24945887445892</v>
      </c>
      <c r="EF98" s="5">
        <f t="shared" si="267"/>
        <v>9.222786480294598</v>
      </c>
      <c r="EG98" s="5"/>
      <c r="EH98" s="173">
        <f t="shared" si="305"/>
        <v>5.3297450557514825</v>
      </c>
      <c r="EI98" s="173">
        <f t="shared" si="268"/>
        <v>11.524240769623058</v>
      </c>
      <c r="EJ98" s="173"/>
      <c r="EK98" s="528">
        <f t="shared" si="269"/>
        <v>0.5681236471861475</v>
      </c>
      <c r="EL98" s="528">
        <f t="shared" si="270"/>
        <v>1.8480000000000003</v>
      </c>
      <c r="EM98" s="528">
        <f t="shared" si="271"/>
        <v>6.0090820347636215E-3</v>
      </c>
      <c r="EN98" s="528">
        <f t="shared" si="272"/>
        <v>3.6721548387096785E-2</v>
      </c>
      <c r="EO98">
        <f t="shared" si="273"/>
        <v>3.2399999999999998E-2</v>
      </c>
      <c r="EP98" s="460">
        <f t="shared" si="306"/>
        <v>38.409082034763621</v>
      </c>
      <c r="EQ98" s="528">
        <f t="shared" si="274"/>
        <v>3.0573472895272693</v>
      </c>
      <c r="ER98" s="460">
        <f t="shared" si="307"/>
        <v>3057.3472895272694</v>
      </c>
      <c r="ES98" s="528">
        <f t="shared" si="308"/>
        <v>5.7776249999999996</v>
      </c>
      <c r="ET98" s="528"/>
      <c r="EV98" s="460">
        <f t="shared" si="309"/>
        <v>5777.625</v>
      </c>
      <c r="EW98" s="528">
        <f t="shared" si="275"/>
        <v>0.85218547077922113</v>
      </c>
      <c r="EX98" s="528">
        <f t="shared" si="276"/>
        <v>3.9842437594872671</v>
      </c>
      <c r="EY98" s="528">
        <f t="shared" si="277"/>
        <v>1.8170687138587023</v>
      </c>
      <c r="EZ98" s="528">
        <f t="shared" si="278"/>
        <v>12.745757157764325</v>
      </c>
      <c r="FA98" s="528">
        <f t="shared" si="279"/>
        <v>2.325000000000001E-2</v>
      </c>
      <c r="FB98" s="460">
        <f t="shared" si="310"/>
        <v>12769.007157764327</v>
      </c>
      <c r="FC98" s="173">
        <f t="shared" si="311"/>
        <v>21.603979447291596</v>
      </c>
      <c r="FD98" s="5">
        <f t="shared" si="312"/>
        <v>139.5</v>
      </c>
      <c r="FE98" s="173">
        <f t="shared" si="313"/>
        <v>0.86590039847923317</v>
      </c>
      <c r="FF98" s="5">
        <f t="shared" si="314"/>
        <v>86.590039847923322</v>
      </c>
      <c r="FI98" s="562">
        <f t="shared" si="280"/>
        <v>-50</v>
      </c>
      <c r="FJ98">
        <f t="shared" si="281"/>
        <v>-50</v>
      </c>
      <c r="FL98">
        <f t="shared" si="282"/>
        <v>0.82379862700228834</v>
      </c>
    </row>
    <row r="99" spans="5:168" ht="13">
      <c r="E99" s="170">
        <v>94</v>
      </c>
      <c r="F99" s="217">
        <f t="shared" si="283"/>
        <v>9.3999999999999986</v>
      </c>
      <c r="G99" s="217"/>
      <c r="H99" s="217">
        <f t="shared" si="183"/>
        <v>140.99999999999997</v>
      </c>
      <c r="I99" s="541">
        <f t="shared" si="184"/>
        <v>71.427820509773923</v>
      </c>
      <c r="J99" s="172">
        <f t="shared" si="185"/>
        <v>15.743307694135643</v>
      </c>
      <c r="K99" s="172">
        <f t="shared" si="186"/>
        <v>87.743307694135638</v>
      </c>
      <c r="L99" s="443"/>
      <c r="M99" s="217">
        <f t="shared" si="187"/>
        <v>0.18059300095860503</v>
      </c>
      <c r="N99" s="172">
        <f t="shared" si="188"/>
        <v>323.64505424601811</v>
      </c>
      <c r="O99" s="172">
        <f t="shared" si="284"/>
        <v>140.99999999999997</v>
      </c>
      <c r="P99" s="217">
        <f t="shared" si="189"/>
        <v>21.576336949734539</v>
      </c>
      <c r="Q99" s="217">
        <f t="shared" si="190"/>
        <v>15</v>
      </c>
      <c r="R99" s="217">
        <f t="shared" si="191"/>
        <v>21.498940762987782</v>
      </c>
      <c r="S99" s="172">
        <f t="shared" si="192"/>
        <v>118.77951909249353</v>
      </c>
      <c r="T99" s="532">
        <f t="shared" si="193"/>
        <v>15</v>
      </c>
      <c r="U99" s="217">
        <f t="shared" si="194"/>
        <v>22.943421305887885</v>
      </c>
      <c r="V99" s="217">
        <f t="shared" si="195"/>
        <v>3.8545353015913553</v>
      </c>
      <c r="W99" s="217">
        <f t="shared" si="196"/>
        <v>17.488132800276226</v>
      </c>
      <c r="X99" s="197">
        <f t="shared" si="197"/>
        <v>107.50024878042416</v>
      </c>
      <c r="Y99" s="443">
        <f t="shared" si="198"/>
        <v>46.419505479607139</v>
      </c>
      <c r="AA99" s="217">
        <f t="shared" si="199"/>
        <v>10</v>
      </c>
      <c r="AB99" s="173">
        <f t="shared" si="200"/>
        <v>7.6222863918679442</v>
      </c>
      <c r="AC99" s="173">
        <f t="shared" si="201"/>
        <v>4.0969884170072284</v>
      </c>
      <c r="AD99" s="173"/>
      <c r="AE99" s="173">
        <f t="shared" si="202"/>
        <v>7.6222863918679442</v>
      </c>
      <c r="AF99" s="545">
        <f t="shared" si="203"/>
        <v>246.6451538747917</v>
      </c>
      <c r="AG99" s="528">
        <f t="shared" si="204"/>
        <v>4.0969884170072275</v>
      </c>
      <c r="AI99" s="173">
        <f t="shared" si="205"/>
        <v>8.3946437663683025</v>
      </c>
      <c r="AJ99" s="173">
        <f t="shared" si="206"/>
        <v>22.943421305887885</v>
      </c>
      <c r="AK99" s="173">
        <f t="shared" si="207"/>
        <v>10.787719485842876</v>
      </c>
      <c r="AM99" s="545">
        <f t="shared" si="208"/>
        <v>9399.9999999999982</v>
      </c>
      <c r="AN99" s="460">
        <f t="shared" si="209"/>
        <v>46.419505479607139</v>
      </c>
      <c r="AP99">
        <f t="shared" si="210"/>
        <v>9399.9999999999982</v>
      </c>
      <c r="AQ99">
        <f t="shared" si="211"/>
        <v>46.419505479607139</v>
      </c>
      <c r="AS99" s="5">
        <f t="shared" si="285"/>
        <v>21.542668101867577</v>
      </c>
      <c r="AT99" s="5">
        <f t="shared" si="212"/>
        <v>3.8545353015913553</v>
      </c>
      <c r="AU99" s="5">
        <f t="shared" si="286"/>
        <v>17.688132800276222</v>
      </c>
      <c r="AV99" s="5">
        <f t="shared" si="213"/>
        <v>17.488132800276226</v>
      </c>
      <c r="AW99" s="173">
        <f t="shared" si="287"/>
        <v>0.17892562255355909</v>
      </c>
      <c r="AX99" s="173">
        <f t="shared" si="214"/>
        <v>146.61152798631346</v>
      </c>
      <c r="AY99" s="173">
        <f t="shared" si="215"/>
        <v>9.4191276826116503</v>
      </c>
      <c r="AZ99" s="173">
        <f t="shared" si="288"/>
        <v>15.565297862663897</v>
      </c>
      <c r="BA99" s="460">
        <f t="shared" si="216"/>
        <v>241.55087889972486</v>
      </c>
      <c r="BB99" s="5">
        <f t="shared" si="217"/>
        <v>9.6990947840744166</v>
      </c>
      <c r="BC99" s="5"/>
      <c r="BD99" s="173">
        <f t="shared" si="289"/>
        <v>5.6031702843791633</v>
      </c>
      <c r="BE99" s="173">
        <f t="shared" si="218"/>
        <v>12.002972264016124</v>
      </c>
      <c r="BF99" s="173"/>
      <c r="BG99" s="528">
        <f t="shared" si="219"/>
        <v>0.62791034471499341</v>
      </c>
      <c r="BH99" s="528">
        <f t="shared" si="220"/>
        <v>1.7521608155260711</v>
      </c>
      <c r="BI99" s="528">
        <f t="shared" si="221"/>
        <v>8.2891102638746134E-2</v>
      </c>
      <c r="BJ99" s="528">
        <f t="shared" si="222"/>
        <v>3.5737857579676166E-2</v>
      </c>
      <c r="BK99">
        <f t="shared" si="223"/>
        <v>3.2142519229398266E-2</v>
      </c>
      <c r="BL99" s="460">
        <f t="shared" si="290"/>
        <v>115.03362186814439</v>
      </c>
      <c r="BM99" s="528">
        <f t="shared" si="224"/>
        <v>3.0386917908384188</v>
      </c>
      <c r="BN99" s="460">
        <f t="shared" si="291"/>
        <v>3038.6917908384189</v>
      </c>
      <c r="BO99" s="528">
        <f t="shared" si="225"/>
        <v>5.8397499999999978</v>
      </c>
      <c r="BP99" s="528"/>
      <c r="BR99" s="460">
        <f t="shared" si="292"/>
        <v>5839.7499999999982</v>
      </c>
      <c r="BS99" s="528">
        <f t="shared" si="226"/>
        <v>0.94186551707249011</v>
      </c>
      <c r="BT99" s="528">
        <f t="shared" si="227"/>
        <v>4.3221402951222103</v>
      </c>
      <c r="BU99" s="528">
        <f t="shared" si="228"/>
        <v>2.1149999999999993</v>
      </c>
      <c r="BV99" s="528">
        <f t="shared" si="229"/>
        <v>14.929474414321435</v>
      </c>
      <c r="BW99" s="528">
        <f t="shared" si="230"/>
        <v>2.4435254664385581E-2</v>
      </c>
      <c r="BX99" s="460">
        <f t="shared" si="293"/>
        <v>14953.909668985822</v>
      </c>
      <c r="BY99" s="173">
        <f t="shared" si="231"/>
        <v>23.947385081692381</v>
      </c>
      <c r="BZ99" s="5">
        <f t="shared" si="294"/>
        <v>140.99999999999997</v>
      </c>
      <c r="CA99" s="173">
        <f t="shared" si="295"/>
        <v>0.85481803746187235</v>
      </c>
      <c r="CB99" s="5">
        <f t="shared" si="296"/>
        <v>85.481803746187239</v>
      </c>
      <c r="CE99" s="562">
        <f t="shared" si="232"/>
        <v>-50</v>
      </c>
      <c r="CF99">
        <f t="shared" si="233"/>
        <v>-50</v>
      </c>
      <c r="CG99" s="173">
        <f t="shared" si="234"/>
        <v>0.82142056475023295</v>
      </c>
      <c r="CI99" s="170">
        <v>94</v>
      </c>
      <c r="CJ99" s="217">
        <f t="shared" si="297"/>
        <v>9.3999999999999986</v>
      </c>
      <c r="CK99" s="217"/>
      <c r="CL99" s="217">
        <f t="shared" si="235"/>
        <v>140.99999999999997</v>
      </c>
      <c r="CM99" s="541">
        <f t="shared" si="236"/>
        <v>72</v>
      </c>
      <c r="CN99" s="172">
        <f t="shared" si="237"/>
        <v>15.4</v>
      </c>
      <c r="CO99" s="443">
        <f t="shared" si="238"/>
        <v>87.4</v>
      </c>
      <c r="CP99" s="443"/>
      <c r="CQ99" s="217">
        <f t="shared" si="239"/>
        <v>0.17620137299771166</v>
      </c>
      <c r="CR99" s="172">
        <f t="shared" si="240"/>
        <v>318.30425629290613</v>
      </c>
      <c r="CS99" s="172">
        <f t="shared" si="298"/>
        <v>140.99999999999997</v>
      </c>
      <c r="CT99" s="217">
        <f t="shared" si="241"/>
        <v>21.220283752860407</v>
      </c>
      <c r="CU99" s="217">
        <f t="shared" si="242"/>
        <v>15</v>
      </c>
      <c r="CV99" s="217">
        <f t="shared" si="243"/>
        <v>21.144164759725399</v>
      </c>
      <c r="CW99" s="172">
        <f t="shared" si="244"/>
        <v>119.72910377208137</v>
      </c>
      <c r="CX99" s="532">
        <f t="shared" si="245"/>
        <v>15</v>
      </c>
      <c r="CY99" s="217">
        <f t="shared" si="246"/>
        <v>22.228354978354975</v>
      </c>
      <c r="CZ99" s="217">
        <f t="shared" si="247"/>
        <v>3.7047258297258292</v>
      </c>
      <c r="DA99" s="217">
        <f t="shared" si="248"/>
        <v>17.320796087029851</v>
      </c>
      <c r="DB99" s="197">
        <f t="shared" si="249"/>
        <v>105.72082379862701</v>
      </c>
      <c r="DC99" s="443">
        <f t="shared" si="299"/>
        <v>47.561245041107824</v>
      </c>
      <c r="DE99" s="217">
        <f t="shared" si="250"/>
        <v>9.9999999999999982</v>
      </c>
      <c r="DF99" s="173">
        <f t="shared" si="251"/>
        <v>7.7922077922077895</v>
      </c>
      <c r="DG99" s="173">
        <f t="shared" si="252"/>
        <v>4.118993135011439</v>
      </c>
      <c r="DH99" s="173"/>
      <c r="DI99" s="173">
        <f t="shared" si="253"/>
        <v>7.7922077922077913</v>
      </c>
      <c r="DJ99" s="545">
        <f t="shared" si="300"/>
        <v>241.26666666666662</v>
      </c>
      <c r="DK99" s="528">
        <f t="shared" si="254"/>
        <v>4.1189931350114417</v>
      </c>
      <c r="DM99" s="173">
        <f t="shared" si="255"/>
        <v>8.3026100313897278</v>
      </c>
      <c r="DN99" s="173">
        <f t="shared" si="256"/>
        <v>22.228354978354975</v>
      </c>
      <c r="DO99" s="173">
        <f t="shared" si="257"/>
        <v>10.258040724707387</v>
      </c>
      <c r="DQ99" s="545">
        <f t="shared" si="258"/>
        <v>9399.9999999999982</v>
      </c>
      <c r="DR99" s="460">
        <f t="shared" si="259"/>
        <v>47.561245041107824</v>
      </c>
      <c r="DT99">
        <f t="shared" si="260"/>
        <v>9399.9999999999982</v>
      </c>
      <c r="DU99">
        <f t="shared" si="261"/>
        <v>47.561245041107824</v>
      </c>
      <c r="DW99" s="5">
        <f t="shared" si="301"/>
        <v>21.025521916755679</v>
      </c>
      <c r="DX99" s="5">
        <f t="shared" si="262"/>
        <v>3.7047258297258292</v>
      </c>
      <c r="DY99" s="5">
        <f t="shared" si="302"/>
        <v>17.320796087029848</v>
      </c>
      <c r="DZ99" s="5">
        <f t="shared" si="263"/>
        <v>17.320796087029851</v>
      </c>
      <c r="EA99" s="173">
        <f t="shared" si="303"/>
        <v>0.17620137299771169</v>
      </c>
      <c r="EB99" s="173">
        <f t="shared" si="264"/>
        <v>140.99999999999997</v>
      </c>
      <c r="EC99" s="173">
        <f t="shared" si="265"/>
        <v>9.1558441558441555</v>
      </c>
      <c r="ED99" s="173">
        <f t="shared" si="304"/>
        <v>15.399999999999997</v>
      </c>
      <c r="EE99" s="460">
        <f t="shared" si="266"/>
        <v>232.16281866281861</v>
      </c>
      <c r="EF99" s="5">
        <f t="shared" si="267"/>
        <v>9.4221923158611425</v>
      </c>
      <c r="EG99" s="5"/>
      <c r="EH99" s="173">
        <f t="shared" si="305"/>
        <v>5.387054142372464</v>
      </c>
      <c r="EI99" s="173">
        <f t="shared" si="268"/>
        <v>11.648157337038356</v>
      </c>
      <c r="EJ99" s="173"/>
      <c r="EK99" s="528">
        <f t="shared" si="269"/>
        <v>0.58040704665704645</v>
      </c>
      <c r="EL99" s="528">
        <f t="shared" si="270"/>
        <v>1.8480000000000001</v>
      </c>
      <c r="EM99" s="528">
        <f t="shared" si="271"/>
        <v>5.9451556301384776E-3</v>
      </c>
      <c r="EN99" s="528">
        <f t="shared" si="272"/>
        <v>3.6330893617021291E-2</v>
      </c>
      <c r="EO99">
        <f t="shared" si="273"/>
        <v>3.2399999999999998E-2</v>
      </c>
      <c r="EP99" s="460">
        <f t="shared" si="306"/>
        <v>38.345155630138478</v>
      </c>
      <c r="EQ99" s="528">
        <f t="shared" si="274"/>
        <v>3.0852656806931118</v>
      </c>
      <c r="ER99" s="460">
        <f t="shared" si="307"/>
        <v>3085.2656806931118</v>
      </c>
      <c r="ES99" s="528">
        <f t="shared" si="308"/>
        <v>5.8397499999999978</v>
      </c>
      <c r="ET99" s="528"/>
      <c r="EV99" s="460">
        <f t="shared" si="309"/>
        <v>5839.7499999999982</v>
      </c>
      <c r="EW99" s="528">
        <f t="shared" si="275"/>
        <v>0.87061056998556963</v>
      </c>
      <c r="EX99" s="528">
        <f t="shared" si="276"/>
        <v>4.070387080452015</v>
      </c>
      <c r="EY99" s="528">
        <f t="shared" si="277"/>
        <v>1.8170687138587012</v>
      </c>
      <c r="EZ99" s="528">
        <f t="shared" si="278"/>
        <v>13.136498431008512</v>
      </c>
      <c r="FA99" s="528">
        <f t="shared" si="279"/>
        <v>2.3499999999999997E-2</v>
      </c>
      <c r="FB99" s="460">
        <f t="shared" si="310"/>
        <v>13159.998431008513</v>
      </c>
      <c r="FC99" s="173">
        <f t="shared" si="311"/>
        <v>22.085014111701618</v>
      </c>
      <c r="FD99" s="5">
        <f t="shared" si="312"/>
        <v>140.99999999999997</v>
      </c>
      <c r="FE99" s="173">
        <f t="shared" si="313"/>
        <v>0.86457974552723182</v>
      </c>
      <c r="FF99" s="5">
        <f t="shared" si="314"/>
        <v>86.457974552723186</v>
      </c>
      <c r="FI99" s="562">
        <f t="shared" si="280"/>
        <v>-50</v>
      </c>
      <c r="FJ99">
        <f t="shared" si="281"/>
        <v>-50</v>
      </c>
      <c r="FL99">
        <f t="shared" si="282"/>
        <v>0.82379862700228834</v>
      </c>
    </row>
    <row r="100" spans="5:168" ht="13">
      <c r="E100" s="170">
        <v>95</v>
      </c>
      <c r="F100" s="217">
        <f t="shared" si="283"/>
        <v>9.5</v>
      </c>
      <c r="G100" s="217"/>
      <c r="H100" s="217">
        <f t="shared" si="183"/>
        <v>142.5</v>
      </c>
      <c r="I100" s="541">
        <f t="shared" si="184"/>
        <v>71.421751115662772</v>
      </c>
      <c r="J100" s="172">
        <f t="shared" si="185"/>
        <v>15.746949330602341</v>
      </c>
      <c r="K100" s="172">
        <f t="shared" si="186"/>
        <v>87.746949330602348</v>
      </c>
      <c r="L100" s="443"/>
      <c r="M100" s="217">
        <f t="shared" si="187"/>
        <v>0.18063980839770336</v>
      </c>
      <c r="N100" s="172">
        <f t="shared" si="188"/>
        <v>323.70143095337107</v>
      </c>
      <c r="O100" s="172">
        <f t="shared" si="284"/>
        <v>142.5</v>
      </c>
      <c r="P100" s="217">
        <f t="shared" si="189"/>
        <v>21.580095396891405</v>
      </c>
      <c r="Q100" s="217">
        <f t="shared" si="190"/>
        <v>15</v>
      </c>
      <c r="R100" s="217">
        <f t="shared" si="191"/>
        <v>21.502685728269633</v>
      </c>
      <c r="S100" s="172">
        <f t="shared" si="192"/>
        <v>116.77403975300393</v>
      </c>
      <c r="T100" s="532">
        <f t="shared" si="193"/>
        <v>15</v>
      </c>
      <c r="U100" s="217">
        <f t="shared" si="194"/>
        <v>23.188824884016668</v>
      </c>
      <c r="V100" s="217">
        <f t="shared" si="195"/>
        <v>3.896094596694597</v>
      </c>
      <c r="W100" s="217">
        <f t="shared" si="196"/>
        <v>17.671098875476982</v>
      </c>
      <c r="X100" s="197">
        <f t="shared" si="197"/>
        <v>107.51897280440082</v>
      </c>
      <c r="Y100" s="443">
        <f t="shared" si="198"/>
        <v>45.940695169474054</v>
      </c>
      <c r="AA100" s="217">
        <f t="shared" si="199"/>
        <v>10</v>
      </c>
      <c r="AB100" s="173">
        <f t="shared" si="200"/>
        <v>7.6205236633862876</v>
      </c>
      <c r="AC100" s="173">
        <f t="shared" si="201"/>
        <v>4.0967543825946162</v>
      </c>
      <c r="AD100" s="173"/>
      <c r="AE100" s="173">
        <f t="shared" si="202"/>
        <v>7.6205236633862876</v>
      </c>
      <c r="AF100" s="545">
        <f t="shared" si="203"/>
        <v>249.32669773453708</v>
      </c>
      <c r="AG100" s="528">
        <f t="shared" si="204"/>
        <v>4.0967543825946162</v>
      </c>
      <c r="AI100" s="173">
        <f t="shared" si="205"/>
        <v>8.4401539886855659</v>
      </c>
      <c r="AJ100" s="173">
        <f t="shared" si="206"/>
        <v>23.188824884016668</v>
      </c>
      <c r="AK100" s="173">
        <f t="shared" si="207"/>
        <v>10.96949991408642</v>
      </c>
      <c r="AM100" s="545">
        <f t="shared" si="208"/>
        <v>9500</v>
      </c>
      <c r="AN100" s="460">
        <f t="shared" si="209"/>
        <v>45.940695169474054</v>
      </c>
      <c r="AP100">
        <f t="shared" si="210"/>
        <v>9500</v>
      </c>
      <c r="AQ100">
        <f t="shared" si="211"/>
        <v>45.940695169474054</v>
      </c>
      <c r="AS100" s="5">
        <f t="shared" si="285"/>
        <v>21.767193472171577</v>
      </c>
      <c r="AT100" s="5">
        <f t="shared" si="212"/>
        <v>3.896094596694597</v>
      </c>
      <c r="AU100" s="5">
        <f t="shared" si="286"/>
        <v>17.871098875476982</v>
      </c>
      <c r="AV100" s="5">
        <f t="shared" si="213"/>
        <v>17.671098875476982</v>
      </c>
      <c r="AW100" s="173">
        <f t="shared" si="287"/>
        <v>0.17898929421818144</v>
      </c>
      <c r="AX100" s="173">
        <f t="shared" si="214"/>
        <v>148.21982453246753</v>
      </c>
      <c r="AY100" s="173">
        <f t="shared" si="215"/>
        <v>9.5191367421387607</v>
      </c>
      <c r="AZ100" s="173">
        <f t="shared" si="288"/>
        <v>15.570721226887795</v>
      </c>
      <c r="BA100" s="460">
        <f t="shared" si="216"/>
        <v>246.75265779065782</v>
      </c>
      <c r="BB100" s="5">
        <f t="shared" si="217"/>
        <v>9.9045130197855329</v>
      </c>
      <c r="BC100" s="5"/>
      <c r="BD100" s="173">
        <f t="shared" si="289"/>
        <v>5.6641095087301334</v>
      </c>
      <c r="BE100" s="173">
        <f t="shared" si="218"/>
        <v>12.130886061632504</v>
      </c>
      <c r="BF100" s="173"/>
      <c r="BG100" s="528">
        <f t="shared" si="219"/>
        <v>0.64164273053774223</v>
      </c>
      <c r="BH100" s="528">
        <f t="shared" si="220"/>
        <v>1.7527081334021313</v>
      </c>
      <c r="BI100" s="528">
        <f t="shared" si="221"/>
        <v>8.2029122411867661E-2</v>
      </c>
      <c r="BJ100" s="528">
        <f t="shared" si="222"/>
        <v>3.5372162822326227E-2</v>
      </c>
      <c r="BK100">
        <f t="shared" si="223"/>
        <v>3.2139788002048246E-2</v>
      </c>
      <c r="BL100" s="460">
        <f t="shared" si="290"/>
        <v>114.16891041391591</v>
      </c>
      <c r="BM100" s="528">
        <f t="shared" si="224"/>
        <v>3.0711814162281632</v>
      </c>
      <c r="BN100" s="460">
        <f t="shared" si="291"/>
        <v>3071.181416228163</v>
      </c>
      <c r="BO100" s="528">
        <f t="shared" si="225"/>
        <v>5.9018749999999995</v>
      </c>
      <c r="BP100" s="528"/>
      <c r="BR100" s="460">
        <f t="shared" si="292"/>
        <v>5901.8749999999991</v>
      </c>
      <c r="BS100" s="528">
        <f t="shared" si="226"/>
        <v>0.9624640958066133</v>
      </c>
      <c r="BT100" s="528">
        <f t="shared" si="227"/>
        <v>4.4147518992092918</v>
      </c>
      <c r="BU100" s="528">
        <f t="shared" si="228"/>
        <v>2.1374999999999997</v>
      </c>
      <c r="BV100" s="528">
        <f t="shared" si="229"/>
        <v>15.452609238989874</v>
      </c>
      <c r="BW100" s="528">
        <f t="shared" si="230"/>
        <v>2.4703304088744587E-2</v>
      </c>
      <c r="BX100" s="460">
        <f t="shared" si="293"/>
        <v>15477.312543078619</v>
      </c>
      <c r="BY100" s="173">
        <f t="shared" si="231"/>
        <v>24.564537869720699</v>
      </c>
      <c r="BZ100" s="5">
        <f t="shared" si="294"/>
        <v>142.5</v>
      </c>
      <c r="CA100" s="173">
        <f t="shared" si="295"/>
        <v>0.85296378164421416</v>
      </c>
      <c r="CB100" s="5">
        <f t="shared" si="296"/>
        <v>85.296378164421412</v>
      </c>
      <c r="CE100" s="562">
        <f t="shared" si="232"/>
        <v>-50</v>
      </c>
      <c r="CF100">
        <f t="shared" si="233"/>
        <v>-50</v>
      </c>
      <c r="CG100" s="173">
        <f t="shared" si="234"/>
        <v>0.82144559698446507</v>
      </c>
      <c r="CI100" s="170">
        <v>95</v>
      </c>
      <c r="CJ100" s="217">
        <f t="shared" si="297"/>
        <v>9.5</v>
      </c>
      <c r="CK100" s="217"/>
      <c r="CL100" s="217">
        <f t="shared" si="235"/>
        <v>142.5</v>
      </c>
      <c r="CM100" s="541">
        <f t="shared" si="236"/>
        <v>72</v>
      </c>
      <c r="CN100" s="172">
        <f t="shared" si="237"/>
        <v>15.4</v>
      </c>
      <c r="CO100" s="443">
        <f t="shared" si="238"/>
        <v>87.4</v>
      </c>
      <c r="CP100" s="443"/>
      <c r="CQ100" s="217">
        <f t="shared" si="239"/>
        <v>0.17620137299771166</v>
      </c>
      <c r="CR100" s="172">
        <f t="shared" si="240"/>
        <v>318.30425629290613</v>
      </c>
      <c r="CS100" s="172">
        <f t="shared" si="298"/>
        <v>142.5</v>
      </c>
      <c r="CT100" s="217">
        <f t="shared" si="241"/>
        <v>21.220283752860407</v>
      </c>
      <c r="CU100" s="217">
        <f t="shared" si="242"/>
        <v>15</v>
      </c>
      <c r="CV100" s="217">
        <f t="shared" si="243"/>
        <v>21.144164759725399</v>
      </c>
      <c r="CW100" s="172">
        <f t="shared" si="244"/>
        <v>117.71750919630497</v>
      </c>
      <c r="CX100" s="532">
        <f t="shared" si="245"/>
        <v>15</v>
      </c>
      <c r="CY100" s="217">
        <f t="shared" si="246"/>
        <v>22.464826839826841</v>
      </c>
      <c r="CZ100" s="217">
        <f t="shared" si="247"/>
        <v>3.744137806637807</v>
      </c>
      <c r="DA100" s="217">
        <f t="shared" si="248"/>
        <v>17.505059875189747</v>
      </c>
      <c r="DB100" s="197">
        <f t="shared" si="249"/>
        <v>105.72082379862701</v>
      </c>
      <c r="DC100" s="443">
        <f t="shared" si="299"/>
        <v>47.060600356464576</v>
      </c>
      <c r="DE100" s="217">
        <f t="shared" si="250"/>
        <v>9.9999999999999982</v>
      </c>
      <c r="DF100" s="173">
        <f t="shared" si="251"/>
        <v>7.7922077922077895</v>
      </c>
      <c r="DG100" s="173">
        <f t="shared" si="252"/>
        <v>4.118993135011439</v>
      </c>
      <c r="DH100" s="173"/>
      <c r="DI100" s="173">
        <f t="shared" si="253"/>
        <v>7.7922077922077913</v>
      </c>
      <c r="DJ100" s="545">
        <f t="shared" si="300"/>
        <v>243.83333333333334</v>
      </c>
      <c r="DK100" s="528">
        <f t="shared" si="254"/>
        <v>4.1189931350114417</v>
      </c>
      <c r="DM100" s="173">
        <f t="shared" si="255"/>
        <v>8.3466560170326094</v>
      </c>
      <c r="DN100" s="173">
        <f t="shared" si="256"/>
        <v>22.464826839826841</v>
      </c>
      <c r="DO100" s="173">
        <f t="shared" si="257"/>
        <v>10.433205066538401</v>
      </c>
      <c r="DQ100" s="545">
        <f t="shared" si="258"/>
        <v>9500</v>
      </c>
      <c r="DR100" s="460">
        <f t="shared" si="259"/>
        <v>47.060600356464576</v>
      </c>
      <c r="DT100">
        <f t="shared" si="260"/>
        <v>9500</v>
      </c>
      <c r="DU100">
        <f t="shared" si="261"/>
        <v>47.060600356464576</v>
      </c>
      <c r="DW100" s="5">
        <f t="shared" si="301"/>
        <v>21.249197681827553</v>
      </c>
      <c r="DX100" s="5">
        <f t="shared" si="262"/>
        <v>3.744137806637807</v>
      </c>
      <c r="DY100" s="5">
        <f t="shared" si="302"/>
        <v>17.505059875189747</v>
      </c>
      <c r="DZ100" s="5">
        <f t="shared" si="263"/>
        <v>17.505059875189747</v>
      </c>
      <c r="EA100" s="173">
        <f t="shared" si="303"/>
        <v>0.17620137299771169</v>
      </c>
      <c r="EB100" s="173">
        <f t="shared" si="264"/>
        <v>142.50000000000003</v>
      </c>
      <c r="EC100" s="173">
        <f t="shared" si="265"/>
        <v>9.2532467532467546</v>
      </c>
      <c r="ED100" s="173">
        <f t="shared" si="304"/>
        <v>15.4</v>
      </c>
      <c r="EE100" s="460">
        <f t="shared" si="266"/>
        <v>237.12872775372779</v>
      </c>
      <c r="EF100" s="5">
        <f t="shared" si="267"/>
        <v>9.6237308341610319</v>
      </c>
      <c r="EG100" s="5"/>
      <c r="EH100" s="173">
        <f t="shared" si="305"/>
        <v>5.4443632289934492</v>
      </c>
      <c r="EI100" s="173">
        <f t="shared" si="268"/>
        <v>11.772073904453661</v>
      </c>
      <c r="EJ100" s="173"/>
      <c r="EK100" s="528">
        <f t="shared" si="269"/>
        <v>0.59282181938431955</v>
      </c>
      <c r="EL100" s="528">
        <f t="shared" si="270"/>
        <v>1.8480000000000001</v>
      </c>
      <c r="EM100" s="528">
        <f t="shared" si="271"/>
        <v>5.8825750445580718E-3</v>
      </c>
      <c r="EN100" s="528">
        <f t="shared" si="272"/>
        <v>3.5948463157894746E-2</v>
      </c>
      <c r="EO100">
        <f t="shared" si="273"/>
        <v>3.2399999999999998E-2</v>
      </c>
      <c r="EP100" s="460">
        <f t="shared" si="306"/>
        <v>38.282575044558072</v>
      </c>
      <c r="EQ100" s="528">
        <f t="shared" si="274"/>
        <v>3.1136921948811302</v>
      </c>
      <c r="ER100" s="460">
        <f t="shared" si="307"/>
        <v>3113.69219488113</v>
      </c>
      <c r="ES100" s="528">
        <f t="shared" si="308"/>
        <v>5.9018749999999995</v>
      </c>
      <c r="ET100" s="528"/>
      <c r="EV100" s="460">
        <f t="shared" si="309"/>
        <v>5901.8749999999991</v>
      </c>
      <c r="EW100" s="528">
        <f t="shared" si="275"/>
        <v>0.88923272907647932</v>
      </c>
      <c r="EX100" s="528">
        <f t="shared" si="276"/>
        <v>4.1574517203575656</v>
      </c>
      <c r="EY100" s="528">
        <f t="shared" si="277"/>
        <v>1.8170687138587007</v>
      </c>
      <c r="EZ100" s="528">
        <f t="shared" si="278"/>
        <v>13.542559308628354</v>
      </c>
      <c r="FA100" s="528">
        <f t="shared" si="279"/>
        <v>2.375E-2</v>
      </c>
      <c r="FB100" s="460">
        <f t="shared" si="310"/>
        <v>13566.309308628353</v>
      </c>
      <c r="FC100" s="173">
        <f t="shared" si="311"/>
        <v>22.581876503509484</v>
      </c>
      <c r="FD100" s="5">
        <f t="shared" si="312"/>
        <v>142.5</v>
      </c>
      <c r="FE100" s="173">
        <f t="shared" si="313"/>
        <v>0.86320802148726838</v>
      </c>
      <c r="FF100" s="5">
        <f t="shared" si="314"/>
        <v>86.320802148726841</v>
      </c>
      <c r="FI100" s="562">
        <f t="shared" si="280"/>
        <v>-50</v>
      </c>
      <c r="FJ100">
        <f t="shared" si="281"/>
        <v>-50</v>
      </c>
      <c r="FL100">
        <f t="shared" si="282"/>
        <v>0.82379862700228834</v>
      </c>
    </row>
    <row r="101" spans="5:168" ht="13">
      <c r="E101" s="170">
        <v>96</v>
      </c>
      <c r="F101" s="217">
        <f t="shared" si="283"/>
        <v>9.6</v>
      </c>
      <c r="G101" s="217"/>
      <c r="H101" s="217">
        <f>F101*Vout</f>
        <v>144</v>
      </c>
      <c r="I101" s="541">
        <f t="shared" si="184"/>
        <v>71.415681720500018</v>
      </c>
      <c r="J101" s="172">
        <f t="shared" si="185"/>
        <v>15.750590967699987</v>
      </c>
      <c r="K101" s="172">
        <f t="shared" si="186"/>
        <v>87.750590967699992</v>
      </c>
      <c r="L101" s="443"/>
      <c r="M101" s="217">
        <f t="shared" si="187"/>
        <v>0.18068661844634321</v>
      </c>
      <c r="N101" s="172">
        <f>M101*I101*(Isw_max+VIN_nom/Lmag*ILIM_delay)*0.5*Efficiency</f>
        <v>323.75779807600742</v>
      </c>
      <c r="O101" s="172">
        <f t="shared" si="284"/>
        <v>144</v>
      </c>
      <c r="P101" s="217">
        <f>N101/Vout</f>
        <v>21.583853205067161</v>
      </c>
      <c r="Q101" s="217">
        <f t="shared" si="190"/>
        <v>15</v>
      </c>
      <c r="R101" s="217">
        <f>Isw_max/2*I101*Nps*(Q101+Vfwd1+F101/FL101*Rdcr_sec)/Q101/(I101+Nps*(Q101+Vfwd1+F101/FL101*Rdcr_sec))</f>
        <v>21.506430056862452</v>
      </c>
      <c r="S101" s="172">
        <f t="shared" si="192"/>
        <v>114.81060438625984</v>
      </c>
      <c r="T101" s="532">
        <f>MIN(Vout, S101)</f>
        <v>15</v>
      </c>
      <c r="U101" s="217">
        <f t="shared" si="194"/>
        <v>23.434256576636407</v>
      </c>
      <c r="V101" s="217">
        <f t="shared" si="195"/>
        <v>3.9376656799302761</v>
      </c>
      <c r="W101" s="217">
        <f t="shared" si="196"/>
        <v>17.854001763890725</v>
      </c>
      <c r="X101" s="197">
        <f t="shared" si="197"/>
        <v>107.53769364850122</v>
      </c>
      <c r="Y101" s="443">
        <f t="shared" si="198"/>
        <v>45.471768002792807</v>
      </c>
      <c r="AA101" s="217">
        <f t="shared" si="199"/>
        <v>10</v>
      </c>
      <c r="AB101" s="173">
        <f>L*AA101/J101*1000000</f>
        <v>7.6187617497074305</v>
      </c>
      <c r="AC101" s="173">
        <f>0.5*AB101*AA101*Nps*X101/1000</f>
        <v>4.0965203351047839</v>
      </c>
      <c r="AD101" s="173"/>
      <c r="AE101" s="173">
        <f t="shared" si="202"/>
        <v>7.6187617497074305</v>
      </c>
      <c r="AF101" s="545">
        <f>MAX(12, F101/(0.5*AE101/1000000*Isw_min*Nps)/1000)</f>
        <v>252.00945548319979</v>
      </c>
      <c r="AG101" s="528">
        <f t="shared" si="204"/>
        <v>4.0965203351047839</v>
      </c>
      <c r="AI101" s="173">
        <f t="shared" si="205"/>
        <v>8.4854405640855504</v>
      </c>
      <c r="AJ101" s="173">
        <f>MAX(IF(F101&gt;AC101,U101,AI101),Isw_min)</f>
        <v>23.434256576636407</v>
      </c>
      <c r="AK101" s="173">
        <f>IF(F101&gt;AG101, (AJ101-Isw_min)/1.08*0.8+1.2, AF101*0.2/350+1)</f>
        <v>11.15130116787882</v>
      </c>
      <c r="AM101" s="545">
        <f t="shared" si="208"/>
        <v>9600</v>
      </c>
      <c r="AN101" s="460">
        <f t="shared" si="209"/>
        <v>45.471768002792807</v>
      </c>
      <c r="AP101">
        <f t="shared" si="210"/>
        <v>9600</v>
      </c>
      <c r="AQ101">
        <f t="shared" si="211"/>
        <v>45.471768002792807</v>
      </c>
      <c r="AS101" s="5">
        <f t="shared" si="285"/>
        <v>21.991667443821001</v>
      </c>
      <c r="AT101" s="5">
        <f t="shared" si="212"/>
        <v>3.9376656799302761</v>
      </c>
      <c r="AU101" s="5">
        <f t="shared" si="286"/>
        <v>18.054001763890724</v>
      </c>
      <c r="AV101" s="5">
        <f t="shared" si="213"/>
        <v>17.854001763890725</v>
      </c>
      <c r="AW101" s="173">
        <f t="shared" si="287"/>
        <v>0.17905262027034891</v>
      </c>
      <c r="AX101" s="173">
        <f t="shared" si="214"/>
        <v>149.82885205112322</v>
      </c>
      <c r="AY101" s="173">
        <f t="shared" si="215"/>
        <v>9.6191457662510018</v>
      </c>
      <c r="AZ101" s="173">
        <f t="shared" si="288"/>
        <v>15.57610786779022</v>
      </c>
      <c r="BA101" s="460">
        <f t="shared" si="216"/>
        <v>252.01060351553761</v>
      </c>
      <c r="BB101" s="5">
        <f t="shared" si="217"/>
        <v>10.112065769839614</v>
      </c>
      <c r="BC101" s="5"/>
      <c r="BD101" s="173">
        <f t="shared" si="289"/>
        <v>5.7250712202511256</v>
      </c>
      <c r="BE101" s="173">
        <f t="shared" si="218"/>
        <v>12.258807172379967</v>
      </c>
      <c r="BF101" s="173"/>
      <c r="BG101" s="528">
        <f t="shared" si="219"/>
        <v>0.65552880953895432</v>
      </c>
      <c r="BH101" s="528">
        <f t="shared" si="220"/>
        <v>1.7532520005091177</v>
      </c>
      <c r="BI101" s="528">
        <f t="shared" si="221"/>
        <v>8.1184932773896698E-2</v>
      </c>
      <c r="BJ101" s="528">
        <f t="shared" si="222"/>
        <v>3.5014017171963507E-2</v>
      </c>
      <c r="BK101">
        <f t="shared" si="223"/>
        <v>3.2137056774225008E-2</v>
      </c>
      <c r="BL101" s="460">
        <f t="shared" si="290"/>
        <v>113.32198954812169</v>
      </c>
      <c r="BM101" s="528">
        <f t="shared" si="224"/>
        <v>3.1042924742626741</v>
      </c>
      <c r="BN101" s="460">
        <f t="shared" si="291"/>
        <v>3104.2924742626742</v>
      </c>
      <c r="BO101" s="528">
        <f t="shared" si="225"/>
        <v>5.9639999999999995</v>
      </c>
      <c r="BP101" s="528"/>
      <c r="BR101" s="460">
        <f t="shared" si="292"/>
        <v>5963.9999999999991</v>
      </c>
      <c r="BS101" s="528">
        <f t="shared" si="226"/>
        <v>0.98329321430843131</v>
      </c>
      <c r="BT101" s="528">
        <f t="shared" si="227"/>
        <v>4.5083505986878354</v>
      </c>
      <c r="BU101" s="528">
        <f t="shared" si="228"/>
        <v>2.16</v>
      </c>
      <c r="BV101" s="528">
        <f>(BU101+(BS101+BT101)*(1+Ltc*(Ta-25)))/(1-(BS101+BT101)*Ltc*ThetaCa)</f>
        <v>15.998113695955963</v>
      </c>
      <c r="BW101" s="528">
        <f t="shared" si="230"/>
        <v>2.4971475341853875E-2</v>
      </c>
      <c r="BX101" s="460">
        <f t="shared" si="293"/>
        <v>16023.085171297818</v>
      </c>
      <c r="BY101" s="173">
        <f t="shared" si="231"/>
        <v>25.204699635108611</v>
      </c>
      <c r="BZ101" s="5">
        <f t="shared" si="294"/>
        <v>144</v>
      </c>
      <c r="CA101" s="173">
        <f t="shared" si="295"/>
        <v>0.85104019161723776</v>
      </c>
      <c r="CB101" s="5">
        <f t="shared" si="296"/>
        <v>85.10401916172377</v>
      </c>
      <c r="CE101" s="562">
        <f t="shared" si="232"/>
        <v>-50</v>
      </c>
      <c r="CF101">
        <f t="shared" si="233"/>
        <v>-50</v>
      </c>
      <c r="CG101" s="173">
        <f t="shared" si="234"/>
        <v>0.82147010771381745</v>
      </c>
      <c r="CI101" s="170">
        <v>96</v>
      </c>
      <c r="CJ101" s="217">
        <f t="shared" si="297"/>
        <v>9.6</v>
      </c>
      <c r="CK101" s="217"/>
      <c r="CL101" s="217">
        <f t="shared" si="235"/>
        <v>144</v>
      </c>
      <c r="CM101" s="541">
        <f t="shared" si="236"/>
        <v>72</v>
      </c>
      <c r="CN101" s="172">
        <f t="shared" si="237"/>
        <v>15.4</v>
      </c>
      <c r="CO101" s="443">
        <f t="shared" si="238"/>
        <v>87.4</v>
      </c>
      <c r="CP101" s="443"/>
      <c r="CQ101" s="217">
        <f t="shared" si="239"/>
        <v>0.17620137299771166</v>
      </c>
      <c r="CR101" s="172">
        <f t="shared" si="240"/>
        <v>318.30425629290613</v>
      </c>
      <c r="CS101" s="172">
        <f t="shared" si="298"/>
        <v>144</v>
      </c>
      <c r="CT101" s="217">
        <f t="shared" si="241"/>
        <v>21.220283752860407</v>
      </c>
      <c r="CU101" s="217">
        <f t="shared" si="242"/>
        <v>15</v>
      </c>
      <c r="CV101" s="217">
        <f t="shared" si="243"/>
        <v>21.144164759725399</v>
      </c>
      <c r="CW101" s="172">
        <f t="shared" si="244"/>
        <v>115.74795958622605</v>
      </c>
      <c r="CX101" s="532">
        <f t="shared" si="245"/>
        <v>15</v>
      </c>
      <c r="CY101" s="217">
        <f t="shared" si="246"/>
        <v>22.701298701298704</v>
      </c>
      <c r="CZ101" s="217">
        <f t="shared" si="247"/>
        <v>3.7835497835497844</v>
      </c>
      <c r="DA101" s="217">
        <f t="shared" si="248"/>
        <v>17.68932366334964</v>
      </c>
      <c r="DB101" s="197">
        <f t="shared" si="249"/>
        <v>105.72082379862701</v>
      </c>
      <c r="DC101" s="443">
        <f t="shared" si="299"/>
        <v>46.570385769418067</v>
      </c>
      <c r="DE101" s="217">
        <f t="shared" si="250"/>
        <v>9.9999999999999982</v>
      </c>
      <c r="DF101" s="173">
        <f t="shared" si="251"/>
        <v>7.7922077922077895</v>
      </c>
      <c r="DG101" s="173">
        <f t="shared" si="252"/>
        <v>4.118993135011439</v>
      </c>
      <c r="DH101" s="173"/>
      <c r="DI101" s="173">
        <f t="shared" si="253"/>
        <v>7.7922077922077913</v>
      </c>
      <c r="DJ101" s="545">
        <f t="shared" si="300"/>
        <v>246.4</v>
      </c>
      <c r="DK101" s="528">
        <f t="shared" si="254"/>
        <v>4.1189931350114417</v>
      </c>
      <c r="DM101" s="173">
        <f t="shared" si="255"/>
        <v>8.390470785361213</v>
      </c>
      <c r="DN101" s="173">
        <f t="shared" si="256"/>
        <v>22.701298701298704</v>
      </c>
      <c r="DO101" s="173">
        <f t="shared" si="257"/>
        <v>10.608369408369409</v>
      </c>
      <c r="DQ101" s="545">
        <f t="shared" si="258"/>
        <v>9600</v>
      </c>
      <c r="DR101" s="460">
        <f t="shared" si="259"/>
        <v>46.570385769418067</v>
      </c>
      <c r="DT101">
        <f t="shared" si="260"/>
        <v>9600</v>
      </c>
      <c r="DU101">
        <f t="shared" si="261"/>
        <v>46.570385769418067</v>
      </c>
      <c r="DW101" s="5">
        <f t="shared" si="301"/>
        <v>21.472873446899424</v>
      </c>
      <c r="DX101" s="5">
        <f t="shared" si="262"/>
        <v>3.7835497835497844</v>
      </c>
      <c r="DY101" s="5">
        <f t="shared" si="302"/>
        <v>17.68932366334964</v>
      </c>
      <c r="DZ101" s="5">
        <f t="shared" si="263"/>
        <v>17.68932366334964</v>
      </c>
      <c r="EA101" s="173">
        <f t="shared" si="303"/>
        <v>0.17620137299771169</v>
      </c>
      <c r="EB101" s="173">
        <f t="shared" si="264"/>
        <v>144.00000000000006</v>
      </c>
      <c r="EC101" s="173">
        <f t="shared" si="265"/>
        <v>9.350649350649352</v>
      </c>
      <c r="ED101" s="173">
        <f t="shared" si="304"/>
        <v>15.400000000000004</v>
      </c>
      <c r="EE101" s="460">
        <f t="shared" si="266"/>
        <v>242.1471861471862</v>
      </c>
      <c r="EF101" s="5">
        <f t="shared" si="267"/>
        <v>9.827402035194245</v>
      </c>
      <c r="EG101" s="5"/>
      <c r="EH101" s="173">
        <f t="shared" si="305"/>
        <v>5.5016723156144334</v>
      </c>
      <c r="EI101" s="173">
        <f t="shared" si="268"/>
        <v>11.895990471868963</v>
      </c>
      <c r="EJ101" s="173"/>
      <c r="EK101" s="528">
        <f t="shared" si="269"/>
        <v>0.60536796536796567</v>
      </c>
      <c r="EL101" s="528">
        <f t="shared" si="270"/>
        <v>1.8480000000000001</v>
      </c>
      <c r="EM101" s="528">
        <f t="shared" si="271"/>
        <v>5.8212982211772587E-3</v>
      </c>
      <c r="EN101" s="528">
        <f t="shared" si="272"/>
        <v>3.5574000000000001E-2</v>
      </c>
      <c r="EO101">
        <f t="shared" si="273"/>
        <v>3.2399999999999998E-2</v>
      </c>
      <c r="EP101" s="460">
        <f t="shared" si="306"/>
        <v>38.221298221177257</v>
      </c>
      <c r="EQ101" s="528">
        <f t="shared" si="274"/>
        <v>3.1426348438466865</v>
      </c>
      <c r="ER101" s="460">
        <f t="shared" si="307"/>
        <v>3142.6348438466866</v>
      </c>
      <c r="ES101" s="528">
        <f t="shared" si="308"/>
        <v>5.9639999999999995</v>
      </c>
      <c r="ET101" s="528"/>
      <c r="EV101" s="460">
        <f t="shared" si="309"/>
        <v>5963.9999999999991</v>
      </c>
      <c r="EW101" s="528">
        <f t="shared" si="275"/>
        <v>0.90805194805194844</v>
      </c>
      <c r="EX101" s="528">
        <f t="shared" si="276"/>
        <v>4.2454376792039143</v>
      </c>
      <c r="EY101" s="528">
        <f t="shared" si="277"/>
        <v>1.8170687138587007</v>
      </c>
      <c r="EZ101" s="528">
        <f t="shared" si="278"/>
        <v>13.964786400672887</v>
      </c>
      <c r="FA101" s="528">
        <f t="shared" si="279"/>
        <v>2.4000000000000007E-2</v>
      </c>
      <c r="FB101" s="460">
        <f t="shared" si="310"/>
        <v>13988.786400672887</v>
      </c>
      <c r="FC101" s="173">
        <f t="shared" si="311"/>
        <v>23.095421244519574</v>
      </c>
      <c r="FD101" s="5">
        <f t="shared" si="312"/>
        <v>144</v>
      </c>
      <c r="FE101" s="173">
        <f t="shared" si="313"/>
        <v>0.86178303946029244</v>
      </c>
      <c r="FF101" s="5">
        <f t="shared" si="314"/>
        <v>86.178303946029246</v>
      </c>
      <c r="FI101" s="562">
        <f t="shared" si="280"/>
        <v>-50</v>
      </c>
      <c r="FJ101">
        <f t="shared" si="281"/>
        <v>-50</v>
      </c>
      <c r="FL101">
        <f t="shared" si="282"/>
        <v>0.82379862700228834</v>
      </c>
    </row>
    <row r="102" spans="5:168" ht="13">
      <c r="E102" s="170">
        <v>97</v>
      </c>
      <c r="F102" s="217">
        <f>IF(PLOT_TYPE=1, E102/100*Iout_max, min_I*EXP(N102*rr/100))</f>
        <v>9.6999999999999993</v>
      </c>
      <c r="G102" s="217"/>
      <c r="H102" s="217">
        <f>F102*Vout</f>
        <v>145.5</v>
      </c>
      <c r="I102" s="541">
        <f t="shared" si="184"/>
        <v>71.409612324318303</v>
      </c>
      <c r="J102" s="172">
        <f t="shared" si="185"/>
        <v>15.754232605409015</v>
      </c>
      <c r="K102" s="172">
        <f t="shared" si="186"/>
        <v>87.754232605409015</v>
      </c>
      <c r="L102" s="443"/>
      <c r="M102" s="217">
        <f t="shared" si="187"/>
        <v>0.1807334311046766</v>
      </c>
      <c r="N102" s="172">
        <f>M102*I102*(Isw_max+VIN_nom/Lmag*ILIM_delay)*0.5*Efficiency</f>
        <v>323.81415561315174</v>
      </c>
      <c r="O102" s="172">
        <f t="shared" si="284"/>
        <v>145.5</v>
      </c>
      <c r="P102" s="217">
        <f>N102/Vout</f>
        <v>21.587610374210115</v>
      </c>
      <c r="Q102" s="217">
        <f t="shared" si="190"/>
        <v>15</v>
      </c>
      <c r="R102" s="217">
        <f>Isw_max/2*I102*Nps*(Q102+Vfwd1+F102/FL102*Rdcr_sec)/Q102/(I102+Nps*(Q102+Vfwd1+F102/FL102*Rdcr_sec))</f>
        <v>21.510173748714742</v>
      </c>
      <c r="S102" s="172">
        <f t="shared" si="192"/>
        <v>112.88791523255273</v>
      </c>
      <c r="T102" s="532">
        <f>MIN(Vout, S102)</f>
        <v>15</v>
      </c>
      <c r="U102" s="217">
        <f t="shared" si="194"/>
        <v>23.679716390915875</v>
      </c>
      <c r="V102" s="217">
        <f t="shared" si="195"/>
        <v>3.9792485555088493</v>
      </c>
      <c r="W102" s="217">
        <f t="shared" si="196"/>
        <v>18.036841514795771</v>
      </c>
      <c r="X102" s="197">
        <f t="shared" si="197"/>
        <v>107.55641131235721</v>
      </c>
      <c r="Y102" s="443">
        <f t="shared" si="198"/>
        <v>45.012421035178505</v>
      </c>
      <c r="AA102" s="217">
        <f t="shared" si="199"/>
        <v>10</v>
      </c>
      <c r="AB102" s="173">
        <f>L*AA102/J102*1000000</f>
        <v>7.6170006502760108</v>
      </c>
      <c r="AC102" s="173">
        <f>0.5*AB102*AA102*Nps*X102/1000</f>
        <v>4.0962862745378947</v>
      </c>
      <c r="AD102" s="173"/>
      <c r="AE102" s="173">
        <f t="shared" si="202"/>
        <v>7.6170006502760108</v>
      </c>
      <c r="AF102" s="545">
        <f>MAX(12, F102/(0.5*AE102/1000000*Isw_min*Nps)/1000)</f>
        <v>254.69342712077906</v>
      </c>
      <c r="AG102" s="528">
        <f t="shared" si="204"/>
        <v>4.0962862745378947</v>
      </c>
      <c r="AI102" s="173">
        <f t="shared" si="205"/>
        <v>8.5305070544450565</v>
      </c>
      <c r="AJ102" s="173">
        <f>MAX(IF(F102&gt;AC102,U102,AI102),Isw_min)</f>
        <v>23.679716390915875</v>
      </c>
      <c r="AK102" s="173">
        <f>IF(F102&gt;AG102, (AJ102-Isw_min)/1.08*0.8+1.2, AF102*0.2/350+1)</f>
        <v>11.333123252530276</v>
      </c>
      <c r="AM102" s="545">
        <f t="shared" si="208"/>
        <v>9700</v>
      </c>
      <c r="AN102" s="460">
        <f t="shared" si="209"/>
        <v>45.012421035178505</v>
      </c>
      <c r="AP102">
        <f t="shared" si="210"/>
        <v>9700</v>
      </c>
      <c r="AQ102">
        <f t="shared" si="211"/>
        <v>45.012421035178505</v>
      </c>
      <c r="AS102" s="5">
        <f t="shared" si="285"/>
        <v>22.21609007030462</v>
      </c>
      <c r="AT102" s="5">
        <f t="shared" si="212"/>
        <v>3.9792485555088493</v>
      </c>
      <c r="AU102" s="5">
        <f t="shared" si="286"/>
        <v>18.236841514795771</v>
      </c>
      <c r="AV102" s="5">
        <f t="shared" si="213"/>
        <v>18.036841514795771</v>
      </c>
      <c r="AW102" s="173">
        <f t="shared" si="287"/>
        <v>0.17911561138419022</v>
      </c>
      <c r="AX102" s="173">
        <f t="shared" si="214"/>
        <v>151.43861046108591</v>
      </c>
      <c r="AY102" s="173">
        <f t="shared" si="215"/>
        <v>9.7191547560763745</v>
      </c>
      <c r="AZ102" s="173">
        <f t="shared" si="288"/>
        <v>15.58145890890431</v>
      </c>
      <c r="BA102" s="460">
        <f t="shared" si="216"/>
        <v>257.32473992290556</v>
      </c>
      <c r="BB102" s="5">
        <f t="shared" si="217"/>
        <v>10.321752500332812</v>
      </c>
      <c r="BC102" s="5"/>
      <c r="BD102" s="173">
        <f t="shared" si="289"/>
        <v>5.7860554205085917</v>
      </c>
      <c r="BE102" s="173">
        <f t="shared" si="218"/>
        <v>12.38673559856967</v>
      </c>
      <c r="BF102" s="173"/>
      <c r="BG102" s="528">
        <f t="shared" si="219"/>
        <v>0.66956874658393717</v>
      </c>
      <c r="BH102" s="528">
        <f t="shared" si="220"/>
        <v>1.7537925217904258</v>
      </c>
      <c r="BI102" s="528">
        <f t="shared" si="221"/>
        <v>8.0357988397527183E-2</v>
      </c>
      <c r="BJ102" s="528">
        <f t="shared" si="222"/>
        <v>3.4663189228142342E-2</v>
      </c>
      <c r="BK102">
        <f t="shared" si="223"/>
        <v>3.2134325545943233E-2</v>
      </c>
      <c r="BL102" s="460">
        <f t="shared" si="290"/>
        <v>112.49231394347042</v>
      </c>
      <c r="BM102" s="528">
        <f t="shared" si="224"/>
        <v>3.1380368380041039</v>
      </c>
      <c r="BN102" s="460">
        <f t="shared" si="291"/>
        <v>3138.0368380041041</v>
      </c>
      <c r="BO102" s="528">
        <f t="shared" si="225"/>
        <v>6.0261249999999986</v>
      </c>
      <c r="BP102" s="528"/>
      <c r="BR102" s="460">
        <f t="shared" si="292"/>
        <v>6026.1249999999982</v>
      </c>
      <c r="BS102" s="528">
        <f t="shared" si="226"/>
        <v>1.0043531198759057</v>
      </c>
      <c r="BT102" s="528">
        <f t="shared" si="227"/>
        <v>4.6029365636661934</v>
      </c>
      <c r="BU102" s="528">
        <f t="shared" si="228"/>
        <v>2.1825000000000001</v>
      </c>
      <c r="BV102" s="528">
        <f>(BU102+(BS102+BT102)*(1+Ltc*(Ta-25)))/(1-(BS102+BT102)*Ltc*ThetaCa)</f>
        <v>16.567392919768878</v>
      </c>
      <c r="BW102" s="528">
        <f t="shared" si="230"/>
        <v>2.5239768410180989E-2</v>
      </c>
      <c r="BX102" s="460">
        <f t="shared" si="293"/>
        <v>16592.632688179059</v>
      </c>
      <c r="BY102" s="173">
        <f t="shared" si="231"/>
        <v>25.86928684012663</v>
      </c>
      <c r="BZ102" s="5">
        <f t="shared" si="294"/>
        <v>145.5</v>
      </c>
      <c r="CA102" s="173">
        <f t="shared" si="295"/>
        <v>0.84904362200993155</v>
      </c>
      <c r="CB102" s="5">
        <f t="shared" si="296"/>
        <v>84.904362200993148</v>
      </c>
      <c r="CE102" s="562">
        <f t="shared" si="232"/>
        <v>-50</v>
      </c>
      <c r="CF102">
        <f t="shared" si="233"/>
        <v>-50</v>
      </c>
      <c r="CG102" s="173">
        <f t="shared" si="234"/>
        <v>0.8214941130673068</v>
      </c>
      <c r="CI102" s="170">
        <v>97</v>
      </c>
      <c r="CJ102" s="217">
        <f t="shared" si="297"/>
        <v>9.6999999999999993</v>
      </c>
      <c r="CK102" s="217"/>
      <c r="CL102" s="217">
        <f t="shared" si="235"/>
        <v>145.5</v>
      </c>
      <c r="CM102" s="541">
        <f t="shared" si="236"/>
        <v>72</v>
      </c>
      <c r="CN102" s="172">
        <f t="shared" si="237"/>
        <v>15.4</v>
      </c>
      <c r="CO102" s="443">
        <f t="shared" si="238"/>
        <v>87.4</v>
      </c>
      <c r="CP102" s="443"/>
      <c r="CQ102" s="217">
        <f t="shared" si="239"/>
        <v>0.17620137299771166</v>
      </c>
      <c r="CR102" s="172">
        <f t="shared" si="240"/>
        <v>318.30425629290613</v>
      </c>
      <c r="CS102" s="172">
        <f t="shared" si="298"/>
        <v>145.5</v>
      </c>
      <c r="CT102" s="217">
        <f t="shared" si="241"/>
        <v>21.220283752860407</v>
      </c>
      <c r="CU102" s="217">
        <f t="shared" si="242"/>
        <v>15</v>
      </c>
      <c r="CV102" s="217">
        <f t="shared" si="243"/>
        <v>21.144164759725399</v>
      </c>
      <c r="CW102" s="172">
        <f t="shared" si="244"/>
        <v>113.81915715327366</v>
      </c>
      <c r="CX102" s="532">
        <f t="shared" si="245"/>
        <v>15</v>
      </c>
      <c r="CY102" s="217">
        <f t="shared" si="246"/>
        <v>22.937770562770563</v>
      </c>
      <c r="CZ102" s="217">
        <f t="shared" si="247"/>
        <v>3.8229617604617605</v>
      </c>
      <c r="DA102" s="217">
        <f t="shared" si="248"/>
        <v>17.873587451509533</v>
      </c>
      <c r="DB102" s="197">
        <f t="shared" si="249"/>
        <v>105.72082379862701</v>
      </c>
      <c r="DC102" s="443">
        <f t="shared" si="299"/>
        <v>46.090278699630247</v>
      </c>
      <c r="DE102" s="217">
        <f t="shared" si="250"/>
        <v>9.9999999999999982</v>
      </c>
      <c r="DF102" s="173">
        <f t="shared" si="251"/>
        <v>7.7922077922077895</v>
      </c>
      <c r="DG102" s="173">
        <f t="shared" si="252"/>
        <v>4.118993135011439</v>
      </c>
      <c r="DH102" s="173"/>
      <c r="DI102" s="173">
        <f t="shared" si="253"/>
        <v>7.7922077922077913</v>
      </c>
      <c r="DJ102" s="545">
        <f t="shared" si="300"/>
        <v>248.96666666666667</v>
      </c>
      <c r="DK102" s="528">
        <f t="shared" si="254"/>
        <v>4.1189931350114417</v>
      </c>
      <c r="DM102" s="173">
        <f t="shared" si="255"/>
        <v>8.4340579398847701</v>
      </c>
      <c r="DN102" s="173">
        <f t="shared" si="256"/>
        <v>22.937770562770563</v>
      </c>
      <c r="DO102" s="173">
        <f t="shared" si="257"/>
        <v>10.783533750200416</v>
      </c>
      <c r="DQ102" s="545">
        <f t="shared" si="258"/>
        <v>9700</v>
      </c>
      <c r="DR102" s="460">
        <f t="shared" si="259"/>
        <v>46.090278699630247</v>
      </c>
      <c r="DT102">
        <f t="shared" si="260"/>
        <v>9700</v>
      </c>
      <c r="DU102">
        <f t="shared" si="261"/>
        <v>46.090278699630247</v>
      </c>
      <c r="DW102" s="5">
        <f t="shared" si="301"/>
        <v>21.696549211971295</v>
      </c>
      <c r="DX102" s="5">
        <f t="shared" si="262"/>
        <v>3.8229617604617605</v>
      </c>
      <c r="DY102" s="5">
        <f t="shared" si="302"/>
        <v>17.873587451509536</v>
      </c>
      <c r="DZ102" s="5">
        <f t="shared" si="263"/>
        <v>17.873587451509533</v>
      </c>
      <c r="EA102" s="173">
        <f t="shared" si="303"/>
        <v>0.17620137299771163</v>
      </c>
      <c r="EB102" s="173">
        <f t="shared" si="264"/>
        <v>145.5</v>
      </c>
      <c r="EC102" s="173">
        <f t="shared" si="265"/>
        <v>9.4480519480519476</v>
      </c>
      <c r="ED102" s="173">
        <f t="shared" si="304"/>
        <v>15.4</v>
      </c>
      <c r="EE102" s="460">
        <f t="shared" si="266"/>
        <v>247.21819384319386</v>
      </c>
      <c r="EF102" s="5">
        <f t="shared" si="267"/>
        <v>10.033205918960794</v>
      </c>
      <c r="EG102" s="5"/>
      <c r="EH102" s="173">
        <f t="shared" si="305"/>
        <v>5.5589814022354149</v>
      </c>
      <c r="EI102" s="173">
        <f t="shared" si="268"/>
        <v>12.019907039284263</v>
      </c>
      <c r="EJ102" s="173"/>
      <c r="EK102" s="528">
        <f t="shared" si="269"/>
        <v>0.61804548460798447</v>
      </c>
      <c r="EL102" s="528">
        <f t="shared" si="270"/>
        <v>1.8479999999999996</v>
      </c>
      <c r="EM102" s="528">
        <f t="shared" si="271"/>
        <v>5.7612848374537801E-3</v>
      </c>
      <c r="EN102" s="528">
        <f t="shared" si="272"/>
        <v>3.5207257731958763E-2</v>
      </c>
      <c r="EO102">
        <f t="shared" si="273"/>
        <v>3.2399999999999998E-2</v>
      </c>
      <c r="EP102" s="460">
        <f t="shared" si="306"/>
        <v>38.161284837453778</v>
      </c>
      <c r="EQ102" s="528">
        <f t="shared" si="274"/>
        <v>3.1721018784913726</v>
      </c>
      <c r="ER102" s="460">
        <f t="shared" si="307"/>
        <v>3172.1018784913726</v>
      </c>
      <c r="ES102" s="528">
        <f t="shared" si="308"/>
        <v>6.0261249999999986</v>
      </c>
      <c r="ET102" s="528"/>
      <c r="EV102" s="460">
        <f t="shared" si="309"/>
        <v>6026.1249999999982</v>
      </c>
      <c r="EW102" s="528">
        <f t="shared" si="275"/>
        <v>0.92706822691197666</v>
      </c>
      <c r="EX102" s="528">
        <f t="shared" si="276"/>
        <v>4.3343449569910613</v>
      </c>
      <c r="EY102" s="528">
        <f t="shared" si="277"/>
        <v>1.8170687138586994</v>
      </c>
      <c r="EZ102" s="528">
        <f t="shared" si="278"/>
        <v>14.404091008740645</v>
      </c>
      <c r="FA102" s="528">
        <f t="shared" si="279"/>
        <v>2.4250000000000001E-2</v>
      </c>
      <c r="FB102" s="460">
        <f t="shared" si="310"/>
        <v>14428.341008740645</v>
      </c>
      <c r="FC102" s="173">
        <f t="shared" si="311"/>
        <v>23.626567887232017</v>
      </c>
      <c r="FD102" s="5">
        <f t="shared" si="312"/>
        <v>145.5</v>
      </c>
      <c r="FE102" s="173">
        <f t="shared" si="313"/>
        <v>0.8603024457814018</v>
      </c>
      <c r="FF102" s="5">
        <f t="shared" si="314"/>
        <v>86.030244578140184</v>
      </c>
      <c r="FI102" s="562">
        <f t="shared" si="280"/>
        <v>-50</v>
      </c>
      <c r="FJ102">
        <f t="shared" si="281"/>
        <v>-50</v>
      </c>
      <c r="FL102">
        <f t="shared" si="282"/>
        <v>0.82379862700228834</v>
      </c>
    </row>
    <row r="103" spans="5:168" ht="13">
      <c r="E103" s="170">
        <v>98</v>
      </c>
      <c r="F103" s="217">
        <f>IF(PLOT_TYPE=1, E103/100*Iout_max, min_I*EXP(N103*rr/100))</f>
        <v>9.8000000000000007</v>
      </c>
      <c r="G103" s="217"/>
      <c r="H103" s="217">
        <f>F103*Vout</f>
        <v>147</v>
      </c>
      <c r="I103" s="541">
        <f t="shared" si="184"/>
        <v>71.403542927148905</v>
      </c>
      <c r="J103" s="172">
        <f t="shared" si="185"/>
        <v>15.757874243710656</v>
      </c>
      <c r="K103" s="172">
        <f t="shared" si="186"/>
        <v>87.75787424371066</v>
      </c>
      <c r="L103" s="443"/>
      <c r="M103" s="217">
        <f t="shared" si="187"/>
        <v>0.18078024637285839</v>
      </c>
      <c r="N103" s="172">
        <f>M103*I103*(Isw_max+VIN_nom/Lmag*ILIM_delay)*0.5*Efficiency</f>
        <v>323.87050356402756</v>
      </c>
      <c r="O103" s="172">
        <f t="shared" si="284"/>
        <v>147</v>
      </c>
      <c r="P103" s="217">
        <f>N103/Vout</f>
        <v>21.591366904268504</v>
      </c>
      <c r="Q103" s="217">
        <f t="shared" si="190"/>
        <v>15</v>
      </c>
      <c r="R103" s="217">
        <f>Isw_max/2*I103*Nps*(Q103+Vfwd1+F103/FL103*Rdcr_sec)/Q103/(I103+Nps*(Q103+Vfwd1+F103/FL103*Rdcr_sec))</f>
        <v>21.513916803774912</v>
      </c>
      <c r="S103" s="172">
        <f t="shared" si="192"/>
        <v>111.00472756572552</v>
      </c>
      <c r="T103" s="532">
        <f>MIN(Vout, S103)</f>
        <v>15</v>
      </c>
      <c r="U103" s="217">
        <f t="shared" si="194"/>
        <v>23.925204334026244</v>
      </c>
      <c r="V103" s="217">
        <f t="shared" si="195"/>
        <v>4.020843227642608</v>
      </c>
      <c r="W103" s="217">
        <f t="shared" si="196"/>
        <v>18.219618177426714</v>
      </c>
      <c r="X103" s="197">
        <f t="shared" si="197"/>
        <v>107.57512579560472</v>
      </c>
      <c r="Y103" s="443">
        <f t="shared" si="198"/>
        <v>44.562363578411052</v>
      </c>
      <c r="AA103" s="217">
        <f t="shared" si="199"/>
        <v>10</v>
      </c>
      <c r="AB103" s="173">
        <f>L*AA103/J103*1000000</f>
        <v>7.6152403645367883</v>
      </c>
      <c r="AC103" s="173">
        <f>0.5*AB103*AA103*Nps*X103/1000</f>
        <v>4.096052200894059</v>
      </c>
      <c r="AD103" s="173"/>
      <c r="AE103" s="173">
        <f t="shared" si="202"/>
        <v>7.6152403645367883</v>
      </c>
      <c r="AF103" s="545">
        <f>MAX(12, F103/(0.5*AE103/1000000*Isw_min*Nps)/1000)</f>
        <v>257.37861264727405</v>
      </c>
      <c r="AG103" s="528">
        <f t="shared" si="204"/>
        <v>4.096052200894059</v>
      </c>
      <c r="AI103" s="173">
        <f t="shared" si="205"/>
        <v>8.5753569296356265</v>
      </c>
      <c r="AJ103" s="173">
        <f>MAX(IF(F103&gt;AC103,U103,AI103),Isw_min)</f>
        <v>23.925204334026244</v>
      </c>
      <c r="AK103" s="173">
        <f>IF(F103&gt;AG103, (AJ103-Isw_min)/1.08*0.8+1.2, AF103*0.2/350+1)</f>
        <v>11.514966173352772</v>
      </c>
      <c r="AM103" s="545">
        <f t="shared" si="208"/>
        <v>9800</v>
      </c>
      <c r="AN103" s="460">
        <f t="shared" si="209"/>
        <v>44.562363578411052</v>
      </c>
      <c r="AP103">
        <f t="shared" si="210"/>
        <v>9800</v>
      </c>
      <c r="AQ103">
        <f t="shared" si="211"/>
        <v>44.562363578411052</v>
      </c>
      <c r="AS103" s="5">
        <f t="shared" si="285"/>
        <v>22.440461405069321</v>
      </c>
      <c r="AT103" s="5">
        <f t="shared" si="212"/>
        <v>4.020843227642608</v>
      </c>
      <c r="AU103" s="5">
        <f t="shared" si="286"/>
        <v>18.419618177426713</v>
      </c>
      <c r="AV103" s="5">
        <f t="shared" si="213"/>
        <v>18.219618177426714</v>
      </c>
      <c r="AW103" s="173">
        <f t="shared" si="287"/>
        <v>0.17917827780200168</v>
      </c>
      <c r="AX103" s="173">
        <f t="shared" si="214"/>
        <v>153.04909968444741</v>
      </c>
      <c r="AY103" s="173">
        <f t="shared" si="215"/>
        <v>9.8191637126972182</v>
      </c>
      <c r="AZ103" s="173">
        <f t="shared" si="288"/>
        <v>15.586775428394041</v>
      </c>
      <c r="BA103" s="460">
        <f t="shared" si="216"/>
        <v>262.69509087265044</v>
      </c>
      <c r="BB103" s="5">
        <f t="shared" si="217"/>
        <v>10.533572678304957</v>
      </c>
      <c r="BC103" s="5"/>
      <c r="BD103" s="173">
        <f t="shared" si="289"/>
        <v>5.8470621111185626</v>
      </c>
      <c r="BE103" s="173">
        <f t="shared" si="218"/>
        <v>12.514671342482703</v>
      </c>
      <c r="BF103" s="173"/>
      <c r="BG103" s="528">
        <f t="shared" si="219"/>
        <v>0.68376270662556526</v>
      </c>
      <c r="BH103" s="528">
        <f t="shared" si="220"/>
        <v>1.7543297979433334</v>
      </c>
      <c r="BI103" s="528">
        <f t="shared" si="221"/>
        <v>7.9547766017657257E-2</v>
      </c>
      <c r="BJ103" s="528">
        <f t="shared" si="222"/>
        <v>3.4319456952142585E-2</v>
      </c>
      <c r="BK103">
        <f t="shared" si="223"/>
        <v>3.2131594317217009E-2</v>
      </c>
      <c r="BL103" s="460">
        <f t="shared" si="290"/>
        <v>111.67936033487427</v>
      </c>
      <c r="BM103" s="528">
        <f t="shared" si="224"/>
        <v>3.1724267470670031</v>
      </c>
      <c r="BN103" s="460">
        <f t="shared" si="291"/>
        <v>3172.4267470670029</v>
      </c>
      <c r="BO103" s="528">
        <f t="shared" si="225"/>
        <v>6.0882500000000004</v>
      </c>
      <c r="BP103" s="528"/>
      <c r="BR103" s="460">
        <f t="shared" si="292"/>
        <v>6088.25</v>
      </c>
      <c r="BS103" s="528">
        <f t="shared" si="226"/>
        <v>1.0256440599383478</v>
      </c>
      <c r="BT103" s="528">
        <f t="shared" si="227"/>
        <v>4.6985099643107349</v>
      </c>
      <c r="BU103" s="528">
        <f t="shared" si="228"/>
        <v>2.2050000000000001</v>
      </c>
      <c r="BV103" s="528">
        <f>(BU103+(BS103+BT103)*(1+Ltc*(Ta-25)))/(1-(BS103+BT103)*Ltc*ThetaCa)</f>
        <v>17.161973249100249</v>
      </c>
      <c r="BW103" s="528">
        <f t="shared" si="230"/>
        <v>2.5508183280741236E-2</v>
      </c>
      <c r="BX103" s="460">
        <f t="shared" si="293"/>
        <v>17187.481432380991</v>
      </c>
      <c r="BY103" s="173">
        <f t="shared" si="231"/>
        <v>26.559837539782869</v>
      </c>
      <c r="BZ103" s="5">
        <f t="shared" si="294"/>
        <v>147</v>
      </c>
      <c r="CA103" s="173">
        <f t="shared" si="295"/>
        <v>0.84697014057935549</v>
      </c>
      <c r="CB103" s="5">
        <f t="shared" si="296"/>
        <v>84.697014057935547</v>
      </c>
      <c r="CE103" s="562">
        <f t="shared" si="232"/>
        <v>-50</v>
      </c>
      <c r="CF103">
        <f t="shared" si="233"/>
        <v>-50</v>
      </c>
      <c r="CG103" s="173">
        <f t="shared" si="234"/>
        <v>0.82151762851562293</v>
      </c>
      <c r="CI103" s="170">
        <v>98</v>
      </c>
      <c r="CJ103" s="217">
        <f t="shared" si="297"/>
        <v>9.8000000000000007</v>
      </c>
      <c r="CK103" s="217"/>
      <c r="CL103" s="217">
        <f t="shared" si="235"/>
        <v>147</v>
      </c>
      <c r="CM103" s="541">
        <f t="shared" si="236"/>
        <v>72</v>
      </c>
      <c r="CN103" s="172">
        <f t="shared" si="237"/>
        <v>15.4</v>
      </c>
      <c r="CO103" s="443">
        <f t="shared" si="238"/>
        <v>87.4</v>
      </c>
      <c r="CP103" s="443"/>
      <c r="CQ103" s="217">
        <f t="shared" si="239"/>
        <v>0.17620137299771166</v>
      </c>
      <c r="CR103" s="172">
        <f t="shared" si="240"/>
        <v>318.30425629290613</v>
      </c>
      <c r="CS103" s="172">
        <f t="shared" si="298"/>
        <v>147</v>
      </c>
      <c r="CT103" s="217">
        <f t="shared" si="241"/>
        <v>21.220283752860407</v>
      </c>
      <c r="CU103" s="217">
        <f t="shared" si="242"/>
        <v>15</v>
      </c>
      <c r="CV103" s="217">
        <f t="shared" si="243"/>
        <v>21.144164759725399</v>
      </c>
      <c r="CW103" s="172">
        <f t="shared" si="244"/>
        <v>111.92985714371167</v>
      </c>
      <c r="CX103" s="532">
        <f t="shared" si="245"/>
        <v>15</v>
      </c>
      <c r="CY103" s="217">
        <f t="shared" si="246"/>
        <v>23.174242424242426</v>
      </c>
      <c r="CZ103" s="217">
        <f t="shared" si="247"/>
        <v>3.8623737373737375</v>
      </c>
      <c r="DA103" s="217">
        <f t="shared" si="248"/>
        <v>18.057851239669422</v>
      </c>
      <c r="DB103" s="197">
        <f t="shared" si="249"/>
        <v>105.72082379862701</v>
      </c>
      <c r="DC103" s="443">
        <f t="shared" si="299"/>
        <v>45.619969733307499</v>
      </c>
      <c r="DE103" s="217">
        <f t="shared" si="250"/>
        <v>9.9999999999999982</v>
      </c>
      <c r="DF103" s="173">
        <f t="shared" si="251"/>
        <v>7.7922077922077895</v>
      </c>
      <c r="DG103" s="173">
        <f t="shared" si="252"/>
        <v>4.118993135011439</v>
      </c>
      <c r="DH103" s="173"/>
      <c r="DI103" s="173">
        <f t="shared" si="253"/>
        <v>7.7922077922077913</v>
      </c>
      <c r="DJ103" s="545">
        <f t="shared" si="300"/>
        <v>251.53333333333336</v>
      </c>
      <c r="DK103" s="528">
        <f t="shared" si="254"/>
        <v>4.1189931350114417</v>
      </c>
      <c r="DM103" s="173">
        <f t="shared" si="255"/>
        <v>8.477420991472977</v>
      </c>
      <c r="DN103" s="173">
        <f t="shared" si="256"/>
        <v>23.174242424242426</v>
      </c>
      <c r="DO103" s="173">
        <f t="shared" si="257"/>
        <v>10.958698092031426</v>
      </c>
      <c r="DQ103" s="545">
        <f t="shared" si="258"/>
        <v>9800</v>
      </c>
      <c r="DR103" s="460">
        <f t="shared" si="259"/>
        <v>45.619969733307499</v>
      </c>
      <c r="DT103">
        <f t="shared" si="260"/>
        <v>9800</v>
      </c>
      <c r="DU103">
        <f t="shared" si="261"/>
        <v>45.619969733307499</v>
      </c>
      <c r="DW103" s="5">
        <f t="shared" si="301"/>
        <v>21.920224977043159</v>
      </c>
      <c r="DX103" s="5">
        <f t="shared" si="262"/>
        <v>3.8623737373737375</v>
      </c>
      <c r="DY103" s="5">
        <f t="shared" si="302"/>
        <v>18.057851239669422</v>
      </c>
      <c r="DZ103" s="5">
        <f t="shared" si="263"/>
        <v>18.057851239669422</v>
      </c>
      <c r="EA103" s="173">
        <f t="shared" si="303"/>
        <v>0.17620137299771169</v>
      </c>
      <c r="EB103" s="173">
        <f t="shared" si="264"/>
        <v>147</v>
      </c>
      <c r="EC103" s="173">
        <f t="shared" si="265"/>
        <v>9.5454545454545467</v>
      </c>
      <c r="ED103" s="173">
        <f t="shared" si="304"/>
        <v>15.399999999999999</v>
      </c>
      <c r="EE103" s="460">
        <f t="shared" si="266"/>
        <v>252.34175084175087</v>
      </c>
      <c r="EF103" s="5">
        <f t="shared" si="267"/>
        <v>10.241142485460665</v>
      </c>
      <c r="EG103" s="5"/>
      <c r="EH103" s="173">
        <f t="shared" si="305"/>
        <v>5.6162904888564</v>
      </c>
      <c r="EI103" s="173">
        <f t="shared" si="268"/>
        <v>12.143823606699565</v>
      </c>
      <c r="EJ103" s="173"/>
      <c r="EK103" s="528">
        <f t="shared" si="269"/>
        <v>0.6308543771043772</v>
      </c>
      <c r="EL103" s="528">
        <f t="shared" si="270"/>
        <v>1.8480000000000003</v>
      </c>
      <c r="EM103" s="528">
        <f t="shared" si="271"/>
        <v>5.7024962166634377E-3</v>
      </c>
      <c r="EN103" s="528">
        <f t="shared" si="272"/>
        <v>3.4848000000000011E-2</v>
      </c>
      <c r="EO103">
        <f t="shared" si="273"/>
        <v>3.2399999999999998E-2</v>
      </c>
      <c r="EP103" s="460">
        <f t="shared" si="306"/>
        <v>38.10249621666344</v>
      </c>
      <c r="EQ103" s="528">
        <f t="shared" si="274"/>
        <v>3.2021017953453295</v>
      </c>
      <c r="ER103" s="460">
        <f t="shared" si="307"/>
        <v>3202.1017953453293</v>
      </c>
      <c r="ES103" s="528">
        <f t="shared" si="308"/>
        <v>6.0882500000000004</v>
      </c>
      <c r="ET103" s="528"/>
      <c r="EV103" s="460">
        <f t="shared" si="309"/>
        <v>6088.25</v>
      </c>
      <c r="EW103" s="528">
        <f t="shared" si="275"/>
        <v>0.94628156565656585</v>
      </c>
      <c r="EX103" s="528">
        <f t="shared" si="276"/>
        <v>4.4241735537190081</v>
      </c>
      <c r="EY103" s="528">
        <f t="shared" si="277"/>
        <v>1.8170687138587012</v>
      </c>
      <c r="EZ103" s="528">
        <f t="shared" si="278"/>
        <v>14.861455401102026</v>
      </c>
      <c r="FA103" s="528">
        <f t="shared" si="279"/>
        <v>2.4500000000000004E-2</v>
      </c>
      <c r="FB103" s="460">
        <f t="shared" si="310"/>
        <v>14885.955401102025</v>
      </c>
      <c r="FC103" s="173">
        <f t="shared" si="311"/>
        <v>24.176307196447357</v>
      </c>
      <c r="FD103" s="5">
        <f t="shared" si="312"/>
        <v>147</v>
      </c>
      <c r="FE103" s="173">
        <f t="shared" si="313"/>
        <v>0.85876370630719434</v>
      </c>
      <c r="FF103" s="5">
        <f t="shared" si="314"/>
        <v>85.876370630719435</v>
      </c>
      <c r="FI103" s="562">
        <f t="shared" si="280"/>
        <v>-50</v>
      </c>
      <c r="FJ103">
        <f t="shared" si="281"/>
        <v>-50</v>
      </c>
      <c r="FL103">
        <f t="shared" si="282"/>
        <v>0.82379862700228834</v>
      </c>
    </row>
    <row r="104" spans="5:168" ht="13">
      <c r="E104" s="170">
        <v>99</v>
      </c>
      <c r="F104" s="217">
        <f>IF(PLOT_TYPE=1, E104/100*Iout_max, min_I*EXP(N104*rr/100))</f>
        <v>9.9</v>
      </c>
      <c r="G104" s="217"/>
      <c r="H104" s="217">
        <f>F104*Vout</f>
        <v>148.5</v>
      </c>
      <c r="I104" s="541">
        <f t="shared" si="184"/>
        <v>71.397473529021823</v>
      </c>
      <c r="J104" s="172">
        <f t="shared" si="185"/>
        <v>15.761515882586902</v>
      </c>
      <c r="K104" s="172">
        <f t="shared" si="186"/>
        <v>87.761515882586906</v>
      </c>
      <c r="L104" s="443"/>
      <c r="M104" s="217">
        <f t="shared" si="187"/>
        <v>0.180827064251046</v>
      </c>
      <c r="N104" s="172">
        <f>M104*I104*(Isw_max+VIN_nom/Lmag*ILIM_delay)*0.5*Efficiency</f>
        <v>323.92684192785714</v>
      </c>
      <c r="O104" s="172">
        <f t="shared" si="284"/>
        <v>148.5</v>
      </c>
      <c r="P104" s="217">
        <f>N104/Vout</f>
        <v>21.595122795190477</v>
      </c>
      <c r="Q104" s="217">
        <f t="shared" si="190"/>
        <v>15</v>
      </c>
      <c r="R104" s="217">
        <f>Isw_max/2*I104*Nps*(Q104+Vfwd1+F104/FL104*Rdcr_sec)/Q104/(I104+Nps*(Q104+Vfwd1+F104/FL104*Rdcr_sec))</f>
        <v>21.517659221991309</v>
      </c>
      <c r="S104" s="172">
        <f t="shared" si="192"/>
        <v>109.15984701666862</v>
      </c>
      <c r="T104" s="532">
        <f>MIN(Vout, S104)</f>
        <v>15</v>
      </c>
      <c r="U104" s="217">
        <f t="shared" si="194"/>
        <v>24.17072041314114</v>
      </c>
      <c r="V104" s="217">
        <f t="shared" si="195"/>
        <v>4.0624497005456925</v>
      </c>
      <c r="W104" s="217">
        <f t="shared" si="196"/>
        <v>18.402331800974505</v>
      </c>
      <c r="X104" s="197">
        <f t="shared" si="197"/>
        <v>107.59383709788365</v>
      </c>
      <c r="Y104" s="443">
        <f t="shared" si="198"/>
        <v>44.121316586834382</v>
      </c>
      <c r="AA104" s="217">
        <f t="shared" si="199"/>
        <v>10</v>
      </c>
      <c r="AB104" s="173">
        <f>L*AA104/J104*1000000</f>
        <v>7.6134808919346577</v>
      </c>
      <c r="AC104" s="173">
        <f>0.5*AB104*AA104*Nps*X104/1000</f>
        <v>4.0958181141733379</v>
      </c>
      <c r="AD104" s="173"/>
      <c r="AE104" s="173">
        <f t="shared" si="202"/>
        <v>7.6134808919346577</v>
      </c>
      <c r="AF104" s="545">
        <f>MAX(12, F104/(0.5*AE104/1000000*Isw_min*Nps)/1000)</f>
        <v>260.06501206268388</v>
      </c>
      <c r="AG104" s="528">
        <f t="shared" si="204"/>
        <v>4.095818114173337</v>
      </c>
      <c r="AI104" s="173">
        <f t="shared" si="205"/>
        <v>8.6199935708077433</v>
      </c>
      <c r="AJ104" s="173">
        <f>MAX(IF(F104&gt;AC104,U104,AI104),Isw_min)</f>
        <v>24.17072041314114</v>
      </c>
      <c r="AK104" s="173">
        <f>IF(F104&gt;AG104, (AJ104-Isw_min)/1.08*0.8+1.2, AF104*0.2/350+1)</f>
        <v>11.696829935660103</v>
      </c>
      <c r="AM104" s="545">
        <f t="shared" si="208"/>
        <v>9900</v>
      </c>
      <c r="AN104" s="460">
        <f t="shared" si="209"/>
        <v>44.121316586834382</v>
      </c>
      <c r="AP104">
        <f t="shared" si="210"/>
        <v>9900</v>
      </c>
      <c r="AQ104">
        <f t="shared" si="211"/>
        <v>44.121316586834382</v>
      </c>
      <c r="AS104" s="5">
        <f t="shared" si="285"/>
        <v>22.664781501520196</v>
      </c>
      <c r="AT104" s="5">
        <f t="shared" si="212"/>
        <v>4.0624497005456925</v>
      </c>
      <c r="AU104" s="5">
        <f t="shared" si="286"/>
        <v>18.602331800974504</v>
      </c>
      <c r="AV104" s="5">
        <f t="shared" si="213"/>
        <v>18.402331800974505</v>
      </c>
      <c r="AW104" s="173">
        <f t="shared" si="287"/>
        <v>0.17924062935586701</v>
      </c>
      <c r="AX104" s="173">
        <f t="shared" si="214"/>
        <v>154.66031964642204</v>
      </c>
      <c r="AY104" s="173">
        <f t="shared" si="215"/>
        <v>9.91917263715251</v>
      </c>
      <c r="AZ104" s="173">
        <f t="shared" si="288"/>
        <v>15.592058461321454</v>
      </c>
      <c r="BA104" s="460">
        <f t="shared" si="216"/>
        <v>268.12168023601572</v>
      </c>
      <c r="BB104" s="5">
        <f t="shared" si="217"/>
        <v>10.747525771738765</v>
      </c>
      <c r="BC104" s="5"/>
      <c r="BD104" s="173">
        <f t="shared" si="289"/>
        <v>5.9080912937442944</v>
      </c>
      <c r="BE104" s="173">
        <f t="shared" si="218"/>
        <v>12.64261440637163</v>
      </c>
      <c r="BF104" s="173"/>
      <c r="BG104" s="528">
        <f t="shared" si="219"/>
        <v>0.69811085470434264</v>
      </c>
      <c r="BH104" s="528">
        <f t="shared" si="220"/>
        <v>1.7548639256315806</v>
      </c>
      <c r="BI104" s="528">
        <f t="shared" si="221"/>
        <v>7.875376332685248E-2</v>
      </c>
      <c r="BJ104" s="528">
        <f t="shared" si="222"/>
        <v>3.3982607198277878E-2</v>
      </c>
      <c r="BK104">
        <f t="shared" si="223"/>
        <v>3.2128863088059817E-2</v>
      </c>
      <c r="BL104" s="460">
        <f t="shared" si="290"/>
        <v>110.88262641491229</v>
      </c>
      <c r="BM104" s="528">
        <f t="shared" si="224"/>
        <v>3.207474820312878</v>
      </c>
      <c r="BN104" s="460">
        <f t="shared" si="291"/>
        <v>3207.4748203128779</v>
      </c>
      <c r="BO104" s="528">
        <f t="shared" si="225"/>
        <v>6.1503749999999995</v>
      </c>
      <c r="BP104" s="528"/>
      <c r="BR104" s="460">
        <f t="shared" si="292"/>
        <v>6150.3749999999991</v>
      </c>
      <c r="BS104" s="528">
        <f t="shared" si="226"/>
        <v>1.047166282056514</v>
      </c>
      <c r="BT104" s="528">
        <f t="shared" si="227"/>
        <v>4.7950709708458641</v>
      </c>
      <c r="BU104" s="528">
        <f t="shared" si="228"/>
        <v>2.2275</v>
      </c>
      <c r="BV104" s="528">
        <f>(BU104+(BS104+BT104)*(1+Ltc*(Ta-25)))/(1-(BS104+BT104)*Ltc*ThetaCa)</f>
        <v>17.78351556183064</v>
      </c>
      <c r="BW104" s="528">
        <f t="shared" si="230"/>
        <v>2.577671994107034E-2</v>
      </c>
      <c r="BX104" s="460">
        <f t="shared" si="293"/>
        <v>17809.292281771712</v>
      </c>
      <c r="BY104" s="173">
        <f t="shared" si="231"/>
        <v>27.278024728499499</v>
      </c>
      <c r="BZ104" s="5">
        <f t="shared" si="294"/>
        <v>148.5</v>
      </c>
      <c r="CA104" s="173">
        <f t="shared" si="295"/>
        <v>0.84481550085323709</v>
      </c>
      <c r="CB104" s="5">
        <f t="shared" si="296"/>
        <v>84.481550085323704</v>
      </c>
      <c r="CE104" s="562">
        <f t="shared" si="232"/>
        <v>-50</v>
      </c>
      <c r="CF104">
        <f t="shared" si="233"/>
        <v>-50</v>
      </c>
      <c r="CG104" s="173">
        <f t="shared" si="234"/>
        <v>0.82154066890437716</v>
      </c>
      <c r="CI104" s="170">
        <v>99</v>
      </c>
      <c r="CJ104" s="217">
        <f t="shared" si="297"/>
        <v>9.9</v>
      </c>
      <c r="CK104" s="217"/>
      <c r="CL104" s="217">
        <f t="shared" si="235"/>
        <v>148.5</v>
      </c>
      <c r="CM104" s="541">
        <f t="shared" si="236"/>
        <v>72</v>
      </c>
      <c r="CN104" s="172">
        <f t="shared" si="237"/>
        <v>15.4</v>
      </c>
      <c r="CO104" s="443">
        <f t="shared" si="238"/>
        <v>87.4</v>
      </c>
      <c r="CP104" s="443"/>
      <c r="CQ104" s="217">
        <f t="shared" si="239"/>
        <v>0.17620137299771166</v>
      </c>
      <c r="CR104" s="172">
        <f t="shared" si="240"/>
        <v>318.30425629290613</v>
      </c>
      <c r="CS104" s="172">
        <f t="shared" si="298"/>
        <v>148.5</v>
      </c>
      <c r="CT104" s="217">
        <f t="shared" si="241"/>
        <v>21.220283752860407</v>
      </c>
      <c r="CU104" s="217">
        <f t="shared" si="242"/>
        <v>15</v>
      </c>
      <c r="CV104" s="217">
        <f t="shared" si="243"/>
        <v>21.144164759725399</v>
      </c>
      <c r="CW104" s="172">
        <f t="shared" si="244"/>
        <v>110.07886516207523</v>
      </c>
      <c r="CX104" s="532">
        <f t="shared" si="245"/>
        <v>15</v>
      </c>
      <c r="CY104" s="217">
        <f t="shared" si="246"/>
        <v>23.410714285714288</v>
      </c>
      <c r="CZ104" s="217">
        <f t="shared" si="247"/>
        <v>3.9017857142857144</v>
      </c>
      <c r="DA104" s="217">
        <f t="shared" si="248"/>
        <v>18.242115027829314</v>
      </c>
      <c r="DB104" s="197">
        <f t="shared" si="249"/>
        <v>105.72082379862701</v>
      </c>
      <c r="DC104" s="443">
        <f t="shared" si="299"/>
        <v>45.159161958223578</v>
      </c>
      <c r="DE104" s="217">
        <f t="shared" si="250"/>
        <v>9.9999999999999982</v>
      </c>
      <c r="DF104" s="173">
        <f t="shared" si="251"/>
        <v>7.7922077922077895</v>
      </c>
      <c r="DG104" s="173">
        <f t="shared" si="252"/>
        <v>4.118993135011439</v>
      </c>
      <c r="DH104" s="173"/>
      <c r="DI104" s="173">
        <f t="shared" si="253"/>
        <v>7.7922077922077913</v>
      </c>
      <c r="DJ104" s="545">
        <f t="shared" si="300"/>
        <v>254.10000000000002</v>
      </c>
      <c r="DK104" s="528">
        <f t="shared" si="254"/>
        <v>4.1189931350114417</v>
      </c>
      <c r="DM104" s="173">
        <f t="shared" si="255"/>
        <v>8.5205633616563183</v>
      </c>
      <c r="DN104" s="173">
        <f t="shared" si="256"/>
        <v>23.410714285714288</v>
      </c>
      <c r="DO104" s="173">
        <f t="shared" si="257"/>
        <v>11.133862433862436</v>
      </c>
      <c r="DQ104" s="545">
        <f t="shared" si="258"/>
        <v>9900</v>
      </c>
      <c r="DR104" s="460">
        <f t="shared" si="259"/>
        <v>45.159161958223578</v>
      </c>
      <c r="DT104">
        <f t="shared" si="260"/>
        <v>9900</v>
      </c>
      <c r="DU104">
        <f t="shared" si="261"/>
        <v>45.159161958223578</v>
      </c>
      <c r="DW104" s="5">
        <f t="shared" si="301"/>
        <v>22.143900742115029</v>
      </c>
      <c r="DX104" s="5">
        <f t="shared" si="262"/>
        <v>3.9017857142857144</v>
      </c>
      <c r="DY104" s="5">
        <f t="shared" si="302"/>
        <v>18.242115027829314</v>
      </c>
      <c r="DZ104" s="5">
        <f t="shared" si="263"/>
        <v>18.242115027829314</v>
      </c>
      <c r="EA104" s="173">
        <f t="shared" si="303"/>
        <v>0.17620137299771166</v>
      </c>
      <c r="EB104" s="173">
        <f t="shared" si="264"/>
        <v>148.50000000000003</v>
      </c>
      <c r="EC104" s="173">
        <f t="shared" si="265"/>
        <v>9.6428571428571441</v>
      </c>
      <c r="ED104" s="173">
        <f t="shared" si="304"/>
        <v>15.4</v>
      </c>
      <c r="EE104" s="460">
        <f t="shared" si="266"/>
        <v>257.51785714285717</v>
      </c>
      <c r="EF104" s="5">
        <f t="shared" si="267"/>
        <v>10.451211734693878</v>
      </c>
      <c r="EG104" s="5"/>
      <c r="EH104" s="173">
        <f t="shared" si="305"/>
        <v>5.6735995754773834</v>
      </c>
      <c r="EI104" s="173">
        <f t="shared" si="268"/>
        <v>12.267740174114868</v>
      </c>
      <c r="EJ104" s="173"/>
      <c r="EK104" s="528">
        <f t="shared" si="269"/>
        <v>0.64379464285714294</v>
      </c>
      <c r="EL104" s="528">
        <f t="shared" si="270"/>
        <v>1.8480000000000001</v>
      </c>
      <c r="EM104" s="528">
        <f t="shared" si="271"/>
        <v>5.6448952447779475E-3</v>
      </c>
      <c r="EN104" s="528">
        <f t="shared" si="272"/>
        <v>3.4496000000000006E-2</v>
      </c>
      <c r="EO104">
        <f t="shared" si="273"/>
        <v>3.2399999999999998E-2</v>
      </c>
      <c r="EP104" s="460">
        <f t="shared" si="306"/>
        <v>38.04489524477794</v>
      </c>
      <c r="EQ104" s="528">
        <f t="shared" si="274"/>
        <v>3.2326433433679425</v>
      </c>
      <c r="ER104" s="460">
        <f t="shared" si="307"/>
        <v>3232.6433433679426</v>
      </c>
      <c r="ES104" s="528">
        <f t="shared" si="308"/>
        <v>6.1503749999999995</v>
      </c>
      <c r="ET104" s="528"/>
      <c r="EV104" s="460">
        <f t="shared" si="309"/>
        <v>6150.3749999999991</v>
      </c>
      <c r="EW104" s="528">
        <f t="shared" si="275"/>
        <v>0.96569196428571435</v>
      </c>
      <c r="EX104" s="528">
        <f t="shared" si="276"/>
        <v>4.5149234693877567</v>
      </c>
      <c r="EY104" s="528">
        <f t="shared" si="277"/>
        <v>1.8170687138587012</v>
      </c>
      <c r="EZ104" s="528">
        <f t="shared" si="278"/>
        <v>15.337939833308781</v>
      </c>
      <c r="FA104" s="528">
        <f t="shared" si="279"/>
        <v>2.4750000000000001E-2</v>
      </c>
      <c r="FB104" s="460">
        <f t="shared" si="310"/>
        <v>15362.689833308779</v>
      </c>
      <c r="FC104" s="173">
        <f t="shared" si="311"/>
        <v>24.745708176676725</v>
      </c>
      <c r="FD104" s="5">
        <f t="shared" si="312"/>
        <v>148.5</v>
      </c>
      <c r="FE104" s="173">
        <f t="shared" si="313"/>
        <v>0.85716409117944248</v>
      </c>
      <c r="FF104" s="5">
        <f t="shared" si="314"/>
        <v>85.716409117944252</v>
      </c>
      <c r="FI104" s="562">
        <f t="shared" si="280"/>
        <v>-50</v>
      </c>
      <c r="FJ104">
        <f t="shared" si="281"/>
        <v>-50</v>
      </c>
      <c r="FL104">
        <f t="shared" si="282"/>
        <v>0.82379862700228834</v>
      </c>
    </row>
    <row r="105" spans="5:168" ht="13">
      <c r="E105" s="170">
        <v>100</v>
      </c>
      <c r="F105" s="217">
        <f>IF(PLOT_TYPE=1, E105/100*Iout_max, min_I*EXP(N105*rr/100))</f>
        <v>10</v>
      </c>
      <c r="G105" s="217"/>
      <c r="H105" s="217">
        <f>F105*Vout</f>
        <v>150</v>
      </c>
      <c r="I105" s="541">
        <f t="shared" si="184"/>
        <v>71.391404129965878</v>
      </c>
      <c r="J105" s="172">
        <f t="shared" si="185"/>
        <v>15.76515752202047</v>
      </c>
      <c r="K105" s="172">
        <f t="shared" si="186"/>
        <v>87.765157522020473</v>
      </c>
      <c r="L105" s="443"/>
      <c r="M105" s="217">
        <f t="shared" si="187"/>
        <v>0.18087388473939925</v>
      </c>
      <c r="N105" s="172">
        <f>M105*I105*(Isw_max+VIN_nom/Lmag*ILIM_delay)*0.5*Efficiency</f>
        <v>323.98317070386184</v>
      </c>
      <c r="O105" s="172">
        <f t="shared" si="284"/>
        <v>150</v>
      </c>
      <c r="P105" s="217">
        <f>N105/Vout</f>
        <v>21.598878046924124</v>
      </c>
      <c r="Q105" s="217">
        <f t="shared" si="190"/>
        <v>15</v>
      </c>
      <c r="R105" s="217">
        <f>Isw_max/2*I105*Nps*(Q105+Vfwd1+F105/FL105*Rdcr_sec)/Q105/(I105+Nps*(Q105+Vfwd1+F105/FL105*Rdcr_sec))</f>
        <v>21.521401003312196</v>
      </c>
      <c r="S105" s="172">
        <f t="shared" si="192"/>
        <v>107.35212705747669</v>
      </c>
      <c r="T105" s="532">
        <f>MIN(Vout, S105)</f>
        <v>15</v>
      </c>
      <c r="U105" s="217">
        <f t="shared" si="194"/>
        <v>24.416264635436637</v>
      </c>
      <c r="V105" s="217">
        <f>L*U105/I105*1000000</f>
        <v>4.1040679784340819</v>
      </c>
      <c r="W105" s="217">
        <f t="shared" si="196"/>
        <v>18.5849824345865</v>
      </c>
      <c r="X105" s="197">
        <f t="shared" si="197"/>
        <v>107.61254521883762</v>
      </c>
      <c r="Y105" s="443">
        <f>MIN(1/(V105+W105+0.2)*1000, 350)</f>
        <v>43.689012080254045</v>
      </c>
      <c r="AA105" s="217">
        <f t="shared" si="199"/>
        <v>10</v>
      </c>
      <c r="AB105" s="173">
        <f>L*AA105/J105*1000000</f>
        <v>7.61172223191467</v>
      </c>
      <c r="AC105" s="173">
        <f>0.5*AB105*AA105*Nps*X105/1000</f>
        <v>4.0955840143757456</v>
      </c>
      <c r="AD105" s="173"/>
      <c r="AE105" s="173">
        <f t="shared" si="202"/>
        <v>7.61172223191467</v>
      </c>
      <c r="AF105" s="545">
        <f>MAX(12, F105/(0.5*AE105/1000000*Isw_min*Nps)/1000)</f>
        <v>262.75262536700779</v>
      </c>
      <c r="AG105" s="528">
        <f t="shared" si="204"/>
        <v>4.0955840143757456</v>
      </c>
      <c r="AI105" s="173">
        <f t="shared" si="205"/>
        <v>8.6644202735259768</v>
      </c>
      <c r="AJ105" s="173">
        <f>MAX(IF(F105&gt;AC105,U105,AI105),Isw_min)</f>
        <v>24.416264635436637</v>
      </c>
      <c r="AK105" s="173">
        <f>IF(F105&gt;AG105, (AJ105-Isw_min)/1.08*0.8+1.2, AF105*0.2/350+1)</f>
        <v>11.878714544767877</v>
      </c>
      <c r="AM105" s="545">
        <f t="shared" si="208"/>
        <v>10000</v>
      </c>
      <c r="AN105" s="460">
        <f t="shared" si="209"/>
        <v>43.689012080254045</v>
      </c>
      <c r="AP105">
        <f t="shared" si="210"/>
        <v>10000</v>
      </c>
      <c r="AQ105" s="3">
        <f t="shared" si="211"/>
        <v>43.689012080254045</v>
      </c>
      <c r="AS105" s="5">
        <f t="shared" si="285"/>
        <v>22.889050413020581</v>
      </c>
      <c r="AT105" s="5">
        <f t="shared" si="212"/>
        <v>4.1040679784340819</v>
      </c>
      <c r="AU105" s="5">
        <f t="shared" si="286"/>
        <v>18.7849824345865</v>
      </c>
      <c r="AV105" s="5">
        <f t="shared" si="213"/>
        <v>18.5849824345865</v>
      </c>
      <c r="AW105" s="173">
        <f t="shared" si="287"/>
        <v>0.17930267548799039</v>
      </c>
      <c r="AX105" s="173">
        <f t="shared" si="214"/>
        <v>156.27227027519177</v>
      </c>
      <c r="AY105" s="173">
        <f t="shared" si="215"/>
        <v>10.019181530440022</v>
      </c>
      <c r="AZ105" s="173">
        <f t="shared" si="288"/>
        <v>15.597309001779172</v>
      </c>
      <c r="BA105" s="460">
        <f t="shared" si="216"/>
        <v>273.60453189560548</v>
      </c>
      <c r="BB105" s="5">
        <f t="shared" si="217"/>
        <v>10.963611249558964</v>
      </c>
      <c r="BC105" s="5"/>
      <c r="BD105" s="173">
        <f t="shared" si="289"/>
        <v>5.9691429700940173</v>
      </c>
      <c r="BE105" s="173">
        <f t="shared" si="218"/>
        <v>12.770564792461936</v>
      </c>
      <c r="BF105" s="173"/>
      <c r="BG105" s="528">
        <f t="shared" si="219"/>
        <v>0.71261335594845654</v>
      </c>
      <c r="BH105" s="528">
        <f t="shared" si="220"/>
        <v>1.7553949976853069</v>
      </c>
      <c r="BI105" s="528">
        <f t="shared" si="221"/>
        <v>7.797549793650943E-2</v>
      </c>
      <c r="BJ105" s="528">
        <f t="shared" si="222"/>
        <v>3.3652435273082905E-2</v>
      </c>
      <c r="BK105">
        <f t="shared" si="223"/>
        <v>3.2126131858484647E-2</v>
      </c>
      <c r="BL105" s="460">
        <f t="shared" si="290"/>
        <v>110.10162979499408</v>
      </c>
      <c r="BM105" s="528">
        <f t="shared" si="224"/>
        <v>3.2431940691332124</v>
      </c>
      <c r="BN105" s="460">
        <f t="shared" si="291"/>
        <v>3243.1940691332125</v>
      </c>
      <c r="BO105" s="528">
        <f t="shared" si="225"/>
        <v>6.2124999999999995</v>
      </c>
      <c r="BP105" s="528"/>
      <c r="BR105" s="460">
        <f t="shared" si="292"/>
        <v>6212.4999999999991</v>
      </c>
      <c r="BS105" s="528">
        <f t="shared" si="226"/>
        <v>1.0689200339226848</v>
      </c>
      <c r="BT105" s="528">
        <f t="shared" si="227"/>
        <v>4.892619753554051</v>
      </c>
      <c r="BU105" s="528">
        <f t="shared" si="228"/>
        <v>2.25</v>
      </c>
      <c r="BV105" s="528">
        <f>(BU105+(BS105+BT105)*(1+Ltc*(Ta-25)))/(1-(BS105+BT105)*Ltc*ThetaCa)</f>
        <v>18.433830410872222</v>
      </c>
      <c r="BW105" s="528">
        <f t="shared" si="230"/>
        <v>2.6045378379198632E-2</v>
      </c>
      <c r="BX105" s="460">
        <f t="shared" si="293"/>
        <v>18459.875789251419</v>
      </c>
      <c r="BY105" s="173">
        <f>SUM(BM105,BO105:BQ105,BV105, BW105)+BK105+BI105</f>
        <v>28.025671488179626</v>
      </c>
      <c r="BZ105" s="5">
        <f t="shared" si="294"/>
        <v>150</v>
      </c>
      <c r="CA105" s="173">
        <f>BZ105/(BZ105+BY105)</f>
        <v>0.84257511147744524</v>
      </c>
      <c r="CB105" s="5">
        <f>CA105*100</f>
        <v>84.257511147744523</v>
      </c>
      <c r="CE105" s="562">
        <f t="shared" si="232"/>
        <v>-50</v>
      </c>
      <c r="CF105">
        <f t="shared" si="233"/>
        <v>-50</v>
      </c>
      <c r="CG105" s="173">
        <f t="shared" si="234"/>
        <v>0.82156324848535622</v>
      </c>
      <c r="CI105" s="170">
        <v>100</v>
      </c>
      <c r="CJ105" s="217">
        <f t="shared" si="297"/>
        <v>10</v>
      </c>
      <c r="CK105" s="217"/>
      <c r="CL105" s="217">
        <f t="shared" si="235"/>
        <v>150</v>
      </c>
      <c r="CM105" s="541">
        <f t="shared" si="236"/>
        <v>72</v>
      </c>
      <c r="CN105" s="172">
        <f t="shared" si="237"/>
        <v>15.4</v>
      </c>
      <c r="CO105" s="443">
        <f t="shared" si="238"/>
        <v>87.4</v>
      </c>
      <c r="CP105" s="443"/>
      <c r="CQ105" s="217">
        <f t="shared" si="239"/>
        <v>0.17620137299771166</v>
      </c>
      <c r="CR105" s="172">
        <f t="shared" si="240"/>
        <v>318.30425629290613</v>
      </c>
      <c r="CS105" s="172">
        <f t="shared" si="298"/>
        <v>150</v>
      </c>
      <c r="CT105" s="217">
        <f t="shared" si="241"/>
        <v>21.220283752860407</v>
      </c>
      <c r="CU105" s="217">
        <f t="shared" si="242"/>
        <v>15</v>
      </c>
      <c r="CV105" s="217">
        <f t="shared" si="243"/>
        <v>21.144164759725399</v>
      </c>
      <c r="CW105" s="172">
        <f t="shared" si="244"/>
        <v>108.26503465527219</v>
      </c>
      <c r="CX105" s="532">
        <f t="shared" si="245"/>
        <v>15</v>
      </c>
      <c r="CY105" s="217">
        <f t="shared" si="246"/>
        <v>23.647186147186147</v>
      </c>
      <c r="CZ105" s="217">
        <f t="shared" si="247"/>
        <v>3.9411976911976914</v>
      </c>
      <c r="DA105" s="217">
        <f t="shared" si="248"/>
        <v>18.426378815989207</v>
      </c>
      <c r="DB105" s="197">
        <f t="shared" si="249"/>
        <v>105.72082379862701</v>
      </c>
      <c r="DC105" s="443">
        <f t="shared" si="299"/>
        <v>44.707570338641354</v>
      </c>
      <c r="DE105" s="217">
        <f t="shared" si="250"/>
        <v>9.9999999999999982</v>
      </c>
      <c r="DF105" s="173">
        <f t="shared" si="251"/>
        <v>7.7922077922077895</v>
      </c>
      <c r="DG105" s="173">
        <f t="shared" si="252"/>
        <v>4.118993135011439</v>
      </c>
      <c r="DH105" s="173"/>
      <c r="DI105" s="173">
        <f t="shared" si="253"/>
        <v>7.7922077922077913</v>
      </c>
      <c r="DJ105" s="545">
        <f t="shared" si="300"/>
        <v>256.66666666666669</v>
      </c>
      <c r="DK105" s="528">
        <f t="shared" si="254"/>
        <v>4.1189931350114417</v>
      </c>
      <c r="DM105" s="173">
        <f t="shared" si="255"/>
        <v>8.5634883857767541</v>
      </c>
      <c r="DN105" s="173">
        <f t="shared" si="256"/>
        <v>23.647186147186147</v>
      </c>
      <c r="DO105" s="173">
        <f t="shared" si="257"/>
        <v>11.309026775693443</v>
      </c>
      <c r="DQ105" s="545">
        <f t="shared" si="258"/>
        <v>10000</v>
      </c>
      <c r="DR105" s="460">
        <f t="shared" si="259"/>
        <v>44.707570338641354</v>
      </c>
      <c r="DT105">
        <f t="shared" si="260"/>
        <v>10000</v>
      </c>
      <c r="DU105" s="3">
        <f t="shared" si="261"/>
        <v>44.707570338641354</v>
      </c>
      <c r="DW105" s="5">
        <f t="shared" si="301"/>
        <v>22.367576507186897</v>
      </c>
      <c r="DX105" s="5">
        <f t="shared" si="262"/>
        <v>3.9411976911976914</v>
      </c>
      <c r="DY105" s="5">
        <f t="shared" si="302"/>
        <v>18.426378815989207</v>
      </c>
      <c r="DZ105" s="5">
        <f t="shared" si="263"/>
        <v>18.426378815989207</v>
      </c>
      <c r="EA105" s="173">
        <f t="shared" si="303"/>
        <v>0.17620137299771169</v>
      </c>
      <c r="EB105" s="173">
        <f t="shared" si="264"/>
        <v>150.00000000000003</v>
      </c>
      <c r="EC105" s="173">
        <f t="shared" si="265"/>
        <v>9.7402597402597397</v>
      </c>
      <c r="ED105" s="173">
        <f t="shared" si="304"/>
        <v>15.400000000000004</v>
      </c>
      <c r="EE105" s="460">
        <f t="shared" si="266"/>
        <v>262.74651274651279</v>
      </c>
      <c r="EF105" s="5">
        <f t="shared" si="267"/>
        <v>10.66341366666042</v>
      </c>
      <c r="EG105" s="5"/>
      <c r="EH105" s="173">
        <f t="shared" si="305"/>
        <v>5.7309086620983676</v>
      </c>
      <c r="EI105" s="173">
        <f t="shared" si="268"/>
        <v>12.391656741530168</v>
      </c>
      <c r="EJ105" s="173"/>
      <c r="EK105" s="528">
        <f t="shared" si="269"/>
        <v>0.65686628186628204</v>
      </c>
      <c r="EL105" s="528">
        <f t="shared" si="270"/>
        <v>1.8480000000000003</v>
      </c>
      <c r="EM105" s="528">
        <f t="shared" si="271"/>
        <v>5.5884462923301691E-3</v>
      </c>
      <c r="EN105" s="528">
        <f t="shared" si="272"/>
        <v>3.4151040000000008E-2</v>
      </c>
      <c r="EO105">
        <f t="shared" si="273"/>
        <v>3.2399999999999998E-2</v>
      </c>
      <c r="EP105" s="460">
        <f t="shared" si="306"/>
        <v>37.988446292330167</v>
      </c>
      <c r="EQ105" s="528">
        <f t="shared" si="274"/>
        <v>3.2637355310770313</v>
      </c>
      <c r="ER105" s="460">
        <f t="shared" si="307"/>
        <v>3263.7355310770313</v>
      </c>
      <c r="ES105" s="528">
        <f t="shared" si="308"/>
        <v>6.2124999999999995</v>
      </c>
      <c r="ET105" s="528"/>
      <c r="EV105" s="460">
        <f t="shared" si="309"/>
        <v>6212.4999999999991</v>
      </c>
      <c r="EW105" s="528">
        <f t="shared" si="275"/>
        <v>0.98529942279942295</v>
      </c>
      <c r="EX105" s="528">
        <f t="shared" si="276"/>
        <v>4.6065947039973016</v>
      </c>
      <c r="EY105" s="528">
        <f t="shared" si="277"/>
        <v>1.8170687138586996</v>
      </c>
      <c r="EZ105" s="528">
        <f t="shared" si="278"/>
        <v>15.834690419685201</v>
      </c>
      <c r="FA105" s="528">
        <f t="shared" si="279"/>
        <v>2.5000000000000001E-2</v>
      </c>
      <c r="FB105" s="460">
        <f t="shared" si="310"/>
        <v>15859.690419685201</v>
      </c>
      <c r="FC105" s="173">
        <f t="shared" si="311"/>
        <v>25.335925950762231</v>
      </c>
      <c r="FD105" s="5">
        <f t="shared" si="312"/>
        <v>150</v>
      </c>
      <c r="FE105" s="173">
        <f t="shared" si="313"/>
        <v>0.85550065787500362</v>
      </c>
      <c r="FF105" s="5">
        <f t="shared" si="314"/>
        <v>85.550065787500358</v>
      </c>
      <c r="FI105" s="562">
        <f t="shared" si="280"/>
        <v>-50</v>
      </c>
      <c r="FJ105">
        <f t="shared" si="281"/>
        <v>-50</v>
      </c>
      <c r="FL105">
        <f t="shared" si="282"/>
        <v>0.82379862700228834</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14.189823843315455</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14.189823843315455</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1.5000000000000002E-8</v>
      </c>
      <c r="I110" s="541">
        <f t="shared" ref="I110:I141" si="316">VIN_min-F110*(Rdcr_pri+RON/1000)/CG110/Nps</f>
        <v>18.999988589113386</v>
      </c>
      <c r="J110" s="172">
        <f t="shared" ref="J110:J141" si="317">(T110+Vfwd1+F110/CG110*Rdcr_sec)*Nps</f>
        <v>15.400006846531969</v>
      </c>
      <c r="K110" s="172">
        <f t="shared" ref="K110:K141" si="318">(Vout+Vfwd1+F110/CG110*Rdcr_sec)*Nps++I110</f>
        <v>34.399995435645351</v>
      </c>
      <c r="L110" s="443"/>
      <c r="M110" s="217">
        <f t="shared" ref="M110:M141" si="319">(Vout+Vfwd1+F110/FL110*Rdcr_sec)*Nps/((Vout+Vfwd1+F110/FL110*Rdcr_sec)*Nps+I110)</f>
        <v>0.44767467848739573</v>
      </c>
      <c r="N110" s="172">
        <f>M110*I110*(Isw_max+VIN_min/Lmag*ILIM_delay)*0.5*Efficiency</f>
        <v>212.84735764973183</v>
      </c>
      <c r="O110" s="172">
        <f t="shared" si="284"/>
        <v>1.5000000000000002E-8</v>
      </c>
      <c r="P110" s="217">
        <f t="shared" ref="P110:P141" si="320">N110/Vout</f>
        <v>14.189823843315455</v>
      </c>
      <c r="Q110" s="217">
        <f t="shared" ref="Q110:Q141" si="321">MIN(Vout,N110/F110)</f>
        <v>15</v>
      </c>
      <c r="R110" s="217"/>
      <c r="S110" s="172">
        <f t="shared" ref="S110:S141" si="322">(SQRT(Isw_max^2*Nps^2*I110^2+4*Isw_max*F110/Efficiency*(Nps^2*Vfwd1*I110-Nps*I110^2)+4*(F110/Efficiency)^2*Nps^2*Vfwd1^2+8*(F110/Efficiency)^2*Nps*Vfwd1*I110+4*(F110/Efficiency)^2*I110^2)-2*F110/Efficiency*I110-2*F110/Efficiency*Nps*Vfwd1+Isw_max*Nps*I110)/(4*F110/Efficiency*Nps)</f>
        <v>474999714708.83459</v>
      </c>
      <c r="T110" s="172">
        <f t="shared" ref="T110:T141" si="323">MIN(Vout, S110)</f>
        <v>15</v>
      </c>
      <c r="U110" s="217">
        <f t="shared" ref="U110:U141" si="324">MIN(2*(Vout+Vfwd1+F110/FL110*Rdcr_sec)*F110/(I110*M110), Isw_max)</f>
        <v>3.6210543353739022E-9</v>
      </c>
      <c r="V110" s="217">
        <f t="shared" ref="V110:V141" si="325">L*U110/I110*1000000</f>
        <v>2.2869830589995369E-9</v>
      </c>
      <c r="W110" s="217">
        <f t="shared" ref="W110:W141" si="326">L*U110/J110*1000000</f>
        <v>2.821599526384121E-9</v>
      </c>
      <c r="X110" s="197">
        <f t="shared" ref="X110:X141" si="327">IF(1/((350000*L)*(1/I110+1/J110))&gt;Isw_min, 350, 0.001/((Isw_min*L)*(1/I110+1/J110)))</f>
        <v>70.881781293586712</v>
      </c>
      <c r="Y110" s="443">
        <f t="shared" ref="Y110:Y173" si="328">MIN(1/(V110+W110+0.2)*1000, 350)</f>
        <v>350</v>
      </c>
      <c r="AA110" s="217">
        <f t="shared" ref="AA110:AA141" si="329">1/((X110*1000*L)*(1/I110+1/J110))</f>
        <v>10</v>
      </c>
      <c r="AB110" s="173">
        <f t="shared" ref="AB110:AB141" si="330">L*AA110/J110*1000000</f>
        <v>7.7922043279496078</v>
      </c>
      <c r="AC110" s="173">
        <f t="shared" ref="AC110:AC141" si="331">0.5*AB110*AA110*Nps*X110/1000</f>
        <v>2.7616266148433195</v>
      </c>
      <c r="AD110" s="173"/>
      <c r="AE110" s="173">
        <f t="shared" ref="AE110:AE141" si="332">L*Isw_min/J110*1000000</f>
        <v>7.7922043279496078</v>
      </c>
      <c r="AF110" s="545">
        <f t="shared" ref="AF110:AF141" si="333">MAX(12000,F110/(0.5*AE110/1000000*Isw_min*Nps))/1000</f>
        <v>12</v>
      </c>
      <c r="AG110" s="528">
        <f t="shared" ref="AG110:AG141" si="334">0.5*AE110/1000000*Isw_min*Nps*X110*1000</f>
        <v>2.7616266148433195</v>
      </c>
      <c r="AI110" s="173">
        <f t="shared" ref="AI110:AI141" si="335">SQRT(F110/(0.5*L/J110*Fsw_DCM*Nps))</f>
        <v>8.5634902893543663E-5</v>
      </c>
      <c r="AJ110" s="173">
        <f t="shared" ref="AJ110:AJ141" si="336">MAX(IF(F110&gt;AC110,U110,AI110),Isw_min)</f>
        <v>10</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6.315793266778992</v>
      </c>
      <c r="AU110" s="5">
        <f t="shared" ref="AU110:AU169" si="343">AS110-AT110</f>
        <v>77.017540066554332</v>
      </c>
      <c r="AV110" s="5"/>
      <c r="AW110" s="173">
        <f t="shared" ref="AW110:AW169" si="344">AT110/AS110</f>
        <v>7.578951920134791E-2</v>
      </c>
      <c r="AX110" s="173">
        <f t="shared" si="214"/>
        <v>7.2000000000000011</v>
      </c>
      <c r="AY110" s="173">
        <f t="shared" si="215"/>
        <v>4.6210524039932608</v>
      </c>
      <c r="AZ110" s="173">
        <f t="shared" si="288"/>
        <v>1.5580866370998423</v>
      </c>
      <c r="BA110" s="460">
        <f t="shared" ref="BA110:BA116" si="345">F110*AT110/Vout_ripple*1000</f>
        <v>4.2105288445193282E-8</v>
      </c>
      <c r="BB110" s="5">
        <f t="shared" ref="BB110:BB116" si="346">H110/Efficiency/I110*AU110/Vinripple1</f>
        <v>1.6889821561674483E-8</v>
      </c>
      <c r="BD110" s="173">
        <f t="shared" si="289"/>
        <v>1.5894393057652743</v>
      </c>
      <c r="BE110" s="173">
        <f t="shared" si="218"/>
        <v>5.5504068343340141</v>
      </c>
      <c r="BG110" s="528">
        <f t="shared" ref="BG110:BG169" si="347">Rdson*BD110^2</f>
        <v>5.0526346134231945E-2</v>
      </c>
      <c r="BH110" s="528">
        <f t="shared" ref="BH110:BH141" si="348">0.5*K110*AJ110*AN110*1000*Tfall</f>
        <v>7.7399989730202026E-2</v>
      </c>
      <c r="BI110" s="528">
        <f t="shared" ref="BI110:BI141" si="349">Qg*Vdd*AN110*1000*0+Qg*I110*AN110*1000</f>
        <v>5.6999965767340162E-3</v>
      </c>
      <c r="BJ110" s="528">
        <f t="shared" ref="BJ110:BJ169" si="350">0.5*(Coss+Csw)*K110^2*AN110*1000</f>
        <v>1.420031623166905E-3</v>
      </c>
      <c r="BK110">
        <f t="shared" ref="BK110:BK169" si="351">I110*IQ</f>
        <v>8.5499948651010238E-3</v>
      </c>
      <c r="BL110" s="460">
        <f>(BK110+BI110)*1000</f>
        <v>14.249991441835041</v>
      </c>
      <c r="BM110" s="528">
        <f t="shared" ref="BM110:BM141" si="352">(BH110+BI110*0+BJ110+BK110*0+BG110*(1+RdsonTC*(Ta-25)))/(1-BG110*RdsonTC*ThetaJA)</f>
        <v>0.14472592432599249</v>
      </c>
      <c r="BN110" s="460">
        <f t="shared" ref="BN110:BN173" si="353">BM110*1000</f>
        <v>144.72592432599248</v>
      </c>
      <c r="BO110" s="528">
        <f t="shared" ref="BO110:BO169" si="354">Vfwd2*F110</f>
        <v>6.9999999999999996E-10</v>
      </c>
      <c r="BR110" s="460">
        <f t="shared" ref="BR110:BR169" si="355">SUM(BO110:BQ110)*1000</f>
        <v>6.9999999999999997E-7</v>
      </c>
      <c r="BS110" s="528">
        <f t="shared" ref="BS110:BS169" si="356">Rdcr_pri*BD110^2</f>
        <v>7.578951920134791E-2</v>
      </c>
      <c r="BT110" s="528">
        <f t="shared" ref="BT110:BT169" si="357">Rdcr_sec*BE110^2</f>
        <v>0.92421048079865187</v>
      </c>
      <c r="BU110" s="528">
        <f t="shared" ref="BU110:BU169" si="358">AJ110^2.5*AN110^2.5*k_core</f>
        <v>7.8872048280743991E-3</v>
      </c>
      <c r="BV110" s="528"/>
      <c r="BW110" s="528">
        <f t="shared" ref="BW110:BW169" si="359">0.5*Lleak*0.000000001*AJ110^2*AN110*1000</f>
        <v>1.2000000000000001E-3</v>
      </c>
      <c r="BX110" s="460">
        <f t="shared" ref="BX110:BX169" si="360">SUM(BS110:BW110)*1000</f>
        <v>1009.0872048280744</v>
      </c>
      <c r="BY110" s="173">
        <f t="shared" ref="BY110:BY169" si="361">SUM(BG110:BK110,BO110:BQ110,BS110:BW110)</f>
        <v>1.1526835644575102</v>
      </c>
      <c r="BZ110" s="5">
        <f t="shared" ref="BZ110:BZ169" si="362">MIN(H110,O110)</f>
        <v>1.5000000000000002E-8</v>
      </c>
      <c r="CA110" s="173">
        <f t="shared" ref="CA110:CA169" si="363">BZ110/(BZ110+BY110)</f>
        <v>1.3013111548842818E-8</v>
      </c>
      <c r="CB110" s="5">
        <f t="shared" ref="CB110:CB169" si="364">CA110*100</f>
        <v>1.3013111548842818E-6</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4.3817804600413293E-6</v>
      </c>
      <c r="CI110" s="170">
        <v>0.1</v>
      </c>
      <c r="CJ110" s="217">
        <v>1.0000000000000001E-9</v>
      </c>
      <c r="CK110" s="217"/>
      <c r="CL110" s="217">
        <f t="shared" ref="CL110:CL173" si="368">CJ110*Vout</f>
        <v>1.5000000000000002E-8</v>
      </c>
      <c r="CM110" s="541">
        <f t="shared" ref="CM110:CM173" si="369">VIN_min</f>
        <v>19</v>
      </c>
      <c r="CN110" s="443">
        <f t="shared" ref="CN110:CN173" si="370">(CX110+Vfwd1)*Nps</f>
        <v>15.4</v>
      </c>
      <c r="CO110" s="443">
        <f t="shared" ref="CO110:CO173" si="371">(Vout+Vfwd1)*Nps+CM110</f>
        <v>34.4</v>
      </c>
      <c r="CP110" s="443"/>
      <c r="CQ110" s="217">
        <f t="shared" ref="CQ110:CQ173" si="372">(Vout+Vfwd1)*Nps/((Vout+Vfwd1)*Nps+CM110)</f>
        <v>0.44767441860465118</v>
      </c>
      <c r="CR110" s="172">
        <f>CQ110*CM110*(Isw_max+VIN_min/Lmag*ILIM_delay)*0.5*Efficiency</f>
        <v>212.84736191860466</v>
      </c>
      <c r="CS110" s="172">
        <f t="shared" ref="CS110:CS173" si="373">CX110*CJ110</f>
        <v>1.5000000000000002E-8</v>
      </c>
      <c r="CT110" s="217">
        <f t="shared" ref="CT110:CT173" si="374">CR110/Vout</f>
        <v>14.189824127906977</v>
      </c>
      <c r="CU110" s="217">
        <f t="shared" ref="CU110:CU173" si="375">MIN(Vout,CR110/CJ110)</f>
        <v>15</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474999999980.99994</v>
      </c>
      <c r="CX110" s="172">
        <f t="shared" ref="CX110:CX173" si="377">MIN(Vout, CW110)</f>
        <v>15</v>
      </c>
      <c r="CY110" s="217">
        <f t="shared" ref="CY110:CY173" si="378">MIN(2*Vout*CJ110/(Efficiency*CM110*CQ110), Isw_max)</f>
        <v>3.5269993164730009E-9</v>
      </c>
      <c r="CZ110" s="217">
        <f t="shared" ref="CZ110:CZ173" si="379">L*CY110/CM110*1000000</f>
        <v>2.2275785156671588E-9</v>
      </c>
      <c r="DA110" s="217">
        <f t="shared" ref="DA110:DA173" si="380">L*CY110/CN110*1000000</f>
        <v>2.7483111556932475E-9</v>
      </c>
      <c r="DB110" s="197">
        <f t="shared" ref="DB110:DB173" si="381">IF(1/((350000*L)*(1/CM110+1/CN110))&gt;Isw_min, 350, 0.001/((Isw_min*L)*(1/CM110+1/CN110)))</f>
        <v>70.881782945736433</v>
      </c>
      <c r="DC110" s="443">
        <f t="shared" ref="DC110:DC173" si="382">MIN(1/(CZ110+DA110)*1000, 350)</f>
        <v>350</v>
      </c>
      <c r="DE110" s="217">
        <f t="shared" ref="DE110:DE173" si="383">1/((DB110*1000*L)*(1/CM110+1/CN110))</f>
        <v>10.000000000000002</v>
      </c>
      <c r="DF110" s="173">
        <f t="shared" ref="DF110:DF173" si="384">L*DE110/CN110*1000000</f>
        <v>7.792207792207793</v>
      </c>
      <c r="DG110" s="173">
        <f t="shared" ref="DG110:DG173" si="385">0.5*DF110*DE110*Nps*DB110/1000</f>
        <v>2.7616279069767451</v>
      </c>
      <c r="DH110" s="173"/>
      <c r="DI110" s="173">
        <f t="shared" ref="DI110:DI173" si="386">L*Isw_min/CN110*1000000</f>
        <v>7.7922077922077913</v>
      </c>
      <c r="DJ110" s="545">
        <f t="shared" ref="DJ110:DJ173" si="387">MAX(12000,CJ110/(0.5*DI110/1000000*Isw_min*Nps))/1000</f>
        <v>12</v>
      </c>
      <c r="DK110" s="528">
        <f t="shared" ref="DK110:DK173" si="388">0.5*DI110/1000000*Isw_min*Nps*DB110*1000</f>
        <v>2.7616279069767442</v>
      </c>
      <c r="DM110" s="173">
        <f t="shared" ref="DM110:DM173" si="389">SQRT(CJ110/(0.5*L/CN110*Fsw_DCM*Nps))</f>
        <v>8.5634883857767534E-5</v>
      </c>
      <c r="DN110" s="173">
        <f t="shared" ref="DN110:DN173" si="390">MAX(IF(CJ110&gt;DG110,CY110,DM110),Isw_min)</f>
        <v>10</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6.3157894736842106</v>
      </c>
      <c r="DY110" s="5">
        <f t="shared" ref="DY110:DY173" si="396">DW110-DX110</f>
        <v>77.017543859649123</v>
      </c>
      <c r="DZ110" s="5"/>
      <c r="EA110" s="173">
        <f t="shared" ref="EA110:EA173" si="397">DX110/DW110</f>
        <v>7.5789473684210532E-2</v>
      </c>
      <c r="EB110" s="173">
        <f t="shared" ref="EB110:EB173" si="398">0.5*L*DN110^2*DR110*1000</f>
        <v>7.2000000000000011</v>
      </c>
      <c r="EC110" s="173">
        <f t="shared" ref="EC110:EC173" si="399">DN110*Nps/2*(1-EA110)</f>
        <v>4.6210526315789471</v>
      </c>
      <c r="ED110" s="173">
        <f t="shared" ref="ED110:ED173" si="400">EB110/EC110</f>
        <v>1.5580865603644649</v>
      </c>
      <c r="EE110" s="460">
        <f t="shared" ref="EE110:EE173" si="401">CJ110*DX110/Vout_ripple*1000</f>
        <v>4.2105263157894737E-8</v>
      </c>
      <c r="EF110" s="5">
        <f t="shared" ref="EF110:EF173" si="402">CL110/Efficiency/CM110*DY110/Vinripple1</f>
        <v>1.6889812249923057E-8</v>
      </c>
      <c r="EH110" s="173">
        <f t="shared" ref="EH110:EH173" si="403">DN110*SQRT(EA110/3)</f>
        <v>1.5894388284780527</v>
      </c>
      <c r="EI110" s="173">
        <f t="shared" ref="EI110:EI173" si="404">DN110*Nps*SQRT((1-EA110)/3)</f>
        <v>5.5504069710120945</v>
      </c>
      <c r="EK110" s="528">
        <f t="shared" ref="EK110:EK173" si="405">Rdson*EH110^2</f>
        <v>5.0526315789473697E-2</v>
      </c>
      <c r="EL110" s="528">
        <f t="shared" ref="EL110:EL173" si="406">0.5*CO110*DN110*DR110*1000*Trise</f>
        <v>8.2560000000000008E-2</v>
      </c>
      <c r="EM110" s="528">
        <f t="shared" ref="EM110:EM173" si="407">Qg*Vdd*DR110*1000</f>
        <v>1.5E-3</v>
      </c>
      <c r="EN110" s="528">
        <f t="shared" ref="EN110:EN173" si="408">0.5*(Coss+Csw)*CO110^2*DR110*1000</f>
        <v>1.4200319999999999E-3</v>
      </c>
      <c r="EO110">
        <f t="shared" ref="EO110:EO173" si="409">CM110*IQ</f>
        <v>8.5500000000000003E-3</v>
      </c>
      <c r="EP110" s="460">
        <f t="shared" ref="EP110:EP173" si="410">(EO110+EM110)*1000</f>
        <v>10.050000000000001</v>
      </c>
      <c r="EQ110" s="460"/>
      <c r="ER110" s="460">
        <f>SUM(EK110:EO110)*1000</f>
        <v>144.5563477894737</v>
      </c>
      <c r="ES110" s="528">
        <f t="shared" ref="ES110:ES173" si="411">Vfwd2*CJ110</f>
        <v>6.9999999999999996E-10</v>
      </c>
      <c r="EV110" s="460">
        <f t="shared" ref="EV110:EV169" si="412">SUM(ES110:EU110)*1000</f>
        <v>6.9999999999999997E-7</v>
      </c>
      <c r="EW110" s="528">
        <f t="shared" ref="EW110:EW173" si="413">Rdcr_pri*EH110^2</f>
        <v>7.5789473684210545E-2</v>
      </c>
      <c r="EX110" s="528">
        <f t="shared" ref="EX110:EX173" si="414">Rdcr_sec*EI110^2</f>
        <v>0.92421052631578959</v>
      </c>
      <c r="EY110" s="528">
        <f t="shared" ref="EY110:EY173" si="415">DN110^2.5*DR110^2.5*k_core</f>
        <v>7.8872048280743991E-3</v>
      </c>
      <c r="EZ110" s="528"/>
      <c r="FA110" s="528">
        <f t="shared" ref="FA110:FA173" si="416">0.5*Lleak*0.000000001*DN110^2*DR110*1000</f>
        <v>1.2000000000000001E-3</v>
      </c>
      <c r="FB110" s="460">
        <f t="shared" ref="FB110:FB173" si="417">SUM(EW110:FA110)*1000</f>
        <v>1009.0872048280748</v>
      </c>
      <c r="FC110" s="173">
        <f t="shared" ref="FC110:FC173" si="418">SUM(EK110:EO110,ES110:EU110,EW110:FA110)</f>
        <v>1.1536435533175484</v>
      </c>
      <c r="FD110" s="5">
        <f t="shared" ref="FD110:FD173" si="419">MIN(CL110,CS110)</f>
        <v>1.5000000000000002E-8</v>
      </c>
      <c r="FE110" s="173">
        <f t="shared" ref="FE110:FE173" si="420">FD110/(FD110+FC110)</f>
        <v>1.3002282864434215E-8</v>
      </c>
      <c r="FF110" s="5">
        <f t="shared" ref="FF110:FF173" si="421">FE110*100</f>
        <v>1.3002282864434215E-6</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4.3244998209386832E-6</v>
      </c>
    </row>
    <row r="111" spans="5:168">
      <c r="E111" s="170">
        <v>1</v>
      </c>
      <c r="F111" s="217">
        <f t="shared" ref="F111:F142" si="425">IF(PLOT_TYPE=1, E111/100*Iout_max, min_I*EXP(N111*rr/100))</f>
        <v>0.1</v>
      </c>
      <c r="G111" s="217"/>
      <c r="H111" s="217">
        <f t="shared" si="315"/>
        <v>1.5</v>
      </c>
      <c r="I111" s="541">
        <f t="shared" si="316"/>
        <v>18.885891133853089</v>
      </c>
      <c r="J111" s="172">
        <f t="shared" si="317"/>
        <v>15.468465319688146</v>
      </c>
      <c r="K111" s="172">
        <f t="shared" si="318"/>
        <v>34.354356453541236</v>
      </c>
      <c r="L111" s="443"/>
      <c r="M111" s="217">
        <f t="shared" si="319"/>
        <v>0.45027662984920724</v>
      </c>
      <c r="N111" s="172">
        <f t="shared" ref="N111:N141" si="426">M111*I111*(Isw_max+VIN_min/Lmag*ILIM_delay)*0.5*Efficiency</f>
        <v>212.79885232728176</v>
      </c>
      <c r="O111" s="172">
        <f t="shared" si="284"/>
        <v>1.5</v>
      </c>
      <c r="P111" s="217">
        <f t="shared" si="320"/>
        <v>14.186590155152118</v>
      </c>
      <c r="Q111" s="217">
        <f t="shared" si="321"/>
        <v>15</v>
      </c>
      <c r="R111" s="217"/>
      <c r="S111" s="172">
        <f t="shared" si="322"/>
        <v>4702.5884986179426</v>
      </c>
      <c r="T111" s="172">
        <f t="shared" si="323"/>
        <v>15</v>
      </c>
      <c r="U111" s="217">
        <f t="shared" si="324"/>
        <v>0.3638193514405958</v>
      </c>
      <c r="V111" s="217">
        <f t="shared" si="325"/>
        <v>0.23116898145522849</v>
      </c>
      <c r="W111" s="217">
        <f t="shared" si="326"/>
        <v>0.28224081232740983</v>
      </c>
      <c r="X111" s="197">
        <f t="shared" si="327"/>
        <v>70.863344612125871</v>
      </c>
      <c r="Y111" s="443">
        <f t="shared" si="328"/>
        <v>350</v>
      </c>
      <c r="AA111" s="217">
        <f t="shared" si="329"/>
        <v>10</v>
      </c>
      <c r="AB111" s="173">
        <f t="shared" si="330"/>
        <v>7.757718527336058</v>
      </c>
      <c r="AC111" s="173">
        <f t="shared" si="331"/>
        <v>2.7486894070324439</v>
      </c>
      <c r="AD111" s="173"/>
      <c r="AE111" s="173">
        <f t="shared" si="332"/>
        <v>7.757718527336058</v>
      </c>
      <c r="AF111" s="545">
        <f t="shared" si="333"/>
        <v>12</v>
      </c>
      <c r="AG111" s="528">
        <f t="shared" si="334"/>
        <v>2.7486894070324435</v>
      </c>
      <c r="AI111" s="173">
        <f t="shared" si="335"/>
        <v>0.85825030536074765</v>
      </c>
      <c r="AJ111" s="173">
        <f t="shared" si="336"/>
        <v>10</v>
      </c>
      <c r="AK111" s="173">
        <f t="shared" si="337"/>
        <v>1.0068571428571429</v>
      </c>
      <c r="AM111" s="545">
        <f t="shared" si="338"/>
        <v>100</v>
      </c>
      <c r="AN111" s="460">
        <f t="shared" si="339"/>
        <v>12</v>
      </c>
      <c r="AP111" s="460">
        <f t="shared" si="340"/>
        <v>100</v>
      </c>
      <c r="AQ111" s="460">
        <f t="shared" si="341"/>
        <v>12</v>
      </c>
      <c r="AS111" s="5">
        <f t="shared" si="285"/>
        <v>83.333333333333329</v>
      </c>
      <c r="AT111" s="5">
        <f t="shared" si="342"/>
        <v>6.3539495779947162</v>
      </c>
      <c r="AU111" s="5">
        <f t="shared" si="343"/>
        <v>76.979383755338617</v>
      </c>
      <c r="AV111" s="5"/>
      <c r="AW111" s="173">
        <f t="shared" si="344"/>
        <v>7.6247394935936602E-2</v>
      </c>
      <c r="AX111" s="173">
        <f t="shared" si="214"/>
        <v>7.2000000000000011</v>
      </c>
      <c r="AY111" s="173">
        <f t="shared" si="215"/>
        <v>4.6187630253203169</v>
      </c>
      <c r="AZ111" s="173">
        <f t="shared" si="288"/>
        <v>1.558858932690246</v>
      </c>
      <c r="BA111" s="460">
        <f t="shared" si="345"/>
        <v>4.2359663853298111</v>
      </c>
      <c r="BB111" s="5">
        <f t="shared" si="346"/>
        <v>1.6983441768282193</v>
      </c>
      <c r="BD111" s="173">
        <f t="shared" si="289"/>
        <v>1.5942333051338147</v>
      </c>
      <c r="BE111" s="173">
        <f t="shared" si="218"/>
        <v>5.5490317625812393</v>
      </c>
      <c r="BG111" s="528">
        <f t="shared" si="347"/>
        <v>5.0831596623957732E-2</v>
      </c>
      <c r="BH111" s="528">
        <f t="shared" si="348"/>
        <v>7.7297302020467779E-2</v>
      </c>
      <c r="BI111" s="528">
        <f t="shared" si="349"/>
        <v>5.6657673401559264E-3</v>
      </c>
      <c r="BJ111" s="528">
        <f t="shared" si="350"/>
        <v>1.4162661688043646E-3</v>
      </c>
      <c r="BK111">
        <f t="shared" si="351"/>
        <v>8.4986510102338896E-3</v>
      </c>
      <c r="BL111" s="460">
        <f t="shared" ref="BL111:BL174" si="427">(BK111+BI111)*1000</f>
        <v>14.164418350389816</v>
      </c>
      <c r="BM111" s="528">
        <f t="shared" si="352"/>
        <v>0.14502120213927636</v>
      </c>
      <c r="BN111" s="460">
        <f t="shared" si="353"/>
        <v>145.02120213927637</v>
      </c>
      <c r="BO111" s="528">
        <f t="shared" si="354"/>
        <v>6.9999999999999993E-2</v>
      </c>
      <c r="BR111" s="460">
        <f t="shared" si="355"/>
        <v>69.999999999999986</v>
      </c>
      <c r="BS111" s="528">
        <f t="shared" si="356"/>
        <v>7.6247394935936588E-2</v>
      </c>
      <c r="BT111" s="528">
        <f t="shared" si="357"/>
        <v>0.92375260506406365</v>
      </c>
      <c r="BU111" s="528">
        <f t="shared" si="358"/>
        <v>7.8872048280743991E-3</v>
      </c>
      <c r="BV111" s="528"/>
      <c r="BW111" s="528">
        <f t="shared" si="359"/>
        <v>1.2000000000000001E-3</v>
      </c>
      <c r="BX111" s="460">
        <f t="shared" si="360"/>
        <v>1009.0872048280748</v>
      </c>
      <c r="BY111" s="173">
        <f t="shared" si="361"/>
        <v>1.2227967879916943</v>
      </c>
      <c r="BZ111" s="5">
        <f t="shared" si="362"/>
        <v>1.5</v>
      </c>
      <c r="CA111" s="173">
        <f t="shared" si="363"/>
        <v>0.55090413159565388</v>
      </c>
      <c r="CB111" s="5">
        <f t="shared" si="364"/>
        <v>55.090413159565387</v>
      </c>
      <c r="CE111" s="562">
        <f t="shared" si="365"/>
        <v>-50</v>
      </c>
      <c r="CF111">
        <f t="shared" si="366"/>
        <v>-50</v>
      </c>
      <c r="CG111" s="173">
        <f t="shared" si="367"/>
        <v>4.381780460041329E-2</v>
      </c>
      <c r="CI111" s="170">
        <v>1</v>
      </c>
      <c r="CJ111" s="217">
        <f t="shared" ref="CJ111:CJ174" si="428">IF(PLOT_TYPE=1, CI111/100*Iout_max, min_I*EXP(CR111*rr/100))</f>
        <v>0.1</v>
      </c>
      <c r="CK111" s="217"/>
      <c r="CL111" s="217">
        <f t="shared" si="368"/>
        <v>1.5</v>
      </c>
      <c r="CM111" s="541">
        <f t="shared" si="369"/>
        <v>19</v>
      </c>
      <c r="CN111" s="443">
        <f t="shared" si="370"/>
        <v>15.4</v>
      </c>
      <c r="CO111" s="443">
        <f t="shared" si="371"/>
        <v>34.4</v>
      </c>
      <c r="CP111" s="443"/>
      <c r="CQ111" s="217">
        <f t="shared" si="372"/>
        <v>0.44767441860465118</v>
      </c>
      <c r="CR111" s="172">
        <f t="shared" ref="CR111:CR174" si="429">CQ111*CM111*(Isw_max+VIN_min/Lmag*ILIM_delay)*0.5*Efficiency</f>
        <v>212.84736191860466</v>
      </c>
      <c r="CS111" s="172">
        <f t="shared" si="373"/>
        <v>1.5</v>
      </c>
      <c r="CT111" s="217">
        <f t="shared" si="374"/>
        <v>14.189824127906977</v>
      </c>
      <c r="CU111" s="217">
        <f t="shared" si="375"/>
        <v>15</v>
      </c>
      <c r="CV111" s="217"/>
      <c r="CW111" s="172">
        <f t="shared" si="376"/>
        <v>4731.0016062893474</v>
      </c>
      <c r="CX111" s="172">
        <f t="shared" si="377"/>
        <v>15</v>
      </c>
      <c r="CY111" s="217">
        <f t="shared" si="378"/>
        <v>0.35269993164730007</v>
      </c>
      <c r="CZ111" s="217">
        <f t="shared" si="379"/>
        <v>0.22275785156671585</v>
      </c>
      <c r="DA111" s="217">
        <f t="shared" si="380"/>
        <v>0.27483111556932471</v>
      </c>
      <c r="DB111" s="197">
        <f t="shared" si="381"/>
        <v>70.881782945736433</v>
      </c>
      <c r="DC111" s="443">
        <f t="shared" si="382"/>
        <v>350</v>
      </c>
      <c r="DE111" s="217">
        <f t="shared" si="383"/>
        <v>10.000000000000002</v>
      </c>
      <c r="DF111" s="173">
        <f t="shared" si="384"/>
        <v>7.792207792207793</v>
      </c>
      <c r="DG111" s="173">
        <f t="shared" si="385"/>
        <v>2.7616279069767451</v>
      </c>
      <c r="DH111" s="173"/>
      <c r="DI111" s="173">
        <f t="shared" si="386"/>
        <v>7.7922077922077913</v>
      </c>
      <c r="DJ111" s="545">
        <f t="shared" si="387"/>
        <v>12</v>
      </c>
      <c r="DK111" s="528">
        <f t="shared" si="388"/>
        <v>2.7616279069767442</v>
      </c>
      <c r="DM111" s="173">
        <f t="shared" si="389"/>
        <v>0.8563488385776753</v>
      </c>
      <c r="DN111" s="173">
        <f t="shared" si="390"/>
        <v>10</v>
      </c>
      <c r="DO111" s="173">
        <f t="shared" si="391"/>
        <v>1.0068571428571429</v>
      </c>
      <c r="DQ111" s="545">
        <f t="shared" si="392"/>
        <v>100</v>
      </c>
      <c r="DR111" s="460">
        <f t="shared" si="393"/>
        <v>12</v>
      </c>
      <c r="DT111">
        <f t="shared" ref="DT111:DT174" si="430">IF(CL111&gt;CR111, " ",DQ111)</f>
        <v>100</v>
      </c>
      <c r="DU111">
        <f t="shared" ref="DU111:DU174" si="431">IF(CL111&gt;CR111, " ",DR111)</f>
        <v>12</v>
      </c>
      <c r="DW111" s="5">
        <f t="shared" si="394"/>
        <v>83.333333333333329</v>
      </c>
      <c r="DX111" s="5">
        <f t="shared" si="395"/>
        <v>6.3157894736842106</v>
      </c>
      <c r="DY111" s="5">
        <f t="shared" si="396"/>
        <v>77.017543859649123</v>
      </c>
      <c r="DZ111" s="5"/>
      <c r="EA111" s="173">
        <f t="shared" si="397"/>
        <v>7.5789473684210532E-2</v>
      </c>
      <c r="EB111" s="173">
        <f t="shared" si="398"/>
        <v>7.2000000000000011</v>
      </c>
      <c r="EC111" s="173">
        <f t="shared" si="399"/>
        <v>4.6210526315789471</v>
      </c>
      <c r="ED111" s="173">
        <f t="shared" si="400"/>
        <v>1.5580865603644649</v>
      </c>
      <c r="EE111" s="460">
        <f t="shared" si="401"/>
        <v>4.2105263157894743</v>
      </c>
      <c r="EF111" s="5">
        <f t="shared" si="402"/>
        <v>1.6889812249923053</v>
      </c>
      <c r="EH111" s="173">
        <f t="shared" si="403"/>
        <v>1.5894388284780527</v>
      </c>
      <c r="EI111" s="173">
        <f t="shared" si="404"/>
        <v>5.5504069710120945</v>
      </c>
      <c r="EK111" s="528">
        <f t="shared" si="405"/>
        <v>5.0526315789473697E-2</v>
      </c>
      <c r="EL111" s="528">
        <f t="shared" si="406"/>
        <v>8.2560000000000008E-2</v>
      </c>
      <c r="EM111" s="528">
        <f t="shared" si="407"/>
        <v>1.5E-3</v>
      </c>
      <c r="EN111" s="528">
        <f t="shared" si="408"/>
        <v>1.4200319999999999E-3</v>
      </c>
      <c r="EO111">
        <f t="shared" si="409"/>
        <v>8.5500000000000003E-3</v>
      </c>
      <c r="EP111" s="460">
        <f t="shared" si="410"/>
        <v>10.050000000000001</v>
      </c>
      <c r="EQ111" s="460"/>
      <c r="ER111" s="460">
        <f t="shared" ref="ER111:ER174" si="432">SUM(EK111:EO111)*1000</f>
        <v>144.5563477894737</v>
      </c>
      <c r="ES111" s="528">
        <f t="shared" si="411"/>
        <v>6.9999999999999993E-2</v>
      </c>
      <c r="EV111" s="460">
        <f t="shared" si="412"/>
        <v>69.999999999999986</v>
      </c>
      <c r="EW111" s="528">
        <f t="shared" si="413"/>
        <v>7.5789473684210545E-2</v>
      </c>
      <c r="EX111" s="528">
        <f t="shared" si="414"/>
        <v>0.92421052631578959</v>
      </c>
      <c r="EY111" s="528">
        <f t="shared" si="415"/>
        <v>7.8872048280743991E-3</v>
      </c>
      <c r="EZ111" s="528"/>
      <c r="FA111" s="528">
        <f t="shared" si="416"/>
        <v>1.2000000000000001E-3</v>
      </c>
      <c r="FB111" s="460">
        <f t="shared" si="417"/>
        <v>1009.0872048280748</v>
      </c>
      <c r="FC111" s="173">
        <f t="shared" si="418"/>
        <v>1.2236435526175484</v>
      </c>
      <c r="FD111" s="5">
        <f t="shared" si="419"/>
        <v>1.5</v>
      </c>
      <c r="FE111" s="173">
        <f t="shared" si="420"/>
        <v>0.55073285876869982</v>
      </c>
      <c r="FF111" s="5">
        <f t="shared" si="421"/>
        <v>55.073285876869981</v>
      </c>
      <c r="FI111" s="562">
        <f t="shared" si="422"/>
        <v>-50</v>
      </c>
      <c r="FJ111">
        <f t="shared" si="423"/>
        <v>-50</v>
      </c>
      <c r="FL111">
        <f t="shared" si="424"/>
        <v>4.3244998209386834E-2</v>
      </c>
    </row>
    <row r="112" spans="5:168">
      <c r="E112" s="170">
        <v>2</v>
      </c>
      <c r="F112" s="217">
        <f t="shared" si="425"/>
        <v>0.2</v>
      </c>
      <c r="G112" s="217"/>
      <c r="H112" s="217">
        <f t="shared" si="315"/>
        <v>3</v>
      </c>
      <c r="I112" s="541">
        <f t="shared" si="316"/>
        <v>18.838625693908025</v>
      </c>
      <c r="J112" s="172">
        <f t="shared" si="317"/>
        <v>15.496824583655187</v>
      </c>
      <c r="K112" s="172">
        <f t="shared" si="318"/>
        <v>34.335450277563211</v>
      </c>
      <c r="L112" s="443"/>
      <c r="M112" s="217">
        <f t="shared" si="319"/>
        <v>0.45135648707276943</v>
      </c>
      <c r="N112" s="172">
        <f t="shared" si="426"/>
        <v>212.77534258999739</v>
      </c>
      <c r="O112" s="172">
        <f t="shared" si="284"/>
        <v>3</v>
      </c>
      <c r="P112" s="217">
        <f t="shared" si="320"/>
        <v>14.185022839333159</v>
      </c>
      <c r="Q112" s="217">
        <f t="shared" si="321"/>
        <v>15</v>
      </c>
      <c r="R112" s="217"/>
      <c r="S112" s="172">
        <f t="shared" si="322"/>
        <v>2335.9928112943226</v>
      </c>
      <c r="T112" s="172">
        <f t="shared" si="323"/>
        <v>15</v>
      </c>
      <c r="U112" s="217">
        <f t="shared" si="324"/>
        <v>0.72907086400391674</v>
      </c>
      <c r="V112" s="217">
        <f t="shared" si="325"/>
        <v>0.464410223452562</v>
      </c>
      <c r="W112" s="217">
        <f t="shared" si="326"/>
        <v>0.56455761764733348</v>
      </c>
      <c r="X112" s="197">
        <f t="shared" si="327"/>
        <v>70.854582124217842</v>
      </c>
      <c r="Y112" s="443">
        <f t="shared" si="328"/>
        <v>350</v>
      </c>
      <c r="AA112" s="217">
        <f t="shared" si="329"/>
        <v>10</v>
      </c>
      <c r="AB112" s="173">
        <f t="shared" si="330"/>
        <v>7.7435218648965307</v>
      </c>
      <c r="AC112" s="173">
        <f t="shared" si="331"/>
        <v>2.7433200295349383</v>
      </c>
      <c r="AD112" s="173"/>
      <c r="AE112" s="173">
        <f t="shared" si="332"/>
        <v>7.7435218648965307</v>
      </c>
      <c r="AF112" s="545">
        <f t="shared" si="333"/>
        <v>12</v>
      </c>
      <c r="AG112" s="528">
        <f t="shared" si="334"/>
        <v>2.7433200295349383</v>
      </c>
      <c r="AI112" s="173">
        <f t="shared" si="335"/>
        <v>1.2148613318342998</v>
      </c>
      <c r="AJ112" s="173">
        <f t="shared" si="336"/>
        <v>10</v>
      </c>
      <c r="AK112" s="173">
        <f t="shared" si="337"/>
        <v>1.0068571428571429</v>
      </c>
      <c r="AM112" s="545">
        <f t="shared" si="338"/>
        <v>200</v>
      </c>
      <c r="AN112" s="460">
        <f t="shared" si="339"/>
        <v>12</v>
      </c>
      <c r="AP112" s="460">
        <f t="shared" si="340"/>
        <v>200</v>
      </c>
      <c r="AQ112" s="460">
        <f t="shared" si="341"/>
        <v>12</v>
      </c>
      <c r="AS112" s="5">
        <f t="shared" si="285"/>
        <v>83.333333333333329</v>
      </c>
      <c r="AT112" s="5">
        <f t="shared" si="342"/>
        <v>6.369891410858342</v>
      </c>
      <c r="AU112" s="5">
        <f t="shared" si="343"/>
        <v>76.963441922474985</v>
      </c>
      <c r="AV112" s="5"/>
      <c r="AW112" s="173">
        <f t="shared" si="344"/>
        <v>7.6438696930300101E-2</v>
      </c>
      <c r="AX112" s="173">
        <f t="shared" si="214"/>
        <v>7.2000000000000011</v>
      </c>
      <c r="AY112" s="173">
        <f t="shared" si="215"/>
        <v>4.6178065153484997</v>
      </c>
      <c r="AZ112" s="173">
        <f t="shared" si="288"/>
        <v>1.5591818271443161</v>
      </c>
      <c r="BA112" s="460">
        <f t="shared" si="345"/>
        <v>8.4931885478111226</v>
      </c>
      <c r="BB112" s="5">
        <f t="shared" si="346"/>
        <v>3.4045053309171402</v>
      </c>
      <c r="BD112" s="173">
        <f t="shared" si="289"/>
        <v>1.5962319895125949</v>
      </c>
      <c r="BE112" s="173">
        <f t="shared" si="218"/>
        <v>5.5484571521270665</v>
      </c>
      <c r="BG112" s="528">
        <f t="shared" si="347"/>
        <v>5.0959131286866743E-2</v>
      </c>
      <c r="BH112" s="528">
        <f t="shared" si="348"/>
        <v>7.725476312451722E-2</v>
      </c>
      <c r="BI112" s="528">
        <f t="shared" si="349"/>
        <v>5.6515877081724066E-3</v>
      </c>
      <c r="BJ112" s="528">
        <f t="shared" si="350"/>
        <v>1.4147077749156187E-3</v>
      </c>
      <c r="BK112">
        <f t="shared" si="351"/>
        <v>8.4773815622586103E-3</v>
      </c>
      <c r="BL112" s="460">
        <f t="shared" si="427"/>
        <v>14.128969270431016</v>
      </c>
      <c r="BM112" s="528">
        <f t="shared" si="352"/>
        <v>0.14514496686767733</v>
      </c>
      <c r="BN112" s="460">
        <f t="shared" si="353"/>
        <v>145.14496686767734</v>
      </c>
      <c r="BO112" s="528">
        <f t="shared" si="354"/>
        <v>0.13999999999999999</v>
      </c>
      <c r="BR112" s="460">
        <f t="shared" si="355"/>
        <v>139.99999999999997</v>
      </c>
      <c r="BS112" s="528">
        <f t="shared" si="356"/>
        <v>7.6438696930300115E-2</v>
      </c>
      <c r="BT112" s="528">
        <f t="shared" si="357"/>
        <v>0.92356130306969986</v>
      </c>
      <c r="BU112" s="528">
        <f t="shared" si="358"/>
        <v>7.8872048280743991E-3</v>
      </c>
      <c r="BV112" s="528"/>
      <c r="BW112" s="528">
        <f t="shared" si="359"/>
        <v>1.2000000000000001E-3</v>
      </c>
      <c r="BX112" s="460">
        <f t="shared" si="360"/>
        <v>1009.0872048280746</v>
      </c>
      <c r="BY112" s="173">
        <f>SUM(BG112:BK112,BO112:BQ112,BS112:BW112)</f>
        <v>1.292844776284805</v>
      </c>
      <c r="BZ112" s="5">
        <f t="shared" si="362"/>
        <v>3</v>
      </c>
      <c r="CA112" s="173">
        <f t="shared" si="363"/>
        <v>0.69883728770559383</v>
      </c>
      <c r="CB112" s="5">
        <f t="shared" si="364"/>
        <v>69.883728770559387</v>
      </c>
      <c r="CE112" s="562">
        <f t="shared" si="365"/>
        <v>-50</v>
      </c>
      <c r="CF112">
        <f t="shared" si="366"/>
        <v>-50</v>
      </c>
      <c r="CG112" s="173">
        <f t="shared" si="367"/>
        <v>6.1967733539318677E-2</v>
      </c>
      <c r="CI112" s="170">
        <v>2</v>
      </c>
      <c r="CJ112" s="217">
        <f t="shared" si="428"/>
        <v>0.2</v>
      </c>
      <c r="CK112" s="217"/>
      <c r="CL112" s="217">
        <f t="shared" si="368"/>
        <v>3</v>
      </c>
      <c r="CM112" s="541">
        <f t="shared" si="369"/>
        <v>19</v>
      </c>
      <c r="CN112" s="443">
        <f t="shared" si="370"/>
        <v>15.4</v>
      </c>
      <c r="CO112" s="443">
        <f t="shared" si="371"/>
        <v>34.4</v>
      </c>
      <c r="CP112" s="443"/>
      <c r="CQ112" s="217">
        <f t="shared" si="372"/>
        <v>0.44767441860465118</v>
      </c>
      <c r="CR112" s="172">
        <f t="shared" si="429"/>
        <v>212.84736191860466</v>
      </c>
      <c r="CS112" s="172">
        <f t="shared" si="373"/>
        <v>3</v>
      </c>
      <c r="CT112" s="217">
        <f t="shared" si="374"/>
        <v>14.189824127906977</v>
      </c>
      <c r="CU112" s="217">
        <f t="shared" si="375"/>
        <v>15</v>
      </c>
      <c r="CV112" s="217"/>
      <c r="CW112" s="172">
        <f t="shared" si="376"/>
        <v>2356.0032252544547</v>
      </c>
      <c r="CX112" s="172">
        <f t="shared" si="377"/>
        <v>15</v>
      </c>
      <c r="CY112" s="217">
        <f t="shared" si="378"/>
        <v>0.70539986329460014</v>
      </c>
      <c r="CZ112" s="217">
        <f t="shared" si="379"/>
        <v>0.4455157031334317</v>
      </c>
      <c r="DA112" s="217">
        <f t="shared" si="380"/>
        <v>0.54966223113864943</v>
      </c>
      <c r="DB112" s="197">
        <f t="shared" si="381"/>
        <v>70.881782945736433</v>
      </c>
      <c r="DC112" s="443">
        <f t="shared" si="382"/>
        <v>350</v>
      </c>
      <c r="DE112" s="217">
        <f t="shared" si="383"/>
        <v>10.000000000000002</v>
      </c>
      <c r="DF112" s="173">
        <f t="shared" si="384"/>
        <v>7.792207792207793</v>
      </c>
      <c r="DG112" s="173">
        <f t="shared" si="385"/>
        <v>2.7616279069767451</v>
      </c>
      <c r="DH112" s="173"/>
      <c r="DI112" s="173">
        <f t="shared" si="386"/>
        <v>7.7922077922077913</v>
      </c>
      <c r="DJ112" s="545">
        <f t="shared" si="387"/>
        <v>12</v>
      </c>
      <c r="DK112" s="528">
        <f t="shared" si="388"/>
        <v>2.7616279069767442</v>
      </c>
      <c r="DM112" s="173">
        <f t="shared" si="389"/>
        <v>1.2110601416389968</v>
      </c>
      <c r="DN112" s="173">
        <f t="shared" si="390"/>
        <v>10</v>
      </c>
      <c r="DO112" s="173">
        <f t="shared" si="391"/>
        <v>1.0068571428571429</v>
      </c>
      <c r="DQ112" s="545">
        <f t="shared" si="392"/>
        <v>200</v>
      </c>
      <c r="DR112" s="460">
        <f t="shared" si="393"/>
        <v>12</v>
      </c>
      <c r="DT112">
        <f t="shared" si="430"/>
        <v>200</v>
      </c>
      <c r="DU112">
        <f t="shared" si="431"/>
        <v>12</v>
      </c>
      <c r="DW112" s="5">
        <f t="shared" si="394"/>
        <v>83.333333333333329</v>
      </c>
      <c r="DX112" s="5">
        <f t="shared" si="395"/>
        <v>6.3157894736842106</v>
      </c>
      <c r="DY112" s="5">
        <f t="shared" si="396"/>
        <v>77.017543859649123</v>
      </c>
      <c r="DZ112" s="5"/>
      <c r="EA112" s="173">
        <f t="shared" si="397"/>
        <v>7.5789473684210532E-2</v>
      </c>
      <c r="EB112" s="173">
        <f t="shared" si="398"/>
        <v>7.2000000000000011</v>
      </c>
      <c r="EC112" s="173">
        <f t="shared" si="399"/>
        <v>4.6210526315789471</v>
      </c>
      <c r="ED112" s="173">
        <f t="shared" si="400"/>
        <v>1.5580865603644649</v>
      </c>
      <c r="EE112" s="460">
        <f t="shared" si="401"/>
        <v>8.4210526315789487</v>
      </c>
      <c r="EF112" s="5">
        <f t="shared" si="402"/>
        <v>3.3779624499846106</v>
      </c>
      <c r="EH112" s="173">
        <f t="shared" si="403"/>
        <v>1.5894388284780527</v>
      </c>
      <c r="EI112" s="173">
        <f t="shared" si="404"/>
        <v>5.5504069710120945</v>
      </c>
      <c r="EK112" s="528">
        <f t="shared" si="405"/>
        <v>5.0526315789473697E-2</v>
      </c>
      <c r="EL112" s="528">
        <f t="shared" si="406"/>
        <v>8.2560000000000008E-2</v>
      </c>
      <c r="EM112" s="528">
        <f t="shared" si="407"/>
        <v>1.5E-3</v>
      </c>
      <c r="EN112" s="528">
        <f t="shared" si="408"/>
        <v>1.4200319999999999E-3</v>
      </c>
      <c r="EO112">
        <f t="shared" si="409"/>
        <v>8.5500000000000003E-3</v>
      </c>
      <c r="EP112" s="460">
        <f t="shared" si="410"/>
        <v>10.050000000000001</v>
      </c>
      <c r="EQ112" s="460"/>
      <c r="ER112" s="460">
        <f t="shared" si="432"/>
        <v>144.5563477894737</v>
      </c>
      <c r="ES112" s="528">
        <f t="shared" si="411"/>
        <v>0.13999999999999999</v>
      </c>
      <c r="EV112" s="460">
        <f t="shared" si="412"/>
        <v>139.99999999999997</v>
      </c>
      <c r="EW112" s="528">
        <f t="shared" si="413"/>
        <v>7.5789473684210545E-2</v>
      </c>
      <c r="EX112" s="528">
        <f t="shared" si="414"/>
        <v>0.92421052631578959</v>
      </c>
      <c r="EY112" s="528">
        <f t="shared" si="415"/>
        <v>7.8872048280743991E-3</v>
      </c>
      <c r="EZ112" s="528"/>
      <c r="FA112" s="528">
        <f t="shared" si="416"/>
        <v>1.2000000000000001E-3</v>
      </c>
      <c r="FB112" s="460">
        <f t="shared" si="417"/>
        <v>1009.0872048280748</v>
      </c>
      <c r="FC112" s="173">
        <f t="shared" si="418"/>
        <v>1.2936435526175485</v>
      </c>
      <c r="FD112" s="5">
        <f t="shared" si="419"/>
        <v>3</v>
      </c>
      <c r="FE112" s="173">
        <f t="shared" si="420"/>
        <v>0.69870727815100064</v>
      </c>
      <c r="FF112" s="5">
        <f t="shared" si="421"/>
        <v>69.870727815100068</v>
      </c>
      <c r="FI112" s="562">
        <f t="shared" si="422"/>
        <v>-50</v>
      </c>
      <c r="FJ112">
        <f t="shared" si="423"/>
        <v>-50</v>
      </c>
      <c r="FL112">
        <f t="shared" si="424"/>
        <v>6.115766297251507E-2</v>
      </c>
    </row>
    <row r="113" spans="5:168">
      <c r="E113" s="170">
        <v>3</v>
      </c>
      <c r="F113" s="217">
        <f t="shared" si="425"/>
        <v>0.3</v>
      </c>
      <c r="G113" s="217"/>
      <c r="H113" s="217">
        <f t="shared" si="315"/>
        <v>4.5</v>
      </c>
      <c r="I113" s="541">
        <f t="shared" si="316"/>
        <v>18.802357646239475</v>
      </c>
      <c r="J113" s="172">
        <f t="shared" si="317"/>
        <v>15.518585412256314</v>
      </c>
      <c r="K113" s="172">
        <f t="shared" si="318"/>
        <v>34.320943058495786</v>
      </c>
      <c r="L113" s="443"/>
      <c r="M113" s="217">
        <f t="shared" si="319"/>
        <v>0.45218588129252285</v>
      </c>
      <c r="N113" s="172">
        <f t="shared" si="426"/>
        <v>212.75594288178783</v>
      </c>
      <c r="O113" s="172">
        <f t="shared" si="284"/>
        <v>4.5</v>
      </c>
      <c r="P113" s="217">
        <f t="shared" si="320"/>
        <v>14.183729525452522</v>
      </c>
      <c r="Q113" s="217">
        <f t="shared" si="321"/>
        <v>15</v>
      </c>
      <c r="R113" s="217"/>
      <c r="S113" s="172">
        <f t="shared" si="322"/>
        <v>1548.0656365697425</v>
      </c>
      <c r="T113" s="172">
        <f t="shared" si="323"/>
        <v>15</v>
      </c>
      <c r="U113" s="217">
        <f t="shared" si="324"/>
        <v>1.0952620232126384</v>
      </c>
      <c r="V113" s="217">
        <f t="shared" si="325"/>
        <v>0.69901575780207159</v>
      </c>
      <c r="W113" s="217">
        <f t="shared" si="326"/>
        <v>0.8469292741187241</v>
      </c>
      <c r="X113" s="197">
        <f t="shared" si="327"/>
        <v>70.847410522210112</v>
      </c>
      <c r="Y113" s="443">
        <f t="shared" si="328"/>
        <v>350</v>
      </c>
      <c r="AA113" s="217">
        <f t="shared" si="329"/>
        <v>10</v>
      </c>
      <c r="AB113" s="173">
        <f t="shared" si="330"/>
        <v>7.7326635651485374</v>
      </c>
      <c r="AC113" s="173">
        <f t="shared" si="331"/>
        <v>2.7391959501510765</v>
      </c>
      <c r="AD113" s="173"/>
      <c r="AE113" s="173">
        <f t="shared" si="332"/>
        <v>7.7326635651485374</v>
      </c>
      <c r="AF113" s="545">
        <f t="shared" si="333"/>
        <v>12</v>
      </c>
      <c r="AG113" s="528">
        <f t="shared" si="334"/>
        <v>2.7391959501510761</v>
      </c>
      <c r="AI113" s="173">
        <f t="shared" si="335"/>
        <v>1.4889394793541721</v>
      </c>
      <c r="AJ113" s="173">
        <f t="shared" si="336"/>
        <v>10</v>
      </c>
      <c r="AK113" s="173">
        <f t="shared" si="337"/>
        <v>1.0068571428571429</v>
      </c>
      <c r="AM113" s="545">
        <f t="shared" si="338"/>
        <v>300</v>
      </c>
      <c r="AN113" s="460">
        <f t="shared" si="339"/>
        <v>12</v>
      </c>
      <c r="AP113" s="460">
        <f t="shared" si="340"/>
        <v>300</v>
      </c>
      <c r="AQ113" s="460">
        <f t="shared" si="341"/>
        <v>12</v>
      </c>
      <c r="AS113" s="5">
        <f t="shared" si="285"/>
        <v>83.333333333333329</v>
      </c>
      <c r="AT113" s="5">
        <f t="shared" si="342"/>
        <v>6.3821783553830196</v>
      </c>
      <c r="AU113" s="5">
        <f t="shared" si="343"/>
        <v>76.95115497795031</v>
      </c>
      <c r="AV113" s="5"/>
      <c r="AW113" s="173">
        <f t="shared" si="344"/>
        <v>7.6586140264596245E-2</v>
      </c>
      <c r="AX113" s="173">
        <f t="shared" si="214"/>
        <v>7.2000000000000011</v>
      </c>
      <c r="AY113" s="173">
        <f t="shared" si="215"/>
        <v>4.617069298677019</v>
      </c>
      <c r="AZ113" s="173">
        <f t="shared" si="288"/>
        <v>1.5594307848190838</v>
      </c>
      <c r="BA113" s="460">
        <f t="shared" si="345"/>
        <v>12.764356710766039</v>
      </c>
      <c r="BB113" s="5">
        <f t="shared" si="346"/>
        <v>5.1157916221041537</v>
      </c>
      <c r="BD113" s="173">
        <f t="shared" si="289"/>
        <v>1.5977707414248166</v>
      </c>
      <c r="BE113" s="173">
        <f t="shared" si="218"/>
        <v>5.5480142385523967</v>
      </c>
      <c r="BG113" s="528">
        <f t="shared" si="347"/>
        <v>5.1057426843064163E-2</v>
      </c>
      <c r="BH113" s="528">
        <f t="shared" si="348"/>
        <v>7.7222121881615535E-2</v>
      </c>
      <c r="BI113" s="528">
        <f t="shared" si="349"/>
        <v>5.6407072938718427E-3</v>
      </c>
      <c r="BJ113" s="528">
        <f t="shared" si="350"/>
        <v>1.4135125589094123E-3</v>
      </c>
      <c r="BK113">
        <f t="shared" si="351"/>
        <v>8.4610609408077627E-3</v>
      </c>
      <c r="BL113" s="460">
        <f t="shared" si="427"/>
        <v>14.101768234679605</v>
      </c>
      <c r="BM113" s="528">
        <f t="shared" si="352"/>
        <v>0.14524051474400745</v>
      </c>
      <c r="BN113" s="460">
        <f t="shared" si="353"/>
        <v>145.24051474400744</v>
      </c>
      <c r="BO113" s="528">
        <f t="shared" si="354"/>
        <v>0.21</v>
      </c>
      <c r="BR113" s="460">
        <f t="shared" si="355"/>
        <v>210</v>
      </c>
      <c r="BS113" s="528">
        <f t="shared" si="356"/>
        <v>7.6586140264596245E-2</v>
      </c>
      <c r="BT113" s="528">
        <f t="shared" si="357"/>
        <v>0.9234138597354038</v>
      </c>
      <c r="BU113" s="528">
        <f t="shared" si="358"/>
        <v>7.8872048280743991E-3</v>
      </c>
      <c r="BV113" s="528"/>
      <c r="BW113" s="528">
        <f t="shared" si="359"/>
        <v>1.2000000000000001E-3</v>
      </c>
      <c r="BX113" s="460">
        <f t="shared" si="360"/>
        <v>1009.0872048280746</v>
      </c>
      <c r="BY113" s="173">
        <f t="shared" si="361"/>
        <v>1.3628820343463433</v>
      </c>
      <c r="BZ113" s="5">
        <f t="shared" si="362"/>
        <v>4.5</v>
      </c>
      <c r="CA113" s="173">
        <f t="shared" si="363"/>
        <v>0.76754060096003751</v>
      </c>
      <c r="CB113" s="5">
        <f t="shared" si="364"/>
        <v>76.754060096003755</v>
      </c>
      <c r="CE113" s="562">
        <f t="shared" si="365"/>
        <v>-50</v>
      </c>
      <c r="CF113">
        <f t="shared" si="366"/>
        <v>-50</v>
      </c>
      <c r="CG113" s="173">
        <f t="shared" si="367"/>
        <v>7.5894663844041116E-2</v>
      </c>
      <c r="CI113" s="170">
        <v>3</v>
      </c>
      <c r="CJ113" s="217">
        <f t="shared" si="428"/>
        <v>0.3</v>
      </c>
      <c r="CK113" s="217"/>
      <c r="CL113" s="217">
        <f t="shared" si="368"/>
        <v>4.5</v>
      </c>
      <c r="CM113" s="541">
        <f t="shared" si="369"/>
        <v>19</v>
      </c>
      <c r="CN113" s="443">
        <f t="shared" si="370"/>
        <v>15.4</v>
      </c>
      <c r="CO113" s="443">
        <f t="shared" si="371"/>
        <v>34.4</v>
      </c>
      <c r="CP113" s="443"/>
      <c r="CQ113" s="217">
        <f t="shared" si="372"/>
        <v>0.44767441860465118</v>
      </c>
      <c r="CR113" s="172">
        <f t="shared" si="429"/>
        <v>212.84736191860466</v>
      </c>
      <c r="CS113" s="172">
        <f t="shared" si="373"/>
        <v>4.5</v>
      </c>
      <c r="CT113" s="217">
        <f t="shared" si="374"/>
        <v>14.189824127906977</v>
      </c>
      <c r="CU113" s="217">
        <f t="shared" si="375"/>
        <v>15</v>
      </c>
      <c r="CV113" s="217"/>
      <c r="CW113" s="172">
        <f t="shared" si="376"/>
        <v>1564.3381903759023</v>
      </c>
      <c r="CX113" s="172">
        <f t="shared" si="377"/>
        <v>15</v>
      </c>
      <c r="CY113" s="217">
        <f t="shared" si="378"/>
        <v>1.0580997949419002</v>
      </c>
      <c r="CZ113" s="217">
        <f t="shared" si="379"/>
        <v>0.66827355470014749</v>
      </c>
      <c r="DA113" s="217">
        <f t="shared" si="380"/>
        <v>0.82449334670797414</v>
      </c>
      <c r="DB113" s="197">
        <f t="shared" si="381"/>
        <v>70.881782945736433</v>
      </c>
      <c r="DC113" s="443">
        <f t="shared" si="382"/>
        <v>350</v>
      </c>
      <c r="DE113" s="217">
        <f t="shared" si="383"/>
        <v>10.000000000000002</v>
      </c>
      <c r="DF113" s="173">
        <f t="shared" si="384"/>
        <v>7.792207792207793</v>
      </c>
      <c r="DG113" s="173">
        <f t="shared" si="385"/>
        <v>2.7616279069767451</v>
      </c>
      <c r="DH113" s="173"/>
      <c r="DI113" s="173">
        <f t="shared" si="386"/>
        <v>7.7922077922077913</v>
      </c>
      <c r="DJ113" s="545">
        <f t="shared" si="387"/>
        <v>12</v>
      </c>
      <c r="DK113" s="528">
        <f t="shared" si="388"/>
        <v>2.7616279069767442</v>
      </c>
      <c r="DM113" s="173">
        <f t="shared" si="389"/>
        <v>1.4832396974191326</v>
      </c>
      <c r="DN113" s="173">
        <f t="shared" si="390"/>
        <v>10</v>
      </c>
      <c r="DO113" s="173">
        <f t="shared" si="391"/>
        <v>1.0068571428571429</v>
      </c>
      <c r="DQ113" s="545">
        <f t="shared" si="392"/>
        <v>300</v>
      </c>
      <c r="DR113" s="460">
        <f t="shared" si="393"/>
        <v>12</v>
      </c>
      <c r="DT113">
        <f t="shared" si="430"/>
        <v>300</v>
      </c>
      <c r="DU113">
        <f t="shared" si="431"/>
        <v>12</v>
      </c>
      <c r="DW113" s="5">
        <f t="shared" si="394"/>
        <v>83.333333333333329</v>
      </c>
      <c r="DX113" s="5">
        <f t="shared" si="395"/>
        <v>6.3157894736842106</v>
      </c>
      <c r="DY113" s="5">
        <f t="shared" si="396"/>
        <v>77.017543859649123</v>
      </c>
      <c r="DZ113" s="5"/>
      <c r="EA113" s="173">
        <f t="shared" si="397"/>
        <v>7.5789473684210532E-2</v>
      </c>
      <c r="EB113" s="173">
        <f t="shared" si="398"/>
        <v>7.2000000000000011</v>
      </c>
      <c r="EC113" s="173">
        <f t="shared" si="399"/>
        <v>4.6210526315789471</v>
      </c>
      <c r="ED113" s="173">
        <f t="shared" si="400"/>
        <v>1.5580865603644649</v>
      </c>
      <c r="EE113" s="460">
        <f t="shared" si="401"/>
        <v>12.631578947368421</v>
      </c>
      <c r="EF113" s="5">
        <f t="shared" si="402"/>
        <v>5.0669436749769154</v>
      </c>
      <c r="EH113" s="173">
        <f t="shared" si="403"/>
        <v>1.5894388284780527</v>
      </c>
      <c r="EI113" s="173">
        <f t="shared" si="404"/>
        <v>5.5504069710120945</v>
      </c>
      <c r="EK113" s="528">
        <f t="shared" si="405"/>
        <v>5.0526315789473697E-2</v>
      </c>
      <c r="EL113" s="528">
        <f t="shared" si="406"/>
        <v>8.2560000000000008E-2</v>
      </c>
      <c r="EM113" s="528">
        <f t="shared" si="407"/>
        <v>1.5E-3</v>
      </c>
      <c r="EN113" s="528">
        <f t="shared" si="408"/>
        <v>1.4200319999999999E-3</v>
      </c>
      <c r="EO113">
        <f t="shared" si="409"/>
        <v>8.5500000000000003E-3</v>
      </c>
      <c r="EP113" s="460">
        <f t="shared" si="410"/>
        <v>10.050000000000001</v>
      </c>
      <c r="EQ113" s="460"/>
      <c r="ER113" s="460">
        <f t="shared" si="432"/>
        <v>144.5563477894737</v>
      </c>
      <c r="ES113" s="528">
        <f t="shared" si="411"/>
        <v>0.21</v>
      </c>
      <c r="EV113" s="460">
        <f t="shared" si="412"/>
        <v>210</v>
      </c>
      <c r="EW113" s="528">
        <f t="shared" si="413"/>
        <v>7.5789473684210545E-2</v>
      </c>
      <c r="EX113" s="528">
        <f t="shared" si="414"/>
        <v>0.92421052631578959</v>
      </c>
      <c r="EY113" s="528">
        <f t="shared" si="415"/>
        <v>7.8872048280743991E-3</v>
      </c>
      <c r="EZ113" s="528"/>
      <c r="FA113" s="528">
        <f t="shared" si="416"/>
        <v>1.2000000000000001E-3</v>
      </c>
      <c r="FB113" s="460">
        <f t="shared" si="417"/>
        <v>1009.0872048280748</v>
      </c>
      <c r="FC113" s="173">
        <f t="shared" si="418"/>
        <v>1.3636435526175483</v>
      </c>
      <c r="FD113" s="5">
        <f t="shared" si="419"/>
        <v>4.5</v>
      </c>
      <c r="FE113" s="173">
        <f t="shared" si="420"/>
        <v>0.76744091956121496</v>
      </c>
      <c r="FF113" s="5">
        <f t="shared" si="421"/>
        <v>76.744091956121494</v>
      </c>
      <c r="FI113" s="562">
        <f t="shared" si="422"/>
        <v>-50</v>
      </c>
      <c r="FJ113">
        <f t="shared" si="423"/>
        <v>-50</v>
      </c>
      <c r="FL113">
        <f t="shared" si="424"/>
        <v>7.4902534071883117E-2</v>
      </c>
    </row>
    <row r="114" spans="5:168">
      <c r="E114" s="170">
        <v>4</v>
      </c>
      <c r="F114" s="217">
        <f t="shared" si="425"/>
        <v>0.4</v>
      </c>
      <c r="G114" s="217"/>
      <c r="H114" s="217">
        <f t="shared" si="315"/>
        <v>6</v>
      </c>
      <c r="I114" s="541">
        <f t="shared" si="316"/>
        <v>18.771782267706179</v>
      </c>
      <c r="J114" s="172">
        <f t="shared" si="317"/>
        <v>15.536930639376292</v>
      </c>
      <c r="K114" s="172">
        <f t="shared" si="318"/>
        <v>34.308712907082473</v>
      </c>
      <c r="L114" s="443"/>
      <c r="M114" s="217">
        <f t="shared" si="319"/>
        <v>0.45288562701674989</v>
      </c>
      <c r="N114" s="172">
        <f t="shared" si="426"/>
        <v>212.73866948488563</v>
      </c>
      <c r="O114" s="172">
        <f t="shared" si="284"/>
        <v>6</v>
      </c>
      <c r="P114" s="217">
        <f t="shared" si="320"/>
        <v>14.182577965659043</v>
      </c>
      <c r="Q114" s="217">
        <f t="shared" si="321"/>
        <v>15</v>
      </c>
      <c r="R114" s="217"/>
      <c r="S114" s="172">
        <f t="shared" si="322"/>
        <v>1154.4711112396119</v>
      </c>
      <c r="T114" s="172">
        <f t="shared" si="323"/>
        <v>15</v>
      </c>
      <c r="U114" s="217">
        <f t="shared" si="324"/>
        <v>1.4622171149294449</v>
      </c>
      <c r="V114" s="217">
        <f t="shared" si="325"/>
        <v>0.93473305458797273</v>
      </c>
      <c r="W114" s="217">
        <f t="shared" si="326"/>
        <v>1.1293482468592473</v>
      </c>
      <c r="X114" s="197">
        <f t="shared" si="327"/>
        <v>70.841062021356379</v>
      </c>
      <c r="Y114" s="443">
        <f t="shared" si="328"/>
        <v>350</v>
      </c>
      <c r="AA114" s="217">
        <f t="shared" si="329"/>
        <v>10</v>
      </c>
      <c r="AB114" s="173">
        <f t="shared" si="330"/>
        <v>7.7235332245016206</v>
      </c>
      <c r="AC114" s="173">
        <f t="shared" si="331"/>
        <v>2.7357164809046299</v>
      </c>
      <c r="AD114" s="173"/>
      <c r="AE114" s="173">
        <f t="shared" si="332"/>
        <v>7.7235332245016206</v>
      </c>
      <c r="AF114" s="545">
        <f t="shared" si="333"/>
        <v>12</v>
      </c>
      <c r="AG114" s="528">
        <f t="shared" si="334"/>
        <v>2.7357164809046299</v>
      </c>
      <c r="AI114" s="173">
        <f t="shared" si="335"/>
        <v>1.7202951374346203</v>
      </c>
      <c r="AJ114" s="173">
        <f t="shared" si="336"/>
        <v>10</v>
      </c>
      <c r="AK114" s="173">
        <f t="shared" si="337"/>
        <v>1.0068571428571429</v>
      </c>
      <c r="AM114" s="545">
        <f t="shared" si="338"/>
        <v>400</v>
      </c>
      <c r="AN114" s="460">
        <f t="shared" si="339"/>
        <v>12</v>
      </c>
      <c r="AP114" s="460">
        <f t="shared" si="340"/>
        <v>400</v>
      </c>
      <c r="AQ114" s="460">
        <f t="shared" si="341"/>
        <v>12</v>
      </c>
      <c r="AS114" s="5">
        <f t="shared" si="285"/>
        <v>83.333333333333329</v>
      </c>
      <c r="AT114" s="5">
        <f t="shared" si="342"/>
        <v>6.3925736133452089</v>
      </c>
      <c r="AU114" s="5">
        <f t="shared" si="343"/>
        <v>76.940759719988122</v>
      </c>
      <c r="AV114" s="5"/>
      <c r="AW114" s="173">
        <f t="shared" si="344"/>
        <v>7.6710883360142507E-2</v>
      </c>
      <c r="AX114" s="173">
        <f t="shared" si="214"/>
        <v>7.2000000000000011</v>
      </c>
      <c r="AY114" s="173">
        <f t="shared" si="215"/>
        <v>4.6164455831992877</v>
      </c>
      <c r="AZ114" s="173">
        <f t="shared" si="288"/>
        <v>1.5596414752949952</v>
      </c>
      <c r="BA114" s="460">
        <f t="shared" si="345"/>
        <v>17.046862968920557</v>
      </c>
      <c r="BB114" s="5">
        <f t="shared" si="346"/>
        <v>6.8312426441212484</v>
      </c>
      <c r="BD114" s="173">
        <f t="shared" si="289"/>
        <v>1.5990714322187372</v>
      </c>
      <c r="BE114" s="173">
        <f t="shared" si="218"/>
        <v>5.5476394879259461</v>
      </c>
      <c r="BG114" s="528">
        <f t="shared" si="347"/>
        <v>5.1140588906761666E-2</v>
      </c>
      <c r="BH114" s="528">
        <f t="shared" si="348"/>
        <v>7.7194604040935574E-2</v>
      </c>
      <c r="BI114" s="528">
        <f t="shared" si="349"/>
        <v>5.6315346803118534E-3</v>
      </c>
      <c r="BJ114" s="528">
        <f t="shared" si="350"/>
        <v>1.4125053376087288E-3</v>
      </c>
      <c r="BK114">
        <f t="shared" si="351"/>
        <v>8.4473020204677805E-3</v>
      </c>
      <c r="BL114" s="460">
        <f t="shared" si="427"/>
        <v>14.078836700779632</v>
      </c>
      <c r="BM114" s="528">
        <f t="shared" si="352"/>
        <v>0.14532145890759504</v>
      </c>
      <c r="BN114" s="460">
        <f t="shared" si="353"/>
        <v>145.32145890759503</v>
      </c>
      <c r="BO114" s="528">
        <f t="shared" si="354"/>
        <v>0.27999999999999997</v>
      </c>
      <c r="BR114" s="460">
        <f t="shared" si="355"/>
        <v>279.99999999999994</v>
      </c>
      <c r="BS114" s="528">
        <f t="shared" si="356"/>
        <v>7.6710883360142493E-2</v>
      </c>
      <c r="BT114" s="528">
        <f t="shared" si="357"/>
        <v>0.92328911663985758</v>
      </c>
      <c r="BU114" s="528">
        <f t="shared" si="358"/>
        <v>7.8872048280743991E-3</v>
      </c>
      <c r="BV114" s="528"/>
      <c r="BW114" s="528">
        <f t="shared" si="359"/>
        <v>1.2000000000000001E-3</v>
      </c>
      <c r="BX114" s="460">
        <f t="shared" si="360"/>
        <v>1009.0872048280746</v>
      </c>
      <c r="BY114" s="173">
        <f t="shared" si="361"/>
        <v>1.4329137398141603</v>
      </c>
      <c r="BZ114" s="5">
        <f t="shared" si="362"/>
        <v>6</v>
      </c>
      <c r="CA114" s="173">
        <f t="shared" si="363"/>
        <v>0.80722045351625638</v>
      </c>
      <c r="CB114" s="5">
        <f t="shared" si="364"/>
        <v>80.722045351625638</v>
      </c>
      <c r="CE114" s="562">
        <f t="shared" si="365"/>
        <v>-50</v>
      </c>
      <c r="CF114">
        <f t="shared" si="366"/>
        <v>-50</v>
      </c>
      <c r="CG114" s="173">
        <f t="shared" si="367"/>
        <v>8.7635609200826581E-2</v>
      </c>
      <c r="CI114" s="170">
        <v>4</v>
      </c>
      <c r="CJ114" s="217">
        <f t="shared" si="428"/>
        <v>0.4</v>
      </c>
      <c r="CK114" s="217"/>
      <c r="CL114" s="217">
        <f t="shared" si="368"/>
        <v>6</v>
      </c>
      <c r="CM114" s="541">
        <f t="shared" si="369"/>
        <v>19</v>
      </c>
      <c r="CN114" s="443">
        <f t="shared" si="370"/>
        <v>15.4</v>
      </c>
      <c r="CO114" s="443">
        <f t="shared" si="371"/>
        <v>34.4</v>
      </c>
      <c r="CP114" s="443"/>
      <c r="CQ114" s="217">
        <f t="shared" si="372"/>
        <v>0.44767441860465118</v>
      </c>
      <c r="CR114" s="172">
        <f t="shared" si="429"/>
        <v>212.84736191860466</v>
      </c>
      <c r="CS114" s="172">
        <f t="shared" si="373"/>
        <v>6</v>
      </c>
      <c r="CT114" s="217">
        <f t="shared" si="374"/>
        <v>14.189824127906977</v>
      </c>
      <c r="CU114" s="217">
        <f t="shared" si="375"/>
        <v>15</v>
      </c>
      <c r="CV114" s="217"/>
      <c r="CW114" s="172">
        <f t="shared" si="376"/>
        <v>1168.5065018031707</v>
      </c>
      <c r="CX114" s="172">
        <f t="shared" si="377"/>
        <v>15</v>
      </c>
      <c r="CY114" s="217">
        <f t="shared" si="378"/>
        <v>1.4107997265892003</v>
      </c>
      <c r="CZ114" s="217">
        <f t="shared" si="379"/>
        <v>0.89103140626686339</v>
      </c>
      <c r="DA114" s="217">
        <f t="shared" si="380"/>
        <v>1.0993244622772989</v>
      </c>
      <c r="DB114" s="197">
        <f t="shared" si="381"/>
        <v>70.881782945736433</v>
      </c>
      <c r="DC114" s="443">
        <f t="shared" si="382"/>
        <v>350</v>
      </c>
      <c r="DE114" s="217">
        <f t="shared" si="383"/>
        <v>10.000000000000002</v>
      </c>
      <c r="DF114" s="173">
        <f t="shared" si="384"/>
        <v>7.792207792207793</v>
      </c>
      <c r="DG114" s="173">
        <f t="shared" si="385"/>
        <v>2.7616279069767451</v>
      </c>
      <c r="DH114" s="173"/>
      <c r="DI114" s="173">
        <f t="shared" si="386"/>
        <v>7.7922077922077913</v>
      </c>
      <c r="DJ114" s="545">
        <f t="shared" si="387"/>
        <v>12</v>
      </c>
      <c r="DK114" s="528">
        <f t="shared" si="388"/>
        <v>2.7616279069767442</v>
      </c>
      <c r="DM114" s="173">
        <f t="shared" si="389"/>
        <v>1.7126976771553506</v>
      </c>
      <c r="DN114" s="173">
        <f t="shared" si="390"/>
        <v>10</v>
      </c>
      <c r="DO114" s="173">
        <f t="shared" si="391"/>
        <v>1.0068571428571429</v>
      </c>
      <c r="DQ114" s="545">
        <f t="shared" si="392"/>
        <v>400</v>
      </c>
      <c r="DR114" s="460">
        <f t="shared" si="393"/>
        <v>12</v>
      </c>
      <c r="DT114">
        <f t="shared" si="430"/>
        <v>400</v>
      </c>
      <c r="DU114">
        <f t="shared" si="431"/>
        <v>12</v>
      </c>
      <c r="DW114" s="5">
        <f t="shared" si="394"/>
        <v>83.333333333333329</v>
      </c>
      <c r="DX114" s="5">
        <f t="shared" si="395"/>
        <v>6.3157894736842106</v>
      </c>
      <c r="DY114" s="5">
        <f t="shared" si="396"/>
        <v>77.017543859649123</v>
      </c>
      <c r="DZ114" s="5"/>
      <c r="EA114" s="173">
        <f t="shared" si="397"/>
        <v>7.5789473684210532E-2</v>
      </c>
      <c r="EB114" s="173">
        <f t="shared" si="398"/>
        <v>7.2000000000000011</v>
      </c>
      <c r="EC114" s="173">
        <f t="shared" si="399"/>
        <v>4.6210526315789471</v>
      </c>
      <c r="ED114" s="173">
        <f t="shared" si="400"/>
        <v>1.5580865603644649</v>
      </c>
      <c r="EE114" s="460">
        <f t="shared" si="401"/>
        <v>16.842105263157897</v>
      </c>
      <c r="EF114" s="5">
        <f t="shared" si="402"/>
        <v>6.7559248999692212</v>
      </c>
      <c r="EH114" s="173">
        <f t="shared" si="403"/>
        <v>1.5894388284780527</v>
      </c>
      <c r="EI114" s="173">
        <f t="shared" si="404"/>
        <v>5.5504069710120945</v>
      </c>
      <c r="EK114" s="528">
        <f t="shared" si="405"/>
        <v>5.0526315789473697E-2</v>
      </c>
      <c r="EL114" s="528">
        <f t="shared" si="406"/>
        <v>8.2560000000000008E-2</v>
      </c>
      <c r="EM114" s="528">
        <f t="shared" si="407"/>
        <v>1.5E-3</v>
      </c>
      <c r="EN114" s="528">
        <f t="shared" si="408"/>
        <v>1.4200319999999999E-3</v>
      </c>
      <c r="EO114">
        <f t="shared" si="409"/>
        <v>8.5500000000000003E-3</v>
      </c>
      <c r="EP114" s="460">
        <f t="shared" si="410"/>
        <v>10.050000000000001</v>
      </c>
      <c r="EQ114" s="460"/>
      <c r="ER114" s="460">
        <f t="shared" si="432"/>
        <v>144.5563477894737</v>
      </c>
      <c r="ES114" s="528">
        <f t="shared" si="411"/>
        <v>0.27999999999999997</v>
      </c>
      <c r="EV114" s="460">
        <f t="shared" si="412"/>
        <v>279.99999999999994</v>
      </c>
      <c r="EW114" s="528">
        <f t="shared" si="413"/>
        <v>7.5789473684210545E-2</v>
      </c>
      <c r="EX114" s="528">
        <f t="shared" si="414"/>
        <v>0.92421052631578959</v>
      </c>
      <c r="EY114" s="528">
        <f t="shared" si="415"/>
        <v>7.8872048280743991E-3</v>
      </c>
      <c r="EZ114" s="528"/>
      <c r="FA114" s="528">
        <f t="shared" si="416"/>
        <v>1.2000000000000001E-3</v>
      </c>
      <c r="FB114" s="460">
        <f t="shared" si="417"/>
        <v>1009.0872048280748</v>
      </c>
      <c r="FC114" s="173">
        <f t="shared" si="418"/>
        <v>1.4336435526175484</v>
      </c>
      <c r="FD114" s="5">
        <f t="shared" si="419"/>
        <v>6</v>
      </c>
      <c r="FE114" s="173">
        <f t="shared" si="420"/>
        <v>0.80714120303592829</v>
      </c>
      <c r="FF114" s="5">
        <f t="shared" si="421"/>
        <v>80.714120303592836</v>
      </c>
      <c r="FI114" s="562">
        <f t="shared" si="422"/>
        <v>-50</v>
      </c>
      <c r="FJ114">
        <f t="shared" si="423"/>
        <v>-50</v>
      </c>
      <c r="FL114">
        <f t="shared" si="424"/>
        <v>8.6489996418773668E-2</v>
      </c>
    </row>
    <row r="115" spans="5:168">
      <c r="E115" s="170">
        <v>5</v>
      </c>
      <c r="F115" s="217">
        <f t="shared" si="425"/>
        <v>0.5</v>
      </c>
      <c r="G115" s="217"/>
      <c r="H115" s="217">
        <f t="shared" si="315"/>
        <v>7.5</v>
      </c>
      <c r="I115" s="541">
        <f t="shared" si="316"/>
        <v>18.753268114390085</v>
      </c>
      <c r="J115" s="172">
        <f t="shared" si="317"/>
        <v>15.548039131365949</v>
      </c>
      <c r="K115" s="172">
        <f t="shared" si="318"/>
        <v>34.301307245756036</v>
      </c>
      <c r="L115" s="443"/>
      <c r="M115" s="217">
        <f t="shared" si="319"/>
        <v>0.45330957820537332</v>
      </c>
      <c r="N115" s="172">
        <f t="shared" si="426"/>
        <v>212.72780107906019</v>
      </c>
      <c r="O115" s="172">
        <f t="shared" si="284"/>
        <v>7.5</v>
      </c>
      <c r="P115" s="217">
        <f t="shared" si="320"/>
        <v>14.18185340527068</v>
      </c>
      <c r="Q115" s="217">
        <f t="shared" si="321"/>
        <v>15</v>
      </c>
      <c r="R115" s="217"/>
      <c r="S115" s="172">
        <f t="shared" si="322"/>
        <v>918.9182972460876</v>
      </c>
      <c r="T115" s="172">
        <f t="shared" si="323"/>
        <v>15</v>
      </c>
      <c r="U115" s="217">
        <f t="shared" si="324"/>
        <v>1.8291888061936201</v>
      </c>
      <c r="V115" s="217">
        <f t="shared" si="325"/>
        <v>1.1704768225160807</v>
      </c>
      <c r="W115" s="217">
        <f t="shared" si="326"/>
        <v>1.4117706733861966</v>
      </c>
      <c r="X115" s="197">
        <f t="shared" si="327"/>
        <v>70.83708316481389</v>
      </c>
      <c r="Y115" s="443">
        <f t="shared" si="328"/>
        <v>350</v>
      </c>
      <c r="AA115" s="217">
        <f t="shared" si="329"/>
        <v>10</v>
      </c>
      <c r="AB115" s="173">
        <f t="shared" si="330"/>
        <v>7.7180150491078416</v>
      </c>
      <c r="AC115" s="173">
        <f t="shared" si="331"/>
        <v>2.7336083695046867</v>
      </c>
      <c r="AD115" s="173"/>
      <c r="AE115" s="173">
        <f t="shared" si="332"/>
        <v>7.7180150491078416</v>
      </c>
      <c r="AF115" s="545">
        <f t="shared" si="333"/>
        <v>12.956699276138288</v>
      </c>
      <c r="AG115" s="528">
        <f t="shared" si="334"/>
        <v>2.7336083695046871</v>
      </c>
      <c r="AI115" s="173">
        <f t="shared" si="335"/>
        <v>1.9240358829545394</v>
      </c>
      <c r="AJ115" s="173">
        <f t="shared" si="336"/>
        <v>10</v>
      </c>
      <c r="AK115" s="173">
        <f t="shared" si="337"/>
        <v>1.0074038281577933</v>
      </c>
      <c r="AM115" s="545">
        <f t="shared" si="338"/>
        <v>500</v>
      </c>
      <c r="AN115" s="460">
        <f t="shared" si="339"/>
        <v>12.956699276138288</v>
      </c>
      <c r="AP115" s="460">
        <f t="shared" si="340"/>
        <v>500</v>
      </c>
      <c r="AQ115" s="460">
        <f t="shared" si="341"/>
        <v>12.956699276138288</v>
      </c>
      <c r="AS115" s="5">
        <f t="shared" si="285"/>
        <v>77.180150491078436</v>
      </c>
      <c r="AT115" s="5">
        <f t="shared" si="342"/>
        <v>6.3988846780215072</v>
      </c>
      <c r="AU115" s="5">
        <f t="shared" si="343"/>
        <v>70.781265813056933</v>
      </c>
      <c r="AV115" s="5"/>
      <c r="AW115" s="173">
        <f t="shared" si="344"/>
        <v>8.2908424475813633E-2</v>
      </c>
      <c r="AX115" s="173">
        <f t="shared" si="214"/>
        <v>7.7740195656829734</v>
      </c>
      <c r="AY115" s="173">
        <f t="shared" si="215"/>
        <v>4.5854578776209323</v>
      </c>
      <c r="AZ115" s="173">
        <f t="shared" si="288"/>
        <v>1.6953638596537188</v>
      </c>
      <c r="BA115" s="460">
        <f t="shared" si="345"/>
        <v>21.329615593405023</v>
      </c>
      <c r="BB115" s="5">
        <f t="shared" si="346"/>
        <v>7.8632145364954429</v>
      </c>
      <c r="BD115" s="173">
        <f t="shared" si="289"/>
        <v>1.6624121478122649</v>
      </c>
      <c r="BE115" s="173">
        <f t="shared" si="218"/>
        <v>5.5289889839047026</v>
      </c>
      <c r="BG115" s="528">
        <f t="shared" si="347"/>
        <v>5.5272282983875751E-2</v>
      </c>
      <c r="BH115" s="528">
        <f t="shared" si="348"/>
        <v>8.3330948017815806E-2</v>
      </c>
      <c r="BI115" s="528">
        <f t="shared" si="349"/>
        <v>6.0745113850736313E-3</v>
      </c>
      <c r="BJ115" s="528">
        <f t="shared" si="350"/>
        <v>1.5244589072209197E-3</v>
      </c>
      <c r="BK115">
        <f t="shared" si="351"/>
        <v>8.4389706514755389E-3</v>
      </c>
      <c r="BL115" s="460">
        <f t="shared" si="427"/>
        <v>14.513482036549171</v>
      </c>
      <c r="BM115" s="528">
        <f t="shared" si="352"/>
        <v>0.15711454360735819</v>
      </c>
      <c r="BN115" s="460">
        <f t="shared" si="353"/>
        <v>157.1145436073582</v>
      </c>
      <c r="BO115" s="528">
        <f t="shared" si="354"/>
        <v>0.35</v>
      </c>
      <c r="BR115" s="460">
        <f t="shared" si="355"/>
        <v>350</v>
      </c>
      <c r="BS115" s="528">
        <f t="shared" si="356"/>
        <v>8.2908424475813619E-2</v>
      </c>
      <c r="BT115" s="528">
        <f t="shared" si="357"/>
        <v>0.91709157552418663</v>
      </c>
      <c r="BU115" s="528">
        <f t="shared" si="358"/>
        <v>9.5544557126780744E-3</v>
      </c>
      <c r="BV115" s="528"/>
      <c r="BW115" s="528">
        <f t="shared" si="359"/>
        <v>1.295669927613829E-3</v>
      </c>
      <c r="BX115" s="460">
        <f t="shared" si="360"/>
        <v>1010.8501256402922</v>
      </c>
      <c r="BY115" s="173">
        <f t="shared" si="361"/>
        <v>1.5154912975857537</v>
      </c>
      <c r="BZ115" s="5">
        <f t="shared" si="362"/>
        <v>7.5</v>
      </c>
      <c r="CA115" s="173">
        <f t="shared" si="363"/>
        <v>0.83190141861801969</v>
      </c>
      <c r="CB115" s="5">
        <f t="shared" si="364"/>
        <v>83.190141861801976</v>
      </c>
      <c r="CE115" s="562">
        <f t="shared" si="365"/>
        <v>-50</v>
      </c>
      <c r="CF115">
        <f t="shared" si="366"/>
        <v>-50</v>
      </c>
      <c r="CG115" s="173">
        <f t="shared" si="367"/>
        <v>0.10132456102380442</v>
      </c>
      <c r="CI115" s="170">
        <v>5</v>
      </c>
      <c r="CJ115" s="217">
        <f t="shared" si="428"/>
        <v>0.5</v>
      </c>
      <c r="CK115" s="217"/>
      <c r="CL115" s="217">
        <f t="shared" si="368"/>
        <v>7.5</v>
      </c>
      <c r="CM115" s="541">
        <f t="shared" si="369"/>
        <v>19</v>
      </c>
      <c r="CN115" s="443">
        <f t="shared" si="370"/>
        <v>15.4</v>
      </c>
      <c r="CO115" s="443">
        <f t="shared" si="371"/>
        <v>34.4</v>
      </c>
      <c r="CP115" s="443"/>
      <c r="CQ115" s="217">
        <f t="shared" si="372"/>
        <v>0.44767441860465118</v>
      </c>
      <c r="CR115" s="172">
        <f t="shared" si="429"/>
        <v>212.84736191860466</v>
      </c>
      <c r="CS115" s="172">
        <f t="shared" si="373"/>
        <v>7.5</v>
      </c>
      <c r="CT115" s="217">
        <f t="shared" si="374"/>
        <v>14.189824127906977</v>
      </c>
      <c r="CU115" s="217">
        <f t="shared" si="375"/>
        <v>15</v>
      </c>
      <c r="CV115" s="217"/>
      <c r="CW115" s="172">
        <f t="shared" si="376"/>
        <v>931.00815968801749</v>
      </c>
      <c r="CX115" s="172">
        <f t="shared" si="377"/>
        <v>15</v>
      </c>
      <c r="CY115" s="217">
        <f t="shared" si="378"/>
        <v>1.7634996582365003</v>
      </c>
      <c r="CZ115" s="217">
        <f t="shared" si="379"/>
        <v>1.1137892578335793</v>
      </c>
      <c r="DA115" s="217">
        <f t="shared" si="380"/>
        <v>1.3741555778466237</v>
      </c>
      <c r="DB115" s="197">
        <f t="shared" si="381"/>
        <v>70.881782945736433</v>
      </c>
      <c r="DC115" s="443">
        <f t="shared" si="382"/>
        <v>350</v>
      </c>
      <c r="DE115" s="217">
        <f t="shared" si="383"/>
        <v>10.000000000000002</v>
      </c>
      <c r="DF115" s="173">
        <f t="shared" si="384"/>
        <v>7.792207792207793</v>
      </c>
      <c r="DG115" s="173">
        <f t="shared" si="385"/>
        <v>2.7616279069767451</v>
      </c>
      <c r="DH115" s="173"/>
      <c r="DI115" s="173">
        <f t="shared" si="386"/>
        <v>7.7922077922077913</v>
      </c>
      <c r="DJ115" s="545">
        <f t="shared" si="387"/>
        <v>12.833333333333334</v>
      </c>
      <c r="DK115" s="528">
        <f t="shared" si="388"/>
        <v>2.7616279069767442</v>
      </c>
      <c r="DM115" s="173">
        <f t="shared" si="389"/>
        <v>1.9148542155126762</v>
      </c>
      <c r="DN115" s="173">
        <f t="shared" si="390"/>
        <v>10</v>
      </c>
      <c r="DO115" s="173">
        <f t="shared" si="391"/>
        <v>1.0073333333333334</v>
      </c>
      <c r="DQ115" s="545">
        <f t="shared" si="392"/>
        <v>500</v>
      </c>
      <c r="DR115" s="460">
        <f t="shared" si="393"/>
        <v>12.833333333333334</v>
      </c>
      <c r="DT115">
        <f t="shared" si="430"/>
        <v>500</v>
      </c>
      <c r="DU115">
        <f t="shared" si="431"/>
        <v>12.833333333333334</v>
      </c>
      <c r="DW115" s="5">
        <f t="shared" si="394"/>
        <v>77.922077922077918</v>
      </c>
      <c r="DX115" s="5">
        <f t="shared" si="395"/>
        <v>6.3157894736842106</v>
      </c>
      <c r="DY115" s="5">
        <f t="shared" si="396"/>
        <v>71.606288448393713</v>
      </c>
      <c r="DZ115" s="5"/>
      <c r="EA115" s="173">
        <f t="shared" si="397"/>
        <v>8.1052631578947376E-2</v>
      </c>
      <c r="EB115" s="173">
        <f t="shared" si="398"/>
        <v>7.7000000000000011</v>
      </c>
      <c r="EC115" s="173">
        <f t="shared" si="399"/>
        <v>4.594736842105263</v>
      </c>
      <c r="ED115" s="173">
        <f t="shared" si="400"/>
        <v>1.6758304696449029</v>
      </c>
      <c r="EE115" s="460">
        <f t="shared" si="401"/>
        <v>21.052631578947366</v>
      </c>
      <c r="EF115" s="5">
        <f t="shared" si="402"/>
        <v>7.8515667158326439</v>
      </c>
      <c r="EH115" s="173">
        <f t="shared" si="403"/>
        <v>1.6437014284732228</v>
      </c>
      <c r="EI115" s="173">
        <f t="shared" si="404"/>
        <v>5.5345802864687421</v>
      </c>
      <c r="EK115" s="528">
        <f t="shared" si="405"/>
        <v>5.4035087719298262E-2</v>
      </c>
      <c r="EL115" s="528">
        <f t="shared" si="406"/>
        <v>8.8293333333333335E-2</v>
      </c>
      <c r="EM115" s="528">
        <f t="shared" si="407"/>
        <v>1.6041666666666667E-3</v>
      </c>
      <c r="EN115" s="528">
        <f t="shared" si="408"/>
        <v>1.5186453333333333E-3</v>
      </c>
      <c r="EO115">
        <f t="shared" si="409"/>
        <v>8.5500000000000003E-3</v>
      </c>
      <c r="EP115" s="460">
        <f t="shared" si="410"/>
        <v>10.154166666666667</v>
      </c>
      <c r="EQ115" s="460"/>
      <c r="ER115" s="460">
        <f t="shared" si="432"/>
        <v>154.00123305263162</v>
      </c>
      <c r="ES115" s="528">
        <f t="shared" si="411"/>
        <v>0.35</v>
      </c>
      <c r="EV115" s="460">
        <f t="shared" si="412"/>
        <v>350</v>
      </c>
      <c r="EW115" s="528">
        <f t="shared" si="413"/>
        <v>8.105263157894739E-2</v>
      </c>
      <c r="EX115" s="528">
        <f t="shared" si="414"/>
        <v>0.91894736842105273</v>
      </c>
      <c r="EY115" s="528">
        <f t="shared" si="415"/>
        <v>9.3286476832938024E-3</v>
      </c>
      <c r="EZ115" s="528"/>
      <c r="FA115" s="528">
        <f t="shared" si="416"/>
        <v>1.2833333333333334E-3</v>
      </c>
      <c r="FB115" s="460">
        <f t="shared" si="417"/>
        <v>1010.6119810166274</v>
      </c>
      <c r="FC115" s="173">
        <f t="shared" si="418"/>
        <v>1.5146132140692588</v>
      </c>
      <c r="FD115" s="5">
        <f t="shared" si="419"/>
        <v>7.5</v>
      </c>
      <c r="FE115" s="173">
        <f t="shared" si="420"/>
        <v>0.83198245137069482</v>
      </c>
      <c r="FF115" s="5">
        <f t="shared" si="421"/>
        <v>83.198245137069478</v>
      </c>
      <c r="FI115" s="562">
        <f t="shared" si="422"/>
        <v>-50</v>
      </c>
      <c r="FJ115">
        <f t="shared" si="423"/>
        <v>-50</v>
      </c>
      <c r="FL115">
        <f t="shared" si="424"/>
        <v>0.1</v>
      </c>
    </row>
    <row r="116" spans="5:168">
      <c r="E116" s="170">
        <v>6</v>
      </c>
      <c r="F116" s="217">
        <f t="shared" si="425"/>
        <v>0.6</v>
      </c>
      <c r="G116" s="217"/>
      <c r="H116" s="217">
        <f t="shared" si="315"/>
        <v>9</v>
      </c>
      <c r="I116" s="541">
        <f t="shared" si="316"/>
        <v>18.753268114390085</v>
      </c>
      <c r="J116" s="172">
        <f t="shared" si="317"/>
        <v>15.548039131365949</v>
      </c>
      <c r="K116" s="172">
        <f t="shared" si="318"/>
        <v>34.301307245756036</v>
      </c>
      <c r="L116" s="443"/>
      <c r="M116" s="217">
        <f t="shared" si="319"/>
        <v>0.45330957820537332</v>
      </c>
      <c r="N116" s="172">
        <f t="shared" si="426"/>
        <v>212.72780107906019</v>
      </c>
      <c r="O116" s="172">
        <f t="shared" si="284"/>
        <v>9</v>
      </c>
      <c r="P116" s="217">
        <f t="shared" si="320"/>
        <v>14.18185340527068</v>
      </c>
      <c r="Q116" s="217">
        <f t="shared" si="321"/>
        <v>15</v>
      </c>
      <c r="R116" s="217"/>
      <c r="S116" s="172">
        <f t="shared" si="322"/>
        <v>762.64273410114629</v>
      </c>
      <c r="T116" s="172">
        <f t="shared" si="323"/>
        <v>15</v>
      </c>
      <c r="U116" s="217">
        <f t="shared" si="324"/>
        <v>2.1950265674323441</v>
      </c>
      <c r="V116" s="217">
        <f t="shared" si="325"/>
        <v>1.4045721870192969</v>
      </c>
      <c r="W116" s="217">
        <f t="shared" si="326"/>
        <v>1.6941248080634359</v>
      </c>
      <c r="X116" s="197">
        <f t="shared" si="327"/>
        <v>70.83708316481389</v>
      </c>
      <c r="Y116" s="443">
        <f t="shared" si="328"/>
        <v>303.15000180091397</v>
      </c>
      <c r="AA116" s="217">
        <f t="shared" si="329"/>
        <v>10</v>
      </c>
      <c r="AB116" s="173">
        <f t="shared" si="330"/>
        <v>7.7180150491078416</v>
      </c>
      <c r="AC116" s="173">
        <f t="shared" si="331"/>
        <v>2.7336083695046867</v>
      </c>
      <c r="AD116" s="173"/>
      <c r="AE116" s="173">
        <f t="shared" si="332"/>
        <v>7.7180150491078416</v>
      </c>
      <c r="AF116" s="545">
        <f t="shared" si="333"/>
        <v>15.548039131365945</v>
      </c>
      <c r="AG116" s="528">
        <f t="shared" si="334"/>
        <v>2.7336083695046871</v>
      </c>
      <c r="AI116" s="173">
        <f t="shared" si="335"/>
        <v>2.1076757090871414</v>
      </c>
      <c r="AJ116" s="173">
        <f t="shared" si="336"/>
        <v>10</v>
      </c>
      <c r="AK116" s="173">
        <f t="shared" si="337"/>
        <v>1.008884593789352</v>
      </c>
      <c r="AM116" s="545">
        <f t="shared" si="338"/>
        <v>600</v>
      </c>
      <c r="AN116" s="460">
        <f t="shared" si="339"/>
        <v>15.548039131365945</v>
      </c>
      <c r="AP116" s="460">
        <f t="shared" si="340"/>
        <v>600</v>
      </c>
      <c r="AQ116" s="460">
        <f t="shared" si="341"/>
        <v>15.548039131365945</v>
      </c>
      <c r="AS116" s="5">
        <f t="shared" si="285"/>
        <v>64.31679207589869</v>
      </c>
      <c r="AT116" s="5">
        <f t="shared" si="342"/>
        <v>6.3988846780215072</v>
      </c>
      <c r="AU116" s="5">
        <f t="shared" si="343"/>
        <v>57.91790739787718</v>
      </c>
      <c r="AV116" s="5"/>
      <c r="AW116" s="173">
        <f t="shared" si="344"/>
        <v>9.9490109370976368E-2</v>
      </c>
      <c r="AX116" s="173">
        <f t="shared" si="214"/>
        <v>9.328823478819567</v>
      </c>
      <c r="AY116" s="173">
        <f t="shared" si="215"/>
        <v>4.502549453145118</v>
      </c>
      <c r="AZ116" s="173">
        <f t="shared" si="288"/>
        <v>2.0718980603984711</v>
      </c>
      <c r="BA116" s="460">
        <f t="shared" si="345"/>
        <v>25.595538712086025</v>
      </c>
      <c r="BB116" s="5">
        <f t="shared" si="346"/>
        <v>7.7210418798196834</v>
      </c>
      <c r="BD116" s="173">
        <f t="shared" si="289"/>
        <v>1.8210812664547802</v>
      </c>
      <c r="BE116" s="173">
        <f t="shared" si="218"/>
        <v>5.4787769031327418</v>
      </c>
      <c r="BG116" s="528">
        <f t="shared" si="347"/>
        <v>6.6326739580650926E-2</v>
      </c>
      <c r="BH116" s="528">
        <f t="shared" si="348"/>
        <v>9.9997137621378948E-2</v>
      </c>
      <c r="BI116" s="528">
        <f t="shared" si="349"/>
        <v>7.289413662088357E-3</v>
      </c>
      <c r="BJ116" s="528">
        <f t="shared" si="350"/>
        <v>1.8293506886651034E-3</v>
      </c>
      <c r="BK116">
        <f t="shared" si="351"/>
        <v>8.4389706514755389E-3</v>
      </c>
      <c r="BL116" s="460">
        <f t="shared" si="427"/>
        <v>15.728384313563895</v>
      </c>
      <c r="BM116" s="528">
        <f t="shared" si="352"/>
        <v>0.18904058222045628</v>
      </c>
      <c r="BN116" s="460">
        <f t="shared" si="353"/>
        <v>189.04058222045629</v>
      </c>
      <c r="BO116" s="528">
        <f t="shared" si="354"/>
        <v>0.42</v>
      </c>
      <c r="BR116" s="460">
        <f t="shared" si="355"/>
        <v>420</v>
      </c>
      <c r="BS116" s="528">
        <f t="shared" si="356"/>
        <v>9.9490109370976382E-2</v>
      </c>
      <c r="BT116" s="528">
        <f t="shared" si="357"/>
        <v>0.90050989062902387</v>
      </c>
      <c r="BU116" s="528">
        <f t="shared" si="358"/>
        <v>1.507158984533149E-2</v>
      </c>
      <c r="BV116" s="528"/>
      <c r="BW116" s="528">
        <f t="shared" si="359"/>
        <v>1.5548039131365948E-3</v>
      </c>
      <c r="BX116" s="460">
        <f t="shared" si="360"/>
        <v>1016.6263937584683</v>
      </c>
      <c r="BY116" s="173">
        <f t="shared" si="361"/>
        <v>1.6205080059627273</v>
      </c>
      <c r="BZ116" s="5">
        <f t="shared" si="362"/>
        <v>9</v>
      </c>
      <c r="CA116" s="173">
        <f t="shared" si="363"/>
        <v>0.84741709106071794</v>
      </c>
      <c r="CB116" s="5">
        <f t="shared" si="364"/>
        <v>84.741709106071795</v>
      </c>
      <c r="CE116" s="562">
        <f t="shared" si="365"/>
        <v>-50</v>
      </c>
      <c r="CF116">
        <f t="shared" si="366"/>
        <v>-50</v>
      </c>
      <c r="CG116" s="173">
        <f t="shared" si="367"/>
        <v>0.12158947322856531</v>
      </c>
      <c r="CI116" s="170">
        <v>6</v>
      </c>
      <c r="CJ116" s="217">
        <f t="shared" si="428"/>
        <v>0.6</v>
      </c>
      <c r="CK116" s="217"/>
      <c r="CL116" s="217">
        <f t="shared" si="368"/>
        <v>9</v>
      </c>
      <c r="CM116" s="541">
        <f t="shared" si="369"/>
        <v>19</v>
      </c>
      <c r="CN116" s="443">
        <f t="shared" si="370"/>
        <v>15.4</v>
      </c>
      <c r="CO116" s="443">
        <f t="shared" si="371"/>
        <v>34.4</v>
      </c>
      <c r="CP116" s="443"/>
      <c r="CQ116" s="217">
        <f t="shared" si="372"/>
        <v>0.44767441860465118</v>
      </c>
      <c r="CR116" s="172">
        <f t="shared" si="429"/>
        <v>212.84736191860466</v>
      </c>
      <c r="CS116" s="172">
        <f t="shared" si="373"/>
        <v>9</v>
      </c>
      <c r="CT116" s="217">
        <f t="shared" si="374"/>
        <v>14.189824127906977</v>
      </c>
      <c r="CU116" s="217">
        <f t="shared" si="375"/>
        <v>15</v>
      </c>
      <c r="CV116" s="217"/>
      <c r="CW116" s="172">
        <f t="shared" si="376"/>
        <v>772.6764975178495</v>
      </c>
      <c r="CX116" s="172">
        <f t="shared" si="377"/>
        <v>15</v>
      </c>
      <c r="CY116" s="217">
        <f t="shared" si="378"/>
        <v>2.1161995898838004</v>
      </c>
      <c r="CZ116" s="217">
        <f t="shared" si="379"/>
        <v>1.336547109400295</v>
      </c>
      <c r="DA116" s="217">
        <f t="shared" si="380"/>
        <v>1.6489866934159483</v>
      </c>
      <c r="DB116" s="197">
        <f t="shared" si="381"/>
        <v>70.881782945736433</v>
      </c>
      <c r="DC116" s="443">
        <f t="shared" si="382"/>
        <v>334.94847690443288</v>
      </c>
      <c r="DE116" s="217">
        <f t="shared" si="383"/>
        <v>10.000000000000002</v>
      </c>
      <c r="DF116" s="173">
        <f t="shared" si="384"/>
        <v>7.792207792207793</v>
      </c>
      <c r="DG116" s="173">
        <f t="shared" si="385"/>
        <v>2.7616279069767451</v>
      </c>
      <c r="DH116" s="173"/>
      <c r="DI116" s="173">
        <f t="shared" si="386"/>
        <v>7.7922077922077913</v>
      </c>
      <c r="DJ116" s="545">
        <f t="shared" si="387"/>
        <v>15.4</v>
      </c>
      <c r="DK116" s="528">
        <f t="shared" si="388"/>
        <v>2.7616279069767442</v>
      </c>
      <c r="DM116" s="173">
        <f t="shared" si="389"/>
        <v>2.0976176963403033</v>
      </c>
      <c r="DN116" s="173">
        <f t="shared" si="390"/>
        <v>10</v>
      </c>
      <c r="DO116" s="173">
        <f t="shared" si="391"/>
        <v>1.0087999999999999</v>
      </c>
      <c r="DQ116" s="545">
        <f t="shared" si="392"/>
        <v>600</v>
      </c>
      <c r="DR116" s="460">
        <f t="shared" si="393"/>
        <v>15.4</v>
      </c>
      <c r="DT116">
        <f t="shared" si="430"/>
        <v>600</v>
      </c>
      <c r="DU116">
        <f t="shared" si="431"/>
        <v>15.4</v>
      </c>
      <c r="DW116" s="5">
        <f t="shared" si="394"/>
        <v>64.935064935064929</v>
      </c>
      <c r="DX116" s="5">
        <f t="shared" si="395"/>
        <v>6.3157894736842106</v>
      </c>
      <c r="DY116" s="5">
        <f t="shared" si="396"/>
        <v>58.619275461380717</v>
      </c>
      <c r="DZ116" s="5"/>
      <c r="EA116" s="173">
        <f t="shared" si="397"/>
        <v>9.7263157894736857E-2</v>
      </c>
      <c r="EB116" s="173">
        <f t="shared" si="398"/>
        <v>9.240000000000002</v>
      </c>
      <c r="EC116" s="173">
        <f t="shared" si="399"/>
        <v>4.513684210526316</v>
      </c>
      <c r="ED116" s="173">
        <f t="shared" si="400"/>
        <v>2.0471082089552244</v>
      </c>
      <c r="EE116" s="460">
        <f t="shared" si="401"/>
        <v>25.263157894736842</v>
      </c>
      <c r="EF116" s="5">
        <f t="shared" si="402"/>
        <v>7.7130625607079883</v>
      </c>
      <c r="EH116" s="173">
        <f t="shared" si="403"/>
        <v>1.8005847003564968</v>
      </c>
      <c r="EI116" s="173">
        <f t="shared" si="404"/>
        <v>5.4855471987920623</v>
      </c>
      <c r="EK116" s="528">
        <f t="shared" si="405"/>
        <v>6.4842105263157895E-2</v>
      </c>
      <c r="EL116" s="528">
        <f t="shared" si="406"/>
        <v>0.105952</v>
      </c>
      <c r="EM116" s="528">
        <f t="shared" si="407"/>
        <v>1.9249999999999998E-3</v>
      </c>
      <c r="EN116" s="528">
        <f t="shared" si="408"/>
        <v>1.8223744E-3</v>
      </c>
      <c r="EO116">
        <f t="shared" si="409"/>
        <v>8.5500000000000003E-3</v>
      </c>
      <c r="EP116" s="460">
        <f t="shared" si="410"/>
        <v>10.475</v>
      </c>
      <c r="EQ116" s="460"/>
      <c r="ER116" s="460">
        <f t="shared" si="432"/>
        <v>183.09147966315791</v>
      </c>
      <c r="ES116" s="528">
        <f t="shared" si="411"/>
        <v>0.42</v>
      </c>
      <c r="EV116" s="460">
        <f t="shared" si="412"/>
        <v>420</v>
      </c>
      <c r="EW116" s="528">
        <f t="shared" si="413"/>
        <v>9.7263157894736843E-2</v>
      </c>
      <c r="EX116" s="528">
        <f t="shared" si="414"/>
        <v>0.90273684210526328</v>
      </c>
      <c r="EY116" s="528">
        <f t="shared" si="415"/>
        <v>1.4715391009415983E-2</v>
      </c>
      <c r="EZ116" s="528"/>
      <c r="FA116" s="528">
        <f t="shared" si="416"/>
        <v>1.5400000000000001E-3</v>
      </c>
      <c r="FB116" s="460">
        <f t="shared" si="417"/>
        <v>1016.2553910094163</v>
      </c>
      <c r="FC116" s="173">
        <f t="shared" si="418"/>
        <v>1.6193468706725742</v>
      </c>
      <c r="FD116" s="5">
        <f t="shared" si="419"/>
        <v>9</v>
      </c>
      <c r="FE116" s="173">
        <f t="shared" si="420"/>
        <v>0.84750974891452879</v>
      </c>
      <c r="FF116" s="5">
        <f t="shared" si="421"/>
        <v>84.750974891452884</v>
      </c>
      <c r="FI116" s="562">
        <f t="shared" si="422"/>
        <v>-50</v>
      </c>
      <c r="FJ116">
        <f t="shared" si="423"/>
        <v>-50</v>
      </c>
      <c r="FL116">
        <f t="shared" si="424"/>
        <v>0.12000000000000001</v>
      </c>
    </row>
    <row r="117" spans="5:168">
      <c r="E117" s="170">
        <v>7</v>
      </c>
      <c r="F117" s="217">
        <f t="shared" si="425"/>
        <v>0.70000000000000007</v>
      </c>
      <c r="G117" s="217"/>
      <c r="H117" s="217">
        <f t="shared" si="315"/>
        <v>10.500000000000002</v>
      </c>
      <c r="I117" s="541">
        <f t="shared" si="316"/>
        <v>18.753268114390085</v>
      </c>
      <c r="J117" s="172">
        <f t="shared" si="317"/>
        <v>15.548039131365949</v>
      </c>
      <c r="K117" s="172">
        <f t="shared" si="318"/>
        <v>34.301307245756036</v>
      </c>
      <c r="L117" s="443"/>
      <c r="M117" s="217">
        <f t="shared" si="319"/>
        <v>0.45330957820537332</v>
      </c>
      <c r="N117" s="172">
        <f t="shared" si="426"/>
        <v>212.72780107906019</v>
      </c>
      <c r="O117" s="172">
        <f t="shared" si="284"/>
        <v>10.500000000000002</v>
      </c>
      <c r="P117" s="217">
        <f t="shared" si="320"/>
        <v>14.18185340527068</v>
      </c>
      <c r="Q117" s="217">
        <f t="shared" si="321"/>
        <v>15</v>
      </c>
      <c r="R117" s="217"/>
      <c r="S117" s="172">
        <f t="shared" si="322"/>
        <v>651.01782275417827</v>
      </c>
      <c r="T117" s="172">
        <f t="shared" si="323"/>
        <v>15</v>
      </c>
      <c r="U117" s="217">
        <f t="shared" si="324"/>
        <v>2.5608643286710686</v>
      </c>
      <c r="V117" s="217">
        <f t="shared" si="325"/>
        <v>1.6386675515225138</v>
      </c>
      <c r="W117" s="217">
        <f t="shared" si="326"/>
        <v>1.9764789427406757</v>
      </c>
      <c r="X117" s="197">
        <f t="shared" si="327"/>
        <v>70.83708316481389</v>
      </c>
      <c r="Y117" s="443">
        <f t="shared" si="328"/>
        <v>262.11313287804103</v>
      </c>
      <c r="AA117" s="217">
        <f t="shared" si="329"/>
        <v>10</v>
      </c>
      <c r="AB117" s="173">
        <f t="shared" si="330"/>
        <v>7.7180150491078416</v>
      </c>
      <c r="AC117" s="173">
        <f t="shared" si="331"/>
        <v>2.7336083695046867</v>
      </c>
      <c r="AD117" s="173"/>
      <c r="AE117" s="173">
        <f t="shared" si="332"/>
        <v>7.7180150491078416</v>
      </c>
      <c r="AF117" s="545">
        <f t="shared" si="333"/>
        <v>18.139378986593606</v>
      </c>
      <c r="AG117" s="528">
        <f t="shared" si="334"/>
        <v>2.7336083695046871</v>
      </c>
      <c r="AI117" s="173">
        <f t="shared" si="335"/>
        <v>2.2765499578211141</v>
      </c>
      <c r="AJ117" s="173">
        <f t="shared" si="336"/>
        <v>10</v>
      </c>
      <c r="AK117" s="173">
        <f t="shared" si="337"/>
        <v>1.0103653594209105</v>
      </c>
      <c r="AM117" s="545">
        <f t="shared" si="338"/>
        <v>700.00000000000011</v>
      </c>
      <c r="AN117" s="460">
        <f t="shared" si="339"/>
        <v>18.139378986593606</v>
      </c>
      <c r="AP117" s="460">
        <f t="shared" si="340"/>
        <v>700.00000000000011</v>
      </c>
      <c r="AQ117" s="460">
        <f t="shared" si="341"/>
        <v>18.139378986593606</v>
      </c>
      <c r="AS117" s="5">
        <f t="shared" si="285"/>
        <v>55.128678922198866</v>
      </c>
      <c r="AT117" s="5">
        <f t="shared" si="342"/>
        <v>6.3988846780215072</v>
      </c>
      <c r="AU117" s="5">
        <f t="shared" si="343"/>
        <v>48.729794244177356</v>
      </c>
      <c r="AV117" s="5"/>
      <c r="AW117" s="173">
        <f t="shared" si="344"/>
        <v>0.11607179426613913</v>
      </c>
      <c r="AX117" s="173">
        <f t="shared" si="214"/>
        <v>10.883627391956164</v>
      </c>
      <c r="AY117" s="173">
        <f t="shared" si="215"/>
        <v>4.4196410286693046</v>
      </c>
      <c r="AZ117" s="173">
        <f t="shared" si="288"/>
        <v>2.4625591357660737</v>
      </c>
      <c r="BA117" s="460">
        <f t="shared" ref="BA117:BA180" si="433">F117*AT117/Vout_ripple*1000</f>
        <v>29.861461830767038</v>
      </c>
      <c r="BB117" s="5">
        <f t="shared" ref="BB117:BB180" si="434">H117/Efficiency/I117*AU117/Vinripple1</f>
        <v>7.5788692231439239</v>
      </c>
      <c r="BD117" s="173">
        <f t="shared" si="289"/>
        <v>1.9669925797702705</v>
      </c>
      <c r="BE117" s="173">
        <f t="shared" si="218"/>
        <v>5.4281003605738567</v>
      </c>
      <c r="BG117" s="528">
        <f t="shared" si="347"/>
        <v>7.7381196177426087E-2</v>
      </c>
      <c r="BH117" s="528">
        <f t="shared" si="348"/>
        <v>0.11666332722494215</v>
      </c>
      <c r="BI117" s="528">
        <f t="shared" si="349"/>
        <v>8.5043159391030836E-3</v>
      </c>
      <c r="BJ117" s="528">
        <f t="shared" si="350"/>
        <v>2.134242470109288E-3</v>
      </c>
      <c r="BK117">
        <f t="shared" si="351"/>
        <v>8.4389706514755389E-3</v>
      </c>
      <c r="BL117" s="460">
        <f t="shared" si="427"/>
        <v>16.943286590578623</v>
      </c>
      <c r="BM117" s="528">
        <f t="shared" si="352"/>
        <v>0.22113747202858378</v>
      </c>
      <c r="BN117" s="460">
        <f t="shared" si="353"/>
        <v>221.13747202858377</v>
      </c>
      <c r="BO117" s="528">
        <f t="shared" si="354"/>
        <v>0.49</v>
      </c>
      <c r="BR117" s="460">
        <f t="shared" si="355"/>
        <v>490</v>
      </c>
      <c r="BS117" s="528">
        <f t="shared" si="356"/>
        <v>0.11607179426613912</v>
      </c>
      <c r="BT117" s="528">
        <f t="shared" si="357"/>
        <v>0.88392820573386099</v>
      </c>
      <c r="BU117" s="528">
        <f t="shared" si="358"/>
        <v>2.2157769533875802E-2</v>
      </c>
      <c r="BV117" s="528"/>
      <c r="BW117" s="528">
        <f t="shared" si="359"/>
        <v>1.8139378986593607E-3</v>
      </c>
      <c r="BX117" s="460">
        <f t="shared" si="360"/>
        <v>1023.9717074325351</v>
      </c>
      <c r="BY117" s="173">
        <f t="shared" si="361"/>
        <v>1.7270937598955913</v>
      </c>
      <c r="BZ117" s="5">
        <f t="shared" si="362"/>
        <v>10.500000000000002</v>
      </c>
      <c r="CA117" s="173">
        <f t="shared" si="363"/>
        <v>0.85874862875752256</v>
      </c>
      <c r="CB117" s="5">
        <f t="shared" si="364"/>
        <v>85.874862875752257</v>
      </c>
      <c r="CE117" s="562">
        <f t="shared" si="365"/>
        <v>-50</v>
      </c>
      <c r="CF117">
        <f t="shared" si="366"/>
        <v>-50</v>
      </c>
      <c r="CG117" s="173">
        <f t="shared" si="367"/>
        <v>0.14185438543332621</v>
      </c>
      <c r="CI117" s="170">
        <v>7</v>
      </c>
      <c r="CJ117" s="217">
        <f t="shared" si="428"/>
        <v>0.70000000000000007</v>
      </c>
      <c r="CK117" s="217"/>
      <c r="CL117" s="217">
        <f t="shared" si="368"/>
        <v>10.500000000000002</v>
      </c>
      <c r="CM117" s="541">
        <f t="shared" si="369"/>
        <v>19</v>
      </c>
      <c r="CN117" s="443">
        <f t="shared" si="370"/>
        <v>15.4</v>
      </c>
      <c r="CO117" s="443">
        <f t="shared" si="371"/>
        <v>34.4</v>
      </c>
      <c r="CP117" s="443"/>
      <c r="CQ117" s="217">
        <f t="shared" si="372"/>
        <v>0.44767441860465118</v>
      </c>
      <c r="CR117" s="172">
        <f t="shared" si="429"/>
        <v>212.84736191860466</v>
      </c>
      <c r="CS117" s="172">
        <f t="shared" si="373"/>
        <v>10.500000000000002</v>
      </c>
      <c r="CT117" s="217">
        <f t="shared" si="374"/>
        <v>14.189824127906977</v>
      </c>
      <c r="CU117" s="217">
        <f t="shared" si="375"/>
        <v>15</v>
      </c>
      <c r="CV117" s="217"/>
      <c r="CW117" s="172">
        <f t="shared" si="376"/>
        <v>659.58294402053048</v>
      </c>
      <c r="CX117" s="172">
        <f t="shared" si="377"/>
        <v>15</v>
      </c>
      <c r="CY117" s="217">
        <f t="shared" si="378"/>
        <v>2.4688995215311009</v>
      </c>
      <c r="CZ117" s="217">
        <f t="shared" si="379"/>
        <v>1.5593049609670109</v>
      </c>
      <c r="DA117" s="217">
        <f t="shared" si="380"/>
        <v>1.9238178089852733</v>
      </c>
      <c r="DB117" s="197">
        <f t="shared" si="381"/>
        <v>70.881782945736433</v>
      </c>
      <c r="DC117" s="443">
        <f t="shared" si="382"/>
        <v>287.09869448951389</v>
      </c>
      <c r="DE117" s="217">
        <f t="shared" si="383"/>
        <v>10.000000000000002</v>
      </c>
      <c r="DF117" s="173">
        <f t="shared" si="384"/>
        <v>7.792207792207793</v>
      </c>
      <c r="DG117" s="173">
        <f t="shared" si="385"/>
        <v>2.7616279069767451</v>
      </c>
      <c r="DH117" s="173"/>
      <c r="DI117" s="173">
        <f t="shared" si="386"/>
        <v>7.7922077922077913</v>
      </c>
      <c r="DJ117" s="545">
        <f t="shared" si="387"/>
        <v>17.966666666666669</v>
      </c>
      <c r="DK117" s="528">
        <f t="shared" si="388"/>
        <v>2.7616279069767442</v>
      </c>
      <c r="DM117" s="173">
        <f t="shared" si="389"/>
        <v>2.2656860623955239</v>
      </c>
      <c r="DN117" s="173">
        <f t="shared" si="390"/>
        <v>10</v>
      </c>
      <c r="DO117" s="173">
        <f t="shared" si="391"/>
        <v>1.0102666666666666</v>
      </c>
      <c r="DQ117" s="545">
        <f t="shared" si="392"/>
        <v>700.00000000000011</v>
      </c>
      <c r="DR117" s="460">
        <f t="shared" si="393"/>
        <v>17.966666666666669</v>
      </c>
      <c r="DT117">
        <f t="shared" si="430"/>
        <v>700.00000000000011</v>
      </c>
      <c r="DU117">
        <f t="shared" si="431"/>
        <v>17.966666666666669</v>
      </c>
      <c r="DW117" s="5">
        <f t="shared" si="394"/>
        <v>55.658627087198511</v>
      </c>
      <c r="DX117" s="5">
        <f t="shared" si="395"/>
        <v>6.3157894736842106</v>
      </c>
      <c r="DY117" s="5">
        <f t="shared" si="396"/>
        <v>49.342837613514298</v>
      </c>
      <c r="DZ117" s="5"/>
      <c r="EA117" s="173">
        <f t="shared" si="397"/>
        <v>0.11347368421052632</v>
      </c>
      <c r="EB117" s="173">
        <f t="shared" si="398"/>
        <v>10.780000000000001</v>
      </c>
      <c r="EC117" s="173">
        <f t="shared" si="399"/>
        <v>4.4326315789473689</v>
      </c>
      <c r="ED117" s="173">
        <f t="shared" si="400"/>
        <v>2.431963904060793</v>
      </c>
      <c r="EE117" s="460">
        <f t="shared" si="401"/>
        <v>29.473684210526319</v>
      </c>
      <c r="EF117" s="5">
        <f t="shared" si="402"/>
        <v>7.5745584055833355</v>
      </c>
      <c r="EH117" s="173">
        <f t="shared" si="403"/>
        <v>1.9448537580884784</v>
      </c>
      <c r="EI117" s="173">
        <f t="shared" si="404"/>
        <v>5.4360718531842878</v>
      </c>
      <c r="EK117" s="528">
        <f t="shared" si="405"/>
        <v>7.5649122807017549E-2</v>
      </c>
      <c r="EL117" s="528">
        <f t="shared" si="406"/>
        <v>0.12361066666666669</v>
      </c>
      <c r="EM117" s="528">
        <f t="shared" si="407"/>
        <v>2.2458333333333336E-3</v>
      </c>
      <c r="EN117" s="528">
        <f t="shared" si="408"/>
        <v>2.126103466666667E-3</v>
      </c>
      <c r="EO117">
        <f t="shared" si="409"/>
        <v>8.5500000000000003E-3</v>
      </c>
      <c r="EP117" s="460">
        <f t="shared" si="410"/>
        <v>10.795833333333334</v>
      </c>
      <c r="EQ117" s="460"/>
      <c r="ER117" s="460">
        <f t="shared" si="432"/>
        <v>212.18172627368423</v>
      </c>
      <c r="ES117" s="528">
        <f t="shared" si="411"/>
        <v>0.49</v>
      </c>
      <c r="EV117" s="460">
        <f t="shared" si="412"/>
        <v>490</v>
      </c>
      <c r="EW117" s="528">
        <f t="shared" si="413"/>
        <v>0.11347368421052632</v>
      </c>
      <c r="EX117" s="528">
        <f t="shared" si="414"/>
        <v>0.88652631578947372</v>
      </c>
      <c r="EY117" s="528">
        <f t="shared" si="415"/>
        <v>2.1634097393415055E-2</v>
      </c>
      <c r="EZ117" s="528"/>
      <c r="FA117" s="528">
        <f t="shared" si="416"/>
        <v>1.7966666666666671E-3</v>
      </c>
      <c r="FB117" s="460">
        <f t="shared" si="417"/>
        <v>1023.4307640600817</v>
      </c>
      <c r="FC117" s="173">
        <f t="shared" si="418"/>
        <v>1.725612490333766</v>
      </c>
      <c r="FD117" s="5">
        <f t="shared" si="419"/>
        <v>10.500000000000002</v>
      </c>
      <c r="FE117" s="173">
        <f t="shared" si="420"/>
        <v>0.85885267574952751</v>
      </c>
      <c r="FF117" s="5">
        <f t="shared" si="421"/>
        <v>85.885267574952749</v>
      </c>
      <c r="FI117" s="562">
        <f t="shared" si="422"/>
        <v>-50</v>
      </c>
      <c r="FJ117">
        <f t="shared" si="423"/>
        <v>-50</v>
      </c>
      <c r="FL117">
        <f t="shared" si="424"/>
        <v>0.14000000000000001</v>
      </c>
    </row>
    <row r="118" spans="5:168">
      <c r="E118" s="170">
        <v>8</v>
      </c>
      <c r="F118" s="217">
        <f t="shared" si="425"/>
        <v>0.8</v>
      </c>
      <c r="G118" s="217"/>
      <c r="H118" s="217">
        <f t="shared" si="315"/>
        <v>12</v>
      </c>
      <c r="I118" s="541">
        <f t="shared" si="316"/>
        <v>18.753268114390085</v>
      </c>
      <c r="J118" s="172">
        <f t="shared" si="317"/>
        <v>15.548039131365949</v>
      </c>
      <c r="K118" s="172">
        <f t="shared" si="318"/>
        <v>34.301307245756036</v>
      </c>
      <c r="L118" s="443"/>
      <c r="M118" s="217">
        <f t="shared" si="319"/>
        <v>0.45330957820537332</v>
      </c>
      <c r="N118" s="172">
        <f t="shared" si="426"/>
        <v>212.72780107906019</v>
      </c>
      <c r="O118" s="172">
        <f t="shared" si="284"/>
        <v>12</v>
      </c>
      <c r="P118" s="217">
        <f t="shared" si="320"/>
        <v>14.18185340527068</v>
      </c>
      <c r="Q118" s="217">
        <f t="shared" si="321"/>
        <v>15</v>
      </c>
      <c r="R118" s="217"/>
      <c r="S118" s="172">
        <f t="shared" si="322"/>
        <v>567.29957397602141</v>
      </c>
      <c r="T118" s="172">
        <f t="shared" si="323"/>
        <v>15</v>
      </c>
      <c r="U118" s="217">
        <f t="shared" si="324"/>
        <v>2.9267020899097922</v>
      </c>
      <c r="V118" s="217">
        <f t="shared" si="325"/>
        <v>1.8727629160257295</v>
      </c>
      <c r="W118" s="217">
        <f t="shared" si="326"/>
        <v>2.2588330774179148</v>
      </c>
      <c r="X118" s="197">
        <f t="shared" si="327"/>
        <v>70.83708316481389</v>
      </c>
      <c r="Y118" s="443">
        <f t="shared" si="328"/>
        <v>230.86178893729053</v>
      </c>
      <c r="AA118" s="217">
        <f t="shared" si="329"/>
        <v>10</v>
      </c>
      <c r="AB118" s="173">
        <f t="shared" si="330"/>
        <v>7.7180150491078416</v>
      </c>
      <c r="AC118" s="173">
        <f t="shared" si="331"/>
        <v>2.7336083695046867</v>
      </c>
      <c r="AD118" s="173"/>
      <c r="AE118" s="173">
        <f t="shared" si="332"/>
        <v>7.7180150491078416</v>
      </c>
      <c r="AF118" s="545">
        <f t="shared" si="333"/>
        <v>20.730718841821265</v>
      </c>
      <c r="AG118" s="528">
        <f t="shared" si="334"/>
        <v>2.7336083695046871</v>
      </c>
      <c r="AI118" s="173">
        <f t="shared" si="335"/>
        <v>2.4337342760117933</v>
      </c>
      <c r="AJ118" s="173">
        <f t="shared" si="336"/>
        <v>10</v>
      </c>
      <c r="AK118" s="173">
        <f t="shared" si="337"/>
        <v>1.0118461250524693</v>
      </c>
      <c r="AM118" s="545">
        <f t="shared" si="338"/>
        <v>800</v>
      </c>
      <c r="AN118" s="460">
        <f t="shared" si="339"/>
        <v>20.730718841821265</v>
      </c>
      <c r="AP118" s="460">
        <f t="shared" si="340"/>
        <v>800</v>
      </c>
      <c r="AQ118" s="460">
        <f t="shared" si="341"/>
        <v>20.730718841821265</v>
      </c>
      <c r="AS118" s="5">
        <f t="shared" si="285"/>
        <v>48.23759405692401</v>
      </c>
      <c r="AT118" s="5">
        <f t="shared" si="342"/>
        <v>6.3988846780215072</v>
      </c>
      <c r="AU118" s="5">
        <f t="shared" si="343"/>
        <v>41.8387093789025</v>
      </c>
      <c r="AV118" s="5"/>
      <c r="AW118" s="173">
        <f t="shared" si="344"/>
        <v>0.13265347916130185</v>
      </c>
      <c r="AX118" s="173">
        <f t="shared" si="214"/>
        <v>12.43843130509276</v>
      </c>
      <c r="AY118" s="173">
        <f t="shared" si="215"/>
        <v>4.3367326041934904</v>
      </c>
      <c r="AZ118" s="173">
        <f t="shared" si="288"/>
        <v>2.868157306508861</v>
      </c>
      <c r="BA118" s="460">
        <f t="shared" si="433"/>
        <v>34.127384949448043</v>
      </c>
      <c r="BB118" s="5">
        <f t="shared" si="434"/>
        <v>7.4366965664681652</v>
      </c>
      <c r="BD118" s="173">
        <f t="shared" si="289"/>
        <v>2.1028035188077041</v>
      </c>
      <c r="BE118" s="173">
        <f t="shared" si="218"/>
        <v>5.3769462238917054</v>
      </c>
      <c r="BG118" s="528">
        <f t="shared" si="347"/>
        <v>8.8435652774201248E-2</v>
      </c>
      <c r="BH118" s="528">
        <f t="shared" si="348"/>
        <v>0.1333295168285053</v>
      </c>
      <c r="BI118" s="528">
        <f t="shared" si="349"/>
        <v>9.7192182161178111E-3</v>
      </c>
      <c r="BJ118" s="528">
        <f t="shared" si="350"/>
        <v>2.439134251553472E-3</v>
      </c>
      <c r="BK118">
        <f t="shared" si="351"/>
        <v>8.4389706514755389E-3</v>
      </c>
      <c r="BL118" s="460">
        <f t="shared" si="427"/>
        <v>18.158188867593349</v>
      </c>
      <c r="BM118" s="528">
        <f t="shared" si="352"/>
        <v>0.2534065881684644</v>
      </c>
      <c r="BN118" s="460">
        <f t="shared" si="353"/>
        <v>253.4065881684644</v>
      </c>
      <c r="BO118" s="528">
        <f t="shared" si="354"/>
        <v>0.55999999999999994</v>
      </c>
      <c r="BR118" s="460">
        <f t="shared" si="355"/>
        <v>559.99999999999989</v>
      </c>
      <c r="BS118" s="528">
        <f t="shared" si="356"/>
        <v>0.13265347916130185</v>
      </c>
      <c r="BT118" s="528">
        <f t="shared" si="357"/>
        <v>0.86734652083869801</v>
      </c>
      <c r="BU118" s="528">
        <f t="shared" si="358"/>
        <v>3.093897405979653E-2</v>
      </c>
      <c r="BV118" s="528"/>
      <c r="BW118" s="528">
        <f t="shared" si="359"/>
        <v>2.0730718841821265E-3</v>
      </c>
      <c r="BX118" s="460">
        <f t="shared" si="360"/>
        <v>1033.0120459439786</v>
      </c>
      <c r="BY118" s="173">
        <f t="shared" si="361"/>
        <v>1.8353745386658318</v>
      </c>
      <c r="BZ118" s="5">
        <f t="shared" si="362"/>
        <v>12</v>
      </c>
      <c r="CA118" s="173">
        <f t="shared" si="363"/>
        <v>0.8673418971393585</v>
      </c>
      <c r="CB118" s="5">
        <f t="shared" si="364"/>
        <v>86.734189713935848</v>
      </c>
      <c r="CE118" s="562">
        <f t="shared" si="365"/>
        <v>-50</v>
      </c>
      <c r="CF118">
        <f t="shared" si="366"/>
        <v>-50</v>
      </c>
      <c r="CG118" s="173">
        <f t="shared" si="367"/>
        <v>0.16211929763808711</v>
      </c>
      <c r="CI118" s="170">
        <v>8</v>
      </c>
      <c r="CJ118" s="217">
        <f t="shared" si="428"/>
        <v>0.8</v>
      </c>
      <c r="CK118" s="217"/>
      <c r="CL118" s="217">
        <f t="shared" si="368"/>
        <v>12</v>
      </c>
      <c r="CM118" s="541">
        <f t="shared" si="369"/>
        <v>19</v>
      </c>
      <c r="CN118" s="443">
        <f t="shared" si="370"/>
        <v>15.4</v>
      </c>
      <c r="CO118" s="443">
        <f t="shared" si="371"/>
        <v>34.4</v>
      </c>
      <c r="CP118" s="443"/>
      <c r="CQ118" s="217">
        <f t="shared" si="372"/>
        <v>0.44767441860465118</v>
      </c>
      <c r="CR118" s="172">
        <f t="shared" si="429"/>
        <v>212.84736191860466</v>
      </c>
      <c r="CS118" s="172">
        <f t="shared" si="373"/>
        <v>12</v>
      </c>
      <c r="CT118" s="217">
        <f t="shared" si="374"/>
        <v>14.189824127906977</v>
      </c>
      <c r="CU118" s="217">
        <f t="shared" si="375"/>
        <v>15</v>
      </c>
      <c r="CV118" s="217"/>
      <c r="CW118" s="172">
        <f t="shared" si="376"/>
        <v>574.76321364061494</v>
      </c>
      <c r="CX118" s="172">
        <f t="shared" si="377"/>
        <v>15</v>
      </c>
      <c r="CY118" s="217">
        <f t="shared" si="378"/>
        <v>2.8215994531784006</v>
      </c>
      <c r="CZ118" s="217">
        <f t="shared" si="379"/>
        <v>1.7820628125337268</v>
      </c>
      <c r="DA118" s="217">
        <f t="shared" si="380"/>
        <v>2.1986489245545977</v>
      </c>
      <c r="DB118" s="197">
        <f t="shared" si="381"/>
        <v>70.881782945736433</v>
      </c>
      <c r="DC118" s="443">
        <f t="shared" si="382"/>
        <v>251.21135767832465</v>
      </c>
      <c r="DE118" s="217">
        <f t="shared" si="383"/>
        <v>10.000000000000002</v>
      </c>
      <c r="DF118" s="173">
        <f t="shared" si="384"/>
        <v>7.792207792207793</v>
      </c>
      <c r="DG118" s="173">
        <f t="shared" si="385"/>
        <v>2.7616279069767451</v>
      </c>
      <c r="DH118" s="173"/>
      <c r="DI118" s="173">
        <f t="shared" si="386"/>
        <v>7.7922077922077913</v>
      </c>
      <c r="DJ118" s="545">
        <f t="shared" si="387"/>
        <v>20.533333333333335</v>
      </c>
      <c r="DK118" s="528">
        <f t="shared" si="388"/>
        <v>2.7616279069767442</v>
      </c>
      <c r="DM118" s="173">
        <f t="shared" si="389"/>
        <v>2.4221202832779936</v>
      </c>
      <c r="DN118" s="173">
        <f t="shared" si="390"/>
        <v>10</v>
      </c>
      <c r="DO118" s="173">
        <f t="shared" si="391"/>
        <v>1.0117333333333334</v>
      </c>
      <c r="DQ118" s="545">
        <f t="shared" si="392"/>
        <v>800</v>
      </c>
      <c r="DR118" s="460">
        <f t="shared" si="393"/>
        <v>20.533333333333335</v>
      </c>
      <c r="DT118">
        <f t="shared" si="430"/>
        <v>800</v>
      </c>
      <c r="DU118">
        <f t="shared" si="431"/>
        <v>20.533333333333335</v>
      </c>
      <c r="DW118" s="5">
        <f t="shared" si="394"/>
        <v>48.701298701298697</v>
      </c>
      <c r="DX118" s="5">
        <f t="shared" si="395"/>
        <v>6.3157894736842106</v>
      </c>
      <c r="DY118" s="5">
        <f t="shared" si="396"/>
        <v>42.385509227614484</v>
      </c>
      <c r="DZ118" s="5"/>
      <c r="EA118" s="173">
        <f t="shared" si="397"/>
        <v>0.12968421052631579</v>
      </c>
      <c r="EB118" s="173">
        <f t="shared" si="398"/>
        <v>12.320000000000002</v>
      </c>
      <c r="EC118" s="173">
        <f t="shared" si="399"/>
        <v>4.351578947368421</v>
      </c>
      <c r="ED118" s="173">
        <f t="shared" si="400"/>
        <v>2.8311562651185298</v>
      </c>
      <c r="EE118" s="460">
        <f t="shared" si="401"/>
        <v>33.684210526315795</v>
      </c>
      <c r="EF118" s="5">
        <f t="shared" si="402"/>
        <v>7.4360542504586817</v>
      </c>
      <c r="EH118" s="173">
        <f t="shared" si="403"/>
        <v>2.0791361228990897</v>
      </c>
      <c r="EI118" s="173">
        <f t="shared" si="404"/>
        <v>5.3861420623475453</v>
      </c>
      <c r="EK118" s="528">
        <f t="shared" si="405"/>
        <v>8.6456140350877175E-2</v>
      </c>
      <c r="EL118" s="528">
        <f t="shared" si="406"/>
        <v>0.14126933333333333</v>
      </c>
      <c r="EM118" s="528">
        <f t="shared" si="407"/>
        <v>2.5666666666666667E-3</v>
      </c>
      <c r="EN118" s="528">
        <f t="shared" si="408"/>
        <v>2.4298325333333335E-3</v>
      </c>
      <c r="EO118">
        <f t="shared" si="409"/>
        <v>8.5500000000000003E-3</v>
      </c>
      <c r="EP118" s="460">
        <f t="shared" si="410"/>
        <v>11.116666666666667</v>
      </c>
      <c r="EQ118" s="460"/>
      <c r="ER118" s="460">
        <f t="shared" si="432"/>
        <v>241.2719728842105</v>
      </c>
      <c r="ES118" s="528">
        <f t="shared" si="411"/>
        <v>0.55999999999999994</v>
      </c>
      <c r="EV118" s="460">
        <f t="shared" si="412"/>
        <v>559.99999999999989</v>
      </c>
      <c r="EW118" s="528">
        <f t="shared" si="413"/>
        <v>0.12968421052631576</v>
      </c>
      <c r="EX118" s="528">
        <f t="shared" si="414"/>
        <v>0.87031578947368404</v>
      </c>
      <c r="EY118" s="528">
        <f t="shared" si="415"/>
        <v>3.0207768748504567E-2</v>
      </c>
      <c r="EZ118" s="528"/>
      <c r="FA118" s="528">
        <f t="shared" si="416"/>
        <v>2.0533333333333337E-3</v>
      </c>
      <c r="FB118" s="460">
        <f t="shared" si="417"/>
        <v>1032.2611020818376</v>
      </c>
      <c r="FC118" s="173">
        <f t="shared" si="418"/>
        <v>1.8335330749660481</v>
      </c>
      <c r="FD118" s="5">
        <f t="shared" si="419"/>
        <v>12</v>
      </c>
      <c r="FE118" s="173">
        <f t="shared" si="420"/>
        <v>0.86745735416759762</v>
      </c>
      <c r="FF118" s="5">
        <f t="shared" si="421"/>
        <v>86.745735416759757</v>
      </c>
      <c r="FI118" s="562">
        <f t="shared" si="422"/>
        <v>-50</v>
      </c>
      <c r="FJ118">
        <f t="shared" si="423"/>
        <v>-50</v>
      </c>
      <c r="FL118">
        <f t="shared" si="424"/>
        <v>0.16000000000000003</v>
      </c>
    </row>
    <row r="119" spans="5:168">
      <c r="E119" s="170">
        <v>9</v>
      </c>
      <c r="F119" s="217">
        <f t="shared" si="425"/>
        <v>0.89999999999999991</v>
      </c>
      <c r="G119" s="217"/>
      <c r="H119" s="217">
        <f t="shared" si="315"/>
        <v>13.499999999999998</v>
      </c>
      <c r="I119" s="541">
        <f t="shared" si="316"/>
        <v>18.753268114390085</v>
      </c>
      <c r="J119" s="172">
        <f t="shared" si="317"/>
        <v>15.548039131365949</v>
      </c>
      <c r="K119" s="172">
        <f t="shared" si="318"/>
        <v>34.301307245756036</v>
      </c>
      <c r="L119" s="443"/>
      <c r="M119" s="217">
        <f t="shared" si="319"/>
        <v>0.45330957820537332</v>
      </c>
      <c r="N119" s="172">
        <f t="shared" si="426"/>
        <v>212.72780107906019</v>
      </c>
      <c r="O119" s="172">
        <f t="shared" si="284"/>
        <v>13.499999999999998</v>
      </c>
      <c r="P119" s="217">
        <f t="shared" si="320"/>
        <v>14.18185340527068</v>
      </c>
      <c r="Q119" s="217">
        <f t="shared" si="321"/>
        <v>15</v>
      </c>
      <c r="R119" s="217"/>
      <c r="S119" s="172">
        <f t="shared" si="322"/>
        <v>502.18577160122442</v>
      </c>
      <c r="T119" s="172">
        <f t="shared" si="323"/>
        <v>15</v>
      </c>
      <c r="U119" s="217">
        <f t="shared" si="324"/>
        <v>3.2925398511485158</v>
      </c>
      <c r="V119" s="217">
        <f t="shared" si="325"/>
        <v>2.1068582805289453</v>
      </c>
      <c r="W119" s="217">
        <f t="shared" si="326"/>
        <v>2.5411872120951537</v>
      </c>
      <c r="X119" s="197">
        <f t="shared" si="327"/>
        <v>70.83708316481389</v>
      </c>
      <c r="Y119" s="443">
        <f t="shared" si="328"/>
        <v>206.26869148018872</v>
      </c>
      <c r="AA119" s="217">
        <f t="shared" si="329"/>
        <v>10</v>
      </c>
      <c r="AB119" s="173">
        <f t="shared" si="330"/>
        <v>7.7180150491078416</v>
      </c>
      <c r="AC119" s="173">
        <f t="shared" si="331"/>
        <v>2.7336083695046867</v>
      </c>
      <c r="AD119" s="173"/>
      <c r="AE119" s="173">
        <f t="shared" si="332"/>
        <v>7.7180150491078416</v>
      </c>
      <c r="AF119" s="545">
        <f t="shared" si="333"/>
        <v>23.322058697048917</v>
      </c>
      <c r="AG119" s="528">
        <f t="shared" si="334"/>
        <v>2.7336083695046871</v>
      </c>
      <c r="AI119" s="173">
        <f t="shared" si="335"/>
        <v>2.5813650152611074</v>
      </c>
      <c r="AJ119" s="173">
        <f t="shared" si="336"/>
        <v>10</v>
      </c>
      <c r="AK119" s="173">
        <f t="shared" si="337"/>
        <v>1.013326890684028</v>
      </c>
      <c r="AM119" s="545">
        <f t="shared" si="338"/>
        <v>899.99999999999989</v>
      </c>
      <c r="AN119" s="460">
        <f t="shared" si="339"/>
        <v>23.322058697048917</v>
      </c>
      <c r="AP119" s="460">
        <f t="shared" si="340"/>
        <v>899.99999999999989</v>
      </c>
      <c r="AQ119" s="460">
        <f t="shared" si="341"/>
        <v>23.322058697048917</v>
      </c>
      <c r="AS119" s="5">
        <f t="shared" si="285"/>
        <v>42.877861383932462</v>
      </c>
      <c r="AT119" s="5">
        <f t="shared" si="342"/>
        <v>6.3988846780215072</v>
      </c>
      <c r="AU119" s="5">
        <f t="shared" si="343"/>
        <v>36.478976705910952</v>
      </c>
      <c r="AV119" s="5"/>
      <c r="AW119" s="173">
        <f t="shared" si="344"/>
        <v>0.14923516405646456</v>
      </c>
      <c r="AX119" s="173">
        <f t="shared" si="214"/>
        <v>13.993235218229351</v>
      </c>
      <c r="AY119" s="173">
        <f t="shared" si="215"/>
        <v>4.253824179717677</v>
      </c>
      <c r="AZ119" s="173">
        <f t="shared" si="288"/>
        <v>3.2895659592489483</v>
      </c>
      <c r="BA119" s="460">
        <f t="shared" si="433"/>
        <v>38.393308068129038</v>
      </c>
      <c r="BB119" s="5">
        <f t="shared" si="434"/>
        <v>7.2945239097924066</v>
      </c>
      <c r="BD119" s="173">
        <f t="shared" si="289"/>
        <v>2.2303599414777917</v>
      </c>
      <c r="BE119" s="173">
        <f t="shared" si="218"/>
        <v>5.325300729985539</v>
      </c>
      <c r="BG119" s="528">
        <f t="shared" si="347"/>
        <v>9.9490109370976368E-2</v>
      </c>
      <c r="BH119" s="528">
        <f t="shared" si="348"/>
        <v>0.14999570643206842</v>
      </c>
      <c r="BI119" s="528">
        <f t="shared" si="349"/>
        <v>1.0934120493132535E-2</v>
      </c>
      <c r="BJ119" s="528">
        <f t="shared" si="350"/>
        <v>2.7440260329976551E-3</v>
      </c>
      <c r="BK119">
        <f t="shared" si="351"/>
        <v>8.4389706514755389E-3</v>
      </c>
      <c r="BL119" s="460">
        <f t="shared" si="427"/>
        <v>19.373091144608075</v>
      </c>
      <c r="BM119" s="528">
        <f t="shared" si="352"/>
        <v>0.28584932057401058</v>
      </c>
      <c r="BN119" s="460">
        <f t="shared" si="353"/>
        <v>285.84932057401056</v>
      </c>
      <c r="BO119" s="528">
        <f t="shared" si="354"/>
        <v>0.62999999999999989</v>
      </c>
      <c r="BR119" s="460">
        <f t="shared" si="355"/>
        <v>629.99999999999989</v>
      </c>
      <c r="BS119" s="528">
        <f t="shared" si="356"/>
        <v>0.14923516405646453</v>
      </c>
      <c r="BT119" s="528">
        <f t="shared" si="357"/>
        <v>0.85076483594353547</v>
      </c>
      <c r="BU119" s="528">
        <f t="shared" si="358"/>
        <v>4.1532417825271388E-2</v>
      </c>
      <c r="BV119" s="528"/>
      <c r="BW119" s="528">
        <f t="shared" si="359"/>
        <v>2.3322058697048918E-3</v>
      </c>
      <c r="BX119" s="460">
        <f t="shared" si="360"/>
        <v>1043.8646236949762</v>
      </c>
      <c r="BY119" s="173">
        <f t="shared" si="361"/>
        <v>1.9454675566756268</v>
      </c>
      <c r="BZ119" s="5">
        <f t="shared" si="362"/>
        <v>13.499999999999998</v>
      </c>
      <c r="CA119" s="173">
        <f t="shared" si="363"/>
        <v>0.87404281874038936</v>
      </c>
      <c r="CB119" s="5">
        <f t="shared" si="364"/>
        <v>87.404281874038929</v>
      </c>
      <c r="CE119" s="562">
        <f t="shared" si="365"/>
        <v>-50</v>
      </c>
      <c r="CF119">
        <f t="shared" si="366"/>
        <v>-50</v>
      </c>
      <c r="CG119" s="173">
        <f t="shared" si="367"/>
        <v>0.18238420984284795</v>
      </c>
      <c r="CI119" s="170">
        <v>9</v>
      </c>
      <c r="CJ119" s="217">
        <f t="shared" si="428"/>
        <v>0.89999999999999991</v>
      </c>
      <c r="CK119" s="217"/>
      <c r="CL119" s="217">
        <f t="shared" si="368"/>
        <v>13.499999999999998</v>
      </c>
      <c r="CM119" s="541">
        <f t="shared" si="369"/>
        <v>19</v>
      </c>
      <c r="CN119" s="443">
        <f t="shared" si="370"/>
        <v>15.4</v>
      </c>
      <c r="CO119" s="443">
        <f t="shared" si="371"/>
        <v>34.4</v>
      </c>
      <c r="CP119" s="443"/>
      <c r="CQ119" s="217">
        <f t="shared" si="372"/>
        <v>0.44767441860465118</v>
      </c>
      <c r="CR119" s="172">
        <f t="shared" si="429"/>
        <v>212.84736191860466</v>
      </c>
      <c r="CS119" s="172">
        <f t="shared" si="373"/>
        <v>13.499999999999998</v>
      </c>
      <c r="CT119" s="217">
        <f t="shared" si="374"/>
        <v>14.189824127906977</v>
      </c>
      <c r="CU119" s="217">
        <f t="shared" si="375"/>
        <v>15</v>
      </c>
      <c r="CV119" s="217"/>
      <c r="CW119" s="172">
        <f t="shared" si="376"/>
        <v>508.79270336478987</v>
      </c>
      <c r="CX119" s="172">
        <f t="shared" si="377"/>
        <v>15</v>
      </c>
      <c r="CY119" s="217">
        <f t="shared" si="378"/>
        <v>3.1742993848257002</v>
      </c>
      <c r="CZ119" s="217">
        <f t="shared" si="379"/>
        <v>2.0048206641004422</v>
      </c>
      <c r="DA119" s="217">
        <f t="shared" si="380"/>
        <v>2.4734800401239223</v>
      </c>
      <c r="DB119" s="197">
        <f t="shared" si="381"/>
        <v>70.881782945736433</v>
      </c>
      <c r="DC119" s="443">
        <f t="shared" si="382"/>
        <v>223.29898460295522</v>
      </c>
      <c r="DE119" s="217">
        <f t="shared" si="383"/>
        <v>10.000000000000002</v>
      </c>
      <c r="DF119" s="173">
        <f t="shared" si="384"/>
        <v>7.792207792207793</v>
      </c>
      <c r="DG119" s="173">
        <f t="shared" si="385"/>
        <v>2.7616279069767451</v>
      </c>
      <c r="DH119" s="173"/>
      <c r="DI119" s="173">
        <f t="shared" si="386"/>
        <v>7.7922077922077913</v>
      </c>
      <c r="DJ119" s="545">
        <f t="shared" si="387"/>
        <v>23.1</v>
      </c>
      <c r="DK119" s="528">
        <f t="shared" si="388"/>
        <v>2.7616279069767442</v>
      </c>
      <c r="DM119" s="173">
        <f t="shared" si="389"/>
        <v>2.5690465157330258</v>
      </c>
      <c r="DN119" s="173">
        <f t="shared" si="390"/>
        <v>10</v>
      </c>
      <c r="DO119" s="173">
        <f t="shared" si="391"/>
        <v>1.0132000000000001</v>
      </c>
      <c r="DQ119" s="545">
        <f t="shared" si="392"/>
        <v>899.99999999999989</v>
      </c>
      <c r="DR119" s="460">
        <f t="shared" si="393"/>
        <v>23.1</v>
      </c>
      <c r="DT119">
        <f t="shared" si="430"/>
        <v>899.99999999999989</v>
      </c>
      <c r="DU119">
        <f t="shared" si="431"/>
        <v>23.1</v>
      </c>
      <c r="DW119" s="5">
        <f t="shared" si="394"/>
        <v>43.290043290043286</v>
      </c>
      <c r="DX119" s="5">
        <f t="shared" si="395"/>
        <v>6.3157894736842106</v>
      </c>
      <c r="DY119" s="5">
        <f t="shared" si="396"/>
        <v>36.974253816359074</v>
      </c>
      <c r="DZ119" s="5"/>
      <c r="EA119" s="173">
        <f t="shared" si="397"/>
        <v>0.14589473684210527</v>
      </c>
      <c r="EB119" s="173">
        <f t="shared" si="398"/>
        <v>13.860000000000003</v>
      </c>
      <c r="EC119" s="173">
        <f t="shared" si="399"/>
        <v>4.2705263157894731</v>
      </c>
      <c r="ED119" s="173">
        <f t="shared" si="400"/>
        <v>3.2455016021690914</v>
      </c>
      <c r="EE119" s="460">
        <f t="shared" si="401"/>
        <v>37.894736842105267</v>
      </c>
      <c r="EF119" s="5">
        <f t="shared" si="402"/>
        <v>7.2975500953340262</v>
      </c>
      <c r="EH119" s="173">
        <f t="shared" si="403"/>
        <v>2.2052568772677801</v>
      </c>
      <c r="EI119" s="173">
        <f t="shared" si="404"/>
        <v>5.3357450687412431</v>
      </c>
      <c r="EK119" s="528">
        <f t="shared" si="405"/>
        <v>9.7263157894736829E-2</v>
      </c>
      <c r="EL119" s="528">
        <f t="shared" si="406"/>
        <v>0.15892800000000001</v>
      </c>
      <c r="EM119" s="528">
        <f t="shared" si="407"/>
        <v>2.8874999999999999E-3</v>
      </c>
      <c r="EN119" s="528">
        <f t="shared" si="408"/>
        <v>2.7335616E-3</v>
      </c>
      <c r="EO119">
        <f t="shared" si="409"/>
        <v>8.5500000000000003E-3</v>
      </c>
      <c r="EP119" s="460">
        <f t="shared" si="410"/>
        <v>11.4375</v>
      </c>
      <c r="EQ119" s="460"/>
      <c r="ER119" s="460">
        <f t="shared" si="432"/>
        <v>270.36221949473685</v>
      </c>
      <c r="ES119" s="528">
        <f t="shared" si="411"/>
        <v>0.62999999999999989</v>
      </c>
      <c r="EV119" s="460">
        <f t="shared" si="412"/>
        <v>629.99999999999989</v>
      </c>
      <c r="EW119" s="528">
        <f t="shared" si="413"/>
        <v>0.14589473684210524</v>
      </c>
      <c r="EX119" s="528">
        <f t="shared" si="414"/>
        <v>0.8541052631578947</v>
      </c>
      <c r="EY119" s="528">
        <f t="shared" si="415"/>
        <v>4.0550849255934246E-2</v>
      </c>
      <c r="EZ119" s="528"/>
      <c r="FA119" s="528">
        <f t="shared" si="416"/>
        <v>2.3100000000000004E-3</v>
      </c>
      <c r="FB119" s="460">
        <f t="shared" si="417"/>
        <v>1042.8608492559345</v>
      </c>
      <c r="FC119" s="173">
        <f t="shared" si="418"/>
        <v>1.9432230687506711</v>
      </c>
      <c r="FD119" s="5">
        <f t="shared" si="419"/>
        <v>13.499999999999998</v>
      </c>
      <c r="FE119" s="173">
        <f t="shared" si="420"/>
        <v>0.87416985041919271</v>
      </c>
      <c r="FF119" s="5">
        <f t="shared" si="421"/>
        <v>87.416985041919276</v>
      </c>
      <c r="FI119" s="562">
        <f t="shared" si="422"/>
        <v>-50</v>
      </c>
      <c r="FJ119">
        <f t="shared" si="423"/>
        <v>-50</v>
      </c>
      <c r="FL119">
        <f t="shared" si="424"/>
        <v>0.18</v>
      </c>
    </row>
    <row r="120" spans="5:168">
      <c r="E120" s="170">
        <v>10</v>
      </c>
      <c r="F120" s="217">
        <f t="shared" si="425"/>
        <v>1</v>
      </c>
      <c r="G120" s="217"/>
      <c r="H120" s="217">
        <f t="shared" si="315"/>
        <v>15</v>
      </c>
      <c r="I120" s="541">
        <f t="shared" si="316"/>
        <v>18.753268114390085</v>
      </c>
      <c r="J120" s="172">
        <f t="shared" si="317"/>
        <v>15.548039131365949</v>
      </c>
      <c r="K120" s="172">
        <f t="shared" si="318"/>
        <v>34.301307245756036</v>
      </c>
      <c r="L120" s="443"/>
      <c r="M120" s="217">
        <f t="shared" si="319"/>
        <v>0.45330957820537332</v>
      </c>
      <c r="N120" s="172">
        <f t="shared" si="426"/>
        <v>212.72780107906019</v>
      </c>
      <c r="O120" s="172">
        <f t="shared" si="284"/>
        <v>15</v>
      </c>
      <c r="P120" s="217">
        <f t="shared" si="320"/>
        <v>14.18185340527068</v>
      </c>
      <c r="Q120" s="217">
        <f t="shared" si="321"/>
        <v>15</v>
      </c>
      <c r="R120" s="217"/>
      <c r="S120" s="172">
        <f t="shared" si="322"/>
        <v>450.09508599745982</v>
      </c>
      <c r="T120" s="172">
        <f t="shared" si="323"/>
        <v>15</v>
      </c>
      <c r="U120" s="217">
        <f t="shared" si="324"/>
        <v>3.6583776123872402</v>
      </c>
      <c r="V120" s="217">
        <f t="shared" si="325"/>
        <v>2.3409536450321613</v>
      </c>
      <c r="W120" s="217">
        <f t="shared" si="326"/>
        <v>2.8235413467723931</v>
      </c>
      <c r="X120" s="197">
        <f t="shared" si="327"/>
        <v>70.83708316481389</v>
      </c>
      <c r="Y120" s="443">
        <f t="shared" si="328"/>
        <v>186.41083671952717</v>
      </c>
      <c r="AA120" s="217">
        <f t="shared" si="329"/>
        <v>10</v>
      </c>
      <c r="AB120" s="173">
        <f t="shared" si="330"/>
        <v>7.7180150491078416</v>
      </c>
      <c r="AC120" s="173">
        <f t="shared" si="331"/>
        <v>2.7336083695046867</v>
      </c>
      <c r="AD120" s="173"/>
      <c r="AE120" s="173">
        <f t="shared" si="332"/>
        <v>7.7180150491078416</v>
      </c>
      <c r="AF120" s="545">
        <f t="shared" si="333"/>
        <v>25.913398552276576</v>
      </c>
      <c r="AG120" s="528">
        <f t="shared" si="334"/>
        <v>2.7336083695046871</v>
      </c>
      <c r="AI120" s="173">
        <f t="shared" si="335"/>
        <v>2.7209976401668023</v>
      </c>
      <c r="AJ120" s="173">
        <f t="shared" si="336"/>
        <v>10</v>
      </c>
      <c r="AK120" s="173">
        <f t="shared" si="337"/>
        <v>1.0148076563155866</v>
      </c>
      <c r="AM120" s="545">
        <f t="shared" si="338"/>
        <v>1000</v>
      </c>
      <c r="AN120" s="460">
        <f t="shared" si="339"/>
        <v>25.913398552276576</v>
      </c>
      <c r="AP120" s="460">
        <f t="shared" si="340"/>
        <v>1000</v>
      </c>
      <c r="AQ120" s="460">
        <f t="shared" si="341"/>
        <v>25.913398552276576</v>
      </c>
      <c r="AS120" s="5">
        <f t="shared" si="285"/>
        <v>38.590075245539218</v>
      </c>
      <c r="AT120" s="5">
        <f t="shared" si="342"/>
        <v>6.3988846780215072</v>
      </c>
      <c r="AU120" s="5">
        <f t="shared" si="343"/>
        <v>32.191190567517708</v>
      </c>
      <c r="AV120" s="5"/>
      <c r="AW120" s="173">
        <f t="shared" si="344"/>
        <v>0.16581684895162727</v>
      </c>
      <c r="AX120" s="173">
        <f t="shared" si="214"/>
        <v>15.548039131365947</v>
      </c>
      <c r="AY120" s="173">
        <f t="shared" si="215"/>
        <v>4.1709157552418636</v>
      </c>
      <c r="AZ120" s="173">
        <f t="shared" si="288"/>
        <v>3.727727924455368</v>
      </c>
      <c r="BA120" s="460">
        <f t="shared" si="433"/>
        <v>42.659231186810047</v>
      </c>
      <c r="BB120" s="5">
        <f t="shared" si="434"/>
        <v>7.1523512531166498</v>
      </c>
      <c r="BD120" s="173">
        <f t="shared" si="289"/>
        <v>2.3510058056898915</v>
      </c>
      <c r="BE120" s="173">
        <f t="shared" si="218"/>
        <v>5.27314944174217</v>
      </c>
      <c r="BG120" s="528">
        <f t="shared" si="347"/>
        <v>0.11054456596775153</v>
      </c>
      <c r="BH120" s="528">
        <f t="shared" si="348"/>
        <v>0.16666189603563161</v>
      </c>
      <c r="BI120" s="528">
        <f t="shared" si="349"/>
        <v>1.2149022770147263E-2</v>
      </c>
      <c r="BJ120" s="528">
        <f t="shared" si="350"/>
        <v>3.0489178144418394E-3</v>
      </c>
      <c r="BK120">
        <f t="shared" si="351"/>
        <v>8.4389706514755389E-3</v>
      </c>
      <c r="BL120" s="460">
        <f t="shared" si="427"/>
        <v>20.587993421622802</v>
      </c>
      <c r="BM120" s="528">
        <f t="shared" si="352"/>
        <v>0.31846707417589287</v>
      </c>
      <c r="BN120" s="460">
        <f t="shared" si="353"/>
        <v>318.46707417589289</v>
      </c>
      <c r="BO120" s="528">
        <f t="shared" si="354"/>
        <v>0.7</v>
      </c>
      <c r="BR120" s="460">
        <f t="shared" si="355"/>
        <v>700</v>
      </c>
      <c r="BS120" s="528">
        <f t="shared" si="356"/>
        <v>0.16581684895162727</v>
      </c>
      <c r="BT120" s="528">
        <f t="shared" si="357"/>
        <v>0.83418315104837271</v>
      </c>
      <c r="BU120" s="528">
        <f t="shared" si="358"/>
        <v>5.4048163399849726E-2</v>
      </c>
      <c r="BV120" s="528"/>
      <c r="BW120" s="528">
        <f t="shared" si="359"/>
        <v>2.591339855227658E-3</v>
      </c>
      <c r="BX120" s="460">
        <f t="shared" si="360"/>
        <v>1056.6395032550774</v>
      </c>
      <c r="BY120" s="173">
        <f t="shared" si="361"/>
        <v>2.0574828764945248</v>
      </c>
      <c r="BZ120" s="5">
        <f t="shared" si="362"/>
        <v>15</v>
      </c>
      <c r="CA120" s="173">
        <f t="shared" si="363"/>
        <v>0.87937945525774097</v>
      </c>
      <c r="CB120" s="5">
        <f t="shared" si="364"/>
        <v>87.937945525774097</v>
      </c>
      <c r="CE120" s="562">
        <f t="shared" si="365"/>
        <v>-50</v>
      </c>
      <c r="CF120">
        <f t="shared" si="366"/>
        <v>-50</v>
      </c>
      <c r="CG120" s="173">
        <f t="shared" si="367"/>
        <v>0.20264912204760885</v>
      </c>
      <c r="CI120" s="170">
        <v>10</v>
      </c>
      <c r="CJ120" s="217">
        <f t="shared" si="428"/>
        <v>1</v>
      </c>
      <c r="CK120" s="217"/>
      <c r="CL120" s="217">
        <f t="shared" si="368"/>
        <v>15</v>
      </c>
      <c r="CM120" s="541">
        <f t="shared" si="369"/>
        <v>19</v>
      </c>
      <c r="CN120" s="443">
        <f t="shared" si="370"/>
        <v>15.4</v>
      </c>
      <c r="CO120" s="443">
        <f t="shared" si="371"/>
        <v>34.4</v>
      </c>
      <c r="CP120" s="443"/>
      <c r="CQ120" s="217">
        <f t="shared" si="372"/>
        <v>0.44767441860465118</v>
      </c>
      <c r="CR120" s="172">
        <f t="shared" si="429"/>
        <v>212.84736191860466</v>
      </c>
      <c r="CS120" s="172">
        <f t="shared" si="373"/>
        <v>15</v>
      </c>
      <c r="CT120" s="217">
        <f t="shared" si="374"/>
        <v>14.189824127906977</v>
      </c>
      <c r="CU120" s="217">
        <f t="shared" si="375"/>
        <v>15</v>
      </c>
      <c r="CV120" s="217"/>
      <c r="CW120" s="172">
        <f t="shared" si="376"/>
        <v>456.01665145207966</v>
      </c>
      <c r="CX120" s="172">
        <f t="shared" si="377"/>
        <v>15</v>
      </c>
      <c r="CY120" s="217">
        <f t="shared" si="378"/>
        <v>3.5269993164730007</v>
      </c>
      <c r="CZ120" s="217">
        <f t="shared" si="379"/>
        <v>2.2275785156671586</v>
      </c>
      <c r="DA120" s="217">
        <f t="shared" si="380"/>
        <v>2.7483111556932474</v>
      </c>
      <c r="DB120" s="197">
        <f t="shared" si="381"/>
        <v>70.881782945736433</v>
      </c>
      <c r="DC120" s="443">
        <f t="shared" si="382"/>
        <v>200.96908614265968</v>
      </c>
      <c r="DE120" s="217">
        <f t="shared" si="383"/>
        <v>10.000000000000002</v>
      </c>
      <c r="DF120" s="173">
        <f t="shared" si="384"/>
        <v>7.792207792207793</v>
      </c>
      <c r="DG120" s="173">
        <f t="shared" si="385"/>
        <v>2.7616279069767451</v>
      </c>
      <c r="DH120" s="173"/>
      <c r="DI120" s="173">
        <f t="shared" si="386"/>
        <v>7.7922077922077913</v>
      </c>
      <c r="DJ120" s="545">
        <f t="shared" si="387"/>
        <v>25.666666666666668</v>
      </c>
      <c r="DK120" s="528">
        <f t="shared" si="388"/>
        <v>2.7616279069767442</v>
      </c>
      <c r="DM120" s="173">
        <f t="shared" si="389"/>
        <v>2.7080128015453204</v>
      </c>
      <c r="DN120" s="173">
        <f t="shared" si="390"/>
        <v>10</v>
      </c>
      <c r="DO120" s="173">
        <f t="shared" si="391"/>
        <v>1.0146666666666666</v>
      </c>
      <c r="DQ120" s="545">
        <f t="shared" si="392"/>
        <v>1000</v>
      </c>
      <c r="DR120" s="460">
        <f t="shared" si="393"/>
        <v>25.666666666666668</v>
      </c>
      <c r="DT120">
        <f t="shared" si="430"/>
        <v>1000</v>
      </c>
      <c r="DU120">
        <f t="shared" si="431"/>
        <v>25.666666666666668</v>
      </c>
      <c r="DW120" s="5">
        <f t="shared" si="394"/>
        <v>38.961038961038959</v>
      </c>
      <c r="DX120" s="5">
        <f t="shared" si="395"/>
        <v>6.3157894736842106</v>
      </c>
      <c r="DY120" s="5">
        <f t="shared" si="396"/>
        <v>32.645249487354747</v>
      </c>
      <c r="DZ120" s="5"/>
      <c r="EA120" s="173">
        <f t="shared" si="397"/>
        <v>0.16210526315789475</v>
      </c>
      <c r="EB120" s="173">
        <f t="shared" si="398"/>
        <v>15.400000000000002</v>
      </c>
      <c r="EC120" s="173">
        <f t="shared" si="399"/>
        <v>4.189473684210526</v>
      </c>
      <c r="ED120" s="173">
        <f t="shared" si="400"/>
        <v>3.6758793969849255</v>
      </c>
      <c r="EE120" s="460">
        <f t="shared" si="401"/>
        <v>42.105263157894733</v>
      </c>
      <c r="EF120" s="5">
        <f t="shared" si="402"/>
        <v>7.1590459402093742</v>
      </c>
      <c r="EH120" s="173">
        <f t="shared" si="403"/>
        <v>2.3245448526388612</v>
      </c>
      <c r="EI120" s="173">
        <f t="shared" si="404"/>
        <v>5.2848675065136224</v>
      </c>
      <c r="EK120" s="528">
        <f t="shared" si="405"/>
        <v>0.10807017543859651</v>
      </c>
      <c r="EL120" s="528">
        <f t="shared" si="406"/>
        <v>0.17658666666666667</v>
      </c>
      <c r="EM120" s="528">
        <f t="shared" si="407"/>
        <v>3.2083333333333334E-3</v>
      </c>
      <c r="EN120" s="528">
        <f t="shared" si="408"/>
        <v>3.0372906666666665E-3</v>
      </c>
      <c r="EO120">
        <f t="shared" si="409"/>
        <v>8.5500000000000003E-3</v>
      </c>
      <c r="EP120" s="460">
        <f t="shared" si="410"/>
        <v>11.758333333333335</v>
      </c>
      <c r="EQ120" s="460"/>
      <c r="ER120" s="460">
        <f t="shared" si="432"/>
        <v>299.45246610526323</v>
      </c>
      <c r="ES120" s="528">
        <f t="shared" si="411"/>
        <v>0.7</v>
      </c>
      <c r="EV120" s="460">
        <f t="shared" si="412"/>
        <v>700</v>
      </c>
      <c r="EW120" s="528">
        <f t="shared" si="413"/>
        <v>0.16210526315789475</v>
      </c>
      <c r="EX120" s="528">
        <f t="shared" si="414"/>
        <v>0.83789473684210536</v>
      </c>
      <c r="EY120" s="528">
        <f t="shared" si="415"/>
        <v>5.2770800289257756E-2</v>
      </c>
      <c r="EZ120" s="528"/>
      <c r="FA120" s="528">
        <f t="shared" si="416"/>
        <v>2.5666666666666667E-3</v>
      </c>
      <c r="FB120" s="460">
        <f t="shared" si="417"/>
        <v>1055.3374669559244</v>
      </c>
      <c r="FC120" s="173">
        <f t="shared" si="418"/>
        <v>2.0547899330611878</v>
      </c>
      <c r="FD120" s="5">
        <f t="shared" si="419"/>
        <v>15</v>
      </c>
      <c r="FE120" s="173">
        <f t="shared" si="420"/>
        <v>0.87951830886653615</v>
      </c>
      <c r="FF120" s="5">
        <f t="shared" si="421"/>
        <v>87.95183088665361</v>
      </c>
      <c r="FI120" s="562">
        <f t="shared" si="422"/>
        <v>-50</v>
      </c>
      <c r="FJ120">
        <f t="shared" si="423"/>
        <v>-50</v>
      </c>
      <c r="FL120">
        <f t="shared" si="424"/>
        <v>0.2</v>
      </c>
    </row>
    <row r="121" spans="5:168">
      <c r="E121" s="170">
        <v>11</v>
      </c>
      <c r="F121" s="217">
        <f t="shared" si="425"/>
        <v>1.1000000000000001</v>
      </c>
      <c r="G121" s="217"/>
      <c r="H121" s="217">
        <f t="shared" si="315"/>
        <v>16.5</v>
      </c>
      <c r="I121" s="541">
        <f t="shared" si="316"/>
        <v>18.753268114390085</v>
      </c>
      <c r="J121" s="172">
        <f t="shared" si="317"/>
        <v>15.548039131365949</v>
      </c>
      <c r="K121" s="172">
        <f t="shared" si="318"/>
        <v>34.301307245756036</v>
      </c>
      <c r="L121" s="443"/>
      <c r="M121" s="217">
        <f t="shared" si="319"/>
        <v>0.45330957820537332</v>
      </c>
      <c r="N121" s="172">
        <f t="shared" si="426"/>
        <v>212.72780107906019</v>
      </c>
      <c r="O121" s="172">
        <f t="shared" si="284"/>
        <v>16.5</v>
      </c>
      <c r="P121" s="217">
        <f t="shared" si="320"/>
        <v>14.18185340527068</v>
      </c>
      <c r="Q121" s="217">
        <f t="shared" si="321"/>
        <v>15</v>
      </c>
      <c r="R121" s="217"/>
      <c r="S121" s="172">
        <f t="shared" si="322"/>
        <v>407.47576200619307</v>
      </c>
      <c r="T121" s="172">
        <f t="shared" si="323"/>
        <v>15</v>
      </c>
      <c r="U121" s="217">
        <f t="shared" si="324"/>
        <v>4.0242153736259638</v>
      </c>
      <c r="V121" s="217">
        <f t="shared" si="325"/>
        <v>2.5750490095353773</v>
      </c>
      <c r="W121" s="217">
        <f t="shared" si="326"/>
        <v>3.1058954814496325</v>
      </c>
      <c r="X121" s="197">
        <f t="shared" si="327"/>
        <v>70.83708316481389</v>
      </c>
      <c r="Y121" s="443">
        <f t="shared" si="328"/>
        <v>170.04071395894238</v>
      </c>
      <c r="AA121" s="217">
        <f t="shared" si="329"/>
        <v>10</v>
      </c>
      <c r="AB121" s="173">
        <f t="shared" si="330"/>
        <v>7.7180150491078416</v>
      </c>
      <c r="AC121" s="173">
        <f t="shared" si="331"/>
        <v>2.7336083695046867</v>
      </c>
      <c r="AD121" s="173"/>
      <c r="AE121" s="173">
        <f t="shared" si="332"/>
        <v>7.7180150491078416</v>
      </c>
      <c r="AF121" s="545">
        <f t="shared" si="333"/>
        <v>28.504738407504238</v>
      </c>
      <c r="AG121" s="528">
        <f t="shared" si="334"/>
        <v>2.7336083695046871</v>
      </c>
      <c r="AI121" s="173">
        <f t="shared" si="335"/>
        <v>2.853806400857045</v>
      </c>
      <c r="AJ121" s="173">
        <f t="shared" si="336"/>
        <v>10</v>
      </c>
      <c r="AK121" s="173">
        <f t="shared" si="337"/>
        <v>1.0162884219471453</v>
      </c>
      <c r="AM121" s="545">
        <f t="shared" si="338"/>
        <v>1100</v>
      </c>
      <c r="AN121" s="460">
        <f t="shared" si="339"/>
        <v>28.504738407504238</v>
      </c>
      <c r="AP121" s="460">
        <f t="shared" si="340"/>
        <v>1100</v>
      </c>
      <c r="AQ121" s="460">
        <f t="shared" si="341"/>
        <v>28.504738407504238</v>
      </c>
      <c r="AS121" s="5">
        <f t="shared" si="285"/>
        <v>35.08188658685382</v>
      </c>
      <c r="AT121" s="5">
        <f t="shared" si="342"/>
        <v>6.3988846780215072</v>
      </c>
      <c r="AU121" s="5">
        <f t="shared" si="343"/>
        <v>28.683001908832313</v>
      </c>
      <c r="AV121" s="5"/>
      <c r="AW121" s="173">
        <f t="shared" si="344"/>
        <v>0.18239853384679008</v>
      </c>
      <c r="AX121" s="173">
        <f t="shared" si="214"/>
        <v>17.102843044502542</v>
      </c>
      <c r="AY121" s="173">
        <f t="shared" si="215"/>
        <v>4.0880073307660494</v>
      </c>
      <c r="AZ121" s="173">
        <f t="shared" si="288"/>
        <v>4.1836625183589504</v>
      </c>
      <c r="BA121" s="460">
        <f t="shared" si="433"/>
        <v>46.925154305491063</v>
      </c>
      <c r="BB121" s="5">
        <f t="shared" si="434"/>
        <v>7.0101785964408885</v>
      </c>
      <c r="BD121" s="173">
        <f t="shared" si="289"/>
        <v>2.4657556911069549</v>
      </c>
      <c r="BE121" s="173">
        <f t="shared" si="218"/>
        <v>5.2204772008990705</v>
      </c>
      <c r="BG121" s="528">
        <f t="shared" si="347"/>
        <v>0.12159902256452673</v>
      </c>
      <c r="BH121" s="528">
        <f t="shared" si="348"/>
        <v>0.18332808563919478</v>
      </c>
      <c r="BI121" s="528">
        <f t="shared" si="349"/>
        <v>1.336392504716199E-2</v>
      </c>
      <c r="BJ121" s="528">
        <f t="shared" si="350"/>
        <v>3.3538095958860238E-3</v>
      </c>
      <c r="BK121">
        <f t="shared" si="351"/>
        <v>8.4389706514755389E-3</v>
      </c>
      <c r="BL121" s="460">
        <f t="shared" si="427"/>
        <v>21.802895698637528</v>
      </c>
      <c r="BM121" s="528">
        <f t="shared" si="352"/>
        <v>0.35126126910434613</v>
      </c>
      <c r="BN121" s="460">
        <f t="shared" si="353"/>
        <v>351.26126910434613</v>
      </c>
      <c r="BO121" s="528">
        <f t="shared" si="354"/>
        <v>0.77</v>
      </c>
      <c r="BR121" s="460">
        <f t="shared" si="355"/>
        <v>770</v>
      </c>
      <c r="BS121" s="528">
        <f t="shared" si="356"/>
        <v>0.18239853384679008</v>
      </c>
      <c r="BT121" s="528">
        <f t="shared" si="357"/>
        <v>0.81760146615320983</v>
      </c>
      <c r="BU121" s="528">
        <f t="shared" si="358"/>
        <v>6.859029232134134E-2</v>
      </c>
      <c r="BV121" s="528"/>
      <c r="BW121" s="528">
        <f t="shared" si="359"/>
        <v>2.8504738407504242E-3</v>
      </c>
      <c r="BX121" s="460">
        <f t="shared" si="360"/>
        <v>1071.4407661620917</v>
      </c>
      <c r="BY121" s="173">
        <f t="shared" si="361"/>
        <v>2.1715245796603369</v>
      </c>
      <c r="BZ121" s="5">
        <f t="shared" si="362"/>
        <v>16.5</v>
      </c>
      <c r="CA121" s="173">
        <f t="shared" si="363"/>
        <v>0.88369859298871245</v>
      </c>
      <c r="CB121" s="5">
        <f t="shared" si="364"/>
        <v>88.369859298871248</v>
      </c>
      <c r="CE121" s="562">
        <f t="shared" si="365"/>
        <v>-50</v>
      </c>
      <c r="CF121">
        <f t="shared" si="366"/>
        <v>-50</v>
      </c>
      <c r="CG121" s="173">
        <f t="shared" si="367"/>
        <v>0.22291403425236975</v>
      </c>
      <c r="CI121" s="170">
        <v>11</v>
      </c>
      <c r="CJ121" s="217">
        <f t="shared" si="428"/>
        <v>1.1000000000000001</v>
      </c>
      <c r="CK121" s="217"/>
      <c r="CL121" s="217">
        <f t="shared" si="368"/>
        <v>16.5</v>
      </c>
      <c r="CM121" s="541">
        <f t="shared" si="369"/>
        <v>19</v>
      </c>
      <c r="CN121" s="443">
        <f t="shared" si="370"/>
        <v>15.4</v>
      </c>
      <c r="CO121" s="443">
        <f t="shared" si="371"/>
        <v>34.4</v>
      </c>
      <c r="CP121" s="443"/>
      <c r="CQ121" s="217">
        <f t="shared" si="372"/>
        <v>0.44767441860465118</v>
      </c>
      <c r="CR121" s="172">
        <f t="shared" si="429"/>
        <v>212.84736191860466</v>
      </c>
      <c r="CS121" s="172">
        <f t="shared" si="373"/>
        <v>16.5</v>
      </c>
      <c r="CT121" s="217">
        <f t="shared" si="374"/>
        <v>14.189824127906977</v>
      </c>
      <c r="CU121" s="217">
        <f t="shared" si="375"/>
        <v>15</v>
      </c>
      <c r="CV121" s="217"/>
      <c r="CW121" s="172">
        <f t="shared" si="376"/>
        <v>412.83657322032894</v>
      </c>
      <c r="CX121" s="172">
        <f t="shared" si="377"/>
        <v>15</v>
      </c>
      <c r="CY121" s="217">
        <f t="shared" si="378"/>
        <v>3.8796992481203008</v>
      </c>
      <c r="CZ121" s="217">
        <f t="shared" si="379"/>
        <v>2.450336367233874</v>
      </c>
      <c r="DA121" s="217">
        <f t="shared" si="380"/>
        <v>3.0231422712625724</v>
      </c>
      <c r="DB121" s="197">
        <f t="shared" si="381"/>
        <v>70.881782945736433</v>
      </c>
      <c r="DC121" s="443">
        <f t="shared" si="382"/>
        <v>182.69916922059969</v>
      </c>
      <c r="DE121" s="217">
        <f t="shared" si="383"/>
        <v>10.000000000000002</v>
      </c>
      <c r="DF121" s="173">
        <f t="shared" si="384"/>
        <v>7.792207792207793</v>
      </c>
      <c r="DG121" s="173">
        <f t="shared" si="385"/>
        <v>2.7616279069767451</v>
      </c>
      <c r="DH121" s="173"/>
      <c r="DI121" s="173">
        <f t="shared" si="386"/>
        <v>7.7922077922077913</v>
      </c>
      <c r="DJ121" s="545">
        <f t="shared" si="387"/>
        <v>28.233333333333334</v>
      </c>
      <c r="DK121" s="528">
        <f t="shared" si="388"/>
        <v>2.7616279069767442</v>
      </c>
      <c r="DM121" s="173">
        <f t="shared" si="389"/>
        <v>2.8401877872187726</v>
      </c>
      <c r="DN121" s="173">
        <f t="shared" si="390"/>
        <v>10</v>
      </c>
      <c r="DO121" s="173">
        <f t="shared" si="391"/>
        <v>1.0161333333333333</v>
      </c>
      <c r="DQ121" s="545">
        <f t="shared" si="392"/>
        <v>1100</v>
      </c>
      <c r="DR121" s="460">
        <f t="shared" si="393"/>
        <v>28.233333333333334</v>
      </c>
      <c r="DT121">
        <f t="shared" si="430"/>
        <v>1100</v>
      </c>
      <c r="DU121">
        <f t="shared" si="431"/>
        <v>28.233333333333334</v>
      </c>
      <c r="DW121" s="5">
        <f t="shared" si="394"/>
        <v>35.419126328217232</v>
      </c>
      <c r="DX121" s="5">
        <f t="shared" si="395"/>
        <v>6.3157894736842106</v>
      </c>
      <c r="DY121" s="5">
        <f t="shared" si="396"/>
        <v>29.103336854533019</v>
      </c>
      <c r="DZ121" s="5"/>
      <c r="EA121" s="173">
        <f t="shared" si="397"/>
        <v>0.17831578947368423</v>
      </c>
      <c r="EB121" s="173">
        <f t="shared" si="398"/>
        <v>16.940000000000005</v>
      </c>
      <c r="EC121" s="173">
        <f t="shared" si="399"/>
        <v>4.108421052631579</v>
      </c>
      <c r="ED121" s="173">
        <f t="shared" si="400"/>
        <v>4.1232385344606728</v>
      </c>
      <c r="EE121" s="460">
        <f t="shared" si="401"/>
        <v>46.315789473684212</v>
      </c>
      <c r="EF121" s="5">
        <f t="shared" si="402"/>
        <v>7.0205417850847196</v>
      </c>
      <c r="EH121" s="173">
        <f t="shared" si="403"/>
        <v>2.4380032094160189</v>
      </c>
      <c r="EI121" s="173">
        <f t="shared" si="404"/>
        <v>5.2334953601021308</v>
      </c>
      <c r="EK121" s="528">
        <f t="shared" si="405"/>
        <v>0.11887719298245618</v>
      </c>
      <c r="EL121" s="528">
        <f t="shared" si="406"/>
        <v>0.19424533333333333</v>
      </c>
      <c r="EM121" s="528">
        <f t="shared" si="407"/>
        <v>3.5291666666666666E-3</v>
      </c>
      <c r="EN121" s="528">
        <f t="shared" si="408"/>
        <v>3.3410197333333335E-3</v>
      </c>
      <c r="EO121">
        <f t="shared" si="409"/>
        <v>8.5500000000000003E-3</v>
      </c>
      <c r="EP121" s="460">
        <f t="shared" si="410"/>
        <v>12.079166666666667</v>
      </c>
      <c r="EQ121" s="460"/>
      <c r="ER121" s="460">
        <f t="shared" si="432"/>
        <v>328.54271271578955</v>
      </c>
      <c r="ES121" s="528">
        <f t="shared" si="411"/>
        <v>0.77</v>
      </c>
      <c r="EV121" s="460">
        <f t="shared" si="412"/>
        <v>770</v>
      </c>
      <c r="EW121" s="528">
        <f t="shared" si="413"/>
        <v>0.17831578947368426</v>
      </c>
      <c r="EX121" s="528">
        <f t="shared" si="414"/>
        <v>0.82168421052631591</v>
      </c>
      <c r="EY121" s="528">
        <f t="shared" si="415"/>
        <v>6.6969243544756182E-2</v>
      </c>
      <c r="EZ121" s="528"/>
      <c r="FA121" s="528">
        <f t="shared" si="416"/>
        <v>2.8233333333333335E-3</v>
      </c>
      <c r="FB121" s="460">
        <f t="shared" si="417"/>
        <v>1069.7925768780899</v>
      </c>
      <c r="FC121" s="173">
        <f t="shared" si="418"/>
        <v>2.168335289593879</v>
      </c>
      <c r="FD121" s="5">
        <f t="shared" si="419"/>
        <v>16.5</v>
      </c>
      <c r="FE121" s="173">
        <f t="shared" si="420"/>
        <v>0.88384956366181422</v>
      </c>
      <c r="FF121" s="5">
        <f t="shared" si="421"/>
        <v>88.384956366181427</v>
      </c>
      <c r="FI121" s="562">
        <f t="shared" si="422"/>
        <v>-50</v>
      </c>
      <c r="FJ121">
        <f t="shared" si="423"/>
        <v>-50</v>
      </c>
      <c r="FL121">
        <f t="shared" si="424"/>
        <v>0.22000000000000003</v>
      </c>
    </row>
    <row r="122" spans="5:168">
      <c r="E122" s="170">
        <v>12</v>
      </c>
      <c r="F122" s="217">
        <f t="shared" si="425"/>
        <v>1.2</v>
      </c>
      <c r="G122" s="217"/>
      <c r="H122" s="217">
        <f t="shared" si="315"/>
        <v>18</v>
      </c>
      <c r="I122" s="541">
        <f t="shared" si="316"/>
        <v>18.753268114390085</v>
      </c>
      <c r="J122" s="172">
        <f t="shared" si="317"/>
        <v>15.548039131365949</v>
      </c>
      <c r="K122" s="172">
        <f t="shared" si="318"/>
        <v>34.301307245756036</v>
      </c>
      <c r="L122" s="443"/>
      <c r="M122" s="217">
        <f t="shared" si="319"/>
        <v>0.45330957820537332</v>
      </c>
      <c r="N122" s="172">
        <f t="shared" si="426"/>
        <v>212.72780107906019</v>
      </c>
      <c r="O122" s="172">
        <f t="shared" si="284"/>
        <v>18</v>
      </c>
      <c r="P122" s="217">
        <f t="shared" si="320"/>
        <v>14.18185340527068</v>
      </c>
      <c r="Q122" s="217">
        <f t="shared" si="321"/>
        <v>15</v>
      </c>
      <c r="R122" s="217"/>
      <c r="S122" s="172">
        <f t="shared" si="322"/>
        <v>371.95996291304027</v>
      </c>
      <c r="T122" s="172">
        <f t="shared" si="323"/>
        <v>15</v>
      </c>
      <c r="U122" s="217">
        <f t="shared" si="324"/>
        <v>4.3900531348646883</v>
      </c>
      <c r="V122" s="217">
        <f t="shared" si="325"/>
        <v>2.8091443740385937</v>
      </c>
      <c r="W122" s="217">
        <f t="shared" si="326"/>
        <v>3.3882496161268718</v>
      </c>
      <c r="X122" s="197">
        <f t="shared" si="327"/>
        <v>70.83708316481389</v>
      </c>
      <c r="Y122" s="443">
        <f t="shared" si="328"/>
        <v>156.31364920423408</v>
      </c>
      <c r="AA122" s="217">
        <f t="shared" si="329"/>
        <v>10</v>
      </c>
      <c r="AB122" s="173">
        <f t="shared" si="330"/>
        <v>7.7180150491078416</v>
      </c>
      <c r="AC122" s="173">
        <f t="shared" si="331"/>
        <v>2.7336083695046867</v>
      </c>
      <c r="AD122" s="173"/>
      <c r="AE122" s="173">
        <f t="shared" si="332"/>
        <v>7.7180150491078416</v>
      </c>
      <c r="AF122" s="545">
        <f t="shared" si="333"/>
        <v>31.09607826273189</v>
      </c>
      <c r="AG122" s="528">
        <f t="shared" si="334"/>
        <v>2.7336083695046871</v>
      </c>
      <c r="AI122" s="173">
        <f t="shared" si="335"/>
        <v>2.9807035728753655</v>
      </c>
      <c r="AJ122" s="173">
        <f t="shared" si="336"/>
        <v>10</v>
      </c>
      <c r="AK122" s="173">
        <f t="shared" si="337"/>
        <v>1.017769187578704</v>
      </c>
      <c r="AM122" s="545">
        <f t="shared" si="338"/>
        <v>1200</v>
      </c>
      <c r="AN122" s="460">
        <f t="shared" si="339"/>
        <v>31.09607826273189</v>
      </c>
      <c r="AP122" s="460">
        <f t="shared" si="340"/>
        <v>1200</v>
      </c>
      <c r="AQ122" s="460">
        <f t="shared" si="341"/>
        <v>31.09607826273189</v>
      </c>
      <c r="AS122" s="5">
        <f t="shared" si="285"/>
        <v>32.158396037949345</v>
      </c>
      <c r="AT122" s="5">
        <f t="shared" si="342"/>
        <v>6.3988846780215072</v>
      </c>
      <c r="AU122" s="5">
        <f t="shared" si="343"/>
        <v>25.759511359927838</v>
      </c>
      <c r="AV122" s="5"/>
      <c r="AW122" s="173">
        <f t="shared" si="344"/>
        <v>0.19898021874195274</v>
      </c>
      <c r="AX122" s="173">
        <f t="shared" si="214"/>
        <v>18.657646957639134</v>
      </c>
      <c r="AY122" s="173">
        <f t="shared" si="215"/>
        <v>4.005098906290236</v>
      </c>
      <c r="AZ122" s="173">
        <f t="shared" si="288"/>
        <v>4.6584734595033934</v>
      </c>
      <c r="BA122" s="460">
        <f t="shared" si="433"/>
        <v>51.19107742417205</v>
      </c>
      <c r="BB122" s="5">
        <f t="shared" si="434"/>
        <v>6.8680059397651334</v>
      </c>
      <c r="BD122" s="173">
        <f t="shared" si="289"/>
        <v>2.5753978252039222</v>
      </c>
      <c r="BE122" s="173">
        <f t="shared" si="218"/>
        <v>5.1672680765824639</v>
      </c>
      <c r="BG122" s="528">
        <f t="shared" si="347"/>
        <v>0.13265347916130185</v>
      </c>
      <c r="BH122" s="528">
        <f t="shared" si="348"/>
        <v>0.1999942752427579</v>
      </c>
      <c r="BI122" s="528">
        <f t="shared" si="349"/>
        <v>1.4578827324176714E-2</v>
      </c>
      <c r="BJ122" s="528">
        <f t="shared" si="350"/>
        <v>3.6587013773302069E-3</v>
      </c>
      <c r="BK122">
        <f t="shared" si="351"/>
        <v>8.4389706514755389E-3</v>
      </c>
      <c r="BL122" s="460">
        <f t="shared" si="427"/>
        <v>23.017797975652254</v>
      </c>
      <c r="BM122" s="528">
        <f t="shared" si="352"/>
        <v>0.38423334089527761</v>
      </c>
      <c r="BN122" s="460">
        <f t="shared" si="353"/>
        <v>384.23334089527759</v>
      </c>
      <c r="BO122" s="528">
        <f t="shared" si="354"/>
        <v>0.84</v>
      </c>
      <c r="BR122" s="460">
        <f t="shared" si="355"/>
        <v>840</v>
      </c>
      <c r="BS122" s="528">
        <f t="shared" si="356"/>
        <v>0.19898021874195276</v>
      </c>
      <c r="BT122" s="528">
        <f t="shared" si="357"/>
        <v>0.80101978125804707</v>
      </c>
      <c r="BU122" s="528">
        <f t="shared" si="358"/>
        <v>8.5257787063169596E-2</v>
      </c>
      <c r="BV122" s="528"/>
      <c r="BW122" s="528">
        <f t="shared" si="359"/>
        <v>3.1096078262731895E-3</v>
      </c>
      <c r="BX122" s="460">
        <f t="shared" si="360"/>
        <v>1088.3673948894425</v>
      </c>
      <c r="BY122" s="173">
        <f t="shared" si="361"/>
        <v>2.2876916486464847</v>
      </c>
      <c r="BZ122" s="5">
        <f t="shared" si="362"/>
        <v>18</v>
      </c>
      <c r="CA122" s="173">
        <f t="shared" si="363"/>
        <v>0.88723745962497846</v>
      </c>
      <c r="CB122" s="5">
        <f t="shared" si="364"/>
        <v>88.723745962497844</v>
      </c>
      <c r="CE122" s="562">
        <f t="shared" si="365"/>
        <v>-50</v>
      </c>
      <c r="CF122">
        <f t="shared" si="366"/>
        <v>-50</v>
      </c>
      <c r="CG122" s="173">
        <f t="shared" si="367"/>
        <v>0.24317894645713062</v>
      </c>
      <c r="CI122" s="170">
        <v>12</v>
      </c>
      <c r="CJ122" s="217">
        <f t="shared" si="428"/>
        <v>1.2</v>
      </c>
      <c r="CK122" s="217"/>
      <c r="CL122" s="217">
        <f t="shared" si="368"/>
        <v>18</v>
      </c>
      <c r="CM122" s="541">
        <f t="shared" si="369"/>
        <v>19</v>
      </c>
      <c r="CN122" s="443">
        <f t="shared" si="370"/>
        <v>15.4</v>
      </c>
      <c r="CO122" s="443">
        <f t="shared" si="371"/>
        <v>34.4</v>
      </c>
      <c r="CP122" s="443"/>
      <c r="CQ122" s="217">
        <f t="shared" si="372"/>
        <v>0.44767441860465118</v>
      </c>
      <c r="CR122" s="172">
        <f t="shared" si="429"/>
        <v>212.84736191860466</v>
      </c>
      <c r="CS122" s="172">
        <f t="shared" si="373"/>
        <v>18</v>
      </c>
      <c r="CT122" s="217">
        <f t="shared" si="374"/>
        <v>14.189824127906977</v>
      </c>
      <c r="CU122" s="217">
        <f t="shared" si="375"/>
        <v>15</v>
      </c>
      <c r="CV122" s="217"/>
      <c r="CW122" s="172">
        <f t="shared" si="376"/>
        <v>376.85347893946891</v>
      </c>
      <c r="CX122" s="172">
        <f t="shared" si="377"/>
        <v>15</v>
      </c>
      <c r="CY122" s="217">
        <f t="shared" si="378"/>
        <v>4.2323991797676008</v>
      </c>
      <c r="CZ122" s="217">
        <f t="shared" si="379"/>
        <v>2.6730942188005899</v>
      </c>
      <c r="DA122" s="217">
        <f t="shared" si="380"/>
        <v>3.2979733868318966</v>
      </c>
      <c r="DB122" s="197">
        <f t="shared" si="381"/>
        <v>70.881782945736433</v>
      </c>
      <c r="DC122" s="443">
        <f t="shared" si="382"/>
        <v>167.47423845221644</v>
      </c>
      <c r="DE122" s="217">
        <f t="shared" si="383"/>
        <v>10.000000000000002</v>
      </c>
      <c r="DF122" s="173">
        <f t="shared" si="384"/>
        <v>7.792207792207793</v>
      </c>
      <c r="DG122" s="173">
        <f t="shared" si="385"/>
        <v>2.7616279069767451</v>
      </c>
      <c r="DH122" s="173"/>
      <c r="DI122" s="173">
        <f t="shared" si="386"/>
        <v>7.7922077922077913</v>
      </c>
      <c r="DJ122" s="545">
        <f t="shared" si="387"/>
        <v>30.8</v>
      </c>
      <c r="DK122" s="528">
        <f t="shared" si="388"/>
        <v>2.7616279069767442</v>
      </c>
      <c r="DM122" s="173">
        <f t="shared" si="389"/>
        <v>2.9664793948382653</v>
      </c>
      <c r="DN122" s="173">
        <f t="shared" si="390"/>
        <v>10</v>
      </c>
      <c r="DO122" s="173">
        <f t="shared" si="391"/>
        <v>1.0176000000000001</v>
      </c>
      <c r="DQ122" s="545">
        <f t="shared" si="392"/>
        <v>1200</v>
      </c>
      <c r="DR122" s="460">
        <f t="shared" si="393"/>
        <v>30.8</v>
      </c>
      <c r="DT122">
        <f t="shared" si="430"/>
        <v>1200</v>
      </c>
      <c r="DU122">
        <f t="shared" si="431"/>
        <v>30.8</v>
      </c>
      <c r="DW122" s="5">
        <f t="shared" si="394"/>
        <v>32.467532467532465</v>
      </c>
      <c r="DX122" s="5">
        <f t="shared" si="395"/>
        <v>6.3157894736842106</v>
      </c>
      <c r="DY122" s="5">
        <f t="shared" si="396"/>
        <v>26.151742993848252</v>
      </c>
      <c r="DZ122" s="5"/>
      <c r="EA122" s="173">
        <f t="shared" si="397"/>
        <v>0.19452631578947371</v>
      </c>
      <c r="EB122" s="173">
        <f t="shared" si="398"/>
        <v>18.480000000000004</v>
      </c>
      <c r="EC122" s="173">
        <f t="shared" si="399"/>
        <v>4.0273684210526319</v>
      </c>
      <c r="ED122" s="173">
        <f t="shared" si="400"/>
        <v>4.5886042864610568</v>
      </c>
      <c r="EE122" s="460">
        <f t="shared" si="401"/>
        <v>50.526315789473685</v>
      </c>
      <c r="EF122" s="5">
        <f t="shared" si="402"/>
        <v>6.8820376299600658</v>
      </c>
      <c r="EH122" s="173">
        <f t="shared" si="403"/>
        <v>2.546411303445653</v>
      </c>
      <c r="EI122" s="173">
        <f t="shared" si="404"/>
        <v>5.1816139191392434</v>
      </c>
      <c r="EK122" s="528">
        <f t="shared" si="405"/>
        <v>0.12968421052631579</v>
      </c>
      <c r="EL122" s="528">
        <f t="shared" si="406"/>
        <v>0.21190400000000001</v>
      </c>
      <c r="EM122" s="528">
        <f t="shared" si="407"/>
        <v>3.8499999999999997E-3</v>
      </c>
      <c r="EN122" s="528">
        <f t="shared" si="408"/>
        <v>3.6447488E-3</v>
      </c>
      <c r="EO122">
        <f t="shared" si="409"/>
        <v>8.5500000000000003E-3</v>
      </c>
      <c r="EP122" s="460">
        <f t="shared" si="410"/>
        <v>12.4</v>
      </c>
      <c r="EQ122" s="460"/>
      <c r="ER122" s="460">
        <f t="shared" si="432"/>
        <v>357.63295932631581</v>
      </c>
      <c r="ES122" s="528">
        <f t="shared" si="411"/>
        <v>0.84</v>
      </c>
      <c r="EV122" s="460">
        <f t="shared" si="412"/>
        <v>840</v>
      </c>
      <c r="EW122" s="528">
        <f t="shared" si="413"/>
        <v>0.19452631578947366</v>
      </c>
      <c r="EX122" s="528">
        <f t="shared" si="414"/>
        <v>0.80547368421052645</v>
      </c>
      <c r="EY122" s="528">
        <f t="shared" si="415"/>
        <v>8.3242822164556723E-2</v>
      </c>
      <c r="EZ122" s="528"/>
      <c r="FA122" s="528">
        <f t="shared" si="416"/>
        <v>3.0800000000000003E-3</v>
      </c>
      <c r="FB122" s="460">
        <f t="shared" si="417"/>
        <v>1086.3228221645566</v>
      </c>
      <c r="FC122" s="173">
        <f t="shared" si="418"/>
        <v>2.2839557814908726</v>
      </c>
      <c r="FD122" s="5">
        <f t="shared" si="419"/>
        <v>18</v>
      </c>
      <c r="FE122" s="173">
        <f t="shared" si="420"/>
        <v>0.88740086962844866</v>
      </c>
      <c r="FF122" s="5">
        <f t="shared" si="421"/>
        <v>88.74008696284487</v>
      </c>
      <c r="FI122" s="562">
        <f t="shared" si="422"/>
        <v>-50</v>
      </c>
      <c r="FJ122">
        <f t="shared" si="423"/>
        <v>-50</v>
      </c>
      <c r="FL122">
        <f t="shared" si="424"/>
        <v>0.24000000000000002</v>
      </c>
    </row>
    <row r="123" spans="5:168">
      <c r="E123" s="170">
        <v>13</v>
      </c>
      <c r="F123" s="217">
        <f t="shared" si="425"/>
        <v>1.3</v>
      </c>
      <c r="G123" s="217"/>
      <c r="H123" s="217">
        <f t="shared" si="315"/>
        <v>19.5</v>
      </c>
      <c r="I123" s="541">
        <f t="shared" si="316"/>
        <v>18.753268114390085</v>
      </c>
      <c r="J123" s="172">
        <f t="shared" si="317"/>
        <v>15.548039131365949</v>
      </c>
      <c r="K123" s="172">
        <f t="shared" si="318"/>
        <v>34.301307245756036</v>
      </c>
      <c r="L123" s="443"/>
      <c r="M123" s="217">
        <f t="shared" si="319"/>
        <v>0.45330957820537332</v>
      </c>
      <c r="N123" s="172">
        <f t="shared" si="426"/>
        <v>212.72780107906019</v>
      </c>
      <c r="O123" s="172">
        <f t="shared" si="284"/>
        <v>19.5</v>
      </c>
      <c r="P123" s="217">
        <f t="shared" si="320"/>
        <v>14.18185340527068</v>
      </c>
      <c r="Q123" s="217">
        <f t="shared" si="321"/>
        <v>15</v>
      </c>
      <c r="R123" s="217"/>
      <c r="S123" s="172">
        <f t="shared" si="322"/>
        <v>341.90841720106187</v>
      </c>
      <c r="T123" s="172">
        <f t="shared" si="323"/>
        <v>15</v>
      </c>
      <c r="U123" s="217">
        <f t="shared" si="324"/>
        <v>4.7558908961034119</v>
      </c>
      <c r="V123" s="217">
        <f t="shared" si="325"/>
        <v>3.0432397385418102</v>
      </c>
      <c r="W123" s="217">
        <f t="shared" si="326"/>
        <v>3.6706037508041112</v>
      </c>
      <c r="X123" s="197">
        <f t="shared" si="327"/>
        <v>70.83708316481389</v>
      </c>
      <c r="Y123" s="443">
        <f t="shared" si="328"/>
        <v>144.63734991122922</v>
      </c>
      <c r="AA123" s="217">
        <f t="shared" si="329"/>
        <v>10</v>
      </c>
      <c r="AB123" s="173">
        <f t="shared" si="330"/>
        <v>7.7180150491078416</v>
      </c>
      <c r="AC123" s="173">
        <f t="shared" si="331"/>
        <v>2.7336083695046867</v>
      </c>
      <c r="AD123" s="173"/>
      <c r="AE123" s="173">
        <f t="shared" si="332"/>
        <v>7.7180150491078416</v>
      </c>
      <c r="AF123" s="545">
        <f t="shared" si="333"/>
        <v>33.687418117959552</v>
      </c>
      <c r="AG123" s="528">
        <f t="shared" si="334"/>
        <v>2.7336083695046871</v>
      </c>
      <c r="AI123" s="173">
        <f t="shared" si="335"/>
        <v>3.1024146410709355</v>
      </c>
      <c r="AJ123" s="173">
        <f t="shared" si="336"/>
        <v>10</v>
      </c>
      <c r="AK123" s="173">
        <f t="shared" si="337"/>
        <v>1.0192499532102626</v>
      </c>
      <c r="AM123" s="545">
        <f t="shared" si="338"/>
        <v>1300</v>
      </c>
      <c r="AN123" s="460">
        <f t="shared" si="339"/>
        <v>33.687418117959552</v>
      </c>
      <c r="AP123" s="460">
        <f t="shared" si="340"/>
        <v>1300</v>
      </c>
      <c r="AQ123" s="460">
        <f t="shared" si="341"/>
        <v>33.687418117959552</v>
      </c>
      <c r="AS123" s="5">
        <f t="shared" si="285"/>
        <v>29.68467326579939</v>
      </c>
      <c r="AT123" s="5">
        <f t="shared" si="342"/>
        <v>6.3988846780215072</v>
      </c>
      <c r="AU123" s="5">
        <f t="shared" si="343"/>
        <v>23.285788587777883</v>
      </c>
      <c r="AV123" s="5"/>
      <c r="AW123" s="173">
        <f t="shared" si="344"/>
        <v>0.21556190363711553</v>
      </c>
      <c r="AX123" s="173">
        <f t="shared" si="214"/>
        <v>20.212450870775733</v>
      </c>
      <c r="AY123" s="173">
        <f t="shared" si="215"/>
        <v>3.9221904818144226</v>
      </c>
      <c r="AZ123" s="173">
        <f t="shared" si="288"/>
        <v>5.1533577893507516</v>
      </c>
      <c r="BA123" s="460">
        <f t="shared" si="433"/>
        <v>55.457000542853066</v>
      </c>
      <c r="BB123" s="5">
        <f t="shared" si="434"/>
        <v>6.725833283089373</v>
      </c>
      <c r="BD123" s="173">
        <f t="shared" si="289"/>
        <v>2.6805590439130138</v>
      </c>
      <c r="BE123" s="173">
        <f t="shared" si="218"/>
        <v>5.1135053090252569</v>
      </c>
      <c r="BG123" s="528">
        <f t="shared" si="347"/>
        <v>0.14370793575807703</v>
      </c>
      <c r="BH123" s="528">
        <f t="shared" si="348"/>
        <v>0.21666046484632109</v>
      </c>
      <c r="BI123" s="528">
        <f t="shared" si="349"/>
        <v>1.5793729601191443E-2</v>
      </c>
      <c r="BJ123" s="528">
        <f t="shared" si="350"/>
        <v>3.9635931587743917E-3</v>
      </c>
      <c r="BK123">
        <f t="shared" si="351"/>
        <v>8.4389706514755389E-3</v>
      </c>
      <c r="BL123" s="460">
        <f t="shared" si="427"/>
        <v>24.23270025266698</v>
      </c>
      <c r="BM123" s="528">
        <f t="shared" si="352"/>
        <v>0.41738474069973747</v>
      </c>
      <c r="BN123" s="460">
        <f t="shared" si="353"/>
        <v>417.38474069973745</v>
      </c>
      <c r="BO123" s="528">
        <f t="shared" si="354"/>
        <v>0.90999999999999992</v>
      </c>
      <c r="BR123" s="460">
        <f t="shared" si="355"/>
        <v>909.99999999999989</v>
      </c>
      <c r="BS123" s="528">
        <f t="shared" si="356"/>
        <v>0.2155619036371155</v>
      </c>
      <c r="BT123" s="528">
        <f t="shared" si="357"/>
        <v>0.78443809636288464</v>
      </c>
      <c r="BU123" s="528">
        <f t="shared" si="358"/>
        <v>0.10414521517962472</v>
      </c>
      <c r="BV123" s="528"/>
      <c r="BW123" s="528">
        <f t="shared" si="359"/>
        <v>3.3687418117959553E-3</v>
      </c>
      <c r="BX123" s="460">
        <f t="shared" si="360"/>
        <v>1107.5139569914209</v>
      </c>
      <c r="BY123" s="173">
        <f t="shared" si="361"/>
        <v>2.40607865100726</v>
      </c>
      <c r="BZ123" s="5">
        <f t="shared" si="362"/>
        <v>19.5</v>
      </c>
      <c r="CA123" s="173">
        <f t="shared" si="363"/>
        <v>0.89016388148060333</v>
      </c>
      <c r="CB123" s="5">
        <f t="shared" si="364"/>
        <v>89.016388148060329</v>
      </c>
      <c r="CE123" s="562">
        <f t="shared" si="365"/>
        <v>-50</v>
      </c>
      <c r="CF123">
        <f t="shared" si="366"/>
        <v>-50</v>
      </c>
      <c r="CG123" s="173">
        <f t="shared" si="367"/>
        <v>0.26344385866189157</v>
      </c>
      <c r="CI123" s="170">
        <v>13</v>
      </c>
      <c r="CJ123" s="217">
        <f t="shared" si="428"/>
        <v>1.3</v>
      </c>
      <c r="CK123" s="217"/>
      <c r="CL123" s="217">
        <f t="shared" si="368"/>
        <v>19.5</v>
      </c>
      <c r="CM123" s="541">
        <f t="shared" si="369"/>
        <v>19</v>
      </c>
      <c r="CN123" s="443">
        <f t="shared" si="370"/>
        <v>15.4</v>
      </c>
      <c r="CO123" s="443">
        <f t="shared" si="371"/>
        <v>34.4</v>
      </c>
      <c r="CP123" s="443"/>
      <c r="CQ123" s="217">
        <f t="shared" si="372"/>
        <v>0.44767441860465118</v>
      </c>
      <c r="CR123" s="172">
        <f t="shared" si="429"/>
        <v>212.84736191860466</v>
      </c>
      <c r="CS123" s="172">
        <f t="shared" si="373"/>
        <v>19.5</v>
      </c>
      <c r="CT123" s="217">
        <f t="shared" si="374"/>
        <v>14.189824127906977</v>
      </c>
      <c r="CU123" s="217">
        <f t="shared" si="375"/>
        <v>15</v>
      </c>
      <c r="CV123" s="217"/>
      <c r="CW123" s="172">
        <f t="shared" si="376"/>
        <v>346.40652962022199</v>
      </c>
      <c r="CX123" s="172">
        <f t="shared" si="377"/>
        <v>15</v>
      </c>
      <c r="CY123" s="217">
        <f t="shared" si="378"/>
        <v>4.5850991114149009</v>
      </c>
      <c r="CZ123" s="217">
        <f t="shared" si="379"/>
        <v>2.8958520703673063</v>
      </c>
      <c r="DA123" s="217">
        <f t="shared" si="380"/>
        <v>3.5728045024012216</v>
      </c>
      <c r="DB123" s="197">
        <f t="shared" si="381"/>
        <v>70.881782945736433</v>
      </c>
      <c r="DC123" s="443">
        <f t="shared" si="382"/>
        <v>154.59160472512281</v>
      </c>
      <c r="DE123" s="217">
        <f t="shared" si="383"/>
        <v>10.000000000000002</v>
      </c>
      <c r="DF123" s="173">
        <f t="shared" si="384"/>
        <v>7.792207792207793</v>
      </c>
      <c r="DG123" s="173">
        <f t="shared" si="385"/>
        <v>2.7616279069767451</v>
      </c>
      <c r="DH123" s="173"/>
      <c r="DI123" s="173">
        <f t="shared" si="386"/>
        <v>7.7922077922077913</v>
      </c>
      <c r="DJ123" s="545">
        <f t="shared" si="387"/>
        <v>33.366666666666674</v>
      </c>
      <c r="DK123" s="528">
        <f t="shared" si="388"/>
        <v>2.7616279069767442</v>
      </c>
      <c r="DM123" s="173">
        <f t="shared" si="389"/>
        <v>3.0876096471758432</v>
      </c>
      <c r="DN123" s="173">
        <f t="shared" si="390"/>
        <v>10</v>
      </c>
      <c r="DO123" s="173">
        <f t="shared" si="391"/>
        <v>1.0190666666666666</v>
      </c>
      <c r="DQ123" s="545">
        <f t="shared" si="392"/>
        <v>1300</v>
      </c>
      <c r="DR123" s="460">
        <f t="shared" si="393"/>
        <v>33.366666666666674</v>
      </c>
      <c r="DT123">
        <f t="shared" si="430"/>
        <v>1300</v>
      </c>
      <c r="DU123">
        <f t="shared" si="431"/>
        <v>33.366666666666674</v>
      </c>
      <c r="DW123" s="5">
        <f t="shared" si="394"/>
        <v>29.970029970029966</v>
      </c>
      <c r="DX123" s="5">
        <f t="shared" si="395"/>
        <v>6.3157894736842106</v>
      </c>
      <c r="DY123" s="5">
        <f t="shared" si="396"/>
        <v>23.654240496345757</v>
      </c>
      <c r="DZ123" s="5"/>
      <c r="EA123" s="173">
        <f t="shared" si="397"/>
        <v>0.21073684210526319</v>
      </c>
      <c r="EB123" s="173">
        <f t="shared" si="398"/>
        <v>20.020000000000007</v>
      </c>
      <c r="EC123" s="173">
        <f t="shared" si="399"/>
        <v>3.946315789473684</v>
      </c>
      <c r="ED123" s="173">
        <f t="shared" si="400"/>
        <v>5.0730861563083511</v>
      </c>
      <c r="EE123" s="460">
        <f t="shared" si="401"/>
        <v>54.736842105263158</v>
      </c>
      <c r="EF123" s="5">
        <f t="shared" si="402"/>
        <v>6.7435334748354139</v>
      </c>
      <c r="EH123" s="173">
        <f t="shared" si="403"/>
        <v>2.6503889155195273</v>
      </c>
      <c r="EI123" s="173">
        <f t="shared" si="404"/>
        <v>5.1292077292525953</v>
      </c>
      <c r="EK123" s="528">
        <f t="shared" si="405"/>
        <v>0.14049122807017553</v>
      </c>
      <c r="EL123" s="528">
        <f t="shared" si="406"/>
        <v>0.22956266666666672</v>
      </c>
      <c r="EM123" s="528">
        <f t="shared" si="407"/>
        <v>4.1708333333333346E-3</v>
      </c>
      <c r="EN123" s="528">
        <f t="shared" si="408"/>
        <v>3.9484778666666678E-3</v>
      </c>
      <c r="EO123">
        <f t="shared" si="409"/>
        <v>8.5500000000000003E-3</v>
      </c>
      <c r="EP123" s="460">
        <f t="shared" si="410"/>
        <v>12.720833333333333</v>
      </c>
      <c r="EQ123" s="460"/>
      <c r="ER123" s="460">
        <f t="shared" si="432"/>
        <v>386.72320593684231</v>
      </c>
      <c r="ES123" s="528">
        <f t="shared" si="411"/>
        <v>0.90999999999999992</v>
      </c>
      <c r="EV123" s="460">
        <f t="shared" si="412"/>
        <v>909.99999999999989</v>
      </c>
      <c r="EW123" s="528">
        <f t="shared" si="413"/>
        <v>0.21073684210526328</v>
      </c>
      <c r="EX123" s="528">
        <f t="shared" si="414"/>
        <v>0.789263157894737</v>
      </c>
      <c r="EY123" s="528">
        <f t="shared" si="415"/>
        <v>0.10168386871293837</v>
      </c>
      <c r="EZ123" s="528"/>
      <c r="FA123" s="528">
        <f t="shared" si="416"/>
        <v>3.3366666666666675E-3</v>
      </c>
      <c r="FB123" s="460">
        <f t="shared" si="417"/>
        <v>1105.0205353796055</v>
      </c>
      <c r="FC123" s="173">
        <f t="shared" si="418"/>
        <v>2.401743741316448</v>
      </c>
      <c r="FD123" s="5">
        <f t="shared" si="419"/>
        <v>19.5</v>
      </c>
      <c r="FE123" s="173">
        <f t="shared" si="420"/>
        <v>0.89034006745382155</v>
      </c>
      <c r="FF123" s="5">
        <f t="shared" si="421"/>
        <v>89.034006745382158</v>
      </c>
      <c r="FI123" s="562">
        <f t="shared" si="422"/>
        <v>-50</v>
      </c>
      <c r="FJ123">
        <f t="shared" si="423"/>
        <v>-50</v>
      </c>
      <c r="FL123">
        <f t="shared" si="424"/>
        <v>0.26</v>
      </c>
    </row>
    <row r="124" spans="5:168">
      <c r="E124" s="170">
        <v>14</v>
      </c>
      <c r="F124" s="217">
        <f t="shared" si="425"/>
        <v>1.4000000000000001</v>
      </c>
      <c r="G124" s="217"/>
      <c r="H124" s="217">
        <f t="shared" si="315"/>
        <v>21.000000000000004</v>
      </c>
      <c r="I124" s="541">
        <f t="shared" si="316"/>
        <v>18.753268114390085</v>
      </c>
      <c r="J124" s="172">
        <f t="shared" si="317"/>
        <v>15.548039131365949</v>
      </c>
      <c r="K124" s="172">
        <f t="shared" si="318"/>
        <v>34.301307245756036</v>
      </c>
      <c r="L124" s="443"/>
      <c r="M124" s="217">
        <f t="shared" si="319"/>
        <v>0.45330957820537332</v>
      </c>
      <c r="N124" s="172">
        <f t="shared" si="426"/>
        <v>212.72780107906019</v>
      </c>
      <c r="O124" s="172">
        <f t="shared" si="284"/>
        <v>21.000000000000004</v>
      </c>
      <c r="P124" s="217">
        <f t="shared" si="320"/>
        <v>14.18185340527068</v>
      </c>
      <c r="Q124" s="217">
        <f t="shared" si="321"/>
        <v>15</v>
      </c>
      <c r="R124" s="217"/>
      <c r="S124" s="172">
        <f t="shared" si="322"/>
        <v>316.15021669552374</v>
      </c>
      <c r="T124" s="172">
        <f t="shared" si="323"/>
        <v>15</v>
      </c>
      <c r="U124" s="217">
        <f t="shared" si="324"/>
        <v>5.1217286573421372</v>
      </c>
      <c r="V124" s="217">
        <f t="shared" si="325"/>
        <v>3.2773351030450275</v>
      </c>
      <c r="W124" s="217">
        <f t="shared" si="326"/>
        <v>3.9529578854813514</v>
      </c>
      <c r="X124" s="197">
        <f t="shared" si="327"/>
        <v>70.83708316481389</v>
      </c>
      <c r="Y124" s="443">
        <f t="shared" si="328"/>
        <v>134.58419493607695</v>
      </c>
      <c r="AA124" s="217">
        <f t="shared" si="329"/>
        <v>10</v>
      </c>
      <c r="AB124" s="173">
        <f t="shared" si="330"/>
        <v>7.7180150491078416</v>
      </c>
      <c r="AC124" s="173">
        <f t="shared" si="331"/>
        <v>2.7336083695046867</v>
      </c>
      <c r="AD124" s="173"/>
      <c r="AE124" s="173">
        <f t="shared" si="332"/>
        <v>7.7180150491078416</v>
      </c>
      <c r="AF124" s="545">
        <f t="shared" si="333"/>
        <v>36.278757973187211</v>
      </c>
      <c r="AG124" s="528">
        <f t="shared" si="334"/>
        <v>2.7336083695046871</v>
      </c>
      <c r="AI124" s="173">
        <f t="shared" si="335"/>
        <v>3.2195278257705171</v>
      </c>
      <c r="AJ124" s="173">
        <f t="shared" si="336"/>
        <v>10</v>
      </c>
      <c r="AK124" s="173">
        <f t="shared" si="337"/>
        <v>1.0207307188418213</v>
      </c>
      <c r="AM124" s="545">
        <f t="shared" si="338"/>
        <v>1400.0000000000002</v>
      </c>
      <c r="AN124" s="460">
        <f t="shared" si="339"/>
        <v>36.278757973187211</v>
      </c>
      <c r="AP124" s="460">
        <f t="shared" si="340"/>
        <v>1400.0000000000002</v>
      </c>
      <c r="AQ124" s="460">
        <f t="shared" si="341"/>
        <v>36.278757973187211</v>
      </c>
      <c r="AS124" s="5">
        <f t="shared" si="285"/>
        <v>27.564339461099433</v>
      </c>
      <c r="AT124" s="5">
        <f t="shared" si="342"/>
        <v>6.3988846780215072</v>
      </c>
      <c r="AU124" s="5">
        <f t="shared" si="343"/>
        <v>21.165454783077926</v>
      </c>
      <c r="AV124" s="5"/>
      <c r="AW124" s="173">
        <f t="shared" si="344"/>
        <v>0.23214358853227826</v>
      </c>
      <c r="AX124" s="173">
        <f t="shared" si="214"/>
        <v>21.767254783912328</v>
      </c>
      <c r="AY124" s="173">
        <f t="shared" si="215"/>
        <v>3.8392820573386088</v>
      </c>
      <c r="AZ124" s="173">
        <f t="shared" si="288"/>
        <v>5.6696159487176088</v>
      </c>
      <c r="BA124" s="460">
        <f t="shared" si="433"/>
        <v>59.722923661534075</v>
      </c>
      <c r="BB124" s="5">
        <f t="shared" si="434"/>
        <v>6.5836606264136162</v>
      </c>
      <c r="BD124" s="173">
        <f t="shared" si="289"/>
        <v>2.7817475833983583</v>
      </c>
      <c r="BE124" s="173">
        <f t="shared" si="218"/>
        <v>5.0591712479012525</v>
      </c>
      <c r="BG124" s="528">
        <f t="shared" si="347"/>
        <v>0.15476239235485212</v>
      </c>
      <c r="BH124" s="528">
        <f t="shared" si="348"/>
        <v>0.23332665444988429</v>
      </c>
      <c r="BI124" s="528">
        <f t="shared" si="349"/>
        <v>1.7008631878206167E-2</v>
      </c>
      <c r="BJ124" s="528">
        <f t="shared" si="350"/>
        <v>4.2684849402185761E-3</v>
      </c>
      <c r="BK124">
        <f t="shared" si="351"/>
        <v>8.4389706514755389E-3</v>
      </c>
      <c r="BL124" s="460">
        <f t="shared" si="427"/>
        <v>25.447602529681706</v>
      </c>
      <c r="BM124" s="528">
        <f t="shared" si="352"/>
        <v>0.4507169354968158</v>
      </c>
      <c r="BN124" s="460">
        <f t="shared" si="353"/>
        <v>450.71693549681578</v>
      </c>
      <c r="BO124" s="528">
        <f t="shared" si="354"/>
        <v>0.98</v>
      </c>
      <c r="BR124" s="460">
        <f t="shared" si="355"/>
        <v>980</v>
      </c>
      <c r="BS124" s="528">
        <f t="shared" si="356"/>
        <v>0.23214358853227815</v>
      </c>
      <c r="BT124" s="528">
        <f t="shared" si="357"/>
        <v>0.76785641146772143</v>
      </c>
      <c r="BU124" s="528">
        <f t="shared" si="358"/>
        <v>0.12534327274697807</v>
      </c>
      <c r="BV124" s="528"/>
      <c r="BW124" s="528">
        <f t="shared" si="359"/>
        <v>3.6278757973187215E-3</v>
      </c>
      <c r="BX124" s="460">
        <f t="shared" si="360"/>
        <v>1128.9711485442963</v>
      </c>
      <c r="BY124" s="173">
        <f t="shared" si="361"/>
        <v>2.5267762828189331</v>
      </c>
      <c r="BZ124" s="5">
        <f t="shared" si="362"/>
        <v>21.000000000000004</v>
      </c>
      <c r="CA124" s="173">
        <f t="shared" si="363"/>
        <v>0.89259997832069415</v>
      </c>
      <c r="CB124" s="5">
        <f t="shared" si="364"/>
        <v>89.259997832069416</v>
      </c>
      <c r="CE124" s="562">
        <f t="shared" si="365"/>
        <v>-50</v>
      </c>
      <c r="CF124">
        <f t="shared" si="366"/>
        <v>-50</v>
      </c>
      <c r="CG124" s="173">
        <f t="shared" si="367"/>
        <v>0.28370877086665242</v>
      </c>
      <c r="CI124" s="170">
        <v>14</v>
      </c>
      <c r="CJ124" s="217">
        <f t="shared" si="428"/>
        <v>1.4000000000000001</v>
      </c>
      <c r="CK124" s="217"/>
      <c r="CL124" s="217">
        <f t="shared" si="368"/>
        <v>21.000000000000004</v>
      </c>
      <c r="CM124" s="541">
        <f t="shared" si="369"/>
        <v>19</v>
      </c>
      <c r="CN124" s="443">
        <f t="shared" si="370"/>
        <v>15.4</v>
      </c>
      <c r="CO124" s="443">
        <f t="shared" si="371"/>
        <v>34.4</v>
      </c>
      <c r="CP124" s="443"/>
      <c r="CQ124" s="217">
        <f t="shared" si="372"/>
        <v>0.44767441860465118</v>
      </c>
      <c r="CR124" s="172">
        <f t="shared" si="429"/>
        <v>212.84736191860466</v>
      </c>
      <c r="CS124" s="172">
        <f t="shared" si="373"/>
        <v>21.000000000000004</v>
      </c>
      <c r="CT124" s="217">
        <f t="shared" si="374"/>
        <v>14.189824127906977</v>
      </c>
      <c r="CU124" s="217">
        <f t="shared" si="375"/>
        <v>15</v>
      </c>
      <c r="CV124" s="217"/>
      <c r="CW124" s="172">
        <f t="shared" si="376"/>
        <v>320.30941175052675</v>
      </c>
      <c r="CX124" s="172">
        <f t="shared" si="377"/>
        <v>15</v>
      </c>
      <c r="CY124" s="217">
        <f t="shared" si="378"/>
        <v>4.9377990430622019</v>
      </c>
      <c r="CZ124" s="217">
        <f t="shared" si="379"/>
        <v>3.1186099219340218</v>
      </c>
      <c r="DA124" s="217">
        <f t="shared" si="380"/>
        <v>3.8476356179705467</v>
      </c>
      <c r="DB124" s="197">
        <f t="shared" si="381"/>
        <v>70.881782945736433</v>
      </c>
      <c r="DC124" s="443">
        <f t="shared" si="382"/>
        <v>143.54934724475694</v>
      </c>
      <c r="DE124" s="217">
        <f t="shared" si="383"/>
        <v>10.000000000000002</v>
      </c>
      <c r="DF124" s="173">
        <f t="shared" si="384"/>
        <v>7.792207792207793</v>
      </c>
      <c r="DG124" s="173">
        <f t="shared" si="385"/>
        <v>2.7616279069767451</v>
      </c>
      <c r="DH124" s="173"/>
      <c r="DI124" s="173">
        <f t="shared" si="386"/>
        <v>7.7922077922077913</v>
      </c>
      <c r="DJ124" s="545">
        <f t="shared" si="387"/>
        <v>35.933333333333337</v>
      </c>
      <c r="DK124" s="528">
        <f t="shared" si="388"/>
        <v>2.7616279069767442</v>
      </c>
      <c r="DM124" s="173">
        <f t="shared" si="389"/>
        <v>3.2041639575194445</v>
      </c>
      <c r="DN124" s="173">
        <f t="shared" si="390"/>
        <v>10</v>
      </c>
      <c r="DO124" s="173">
        <f t="shared" si="391"/>
        <v>1.0205333333333333</v>
      </c>
      <c r="DQ124" s="545">
        <f t="shared" si="392"/>
        <v>1400.0000000000002</v>
      </c>
      <c r="DR124" s="460">
        <f t="shared" si="393"/>
        <v>35.933333333333337</v>
      </c>
      <c r="DT124">
        <f t="shared" si="430"/>
        <v>1400.0000000000002</v>
      </c>
      <c r="DU124">
        <f t="shared" si="431"/>
        <v>35.933333333333337</v>
      </c>
      <c r="DW124" s="5">
        <f t="shared" si="394"/>
        <v>27.829313543599255</v>
      </c>
      <c r="DX124" s="5">
        <f t="shared" si="395"/>
        <v>6.3157894736842106</v>
      </c>
      <c r="DY124" s="5">
        <f t="shared" si="396"/>
        <v>21.513524069915043</v>
      </c>
      <c r="DZ124" s="5"/>
      <c r="EA124" s="173">
        <f t="shared" si="397"/>
        <v>0.22694736842105265</v>
      </c>
      <c r="EB124" s="173">
        <f t="shared" si="398"/>
        <v>21.560000000000002</v>
      </c>
      <c r="EC124" s="173">
        <f t="shared" si="399"/>
        <v>3.8652631578947365</v>
      </c>
      <c r="ED124" s="173">
        <f t="shared" si="400"/>
        <v>5.5778867102396523</v>
      </c>
      <c r="EE124" s="460">
        <f t="shared" si="401"/>
        <v>58.947368421052637</v>
      </c>
      <c r="EF124" s="5">
        <f t="shared" si="402"/>
        <v>6.6050293197107592</v>
      </c>
      <c r="EH124" s="173">
        <f t="shared" si="403"/>
        <v>2.7504385615210087</v>
      </c>
      <c r="EI124" s="173">
        <f t="shared" si="404"/>
        <v>5.0762605382930825</v>
      </c>
      <c r="EK124" s="528">
        <f t="shared" si="405"/>
        <v>0.15129824561403513</v>
      </c>
      <c r="EL124" s="528">
        <f t="shared" si="406"/>
        <v>0.24722133333333338</v>
      </c>
      <c r="EM124" s="528">
        <f t="shared" si="407"/>
        <v>4.4916666666666672E-3</v>
      </c>
      <c r="EN124" s="528">
        <f t="shared" si="408"/>
        <v>4.2522069333333339E-3</v>
      </c>
      <c r="EO124">
        <f t="shared" si="409"/>
        <v>8.5500000000000003E-3</v>
      </c>
      <c r="EP124" s="460">
        <f t="shared" si="410"/>
        <v>13.041666666666666</v>
      </c>
      <c r="EQ124" s="460"/>
      <c r="ER124" s="460">
        <f t="shared" si="432"/>
        <v>415.81345254736851</v>
      </c>
      <c r="ES124" s="528">
        <f t="shared" si="411"/>
        <v>0.98</v>
      </c>
      <c r="EV124" s="460">
        <f t="shared" si="412"/>
        <v>980</v>
      </c>
      <c r="EW124" s="528">
        <f t="shared" si="413"/>
        <v>0.22694736842105268</v>
      </c>
      <c r="EX124" s="528">
        <f t="shared" si="414"/>
        <v>0.77305263157894732</v>
      </c>
      <c r="EY124" s="528">
        <f t="shared" si="415"/>
        <v>0.12238093577387191</v>
      </c>
      <c r="EZ124" s="528"/>
      <c r="FA124" s="528">
        <f t="shared" si="416"/>
        <v>3.5933333333333342E-3</v>
      </c>
      <c r="FB124" s="460">
        <f t="shared" si="417"/>
        <v>1125.9742691072051</v>
      </c>
      <c r="FC124" s="173">
        <f t="shared" si="418"/>
        <v>2.5217877216545737</v>
      </c>
      <c r="FD124" s="5">
        <f t="shared" si="419"/>
        <v>21.000000000000004</v>
      </c>
      <c r="FE124" s="173">
        <f t="shared" si="420"/>
        <v>0.8927892832170673</v>
      </c>
      <c r="FF124" s="5">
        <f t="shared" si="421"/>
        <v>89.278928321706729</v>
      </c>
      <c r="FI124" s="562">
        <f t="shared" si="422"/>
        <v>-50</v>
      </c>
      <c r="FJ124">
        <f t="shared" si="423"/>
        <v>-50</v>
      </c>
      <c r="FL124">
        <f t="shared" si="424"/>
        <v>0.28000000000000003</v>
      </c>
    </row>
    <row r="125" spans="5:168">
      <c r="E125" s="170">
        <v>15</v>
      </c>
      <c r="F125" s="217">
        <f t="shared" si="425"/>
        <v>1.5</v>
      </c>
      <c r="G125" s="217"/>
      <c r="H125" s="217">
        <f t="shared" si="315"/>
        <v>22.5</v>
      </c>
      <c r="I125" s="541">
        <f t="shared" si="316"/>
        <v>18.753268114390085</v>
      </c>
      <c r="J125" s="172">
        <f t="shared" si="317"/>
        <v>15.548039131365949</v>
      </c>
      <c r="K125" s="172">
        <f t="shared" si="318"/>
        <v>34.301307245756036</v>
      </c>
      <c r="L125" s="443"/>
      <c r="M125" s="217">
        <f t="shared" si="319"/>
        <v>0.45330957820537332</v>
      </c>
      <c r="N125" s="172">
        <f t="shared" si="426"/>
        <v>212.72780107906019</v>
      </c>
      <c r="O125" s="172">
        <f t="shared" si="284"/>
        <v>22.5</v>
      </c>
      <c r="P125" s="217">
        <f t="shared" si="320"/>
        <v>14.18185340527068</v>
      </c>
      <c r="Q125" s="217">
        <f t="shared" si="321"/>
        <v>15</v>
      </c>
      <c r="R125" s="217"/>
      <c r="S125" s="172">
        <f t="shared" si="322"/>
        <v>293.82669545077482</v>
      </c>
      <c r="T125" s="172">
        <f t="shared" si="323"/>
        <v>15</v>
      </c>
      <c r="U125" s="217">
        <f t="shared" si="324"/>
        <v>5.4875664185808608</v>
      </c>
      <c r="V125" s="217">
        <f t="shared" si="325"/>
        <v>3.5114304675482426</v>
      </c>
      <c r="W125" s="217">
        <f t="shared" si="326"/>
        <v>4.2353120201585899</v>
      </c>
      <c r="X125" s="197">
        <f t="shared" si="327"/>
        <v>70.83708316481389</v>
      </c>
      <c r="Y125" s="443">
        <f t="shared" si="328"/>
        <v>125.8377255267733</v>
      </c>
      <c r="AA125" s="217">
        <f t="shared" si="329"/>
        <v>10</v>
      </c>
      <c r="AB125" s="173">
        <f t="shared" si="330"/>
        <v>7.7180150491078416</v>
      </c>
      <c r="AC125" s="173">
        <f t="shared" si="331"/>
        <v>2.7336083695046867</v>
      </c>
      <c r="AD125" s="173"/>
      <c r="AE125" s="173">
        <f t="shared" si="332"/>
        <v>7.7180150491078416</v>
      </c>
      <c r="AF125" s="545">
        <f t="shared" si="333"/>
        <v>38.870097828414863</v>
      </c>
      <c r="AG125" s="528">
        <f t="shared" si="334"/>
        <v>2.7336083695046871</v>
      </c>
      <c r="AI125" s="173">
        <f t="shared" si="335"/>
        <v>3.332527904862908</v>
      </c>
      <c r="AJ125" s="173">
        <f t="shared" si="336"/>
        <v>10</v>
      </c>
      <c r="AK125" s="173">
        <f t="shared" si="337"/>
        <v>1.0222114844733798</v>
      </c>
      <c r="AM125" s="545">
        <f t="shared" si="338"/>
        <v>1500</v>
      </c>
      <c r="AN125" s="460">
        <f t="shared" si="339"/>
        <v>38.870097828414863</v>
      </c>
      <c r="AP125" s="460">
        <f t="shared" si="340"/>
        <v>1500</v>
      </c>
      <c r="AQ125" s="460">
        <f t="shared" si="341"/>
        <v>38.870097828414863</v>
      </c>
      <c r="AS125" s="5">
        <f t="shared" si="285"/>
        <v>25.726716830359475</v>
      </c>
      <c r="AT125" s="5">
        <f t="shared" si="342"/>
        <v>6.3988846780215072</v>
      </c>
      <c r="AU125" s="5">
        <f t="shared" si="343"/>
        <v>19.327832152337969</v>
      </c>
      <c r="AV125" s="5"/>
      <c r="AW125" s="173">
        <f t="shared" si="344"/>
        <v>0.24872527342744094</v>
      </c>
      <c r="AX125" s="173">
        <f t="shared" si="214"/>
        <v>23.32205869704892</v>
      </c>
      <c r="AY125" s="173">
        <f t="shared" si="215"/>
        <v>3.756373632862795</v>
      </c>
      <c r="AZ125" s="173">
        <f t="shared" si="288"/>
        <v>6.2086631886175789</v>
      </c>
      <c r="BA125" s="460">
        <f t="shared" si="433"/>
        <v>63.988846780215077</v>
      </c>
      <c r="BB125" s="5">
        <f t="shared" si="434"/>
        <v>6.4414879697378584</v>
      </c>
      <c r="BD125" s="173">
        <f t="shared" si="289"/>
        <v>2.8793823031305452</v>
      </c>
      <c r="BE125" s="173">
        <f t="shared" si="218"/>
        <v>5.0042472846325214</v>
      </c>
      <c r="BG125" s="528">
        <f t="shared" si="347"/>
        <v>0.16581684895162727</v>
      </c>
      <c r="BH125" s="528">
        <f t="shared" si="348"/>
        <v>0.24999284405344735</v>
      </c>
      <c r="BI125" s="528">
        <f t="shared" si="349"/>
        <v>1.8223534155220895E-2</v>
      </c>
      <c r="BJ125" s="528">
        <f t="shared" si="350"/>
        <v>4.5733767216627587E-3</v>
      </c>
      <c r="BK125">
        <f t="shared" si="351"/>
        <v>8.4389706514755389E-3</v>
      </c>
      <c r="BL125" s="460">
        <f t="shared" si="427"/>
        <v>26.662504806696436</v>
      </c>
      <c r="BM125" s="528">
        <f t="shared" si="352"/>
        <v>0.48423140831003308</v>
      </c>
      <c r="BN125" s="460">
        <f t="shared" si="353"/>
        <v>484.23140831003309</v>
      </c>
      <c r="BO125" s="528">
        <f t="shared" si="354"/>
        <v>1.0499999999999998</v>
      </c>
      <c r="BR125" s="460">
        <f t="shared" si="355"/>
        <v>1049.9999999999998</v>
      </c>
      <c r="BS125" s="528">
        <f t="shared" si="356"/>
        <v>0.24872527342744088</v>
      </c>
      <c r="BT125" s="528">
        <f t="shared" si="357"/>
        <v>0.75127472657255889</v>
      </c>
      <c r="BU125" s="528">
        <f t="shared" si="358"/>
        <v>0.14893922459722625</v>
      </c>
      <c r="BV125" s="528"/>
      <c r="BW125" s="528">
        <f t="shared" si="359"/>
        <v>3.8870097828414868E-3</v>
      </c>
      <c r="BX125" s="460">
        <f t="shared" si="360"/>
        <v>1152.8262343800675</v>
      </c>
      <c r="BY125" s="173">
        <f t="shared" si="361"/>
        <v>2.6498718089135012</v>
      </c>
      <c r="BZ125" s="5">
        <f t="shared" si="362"/>
        <v>22.5</v>
      </c>
      <c r="CA125" s="173">
        <f t="shared" si="363"/>
        <v>0.89463676677769999</v>
      </c>
      <c r="CB125" s="5">
        <f t="shared" si="364"/>
        <v>89.463676677769996</v>
      </c>
      <c r="CE125" s="562">
        <f t="shared" si="365"/>
        <v>-50</v>
      </c>
      <c r="CF125">
        <f t="shared" si="366"/>
        <v>-50</v>
      </c>
      <c r="CG125" s="173">
        <f t="shared" si="367"/>
        <v>0.30397368307141331</v>
      </c>
      <c r="CI125" s="170">
        <v>15</v>
      </c>
      <c r="CJ125" s="217">
        <f t="shared" si="428"/>
        <v>1.5</v>
      </c>
      <c r="CK125" s="217"/>
      <c r="CL125" s="217">
        <f t="shared" si="368"/>
        <v>22.5</v>
      </c>
      <c r="CM125" s="541">
        <f t="shared" si="369"/>
        <v>19</v>
      </c>
      <c r="CN125" s="443">
        <f t="shared" si="370"/>
        <v>15.4</v>
      </c>
      <c r="CO125" s="443">
        <f t="shared" si="371"/>
        <v>34.4</v>
      </c>
      <c r="CP125" s="443"/>
      <c r="CQ125" s="217">
        <f t="shared" si="372"/>
        <v>0.44767441860465118</v>
      </c>
      <c r="CR125" s="172">
        <f t="shared" si="429"/>
        <v>212.84736191860466</v>
      </c>
      <c r="CS125" s="172">
        <f t="shared" si="373"/>
        <v>22.5</v>
      </c>
      <c r="CT125" s="217">
        <f t="shared" si="374"/>
        <v>14.189824127906977</v>
      </c>
      <c r="CU125" s="217">
        <f t="shared" si="375"/>
        <v>15</v>
      </c>
      <c r="CV125" s="217"/>
      <c r="CW125" s="172">
        <f t="shared" si="376"/>
        <v>297.6921621374147</v>
      </c>
      <c r="CX125" s="172">
        <f t="shared" si="377"/>
        <v>15</v>
      </c>
      <c r="CY125" s="217">
        <f t="shared" si="378"/>
        <v>5.290498974709501</v>
      </c>
      <c r="CZ125" s="217">
        <f t="shared" si="379"/>
        <v>3.3413677735007377</v>
      </c>
      <c r="DA125" s="217">
        <f t="shared" si="380"/>
        <v>4.1224667335398708</v>
      </c>
      <c r="DB125" s="197">
        <f t="shared" si="381"/>
        <v>70.881782945736433</v>
      </c>
      <c r="DC125" s="443">
        <f t="shared" si="382"/>
        <v>133.97939076177312</v>
      </c>
      <c r="DE125" s="217">
        <f t="shared" si="383"/>
        <v>10.000000000000002</v>
      </c>
      <c r="DF125" s="173">
        <f t="shared" si="384"/>
        <v>7.792207792207793</v>
      </c>
      <c r="DG125" s="173">
        <f t="shared" si="385"/>
        <v>2.7616279069767451</v>
      </c>
      <c r="DH125" s="173"/>
      <c r="DI125" s="173">
        <f t="shared" si="386"/>
        <v>7.7922077922077913</v>
      </c>
      <c r="DJ125" s="545">
        <f t="shared" si="387"/>
        <v>38.5</v>
      </c>
      <c r="DK125" s="528">
        <f t="shared" si="388"/>
        <v>2.7616279069767442</v>
      </c>
      <c r="DM125" s="173">
        <f t="shared" si="389"/>
        <v>3.3166247903553998</v>
      </c>
      <c r="DN125" s="173">
        <f t="shared" si="390"/>
        <v>10</v>
      </c>
      <c r="DO125" s="173">
        <f t="shared" si="391"/>
        <v>1.022</v>
      </c>
      <c r="DQ125" s="545">
        <f t="shared" si="392"/>
        <v>1500</v>
      </c>
      <c r="DR125" s="460">
        <f t="shared" si="393"/>
        <v>38.5</v>
      </c>
      <c r="DT125">
        <f t="shared" si="430"/>
        <v>1500</v>
      </c>
      <c r="DU125">
        <f t="shared" si="431"/>
        <v>38.5</v>
      </c>
      <c r="DW125" s="5">
        <f t="shared" si="394"/>
        <v>25.974025974025977</v>
      </c>
      <c r="DX125" s="5">
        <f t="shared" si="395"/>
        <v>6.3157894736842106</v>
      </c>
      <c r="DY125" s="5">
        <f t="shared" si="396"/>
        <v>19.658236500341765</v>
      </c>
      <c r="DZ125" s="5"/>
      <c r="EA125" s="173">
        <f t="shared" si="397"/>
        <v>0.24315789473684207</v>
      </c>
      <c r="EB125" s="173">
        <f t="shared" si="398"/>
        <v>23.1</v>
      </c>
      <c r="EC125" s="173">
        <f t="shared" si="399"/>
        <v>3.7842105263157899</v>
      </c>
      <c r="ED125" s="173">
        <f t="shared" si="400"/>
        <v>6.104311543810848</v>
      </c>
      <c r="EE125" s="460">
        <f t="shared" si="401"/>
        <v>63.157894736842096</v>
      </c>
      <c r="EF125" s="5">
        <f t="shared" si="402"/>
        <v>6.4665251645861064</v>
      </c>
      <c r="EH125" s="173">
        <f t="shared" si="403"/>
        <v>2.8469743865891624</v>
      </c>
      <c r="EI125" s="173">
        <f t="shared" si="404"/>
        <v>5.0227552374606708</v>
      </c>
      <c r="EK125" s="528">
        <f t="shared" si="405"/>
        <v>0.16210526315789475</v>
      </c>
      <c r="EL125" s="528">
        <f t="shared" si="406"/>
        <v>0.26488</v>
      </c>
      <c r="EM125" s="528">
        <f t="shared" si="407"/>
        <v>4.8124999999999999E-3</v>
      </c>
      <c r="EN125" s="528">
        <f t="shared" si="408"/>
        <v>4.555936E-3</v>
      </c>
      <c r="EO125">
        <f t="shared" si="409"/>
        <v>8.5500000000000003E-3</v>
      </c>
      <c r="EP125" s="460">
        <f t="shared" si="410"/>
        <v>13.362499999999999</v>
      </c>
      <c r="EQ125" s="460"/>
      <c r="ER125" s="460">
        <f t="shared" si="432"/>
        <v>444.90369915789472</v>
      </c>
      <c r="ES125" s="528">
        <f t="shared" si="411"/>
        <v>1.0499999999999998</v>
      </c>
      <c r="EV125" s="460">
        <f t="shared" si="412"/>
        <v>1049.9999999999998</v>
      </c>
      <c r="EW125" s="528">
        <f t="shared" si="413"/>
        <v>0.24315789473684213</v>
      </c>
      <c r="EX125" s="528">
        <f t="shared" si="414"/>
        <v>0.75684210526315798</v>
      </c>
      <c r="EY125" s="528">
        <f t="shared" si="415"/>
        <v>0.14541922578037128</v>
      </c>
      <c r="EZ125" s="528"/>
      <c r="FA125" s="528">
        <f t="shared" si="416"/>
        <v>3.8500000000000006E-3</v>
      </c>
      <c r="FB125" s="460">
        <f t="shared" si="417"/>
        <v>1149.2692257803712</v>
      </c>
      <c r="FC125" s="173">
        <f t="shared" si="418"/>
        <v>2.6441729249382657</v>
      </c>
      <c r="FD125" s="5">
        <f t="shared" si="419"/>
        <v>22.5</v>
      </c>
      <c r="FE125" s="173">
        <f t="shared" si="420"/>
        <v>0.8948395346774064</v>
      </c>
      <c r="FF125" s="5">
        <f t="shared" si="421"/>
        <v>89.483953467740633</v>
      </c>
      <c r="FI125" s="562">
        <f t="shared" si="422"/>
        <v>-50</v>
      </c>
      <c r="FJ125">
        <f t="shared" si="423"/>
        <v>-50</v>
      </c>
      <c r="FL125">
        <f t="shared" si="424"/>
        <v>0.3</v>
      </c>
    </row>
    <row r="126" spans="5:168">
      <c r="E126" s="170">
        <v>16</v>
      </c>
      <c r="F126" s="217">
        <f t="shared" si="425"/>
        <v>1.6</v>
      </c>
      <c r="G126" s="217"/>
      <c r="H126" s="217">
        <f t="shared" si="315"/>
        <v>24</v>
      </c>
      <c r="I126" s="541">
        <f t="shared" si="316"/>
        <v>18.753268114390085</v>
      </c>
      <c r="J126" s="172">
        <f t="shared" si="317"/>
        <v>15.548039131365949</v>
      </c>
      <c r="K126" s="172">
        <f t="shared" si="318"/>
        <v>34.301307245756036</v>
      </c>
      <c r="L126" s="443"/>
      <c r="M126" s="217">
        <f t="shared" si="319"/>
        <v>0.45330957820537332</v>
      </c>
      <c r="N126" s="172">
        <f t="shared" si="426"/>
        <v>212.72780107906019</v>
      </c>
      <c r="O126" s="172">
        <f t="shared" si="284"/>
        <v>24</v>
      </c>
      <c r="P126" s="217">
        <f t="shared" si="320"/>
        <v>14.18185340527068</v>
      </c>
      <c r="Q126" s="217">
        <f t="shared" si="321"/>
        <v>15</v>
      </c>
      <c r="R126" s="217"/>
      <c r="S126" s="172">
        <f t="shared" si="322"/>
        <v>274.29385405456583</v>
      </c>
      <c r="T126" s="172">
        <f t="shared" si="323"/>
        <v>15</v>
      </c>
      <c r="U126" s="217">
        <f t="shared" si="324"/>
        <v>5.8534041798195844</v>
      </c>
      <c r="V126" s="217">
        <f t="shared" si="325"/>
        <v>3.7455258320514591</v>
      </c>
      <c r="W126" s="217">
        <f t="shared" si="326"/>
        <v>4.5176661548358297</v>
      </c>
      <c r="X126" s="197">
        <f t="shared" si="327"/>
        <v>70.83708316481389</v>
      </c>
      <c r="Y126" s="443">
        <f t="shared" si="328"/>
        <v>118.15872800113496</v>
      </c>
      <c r="AA126" s="217">
        <f t="shared" si="329"/>
        <v>10</v>
      </c>
      <c r="AB126" s="173">
        <f t="shared" si="330"/>
        <v>7.7180150491078416</v>
      </c>
      <c r="AC126" s="173">
        <f t="shared" si="331"/>
        <v>2.7336083695046867</v>
      </c>
      <c r="AD126" s="173"/>
      <c r="AE126" s="173">
        <f t="shared" si="332"/>
        <v>7.7180150491078416</v>
      </c>
      <c r="AF126" s="545">
        <f t="shared" si="333"/>
        <v>41.461437683642529</v>
      </c>
      <c r="AG126" s="528">
        <f t="shared" si="334"/>
        <v>2.7336083695046871</v>
      </c>
      <c r="AI126" s="173">
        <f t="shared" si="335"/>
        <v>3.4418200203481435</v>
      </c>
      <c r="AJ126" s="173">
        <f t="shared" si="336"/>
        <v>10</v>
      </c>
      <c r="AK126" s="173">
        <f t="shared" si="337"/>
        <v>1.0236922501049386</v>
      </c>
      <c r="AM126" s="545">
        <f t="shared" si="338"/>
        <v>1600</v>
      </c>
      <c r="AN126" s="460">
        <f t="shared" si="339"/>
        <v>41.461437683642529</v>
      </c>
      <c r="AP126" s="460">
        <f t="shared" si="340"/>
        <v>1600</v>
      </c>
      <c r="AQ126" s="460">
        <f t="shared" si="341"/>
        <v>41.461437683642529</v>
      </c>
      <c r="AS126" s="5">
        <f t="shared" si="285"/>
        <v>24.118797028462005</v>
      </c>
      <c r="AT126" s="5">
        <f t="shared" si="342"/>
        <v>6.3988846780215072</v>
      </c>
      <c r="AU126" s="5">
        <f t="shared" si="343"/>
        <v>17.719912350440499</v>
      </c>
      <c r="AV126" s="5"/>
      <c r="AW126" s="173">
        <f t="shared" si="344"/>
        <v>0.2653069583226037</v>
      </c>
      <c r="AX126" s="173">
        <f t="shared" si="214"/>
        <v>24.876862610185519</v>
      </c>
      <c r="AY126" s="173">
        <f t="shared" si="215"/>
        <v>3.6734652083869812</v>
      </c>
      <c r="AZ126" s="173">
        <f t="shared" si="288"/>
        <v>6.7720425263286899</v>
      </c>
      <c r="BA126" s="460">
        <f t="shared" si="433"/>
        <v>68.254769898896086</v>
      </c>
      <c r="BB126" s="5">
        <f t="shared" si="434"/>
        <v>6.2993153130620989</v>
      </c>
      <c r="BD126" s="173">
        <f t="shared" si="289"/>
        <v>2.9738132553037229</v>
      </c>
      <c r="BE126" s="173">
        <f t="shared" si="218"/>
        <v>4.9487137779339392</v>
      </c>
      <c r="BG126" s="528">
        <f t="shared" si="347"/>
        <v>0.17687130554840252</v>
      </c>
      <c r="BH126" s="528">
        <f t="shared" si="348"/>
        <v>0.2666590336570106</v>
      </c>
      <c r="BI126" s="528">
        <f t="shared" si="349"/>
        <v>1.9438436432235622E-2</v>
      </c>
      <c r="BJ126" s="528">
        <f t="shared" si="350"/>
        <v>4.878268503106944E-3</v>
      </c>
      <c r="BK126">
        <f t="shared" si="351"/>
        <v>8.4389706514755389E-3</v>
      </c>
      <c r="BL126" s="460">
        <f t="shared" si="427"/>
        <v>27.877407083711162</v>
      </c>
      <c r="BM126" s="528">
        <f t="shared" si="352"/>
        <v>0.51792965842729044</v>
      </c>
      <c r="BN126" s="460">
        <f t="shared" si="353"/>
        <v>517.92965842729041</v>
      </c>
      <c r="BO126" s="528">
        <f t="shared" si="354"/>
        <v>1.1199999999999999</v>
      </c>
      <c r="BR126" s="460">
        <f t="shared" si="355"/>
        <v>1119.9999999999998</v>
      </c>
      <c r="BS126" s="528">
        <f t="shared" si="356"/>
        <v>0.26530695832260376</v>
      </c>
      <c r="BT126" s="528">
        <f t="shared" si="357"/>
        <v>0.73469304167739602</v>
      </c>
      <c r="BU126" s="528">
        <f t="shared" si="358"/>
        <v>0.17501726688509442</v>
      </c>
      <c r="BV126" s="528"/>
      <c r="BW126" s="528">
        <f t="shared" si="359"/>
        <v>4.146143768364253E-3</v>
      </c>
      <c r="BX126" s="460">
        <f t="shared" si="360"/>
        <v>1179.1634106534586</v>
      </c>
      <c r="BY126" s="173">
        <f t="shared" si="361"/>
        <v>2.7754494254456894</v>
      </c>
      <c r="BZ126" s="5">
        <f t="shared" si="362"/>
        <v>24</v>
      </c>
      <c r="CA126" s="173">
        <f t="shared" si="363"/>
        <v>0.89634349805504743</v>
      </c>
      <c r="CB126" s="5">
        <f t="shared" si="364"/>
        <v>89.634349805504741</v>
      </c>
      <c r="CE126" s="562">
        <f t="shared" si="365"/>
        <v>-50</v>
      </c>
      <c r="CF126">
        <f t="shared" si="366"/>
        <v>-50</v>
      </c>
      <c r="CG126" s="173">
        <f t="shared" si="367"/>
        <v>0.32423859527617421</v>
      </c>
      <c r="CI126" s="170">
        <v>16</v>
      </c>
      <c r="CJ126" s="217">
        <f t="shared" si="428"/>
        <v>1.6</v>
      </c>
      <c r="CK126" s="217"/>
      <c r="CL126" s="217">
        <f t="shared" si="368"/>
        <v>24</v>
      </c>
      <c r="CM126" s="541">
        <f t="shared" si="369"/>
        <v>19</v>
      </c>
      <c r="CN126" s="443">
        <f t="shared" si="370"/>
        <v>15.4</v>
      </c>
      <c r="CO126" s="443">
        <f t="shared" si="371"/>
        <v>34.4</v>
      </c>
      <c r="CP126" s="443"/>
      <c r="CQ126" s="217">
        <f t="shared" si="372"/>
        <v>0.44767441860465118</v>
      </c>
      <c r="CR126" s="172">
        <f t="shared" si="429"/>
        <v>212.84736191860466</v>
      </c>
      <c r="CS126" s="172">
        <f t="shared" si="373"/>
        <v>24</v>
      </c>
      <c r="CT126" s="217">
        <f t="shared" si="374"/>
        <v>14.189824127906977</v>
      </c>
      <c r="CU126" s="217">
        <f t="shared" si="375"/>
        <v>15</v>
      </c>
      <c r="CV126" s="217"/>
      <c r="CW126" s="172">
        <f t="shared" si="376"/>
        <v>277.90230843320268</v>
      </c>
      <c r="CX126" s="172">
        <f t="shared" si="377"/>
        <v>15</v>
      </c>
      <c r="CY126" s="217">
        <f t="shared" si="378"/>
        <v>5.6431989063568011</v>
      </c>
      <c r="CZ126" s="217">
        <f t="shared" si="379"/>
        <v>3.5641256250674536</v>
      </c>
      <c r="DA126" s="217">
        <f t="shared" si="380"/>
        <v>4.3972978491091954</v>
      </c>
      <c r="DB126" s="197">
        <f t="shared" si="381"/>
        <v>70.881782945736433</v>
      </c>
      <c r="DC126" s="443">
        <f t="shared" si="382"/>
        <v>125.60567883916232</v>
      </c>
      <c r="DE126" s="217">
        <f t="shared" si="383"/>
        <v>10.000000000000002</v>
      </c>
      <c r="DF126" s="173">
        <f t="shared" si="384"/>
        <v>7.792207792207793</v>
      </c>
      <c r="DG126" s="173">
        <f t="shared" si="385"/>
        <v>2.7616279069767451</v>
      </c>
      <c r="DH126" s="173"/>
      <c r="DI126" s="173">
        <f t="shared" si="386"/>
        <v>7.7922077922077913</v>
      </c>
      <c r="DJ126" s="545">
        <f t="shared" si="387"/>
        <v>41.06666666666667</v>
      </c>
      <c r="DK126" s="528">
        <f t="shared" si="388"/>
        <v>2.7616279069767442</v>
      </c>
      <c r="DM126" s="173">
        <f t="shared" si="389"/>
        <v>3.4253953543107012</v>
      </c>
      <c r="DN126" s="173">
        <f t="shared" si="390"/>
        <v>10</v>
      </c>
      <c r="DO126" s="173">
        <f t="shared" si="391"/>
        <v>1.0234666666666667</v>
      </c>
      <c r="DQ126" s="545">
        <f t="shared" si="392"/>
        <v>1600</v>
      </c>
      <c r="DR126" s="460">
        <f t="shared" si="393"/>
        <v>41.06666666666667</v>
      </c>
      <c r="DT126">
        <f t="shared" si="430"/>
        <v>1600</v>
      </c>
      <c r="DU126">
        <f t="shared" si="431"/>
        <v>41.06666666666667</v>
      </c>
      <c r="DW126" s="5">
        <f t="shared" si="394"/>
        <v>24.350649350649348</v>
      </c>
      <c r="DX126" s="5">
        <f t="shared" si="395"/>
        <v>6.3157894736842106</v>
      </c>
      <c r="DY126" s="5">
        <f t="shared" si="396"/>
        <v>18.034859876965136</v>
      </c>
      <c r="DZ126" s="5"/>
      <c r="EA126" s="173">
        <f t="shared" si="397"/>
        <v>0.25936842105263158</v>
      </c>
      <c r="EB126" s="173">
        <f t="shared" si="398"/>
        <v>24.640000000000004</v>
      </c>
      <c r="EC126" s="173">
        <f t="shared" si="399"/>
        <v>3.703157894736842</v>
      </c>
      <c r="ED126" s="173">
        <f t="shared" si="400"/>
        <v>6.6537805571347368</v>
      </c>
      <c r="EE126" s="460">
        <f t="shared" si="401"/>
        <v>67.368421052631589</v>
      </c>
      <c r="EF126" s="5">
        <f t="shared" si="402"/>
        <v>6.3280210094614509</v>
      </c>
      <c r="EH126" s="173">
        <f t="shared" si="403"/>
        <v>2.9403425030237069</v>
      </c>
      <c r="EI126" s="173">
        <f t="shared" si="404"/>
        <v>4.9686737967233885</v>
      </c>
      <c r="EK126" s="528">
        <f t="shared" si="405"/>
        <v>0.17291228070175435</v>
      </c>
      <c r="EL126" s="528">
        <f t="shared" si="406"/>
        <v>0.28253866666666666</v>
      </c>
      <c r="EM126" s="528">
        <f t="shared" si="407"/>
        <v>5.1333333333333335E-3</v>
      </c>
      <c r="EN126" s="528">
        <f t="shared" si="408"/>
        <v>4.859665066666667E-3</v>
      </c>
      <c r="EO126">
        <f t="shared" si="409"/>
        <v>8.5500000000000003E-3</v>
      </c>
      <c r="EP126" s="460">
        <f t="shared" si="410"/>
        <v>13.683333333333334</v>
      </c>
      <c r="EQ126" s="460"/>
      <c r="ER126" s="460">
        <f t="shared" si="432"/>
        <v>473.99394576842104</v>
      </c>
      <c r="ES126" s="528">
        <f t="shared" si="411"/>
        <v>1.1199999999999999</v>
      </c>
      <c r="EV126" s="460">
        <f t="shared" si="412"/>
        <v>1119.9999999999998</v>
      </c>
      <c r="EW126" s="528">
        <f t="shared" si="413"/>
        <v>0.25936842105263153</v>
      </c>
      <c r="EX126" s="528">
        <f t="shared" si="414"/>
        <v>0.74063157894736831</v>
      </c>
      <c r="EY126" s="528">
        <f t="shared" si="415"/>
        <v>0.17088094501266138</v>
      </c>
      <c r="EZ126" s="528"/>
      <c r="FA126" s="528">
        <f t="shared" si="416"/>
        <v>4.1066666666666673E-3</v>
      </c>
      <c r="FB126" s="460">
        <f t="shared" si="417"/>
        <v>1174.9876116793278</v>
      </c>
      <c r="FC126" s="173">
        <f t="shared" si="418"/>
        <v>2.7689815574477485</v>
      </c>
      <c r="FD126" s="5">
        <f t="shared" si="419"/>
        <v>24</v>
      </c>
      <c r="FE126" s="173">
        <f t="shared" si="420"/>
        <v>0.89656007078545896</v>
      </c>
      <c r="FF126" s="5">
        <f t="shared" si="421"/>
        <v>89.656007078545898</v>
      </c>
      <c r="FI126" s="562">
        <f t="shared" si="422"/>
        <v>-50</v>
      </c>
      <c r="FJ126">
        <f t="shared" si="423"/>
        <v>-50</v>
      </c>
      <c r="FL126">
        <f t="shared" si="424"/>
        <v>0.32000000000000006</v>
      </c>
    </row>
    <row r="127" spans="5:168">
      <c r="E127" s="170">
        <v>17</v>
      </c>
      <c r="F127" s="217">
        <f t="shared" si="425"/>
        <v>1.7000000000000002</v>
      </c>
      <c r="G127" s="217"/>
      <c r="H127" s="217">
        <f t="shared" si="315"/>
        <v>25.500000000000004</v>
      </c>
      <c r="I127" s="541">
        <f t="shared" si="316"/>
        <v>18.753268114390085</v>
      </c>
      <c r="J127" s="172">
        <f t="shared" si="317"/>
        <v>15.548039131365949</v>
      </c>
      <c r="K127" s="172">
        <f t="shared" si="318"/>
        <v>34.301307245756036</v>
      </c>
      <c r="L127" s="443"/>
      <c r="M127" s="217">
        <f t="shared" si="319"/>
        <v>0.45330957820537332</v>
      </c>
      <c r="N127" s="172">
        <f t="shared" si="426"/>
        <v>212.72780107906019</v>
      </c>
      <c r="O127" s="172">
        <f t="shared" si="284"/>
        <v>25.500000000000004</v>
      </c>
      <c r="P127" s="217">
        <f t="shared" si="320"/>
        <v>14.18185340527068</v>
      </c>
      <c r="Q127" s="217">
        <f t="shared" si="321"/>
        <v>15</v>
      </c>
      <c r="R127" s="217"/>
      <c r="S127" s="172">
        <f t="shared" si="322"/>
        <v>257.05922241321724</v>
      </c>
      <c r="T127" s="172">
        <f t="shared" si="323"/>
        <v>15</v>
      </c>
      <c r="U127" s="217">
        <f t="shared" si="324"/>
        <v>6.2192419410583089</v>
      </c>
      <c r="V127" s="217">
        <f t="shared" si="325"/>
        <v>3.9796211965546755</v>
      </c>
      <c r="W127" s="217">
        <f t="shared" si="326"/>
        <v>4.8000202895130695</v>
      </c>
      <c r="X127" s="197">
        <f t="shared" si="327"/>
        <v>70.83708316481389</v>
      </c>
      <c r="Y127" s="443">
        <f t="shared" si="328"/>
        <v>111.3630206229879</v>
      </c>
      <c r="AA127" s="217">
        <f t="shared" si="329"/>
        <v>10</v>
      </c>
      <c r="AB127" s="173">
        <f t="shared" si="330"/>
        <v>7.7180150491078416</v>
      </c>
      <c r="AC127" s="173">
        <f t="shared" si="331"/>
        <v>2.7336083695046867</v>
      </c>
      <c r="AD127" s="173"/>
      <c r="AE127" s="173">
        <f t="shared" si="332"/>
        <v>7.7180150491078416</v>
      </c>
      <c r="AF127" s="545">
        <f t="shared" si="333"/>
        <v>44.052777538870188</v>
      </c>
      <c r="AG127" s="528">
        <f t="shared" si="334"/>
        <v>2.7336083695046871</v>
      </c>
      <c r="AI127" s="173">
        <f t="shared" si="335"/>
        <v>3.5477468720652303</v>
      </c>
      <c r="AJ127" s="173">
        <f t="shared" si="336"/>
        <v>10</v>
      </c>
      <c r="AK127" s="173">
        <f t="shared" si="337"/>
        <v>1.0251730157364973</v>
      </c>
      <c r="AM127" s="545">
        <f t="shared" si="338"/>
        <v>1700.0000000000002</v>
      </c>
      <c r="AN127" s="460">
        <f t="shared" si="339"/>
        <v>44.052777538870188</v>
      </c>
      <c r="AP127" s="460">
        <f t="shared" si="340"/>
        <v>1700.0000000000002</v>
      </c>
      <c r="AQ127" s="460">
        <f t="shared" si="341"/>
        <v>44.052777538870188</v>
      </c>
      <c r="AS127" s="5">
        <f t="shared" si="285"/>
        <v>22.700044262081885</v>
      </c>
      <c r="AT127" s="5">
        <f t="shared" si="342"/>
        <v>6.3988846780215072</v>
      </c>
      <c r="AU127" s="5">
        <f t="shared" si="343"/>
        <v>16.301159584060379</v>
      </c>
      <c r="AV127" s="5"/>
      <c r="AW127" s="173">
        <f t="shared" si="344"/>
        <v>0.28188864321776647</v>
      </c>
      <c r="AX127" s="173">
        <f t="shared" si="214"/>
        <v>26.431666523322114</v>
      </c>
      <c r="AY127" s="173">
        <f t="shared" si="215"/>
        <v>3.5905567839111674</v>
      </c>
      <c r="AZ127" s="173">
        <f t="shared" si="288"/>
        <v>7.3614394964477601</v>
      </c>
      <c r="BA127" s="460">
        <f t="shared" si="433"/>
        <v>72.520693017577088</v>
      </c>
      <c r="BB127" s="5">
        <f t="shared" si="434"/>
        <v>6.1571426563863412</v>
      </c>
      <c r="BD127" s="173">
        <f t="shared" si="289"/>
        <v>3.065336540619787</v>
      </c>
      <c r="BE127" s="173">
        <f t="shared" si="218"/>
        <v>4.89254997175036</v>
      </c>
      <c r="BG127" s="528">
        <f t="shared" si="347"/>
        <v>0.18792576214517767</v>
      </c>
      <c r="BH127" s="528">
        <f t="shared" si="348"/>
        <v>0.2833252232605738</v>
      </c>
      <c r="BI127" s="528">
        <f t="shared" si="349"/>
        <v>2.0653338709250353E-2</v>
      </c>
      <c r="BJ127" s="528">
        <f t="shared" si="350"/>
        <v>5.1831602845511283E-3</v>
      </c>
      <c r="BK127">
        <f t="shared" si="351"/>
        <v>8.4389706514755389E-3</v>
      </c>
      <c r="BL127" s="460">
        <f t="shared" si="427"/>
        <v>29.092309360725892</v>
      </c>
      <c r="BM127" s="528">
        <f t="shared" si="352"/>
        <v>0.55181320162444647</v>
      </c>
      <c r="BN127" s="460">
        <f t="shared" si="353"/>
        <v>551.81320162444649</v>
      </c>
      <c r="BO127" s="528">
        <f t="shared" si="354"/>
        <v>1.19</v>
      </c>
      <c r="BR127" s="460">
        <f t="shared" si="355"/>
        <v>1190</v>
      </c>
      <c r="BS127" s="528">
        <f t="shared" si="356"/>
        <v>0.28188864321776647</v>
      </c>
      <c r="BT127" s="528">
        <f t="shared" si="357"/>
        <v>0.71811135678223348</v>
      </c>
      <c r="BU127" s="528">
        <f t="shared" si="358"/>
        <v>0.2036588299295235</v>
      </c>
      <c r="BV127" s="528"/>
      <c r="BW127" s="528">
        <f t="shared" si="359"/>
        <v>4.4052777538870188E-3</v>
      </c>
      <c r="BX127" s="460">
        <f t="shared" si="360"/>
        <v>1208.0641076834104</v>
      </c>
      <c r="BY127" s="173">
        <f t="shared" si="361"/>
        <v>2.9035905627344394</v>
      </c>
      <c r="BZ127" s="5">
        <f t="shared" si="362"/>
        <v>25.500000000000004</v>
      </c>
      <c r="CA127" s="173">
        <f t="shared" si="363"/>
        <v>0.89777381995697558</v>
      </c>
      <c r="CB127" s="5">
        <f t="shared" si="364"/>
        <v>89.777381995697553</v>
      </c>
      <c r="CE127" s="562">
        <f t="shared" si="365"/>
        <v>-50</v>
      </c>
      <c r="CF127">
        <f t="shared" si="366"/>
        <v>-50</v>
      </c>
      <c r="CG127" s="173">
        <f t="shared" si="367"/>
        <v>0.34450350748093511</v>
      </c>
      <c r="CI127" s="170">
        <v>17</v>
      </c>
      <c r="CJ127" s="217">
        <f t="shared" si="428"/>
        <v>1.7000000000000002</v>
      </c>
      <c r="CK127" s="217"/>
      <c r="CL127" s="217">
        <f t="shared" si="368"/>
        <v>25.500000000000004</v>
      </c>
      <c r="CM127" s="541">
        <f t="shared" si="369"/>
        <v>19</v>
      </c>
      <c r="CN127" s="443">
        <f t="shared" si="370"/>
        <v>15.4</v>
      </c>
      <c r="CO127" s="443">
        <f t="shared" si="371"/>
        <v>34.4</v>
      </c>
      <c r="CP127" s="443"/>
      <c r="CQ127" s="217">
        <f t="shared" si="372"/>
        <v>0.44767441860465118</v>
      </c>
      <c r="CR127" s="172">
        <f t="shared" si="429"/>
        <v>212.84736191860466</v>
      </c>
      <c r="CS127" s="172">
        <f t="shared" si="373"/>
        <v>25.500000000000004</v>
      </c>
      <c r="CT127" s="217">
        <f t="shared" si="374"/>
        <v>14.189824127906977</v>
      </c>
      <c r="CU127" s="217">
        <f t="shared" si="375"/>
        <v>15</v>
      </c>
      <c r="CV127" s="217"/>
      <c r="CW127" s="172">
        <f t="shared" si="376"/>
        <v>260.44090124069663</v>
      </c>
      <c r="CX127" s="172">
        <f t="shared" si="377"/>
        <v>15</v>
      </c>
      <c r="CY127" s="217">
        <f t="shared" si="378"/>
        <v>5.9958988380041021</v>
      </c>
      <c r="CZ127" s="217">
        <f t="shared" si="379"/>
        <v>3.7868834766341699</v>
      </c>
      <c r="DA127" s="217">
        <f t="shared" si="380"/>
        <v>4.6721289646785209</v>
      </c>
      <c r="DB127" s="197">
        <f t="shared" si="381"/>
        <v>70.881782945736433</v>
      </c>
      <c r="DC127" s="443">
        <f t="shared" si="382"/>
        <v>118.21710949568217</v>
      </c>
      <c r="DE127" s="217">
        <f t="shared" si="383"/>
        <v>10.000000000000002</v>
      </c>
      <c r="DF127" s="173">
        <f t="shared" si="384"/>
        <v>7.792207792207793</v>
      </c>
      <c r="DG127" s="173">
        <f t="shared" si="385"/>
        <v>2.7616279069767451</v>
      </c>
      <c r="DH127" s="173"/>
      <c r="DI127" s="173">
        <f t="shared" si="386"/>
        <v>7.7922077922077913</v>
      </c>
      <c r="DJ127" s="545">
        <f t="shared" si="387"/>
        <v>43.63333333333334</v>
      </c>
      <c r="DK127" s="528">
        <f t="shared" si="388"/>
        <v>2.7616279069767442</v>
      </c>
      <c r="DM127" s="173">
        <f t="shared" si="389"/>
        <v>3.5308167138307631</v>
      </c>
      <c r="DN127" s="173">
        <f t="shared" si="390"/>
        <v>10</v>
      </c>
      <c r="DO127" s="173">
        <f t="shared" si="391"/>
        <v>1.0249333333333333</v>
      </c>
      <c r="DQ127" s="545">
        <f t="shared" si="392"/>
        <v>1700.0000000000002</v>
      </c>
      <c r="DR127" s="460">
        <f t="shared" si="393"/>
        <v>43.63333333333334</v>
      </c>
      <c r="DT127">
        <f t="shared" si="430"/>
        <v>1700.0000000000002</v>
      </c>
      <c r="DU127">
        <f t="shared" si="431"/>
        <v>43.63333333333334</v>
      </c>
      <c r="DW127" s="5">
        <f t="shared" si="394"/>
        <v>22.918258212375857</v>
      </c>
      <c r="DX127" s="5">
        <f t="shared" si="395"/>
        <v>6.3157894736842106</v>
      </c>
      <c r="DY127" s="5">
        <f t="shared" si="396"/>
        <v>16.602468738691648</v>
      </c>
      <c r="DZ127" s="5"/>
      <c r="EA127" s="173">
        <f t="shared" si="397"/>
        <v>0.27557894736842109</v>
      </c>
      <c r="EB127" s="173">
        <f t="shared" si="398"/>
        <v>26.180000000000007</v>
      </c>
      <c r="EC127" s="173">
        <f t="shared" si="399"/>
        <v>3.6221052631578941</v>
      </c>
      <c r="ED127" s="173">
        <f t="shared" si="400"/>
        <v>7.2278407439697796</v>
      </c>
      <c r="EE127" s="460">
        <f t="shared" si="401"/>
        <v>71.578947368421055</v>
      </c>
      <c r="EF127" s="5">
        <f t="shared" si="402"/>
        <v>6.1895168543367989</v>
      </c>
      <c r="EH127" s="173">
        <f t="shared" si="403"/>
        <v>3.0308356788649404</v>
      </c>
      <c r="EI127" s="173">
        <f t="shared" si="404"/>
        <v>4.9139971938384974</v>
      </c>
      <c r="EK127" s="528">
        <f t="shared" si="405"/>
        <v>0.18371929824561409</v>
      </c>
      <c r="EL127" s="528">
        <f t="shared" si="406"/>
        <v>0.30019733333333337</v>
      </c>
      <c r="EM127" s="528">
        <f t="shared" si="407"/>
        <v>5.4541666666666679E-3</v>
      </c>
      <c r="EN127" s="528">
        <f t="shared" si="408"/>
        <v>5.1633941333333339E-3</v>
      </c>
      <c r="EO127">
        <f t="shared" si="409"/>
        <v>8.5500000000000003E-3</v>
      </c>
      <c r="EP127" s="460">
        <f t="shared" si="410"/>
        <v>14.004166666666668</v>
      </c>
      <c r="EQ127" s="460"/>
      <c r="ER127" s="460">
        <f t="shared" si="432"/>
        <v>503.08419237894742</v>
      </c>
      <c r="ES127" s="528">
        <f t="shared" si="411"/>
        <v>1.19</v>
      </c>
      <c r="EV127" s="460">
        <f t="shared" si="412"/>
        <v>1190</v>
      </c>
      <c r="EW127" s="528">
        <f t="shared" si="413"/>
        <v>0.27557894736842115</v>
      </c>
      <c r="EX127" s="528">
        <f t="shared" si="414"/>
        <v>0.72442105263157874</v>
      </c>
      <c r="EY127" s="528">
        <f t="shared" si="415"/>
        <v>0.19884559928237447</v>
      </c>
      <c r="EZ127" s="528"/>
      <c r="FA127" s="528">
        <f t="shared" si="416"/>
        <v>4.3633333333333345E-3</v>
      </c>
      <c r="FB127" s="460">
        <f t="shared" si="417"/>
        <v>1203.2089326157077</v>
      </c>
      <c r="FC127" s="173">
        <f t="shared" si="418"/>
        <v>2.8962931249946551</v>
      </c>
      <c r="FD127" s="5">
        <f t="shared" si="419"/>
        <v>25.500000000000004</v>
      </c>
      <c r="FE127" s="173">
        <f t="shared" si="420"/>
        <v>0.8980045348790503</v>
      </c>
      <c r="FF127" s="5">
        <f t="shared" si="421"/>
        <v>89.800453487905031</v>
      </c>
      <c r="FI127" s="562">
        <f t="shared" si="422"/>
        <v>-50</v>
      </c>
      <c r="FJ127">
        <f t="shared" si="423"/>
        <v>-50</v>
      </c>
      <c r="FL127">
        <f t="shared" si="424"/>
        <v>0.34</v>
      </c>
    </row>
    <row r="128" spans="5:168">
      <c r="E128" s="170">
        <v>18</v>
      </c>
      <c r="F128" s="217">
        <f t="shared" si="425"/>
        <v>1.7999999999999998</v>
      </c>
      <c r="G128" s="217"/>
      <c r="H128" s="217">
        <f t="shared" si="315"/>
        <v>26.999999999999996</v>
      </c>
      <c r="I128" s="541">
        <f t="shared" si="316"/>
        <v>18.753268114390085</v>
      </c>
      <c r="J128" s="172">
        <f t="shared" si="317"/>
        <v>15.548039131365949</v>
      </c>
      <c r="K128" s="172">
        <f t="shared" si="318"/>
        <v>34.301307245756036</v>
      </c>
      <c r="L128" s="443"/>
      <c r="M128" s="217">
        <f t="shared" si="319"/>
        <v>0.45330957820537332</v>
      </c>
      <c r="N128" s="172">
        <f t="shared" si="426"/>
        <v>212.72780107906019</v>
      </c>
      <c r="O128" s="172">
        <f t="shared" si="284"/>
        <v>26.999999999999996</v>
      </c>
      <c r="P128" s="217">
        <f t="shared" si="320"/>
        <v>14.18185340527068</v>
      </c>
      <c r="Q128" s="217">
        <f t="shared" si="321"/>
        <v>15</v>
      </c>
      <c r="R128" s="217"/>
      <c r="S128" s="172">
        <f t="shared" si="322"/>
        <v>241.73976827508235</v>
      </c>
      <c r="T128" s="172">
        <f t="shared" si="323"/>
        <v>15</v>
      </c>
      <c r="U128" s="217">
        <f t="shared" si="324"/>
        <v>6.5850797022970315</v>
      </c>
      <c r="V128" s="217">
        <f t="shared" si="325"/>
        <v>4.2137165610578906</v>
      </c>
      <c r="W128" s="217">
        <f t="shared" si="326"/>
        <v>5.0823744241903075</v>
      </c>
      <c r="X128" s="197">
        <f t="shared" si="327"/>
        <v>70.83708316481389</v>
      </c>
      <c r="Y128" s="443">
        <f t="shared" si="328"/>
        <v>105.30648890722092</v>
      </c>
      <c r="AA128" s="217">
        <f t="shared" si="329"/>
        <v>10</v>
      </c>
      <c r="AB128" s="173">
        <f t="shared" si="330"/>
        <v>7.7180150491078416</v>
      </c>
      <c r="AC128" s="173">
        <f t="shared" si="331"/>
        <v>2.7336083695046867</v>
      </c>
      <c r="AD128" s="173"/>
      <c r="AE128" s="173">
        <f t="shared" si="332"/>
        <v>7.7180150491078416</v>
      </c>
      <c r="AF128" s="545">
        <f t="shared" si="333"/>
        <v>46.644117394097833</v>
      </c>
      <c r="AG128" s="528">
        <f t="shared" si="334"/>
        <v>2.7336083695046871</v>
      </c>
      <c r="AI128" s="173">
        <f t="shared" si="335"/>
        <v>3.6506014140176895</v>
      </c>
      <c r="AJ128" s="173">
        <f t="shared" si="336"/>
        <v>10</v>
      </c>
      <c r="AK128" s="173">
        <f t="shared" si="337"/>
        <v>1.0266537813680559</v>
      </c>
      <c r="AM128" s="545">
        <f t="shared" si="338"/>
        <v>1799.9999999999998</v>
      </c>
      <c r="AN128" s="460">
        <f t="shared" si="339"/>
        <v>46.644117394097833</v>
      </c>
      <c r="AP128" s="460">
        <f t="shared" si="340"/>
        <v>1799.9999999999998</v>
      </c>
      <c r="AQ128" s="460">
        <f t="shared" si="341"/>
        <v>46.644117394097833</v>
      </c>
      <c r="AS128" s="5">
        <f t="shared" si="285"/>
        <v>21.438930691966231</v>
      </c>
      <c r="AT128" s="5">
        <f t="shared" si="342"/>
        <v>6.3988846780215072</v>
      </c>
      <c r="AU128" s="5">
        <f t="shared" si="343"/>
        <v>15.040046013944725</v>
      </c>
      <c r="AV128" s="5"/>
      <c r="AW128" s="173">
        <f t="shared" si="344"/>
        <v>0.29847032811292912</v>
      </c>
      <c r="AX128" s="173">
        <f t="shared" si="214"/>
        <v>27.986470436458703</v>
      </c>
      <c r="AY128" s="173">
        <f t="shared" si="215"/>
        <v>3.5076483594353549</v>
      </c>
      <c r="AZ128" s="173">
        <f t="shared" si="288"/>
        <v>7.9786989939219097</v>
      </c>
      <c r="BA128" s="460">
        <f t="shared" si="433"/>
        <v>76.786616136258075</v>
      </c>
      <c r="BB128" s="5">
        <f t="shared" si="434"/>
        <v>6.0149699997105825</v>
      </c>
      <c r="BD128" s="173">
        <f t="shared" si="289"/>
        <v>3.1542052782115553</v>
      </c>
      <c r="BE128" s="173">
        <f t="shared" si="218"/>
        <v>4.8357339046142416</v>
      </c>
      <c r="BG128" s="528">
        <f t="shared" si="347"/>
        <v>0.19898021874195271</v>
      </c>
      <c r="BH128" s="528">
        <f t="shared" si="348"/>
        <v>0.29999141286413683</v>
      </c>
      <c r="BI128" s="528">
        <f t="shared" si="349"/>
        <v>2.186824098626507E-2</v>
      </c>
      <c r="BJ128" s="528">
        <f t="shared" si="350"/>
        <v>5.4880520659953101E-3</v>
      </c>
      <c r="BK128">
        <f t="shared" si="351"/>
        <v>8.4389706514755389E-3</v>
      </c>
      <c r="BL128" s="460">
        <f t="shared" si="427"/>
        <v>30.307211637740611</v>
      </c>
      <c r="BM128" s="528">
        <f t="shared" si="352"/>
        <v>0.58588357039259464</v>
      </c>
      <c r="BN128" s="460">
        <f t="shared" si="353"/>
        <v>585.88357039259461</v>
      </c>
      <c r="BO128" s="528">
        <f t="shared" si="354"/>
        <v>1.2599999999999998</v>
      </c>
      <c r="BR128" s="460">
        <f t="shared" si="355"/>
        <v>1259.9999999999998</v>
      </c>
      <c r="BS128" s="528">
        <f t="shared" si="356"/>
        <v>0.29847032811292901</v>
      </c>
      <c r="BT128" s="528">
        <f t="shared" si="357"/>
        <v>0.70152967188707094</v>
      </c>
      <c r="BU128" s="528">
        <f t="shared" si="358"/>
        <v>0.23494283426657955</v>
      </c>
      <c r="BV128" s="528"/>
      <c r="BW128" s="528">
        <f t="shared" si="359"/>
        <v>4.6644117394097837E-3</v>
      </c>
      <c r="BX128" s="460">
        <f t="shared" si="360"/>
        <v>1239.6072460059893</v>
      </c>
      <c r="BY128" s="173">
        <f t="shared" si="361"/>
        <v>3.0343741413158147</v>
      </c>
      <c r="BZ128" s="5">
        <f t="shared" si="362"/>
        <v>26.999999999999996</v>
      </c>
      <c r="CA128" s="173">
        <f t="shared" si="363"/>
        <v>0.89896995598980445</v>
      </c>
      <c r="CB128" s="5">
        <f t="shared" si="364"/>
        <v>89.896995598980439</v>
      </c>
      <c r="CE128" s="562">
        <f t="shared" si="365"/>
        <v>-50</v>
      </c>
      <c r="CF128">
        <f t="shared" si="366"/>
        <v>-50</v>
      </c>
      <c r="CG128" s="173">
        <f t="shared" si="367"/>
        <v>0.3647684196856959</v>
      </c>
      <c r="CI128" s="170">
        <v>18</v>
      </c>
      <c r="CJ128" s="217">
        <f t="shared" si="428"/>
        <v>1.7999999999999998</v>
      </c>
      <c r="CK128" s="217"/>
      <c r="CL128" s="217">
        <f t="shared" si="368"/>
        <v>26.999999999999996</v>
      </c>
      <c r="CM128" s="541">
        <f t="shared" si="369"/>
        <v>19</v>
      </c>
      <c r="CN128" s="443">
        <f t="shared" si="370"/>
        <v>15.4</v>
      </c>
      <c r="CO128" s="443">
        <f t="shared" si="371"/>
        <v>34.4</v>
      </c>
      <c r="CP128" s="443"/>
      <c r="CQ128" s="217">
        <f t="shared" si="372"/>
        <v>0.44767441860465118</v>
      </c>
      <c r="CR128" s="172">
        <f t="shared" si="429"/>
        <v>212.84736191860466</v>
      </c>
      <c r="CS128" s="172">
        <f t="shared" si="373"/>
        <v>26.999999999999996</v>
      </c>
      <c r="CT128" s="217">
        <f t="shared" si="374"/>
        <v>14.189824127906977</v>
      </c>
      <c r="CU128" s="217">
        <f t="shared" si="375"/>
        <v>15</v>
      </c>
      <c r="CV128" s="217"/>
      <c r="CW128" s="172">
        <f t="shared" si="376"/>
        <v>244.91986885001324</v>
      </c>
      <c r="CX128" s="172">
        <f t="shared" si="377"/>
        <v>15</v>
      </c>
      <c r="CY128" s="217">
        <f t="shared" si="378"/>
        <v>6.3485987696514004</v>
      </c>
      <c r="CZ128" s="217">
        <f t="shared" si="379"/>
        <v>4.0096413282008845</v>
      </c>
      <c r="DA128" s="217">
        <f t="shared" si="380"/>
        <v>4.9469600802478446</v>
      </c>
      <c r="DB128" s="197">
        <f t="shared" si="381"/>
        <v>70.881782945736433</v>
      </c>
      <c r="DC128" s="443">
        <f t="shared" si="382"/>
        <v>111.64949230147761</v>
      </c>
      <c r="DE128" s="217">
        <f t="shared" si="383"/>
        <v>10.000000000000002</v>
      </c>
      <c r="DF128" s="173">
        <f t="shared" si="384"/>
        <v>7.792207792207793</v>
      </c>
      <c r="DG128" s="173">
        <f t="shared" si="385"/>
        <v>2.7616279069767451</v>
      </c>
      <c r="DH128" s="173"/>
      <c r="DI128" s="173">
        <f t="shared" si="386"/>
        <v>7.7922077922077913</v>
      </c>
      <c r="DJ128" s="545">
        <f t="shared" si="387"/>
        <v>46.2</v>
      </c>
      <c r="DK128" s="528">
        <f t="shared" si="388"/>
        <v>2.7616279069767442</v>
      </c>
      <c r="DM128" s="173">
        <f t="shared" si="389"/>
        <v>3.6331804249169899</v>
      </c>
      <c r="DN128" s="173">
        <f t="shared" si="390"/>
        <v>10</v>
      </c>
      <c r="DO128" s="173">
        <f t="shared" si="391"/>
        <v>1.0264</v>
      </c>
      <c r="DQ128" s="545">
        <f t="shared" si="392"/>
        <v>1799.9999999999998</v>
      </c>
      <c r="DR128" s="460">
        <f t="shared" si="393"/>
        <v>46.2</v>
      </c>
      <c r="DT128">
        <f t="shared" si="430"/>
        <v>1799.9999999999998</v>
      </c>
      <c r="DU128">
        <f t="shared" si="431"/>
        <v>46.2</v>
      </c>
      <c r="DW128" s="5">
        <f t="shared" si="394"/>
        <v>21.645021645021643</v>
      </c>
      <c r="DX128" s="5">
        <f t="shared" si="395"/>
        <v>6.3157894736842106</v>
      </c>
      <c r="DY128" s="5">
        <f t="shared" si="396"/>
        <v>15.329232171337432</v>
      </c>
      <c r="DZ128" s="5"/>
      <c r="EA128" s="173">
        <f t="shared" si="397"/>
        <v>0.29178947368421054</v>
      </c>
      <c r="EB128" s="173">
        <f t="shared" si="398"/>
        <v>27.720000000000006</v>
      </c>
      <c r="EC128" s="173">
        <f t="shared" si="399"/>
        <v>3.541052631578947</v>
      </c>
      <c r="ED128" s="173">
        <f t="shared" si="400"/>
        <v>7.8281807372176004</v>
      </c>
      <c r="EE128" s="460">
        <f t="shared" si="401"/>
        <v>75.789473684210535</v>
      </c>
      <c r="EF128" s="5">
        <f t="shared" si="402"/>
        <v>6.0510126992121425</v>
      </c>
      <c r="EH128" s="173">
        <f t="shared" si="403"/>
        <v>3.1187041843486352</v>
      </c>
      <c r="EI128" s="173">
        <f t="shared" si="404"/>
        <v>4.8587053361836672</v>
      </c>
      <c r="EK128" s="528">
        <f t="shared" si="405"/>
        <v>0.19452631578947371</v>
      </c>
      <c r="EL128" s="528">
        <f t="shared" si="406"/>
        <v>0.31785600000000003</v>
      </c>
      <c r="EM128" s="528">
        <f t="shared" si="407"/>
        <v>5.7749999999999998E-3</v>
      </c>
      <c r="EN128" s="528">
        <f t="shared" si="408"/>
        <v>5.4671232E-3</v>
      </c>
      <c r="EO128">
        <f t="shared" si="409"/>
        <v>8.5500000000000003E-3</v>
      </c>
      <c r="EP128" s="460">
        <f t="shared" si="410"/>
        <v>14.325000000000001</v>
      </c>
      <c r="EQ128" s="460"/>
      <c r="ER128" s="460">
        <f t="shared" si="432"/>
        <v>532.17443898947374</v>
      </c>
      <c r="ES128" s="528">
        <f t="shared" si="411"/>
        <v>1.2599999999999998</v>
      </c>
      <c r="EV128" s="460">
        <f t="shared" si="412"/>
        <v>1259.9999999999998</v>
      </c>
      <c r="EW128" s="528">
        <f t="shared" si="413"/>
        <v>0.29178947368421054</v>
      </c>
      <c r="EX128" s="528">
        <f t="shared" si="414"/>
        <v>0.70821052631578918</v>
      </c>
      <c r="EY128" s="528">
        <f t="shared" si="415"/>
        <v>0.22939024393395663</v>
      </c>
      <c r="EZ128" s="528"/>
      <c r="FA128" s="528">
        <f t="shared" si="416"/>
        <v>4.6200000000000008E-3</v>
      </c>
      <c r="FB128" s="460">
        <f t="shared" si="417"/>
        <v>1234.0102439339564</v>
      </c>
      <c r="FC128" s="173">
        <f t="shared" si="418"/>
        <v>3.02618468292343</v>
      </c>
      <c r="FD128" s="5">
        <f t="shared" si="419"/>
        <v>26.999999999999996</v>
      </c>
      <c r="FE128" s="173">
        <f t="shared" si="420"/>
        <v>0.89921514455199869</v>
      </c>
      <c r="FF128" s="5">
        <f t="shared" si="421"/>
        <v>89.921514455199869</v>
      </c>
      <c r="FI128" s="562">
        <f t="shared" si="422"/>
        <v>-50</v>
      </c>
      <c r="FJ128">
        <f t="shared" si="423"/>
        <v>-50</v>
      </c>
      <c r="FL128">
        <f t="shared" si="424"/>
        <v>0.36</v>
      </c>
    </row>
    <row r="129" spans="5:168">
      <c r="E129" s="170">
        <v>19</v>
      </c>
      <c r="F129" s="217">
        <f t="shared" si="425"/>
        <v>1.9</v>
      </c>
      <c r="G129" s="217"/>
      <c r="H129" s="217">
        <f t="shared" si="315"/>
        <v>28.5</v>
      </c>
      <c r="I129" s="541">
        <f t="shared" si="316"/>
        <v>18.753268114390085</v>
      </c>
      <c r="J129" s="172">
        <f t="shared" si="317"/>
        <v>15.548039131365949</v>
      </c>
      <c r="K129" s="172">
        <f t="shared" si="318"/>
        <v>34.301307245756036</v>
      </c>
      <c r="L129" s="443"/>
      <c r="M129" s="217">
        <f t="shared" si="319"/>
        <v>0.45330957820537332</v>
      </c>
      <c r="N129" s="172">
        <f t="shared" si="426"/>
        <v>212.72780107906019</v>
      </c>
      <c r="O129" s="172">
        <f t="shared" si="284"/>
        <v>28.5</v>
      </c>
      <c r="P129" s="217">
        <f t="shared" si="320"/>
        <v>14.18185340527068</v>
      </c>
      <c r="Q129" s="217">
        <f t="shared" si="321"/>
        <v>15</v>
      </c>
      <c r="R129" s="217"/>
      <c r="S129" s="172">
        <f t="shared" si="322"/>
        <v>228.03309779925169</v>
      </c>
      <c r="T129" s="172">
        <f t="shared" si="323"/>
        <v>15</v>
      </c>
      <c r="U129" s="217">
        <f t="shared" si="324"/>
        <v>6.9509174635357569</v>
      </c>
      <c r="V129" s="217">
        <f t="shared" si="325"/>
        <v>4.4478119255611075</v>
      </c>
      <c r="W129" s="217">
        <f t="shared" si="326"/>
        <v>5.3647285588675482</v>
      </c>
      <c r="X129" s="197">
        <f t="shared" si="327"/>
        <v>70.83708316481389</v>
      </c>
      <c r="Y129" s="443">
        <f t="shared" si="328"/>
        <v>99.874752222493797</v>
      </c>
      <c r="AA129" s="217">
        <f t="shared" si="329"/>
        <v>10</v>
      </c>
      <c r="AB129" s="173">
        <f t="shared" si="330"/>
        <v>7.7180150491078416</v>
      </c>
      <c r="AC129" s="173">
        <f t="shared" si="331"/>
        <v>2.7336083695046867</v>
      </c>
      <c r="AD129" s="173"/>
      <c r="AE129" s="173">
        <f t="shared" si="332"/>
        <v>7.7180150491078416</v>
      </c>
      <c r="AF129" s="545">
        <f t="shared" si="333"/>
        <v>49.235457249325499</v>
      </c>
      <c r="AG129" s="528">
        <f t="shared" si="334"/>
        <v>2.7336083695046871</v>
      </c>
      <c r="AI129" s="173">
        <f t="shared" si="335"/>
        <v>3.7506364126381651</v>
      </c>
      <c r="AJ129" s="173">
        <f t="shared" si="336"/>
        <v>10</v>
      </c>
      <c r="AK129" s="173">
        <f t="shared" si="337"/>
        <v>1.0281345469996146</v>
      </c>
      <c r="AM129" s="545">
        <f t="shared" si="338"/>
        <v>1900</v>
      </c>
      <c r="AN129" s="460">
        <f t="shared" si="339"/>
        <v>49.235457249325499</v>
      </c>
      <c r="AP129" s="460">
        <f t="shared" si="340"/>
        <v>1900</v>
      </c>
      <c r="AQ129" s="460">
        <f t="shared" si="341"/>
        <v>49.235457249325499</v>
      </c>
      <c r="AS129" s="5">
        <f t="shared" si="285"/>
        <v>20.310565918704846</v>
      </c>
      <c r="AT129" s="5">
        <f t="shared" si="342"/>
        <v>6.3988846780215072</v>
      </c>
      <c r="AU129" s="5">
        <f t="shared" si="343"/>
        <v>13.91168124068334</v>
      </c>
      <c r="AV129" s="5"/>
      <c r="AW129" s="173">
        <f t="shared" si="344"/>
        <v>0.31505201300809188</v>
      </c>
      <c r="AX129" s="173">
        <f t="shared" si="214"/>
        <v>29.541274349595305</v>
      </c>
      <c r="AY129" s="173">
        <f t="shared" si="215"/>
        <v>3.4247399349595407</v>
      </c>
      <c r="AZ129" s="173">
        <f t="shared" si="288"/>
        <v>8.6258445635651757</v>
      </c>
      <c r="BA129" s="460">
        <f t="shared" si="433"/>
        <v>81.052539254939092</v>
      </c>
      <c r="BB129" s="5">
        <f t="shared" si="434"/>
        <v>5.8727973430348239</v>
      </c>
      <c r="BD129" s="173">
        <f t="shared" si="289"/>
        <v>3.2406378642076614</v>
      </c>
      <c r="BE129" s="173">
        <f t="shared" si="218"/>
        <v>4.7782423093012918</v>
      </c>
      <c r="BG129" s="528">
        <f t="shared" si="347"/>
        <v>0.21003467533872788</v>
      </c>
      <c r="BH129" s="528">
        <f t="shared" si="348"/>
        <v>0.31665760246770008</v>
      </c>
      <c r="BI129" s="528">
        <f t="shared" si="349"/>
        <v>2.3083143263279801E-2</v>
      </c>
      <c r="BJ129" s="528">
        <f t="shared" si="350"/>
        <v>5.7929438474394954E-3</v>
      </c>
      <c r="BK129">
        <f t="shared" si="351"/>
        <v>8.4389706514755389E-3</v>
      </c>
      <c r="BL129" s="460">
        <f t="shared" si="427"/>
        <v>31.522113914755337</v>
      </c>
      <c r="BM129" s="528">
        <f t="shared" si="352"/>
        <v>0.62014231416911125</v>
      </c>
      <c r="BN129" s="460">
        <f t="shared" si="353"/>
        <v>620.14231416911127</v>
      </c>
      <c r="BO129" s="528">
        <f t="shared" si="354"/>
        <v>1.3299999999999998</v>
      </c>
      <c r="BR129" s="460">
        <f t="shared" si="355"/>
        <v>1329.9999999999998</v>
      </c>
      <c r="BS129" s="528">
        <f t="shared" si="356"/>
        <v>0.31505201300809177</v>
      </c>
      <c r="BT129" s="528">
        <f t="shared" si="357"/>
        <v>0.68494798699190829</v>
      </c>
      <c r="BU129" s="528">
        <f t="shared" si="358"/>
        <v>0.26894590945447239</v>
      </c>
      <c r="BV129" s="528"/>
      <c r="BW129" s="528">
        <f t="shared" si="359"/>
        <v>4.9235457249325503E-3</v>
      </c>
      <c r="BX129" s="460">
        <f t="shared" si="360"/>
        <v>1273.8694551794049</v>
      </c>
      <c r="BY129" s="173">
        <f t="shared" si="361"/>
        <v>3.1678767907480276</v>
      </c>
      <c r="BZ129" s="5">
        <f t="shared" si="362"/>
        <v>28.5</v>
      </c>
      <c r="CA129" s="173">
        <f t="shared" si="363"/>
        <v>0.89996560831405203</v>
      </c>
      <c r="CB129" s="5">
        <f t="shared" si="364"/>
        <v>89.996560831405205</v>
      </c>
      <c r="CE129" s="562">
        <f t="shared" si="365"/>
        <v>-50</v>
      </c>
      <c r="CF129">
        <f t="shared" si="366"/>
        <v>-50</v>
      </c>
      <c r="CG129" s="173">
        <f t="shared" si="367"/>
        <v>0.38503333189045674</v>
      </c>
      <c r="CI129" s="170">
        <v>19</v>
      </c>
      <c r="CJ129" s="217">
        <f t="shared" si="428"/>
        <v>1.9</v>
      </c>
      <c r="CK129" s="217"/>
      <c r="CL129" s="217">
        <f t="shared" si="368"/>
        <v>28.5</v>
      </c>
      <c r="CM129" s="541">
        <f t="shared" si="369"/>
        <v>19</v>
      </c>
      <c r="CN129" s="443">
        <f t="shared" si="370"/>
        <v>15.4</v>
      </c>
      <c r="CO129" s="443">
        <f t="shared" si="371"/>
        <v>34.4</v>
      </c>
      <c r="CP129" s="443"/>
      <c r="CQ129" s="217">
        <f t="shared" si="372"/>
        <v>0.44767441860465118</v>
      </c>
      <c r="CR129" s="172">
        <f t="shared" si="429"/>
        <v>212.84736191860466</v>
      </c>
      <c r="CS129" s="172">
        <f t="shared" si="373"/>
        <v>28.5</v>
      </c>
      <c r="CT129" s="217">
        <f t="shared" si="374"/>
        <v>14.189824127906977</v>
      </c>
      <c r="CU129" s="217">
        <f t="shared" si="375"/>
        <v>15</v>
      </c>
      <c r="CV129" s="217"/>
      <c r="CW129" s="172">
        <f t="shared" si="376"/>
        <v>231.03283890063358</v>
      </c>
      <c r="CX129" s="172">
        <f t="shared" si="377"/>
        <v>15</v>
      </c>
      <c r="CY129" s="217">
        <f t="shared" si="378"/>
        <v>6.7012987012987013</v>
      </c>
      <c r="CZ129" s="217">
        <f t="shared" si="379"/>
        <v>4.2323991797676008</v>
      </c>
      <c r="DA129" s="217">
        <f t="shared" si="380"/>
        <v>5.2217911958171701</v>
      </c>
      <c r="DB129" s="197">
        <f t="shared" si="381"/>
        <v>70.881782945736433</v>
      </c>
      <c r="DC129" s="443">
        <f t="shared" si="382"/>
        <v>105.77320323297879</v>
      </c>
      <c r="DE129" s="217">
        <f t="shared" si="383"/>
        <v>10.000000000000002</v>
      </c>
      <c r="DF129" s="173">
        <f t="shared" si="384"/>
        <v>7.792207792207793</v>
      </c>
      <c r="DG129" s="173">
        <f t="shared" si="385"/>
        <v>2.7616279069767451</v>
      </c>
      <c r="DH129" s="173"/>
      <c r="DI129" s="173">
        <f t="shared" si="386"/>
        <v>7.7922077922077913</v>
      </c>
      <c r="DJ129" s="545">
        <f t="shared" si="387"/>
        <v>48.766666666666666</v>
      </c>
      <c r="DK129" s="528">
        <f t="shared" si="388"/>
        <v>2.7616279069767442</v>
      </c>
      <c r="DM129" s="173">
        <f t="shared" si="389"/>
        <v>3.7327380477785117</v>
      </c>
      <c r="DN129" s="173">
        <f t="shared" si="390"/>
        <v>10</v>
      </c>
      <c r="DO129" s="173">
        <f t="shared" si="391"/>
        <v>1.0278666666666667</v>
      </c>
      <c r="DQ129" s="545">
        <f t="shared" si="392"/>
        <v>1900</v>
      </c>
      <c r="DR129" s="460">
        <f t="shared" si="393"/>
        <v>48.766666666666666</v>
      </c>
      <c r="DT129">
        <f t="shared" si="430"/>
        <v>1900</v>
      </c>
      <c r="DU129">
        <f t="shared" si="431"/>
        <v>48.766666666666666</v>
      </c>
      <c r="DW129" s="5">
        <f t="shared" si="394"/>
        <v>20.505809979494192</v>
      </c>
      <c r="DX129" s="5">
        <f t="shared" si="395"/>
        <v>6.3157894736842106</v>
      </c>
      <c r="DY129" s="5">
        <f t="shared" si="396"/>
        <v>14.190020505809981</v>
      </c>
      <c r="DZ129" s="5"/>
      <c r="EA129" s="173">
        <f t="shared" si="397"/>
        <v>0.308</v>
      </c>
      <c r="EB129" s="173">
        <f t="shared" si="398"/>
        <v>29.26</v>
      </c>
      <c r="EC129" s="173">
        <f t="shared" si="399"/>
        <v>3.46</v>
      </c>
      <c r="ED129" s="173">
        <f t="shared" si="400"/>
        <v>8.4566473988439306</v>
      </c>
      <c r="EE129" s="460">
        <f t="shared" si="401"/>
        <v>80</v>
      </c>
      <c r="EF129" s="5">
        <f t="shared" si="402"/>
        <v>5.9125085440874914</v>
      </c>
      <c r="EH129" s="173">
        <f t="shared" si="403"/>
        <v>3.2041639575194441</v>
      </c>
      <c r="EI129" s="173">
        <f t="shared" si="404"/>
        <v>4.8027769744874336</v>
      </c>
      <c r="EK129" s="528">
        <f t="shared" si="405"/>
        <v>0.20533333333333331</v>
      </c>
      <c r="EL129" s="528">
        <f t="shared" si="406"/>
        <v>0.33551466666666668</v>
      </c>
      <c r="EM129" s="528">
        <f t="shared" si="407"/>
        <v>6.0958333333333324E-3</v>
      </c>
      <c r="EN129" s="528">
        <f t="shared" si="408"/>
        <v>5.7708522666666661E-3</v>
      </c>
      <c r="EO129">
        <f t="shared" si="409"/>
        <v>8.5500000000000003E-3</v>
      </c>
      <c r="EP129" s="460">
        <f t="shared" si="410"/>
        <v>14.645833333333334</v>
      </c>
      <c r="EQ129" s="460"/>
      <c r="ER129" s="460">
        <f t="shared" si="432"/>
        <v>561.26468559999989</v>
      </c>
      <c r="ES129" s="528">
        <f t="shared" si="411"/>
        <v>1.3299999999999998</v>
      </c>
      <c r="EV129" s="460">
        <f t="shared" si="412"/>
        <v>1329.9999999999998</v>
      </c>
      <c r="EW129" s="528">
        <f t="shared" si="413"/>
        <v>0.30799999999999994</v>
      </c>
      <c r="EX129" s="528">
        <f t="shared" si="414"/>
        <v>0.69199999999999995</v>
      </c>
      <c r="EY129" s="528">
        <f t="shared" si="415"/>
        <v>0.2625896974784947</v>
      </c>
      <c r="EZ129" s="528"/>
      <c r="FA129" s="528">
        <f t="shared" si="416"/>
        <v>4.8766666666666672E-3</v>
      </c>
      <c r="FB129" s="460">
        <f t="shared" si="417"/>
        <v>1267.4663641451614</v>
      </c>
      <c r="FC129" s="173">
        <f t="shared" si="418"/>
        <v>3.1587310497451608</v>
      </c>
      <c r="FD129" s="5">
        <f t="shared" si="419"/>
        <v>28.5</v>
      </c>
      <c r="FE129" s="173">
        <f t="shared" si="420"/>
        <v>0.90022559511997291</v>
      </c>
      <c r="FF129" s="5">
        <f t="shared" si="421"/>
        <v>90.022559511997287</v>
      </c>
      <c r="FI129" s="562">
        <f t="shared" si="422"/>
        <v>-50</v>
      </c>
      <c r="FJ129">
        <f t="shared" si="423"/>
        <v>-50</v>
      </c>
      <c r="FL129">
        <f t="shared" si="424"/>
        <v>0.38</v>
      </c>
    </row>
    <row r="130" spans="5:168">
      <c r="E130" s="170">
        <v>20</v>
      </c>
      <c r="F130" s="217">
        <f t="shared" si="425"/>
        <v>2</v>
      </c>
      <c r="G130" s="217"/>
      <c r="H130" s="217">
        <f t="shared" si="315"/>
        <v>30</v>
      </c>
      <c r="I130" s="541">
        <f t="shared" si="316"/>
        <v>18.753268114390085</v>
      </c>
      <c r="J130" s="172">
        <f t="shared" si="317"/>
        <v>15.548039131365949</v>
      </c>
      <c r="K130" s="172">
        <f t="shared" si="318"/>
        <v>34.301307245756036</v>
      </c>
      <c r="L130" s="443"/>
      <c r="M130" s="217">
        <f t="shared" si="319"/>
        <v>0.45330957820537332</v>
      </c>
      <c r="N130" s="172">
        <f t="shared" si="426"/>
        <v>212.72780107906019</v>
      </c>
      <c r="O130" s="172">
        <f t="shared" si="284"/>
        <v>30</v>
      </c>
      <c r="P130" s="217">
        <f t="shared" si="320"/>
        <v>14.18185340527068</v>
      </c>
      <c r="Q130" s="217">
        <f t="shared" si="321"/>
        <v>15</v>
      </c>
      <c r="R130" s="217"/>
      <c r="S130" s="172">
        <f t="shared" si="322"/>
        <v>215.69729595366431</v>
      </c>
      <c r="T130" s="172">
        <f t="shared" si="323"/>
        <v>15</v>
      </c>
      <c r="U130" s="217">
        <f t="shared" si="324"/>
        <v>7.3167552247744805</v>
      </c>
      <c r="V130" s="217">
        <f t="shared" si="325"/>
        <v>4.6819072900643226</v>
      </c>
      <c r="W130" s="217">
        <f t="shared" si="326"/>
        <v>5.6470826935447862</v>
      </c>
      <c r="X130" s="197">
        <f t="shared" si="327"/>
        <v>70.83708316481389</v>
      </c>
      <c r="Y130" s="443">
        <f t="shared" si="328"/>
        <v>94.975871527728614</v>
      </c>
      <c r="AA130" s="217">
        <f t="shared" si="329"/>
        <v>10</v>
      </c>
      <c r="AB130" s="173">
        <f t="shared" si="330"/>
        <v>7.7180150491078416</v>
      </c>
      <c r="AC130" s="173">
        <f t="shared" si="331"/>
        <v>2.7336083695046867</v>
      </c>
      <c r="AD130" s="173"/>
      <c r="AE130" s="173">
        <f t="shared" si="332"/>
        <v>7.7180150491078416</v>
      </c>
      <c r="AF130" s="545">
        <f t="shared" si="333"/>
        <v>51.826797104553151</v>
      </c>
      <c r="AG130" s="528">
        <f t="shared" si="334"/>
        <v>2.7336083695046871</v>
      </c>
      <c r="AI130" s="173">
        <f t="shared" si="335"/>
        <v>3.8480717659090788</v>
      </c>
      <c r="AJ130" s="173">
        <f t="shared" si="336"/>
        <v>10</v>
      </c>
      <c r="AK130" s="173">
        <f t="shared" si="337"/>
        <v>1.0296153126311731</v>
      </c>
      <c r="AM130" s="545">
        <f t="shared" si="338"/>
        <v>2000</v>
      </c>
      <c r="AN130" s="460">
        <f t="shared" si="339"/>
        <v>51.826797104553151</v>
      </c>
      <c r="AP130" s="460">
        <f t="shared" si="340"/>
        <v>2000</v>
      </c>
      <c r="AQ130" s="460">
        <f t="shared" si="341"/>
        <v>51.826797104553151</v>
      </c>
      <c r="AS130" s="5">
        <f t="shared" si="285"/>
        <v>19.295037622769609</v>
      </c>
      <c r="AT130" s="5">
        <f t="shared" si="342"/>
        <v>6.3988846780215072</v>
      </c>
      <c r="AU130" s="5">
        <f t="shared" si="343"/>
        <v>12.896152944748103</v>
      </c>
      <c r="AV130" s="5"/>
      <c r="AW130" s="173">
        <f t="shared" si="344"/>
        <v>0.33163369790325453</v>
      </c>
      <c r="AX130" s="173">
        <f t="shared" si="214"/>
        <v>31.096078262731893</v>
      </c>
      <c r="AY130" s="173">
        <f t="shared" si="215"/>
        <v>3.3418315104837273</v>
      </c>
      <c r="AZ130" s="173">
        <f t="shared" si="288"/>
        <v>9.3051005609288673</v>
      </c>
      <c r="BA130" s="460">
        <f t="shared" si="433"/>
        <v>85.318462373620093</v>
      </c>
      <c r="BB130" s="5">
        <f t="shared" si="434"/>
        <v>5.7306246863590671</v>
      </c>
      <c r="BD130" s="173">
        <f t="shared" si="289"/>
        <v>3.3248242956245297</v>
      </c>
      <c r="BE130" s="173">
        <f t="shared" si="218"/>
        <v>4.7200505014838754</v>
      </c>
      <c r="BG130" s="528">
        <f t="shared" si="347"/>
        <v>0.221089131935503</v>
      </c>
      <c r="BH130" s="528">
        <f t="shared" si="348"/>
        <v>0.33332379207126323</v>
      </c>
      <c r="BI130" s="528">
        <f t="shared" si="349"/>
        <v>2.4298045540294525E-2</v>
      </c>
      <c r="BJ130" s="528">
        <f t="shared" si="350"/>
        <v>6.0978356288836789E-3</v>
      </c>
      <c r="BK130">
        <f t="shared" si="351"/>
        <v>8.4389706514755389E-3</v>
      </c>
      <c r="BL130" s="460">
        <f t="shared" si="427"/>
        <v>32.737016191770067</v>
      </c>
      <c r="BM130" s="528">
        <f t="shared" si="352"/>
        <v>0.65459099957254052</v>
      </c>
      <c r="BN130" s="460">
        <f t="shared" si="353"/>
        <v>654.59099957254057</v>
      </c>
      <c r="BO130" s="528">
        <f t="shared" si="354"/>
        <v>1.4</v>
      </c>
      <c r="BR130" s="460">
        <f t="shared" si="355"/>
        <v>1400</v>
      </c>
      <c r="BS130" s="528">
        <f t="shared" si="356"/>
        <v>0.33163369790325448</v>
      </c>
      <c r="BT130" s="528">
        <f t="shared" si="357"/>
        <v>0.66836630209674541</v>
      </c>
      <c r="BU130" s="528">
        <f t="shared" si="358"/>
        <v>0.30574258280569822</v>
      </c>
      <c r="BV130" s="528"/>
      <c r="BW130" s="528">
        <f t="shared" si="359"/>
        <v>5.182679710455316E-3</v>
      </c>
      <c r="BX130" s="460">
        <f t="shared" si="360"/>
        <v>1310.9252625161535</v>
      </c>
      <c r="BY130" s="173">
        <f t="shared" si="361"/>
        <v>3.3041730383435732</v>
      </c>
      <c r="BZ130" s="5">
        <f t="shared" si="362"/>
        <v>30</v>
      </c>
      <c r="CA130" s="173">
        <f t="shared" si="363"/>
        <v>0.90078801732925695</v>
      </c>
      <c r="CB130" s="5">
        <f t="shared" si="364"/>
        <v>90.078801732925697</v>
      </c>
      <c r="CE130" s="562">
        <f t="shared" si="365"/>
        <v>-50</v>
      </c>
      <c r="CF130">
        <f t="shared" si="366"/>
        <v>-50</v>
      </c>
      <c r="CG130" s="173">
        <f t="shared" si="367"/>
        <v>0.4052982440952177</v>
      </c>
      <c r="CI130" s="170">
        <v>20</v>
      </c>
      <c r="CJ130" s="217">
        <f t="shared" si="428"/>
        <v>2</v>
      </c>
      <c r="CK130" s="217"/>
      <c r="CL130" s="217">
        <f t="shared" si="368"/>
        <v>30</v>
      </c>
      <c r="CM130" s="541">
        <f t="shared" si="369"/>
        <v>19</v>
      </c>
      <c r="CN130" s="443">
        <f t="shared" si="370"/>
        <v>15.4</v>
      </c>
      <c r="CO130" s="443">
        <f t="shared" si="371"/>
        <v>34.4</v>
      </c>
      <c r="CP130" s="443"/>
      <c r="CQ130" s="217">
        <f t="shared" si="372"/>
        <v>0.44767441860465118</v>
      </c>
      <c r="CR130" s="172">
        <f t="shared" si="429"/>
        <v>212.84736191860466</v>
      </c>
      <c r="CS130" s="172">
        <f t="shared" si="373"/>
        <v>30</v>
      </c>
      <c r="CT130" s="217">
        <f t="shared" si="374"/>
        <v>14.189824127906977</v>
      </c>
      <c r="CU130" s="217">
        <f t="shared" si="375"/>
        <v>15</v>
      </c>
      <c r="CV130" s="217"/>
      <c r="CW130" s="172">
        <f t="shared" si="376"/>
        <v>218.53471354485976</v>
      </c>
      <c r="CX130" s="172">
        <f t="shared" si="377"/>
        <v>15</v>
      </c>
      <c r="CY130" s="217">
        <f t="shared" si="378"/>
        <v>7.0539986329460014</v>
      </c>
      <c r="CZ130" s="217">
        <f t="shared" si="379"/>
        <v>4.4551570313343172</v>
      </c>
      <c r="DA130" s="217">
        <f t="shared" si="380"/>
        <v>5.4966223113864947</v>
      </c>
      <c r="DB130" s="197">
        <f t="shared" si="381"/>
        <v>70.881782945736433</v>
      </c>
      <c r="DC130" s="443">
        <f t="shared" si="382"/>
        <v>100.48454307132984</v>
      </c>
      <c r="DE130" s="217">
        <f t="shared" si="383"/>
        <v>10.000000000000002</v>
      </c>
      <c r="DF130" s="173">
        <f t="shared" si="384"/>
        <v>7.792207792207793</v>
      </c>
      <c r="DG130" s="173">
        <f t="shared" si="385"/>
        <v>2.7616279069767451</v>
      </c>
      <c r="DH130" s="173"/>
      <c r="DI130" s="173">
        <f t="shared" si="386"/>
        <v>7.7922077922077913</v>
      </c>
      <c r="DJ130" s="545">
        <f t="shared" si="387"/>
        <v>51.333333333333336</v>
      </c>
      <c r="DK130" s="528">
        <f t="shared" si="388"/>
        <v>2.7616279069767442</v>
      </c>
      <c r="DM130" s="173">
        <f t="shared" si="389"/>
        <v>3.8297084310253524</v>
      </c>
      <c r="DN130" s="173">
        <f t="shared" si="390"/>
        <v>10</v>
      </c>
      <c r="DO130" s="173">
        <f t="shared" si="391"/>
        <v>1.0293333333333334</v>
      </c>
      <c r="DQ130" s="545">
        <f t="shared" si="392"/>
        <v>2000</v>
      </c>
      <c r="DR130" s="460">
        <f t="shared" si="393"/>
        <v>51.333333333333336</v>
      </c>
      <c r="DT130">
        <f t="shared" si="430"/>
        <v>2000</v>
      </c>
      <c r="DU130">
        <f t="shared" si="431"/>
        <v>51.333333333333336</v>
      </c>
      <c r="DW130" s="5">
        <f t="shared" si="394"/>
        <v>19.480519480519479</v>
      </c>
      <c r="DX130" s="5">
        <f t="shared" si="395"/>
        <v>6.3157894736842106</v>
      </c>
      <c r="DY130" s="5">
        <f t="shared" si="396"/>
        <v>13.164730006835269</v>
      </c>
      <c r="DZ130" s="5"/>
      <c r="EA130" s="173">
        <f t="shared" si="397"/>
        <v>0.3242105263157895</v>
      </c>
      <c r="EB130" s="173">
        <f t="shared" si="398"/>
        <v>30.800000000000004</v>
      </c>
      <c r="EC130" s="173">
        <f t="shared" si="399"/>
        <v>3.3789473684210525</v>
      </c>
      <c r="ED130" s="173">
        <f t="shared" si="400"/>
        <v>9.1152647975077894</v>
      </c>
      <c r="EE130" s="460">
        <f t="shared" si="401"/>
        <v>84.210526315789465</v>
      </c>
      <c r="EF130" s="5">
        <f t="shared" si="402"/>
        <v>5.7740043889628376</v>
      </c>
      <c r="EH130" s="173">
        <f t="shared" si="403"/>
        <v>3.2874028569464455</v>
      </c>
      <c r="EI130" s="173">
        <f t="shared" si="404"/>
        <v>4.7461896074086294</v>
      </c>
      <c r="EK130" s="528">
        <f t="shared" si="405"/>
        <v>0.21614035087719305</v>
      </c>
      <c r="EL130" s="528">
        <f t="shared" si="406"/>
        <v>0.35317333333333334</v>
      </c>
      <c r="EM130" s="528">
        <f t="shared" si="407"/>
        <v>6.4166666666666669E-3</v>
      </c>
      <c r="EN130" s="528">
        <f t="shared" si="408"/>
        <v>6.0745813333333331E-3</v>
      </c>
      <c r="EO130">
        <f t="shared" si="409"/>
        <v>8.5500000000000003E-3</v>
      </c>
      <c r="EP130" s="460">
        <f t="shared" si="410"/>
        <v>14.966666666666667</v>
      </c>
      <c r="EQ130" s="460"/>
      <c r="ER130" s="460">
        <f t="shared" si="432"/>
        <v>590.35493221052639</v>
      </c>
      <c r="ES130" s="528">
        <f t="shared" si="411"/>
        <v>1.4</v>
      </c>
      <c r="EV130" s="460">
        <f t="shared" si="412"/>
        <v>1400</v>
      </c>
      <c r="EW130" s="528">
        <f t="shared" si="413"/>
        <v>0.32421052631578956</v>
      </c>
      <c r="EX130" s="528">
        <f t="shared" si="414"/>
        <v>0.67578947368421027</v>
      </c>
      <c r="EY130" s="528">
        <f t="shared" si="415"/>
        <v>0.29851672586540179</v>
      </c>
      <c r="EZ130" s="528"/>
      <c r="FA130" s="528">
        <f t="shared" si="416"/>
        <v>5.1333333333333335E-3</v>
      </c>
      <c r="FB130" s="460">
        <f t="shared" si="417"/>
        <v>1303.6500591987351</v>
      </c>
      <c r="FC130" s="173">
        <f t="shared" si="418"/>
        <v>3.2940049914092615</v>
      </c>
      <c r="FD130" s="5">
        <f t="shared" si="419"/>
        <v>30</v>
      </c>
      <c r="FE130" s="173">
        <f t="shared" si="420"/>
        <v>0.90106311955382956</v>
      </c>
      <c r="FF130" s="5">
        <f t="shared" si="421"/>
        <v>90.106311955382949</v>
      </c>
      <c r="FI130" s="562">
        <f t="shared" si="422"/>
        <v>-50</v>
      </c>
      <c r="FJ130">
        <f t="shared" si="423"/>
        <v>-50</v>
      </c>
      <c r="FL130">
        <f t="shared" si="424"/>
        <v>0.4</v>
      </c>
    </row>
    <row r="131" spans="5:168">
      <c r="E131" s="170">
        <v>21</v>
      </c>
      <c r="F131" s="217">
        <f t="shared" si="425"/>
        <v>2.1</v>
      </c>
      <c r="G131" s="217"/>
      <c r="H131" s="217">
        <f t="shared" si="315"/>
        <v>31.5</v>
      </c>
      <c r="I131" s="541">
        <f t="shared" si="316"/>
        <v>18.753268114390085</v>
      </c>
      <c r="J131" s="172">
        <f t="shared" si="317"/>
        <v>15.548039131365949</v>
      </c>
      <c r="K131" s="172">
        <f t="shared" si="318"/>
        <v>34.301307245756036</v>
      </c>
      <c r="L131" s="443"/>
      <c r="M131" s="217">
        <f t="shared" si="319"/>
        <v>0.45330957820537332</v>
      </c>
      <c r="N131" s="172">
        <f t="shared" si="426"/>
        <v>212.72780107906019</v>
      </c>
      <c r="O131" s="172">
        <f t="shared" si="284"/>
        <v>31.5</v>
      </c>
      <c r="P131" s="217">
        <f t="shared" si="320"/>
        <v>14.18185340527068</v>
      </c>
      <c r="Q131" s="217">
        <f t="shared" si="321"/>
        <v>15</v>
      </c>
      <c r="R131" s="217"/>
      <c r="S131" s="172">
        <f t="shared" si="322"/>
        <v>204.53652679949019</v>
      </c>
      <c r="T131" s="172">
        <f t="shared" si="323"/>
        <v>15</v>
      </c>
      <c r="U131" s="217">
        <f t="shared" si="324"/>
        <v>7.6825929860132041</v>
      </c>
      <c r="V131" s="217">
        <f t="shared" si="325"/>
        <v>4.9160026545675395</v>
      </c>
      <c r="W131" s="217">
        <f t="shared" si="326"/>
        <v>5.929436828222026</v>
      </c>
      <c r="X131" s="197">
        <f t="shared" si="327"/>
        <v>70.83708316481389</v>
      </c>
      <c r="Y131" s="443">
        <f t="shared" si="328"/>
        <v>90.535102886412858</v>
      </c>
      <c r="AA131" s="217">
        <f t="shared" si="329"/>
        <v>10</v>
      </c>
      <c r="AB131" s="173">
        <f t="shared" si="330"/>
        <v>7.7180150491078416</v>
      </c>
      <c r="AC131" s="173">
        <f t="shared" si="331"/>
        <v>2.7336083695046867</v>
      </c>
      <c r="AD131" s="173"/>
      <c r="AE131" s="173">
        <f t="shared" si="332"/>
        <v>7.7180150491078416</v>
      </c>
      <c r="AF131" s="545">
        <f t="shared" si="333"/>
        <v>54.418136959780817</v>
      </c>
      <c r="AG131" s="528">
        <f t="shared" si="334"/>
        <v>2.7336083695046871</v>
      </c>
      <c r="AI131" s="173">
        <f t="shared" si="335"/>
        <v>3.9431001929149541</v>
      </c>
      <c r="AJ131" s="173">
        <f t="shared" si="336"/>
        <v>10</v>
      </c>
      <c r="AK131" s="173">
        <f t="shared" si="337"/>
        <v>1.0310960782627319</v>
      </c>
      <c r="AM131" s="545">
        <f t="shared" si="338"/>
        <v>2100</v>
      </c>
      <c r="AN131" s="460">
        <f t="shared" si="339"/>
        <v>54.418136959780817</v>
      </c>
      <c r="AP131" s="460">
        <f t="shared" si="340"/>
        <v>2100</v>
      </c>
      <c r="AQ131" s="460">
        <f t="shared" si="341"/>
        <v>54.418136959780817</v>
      </c>
      <c r="AS131" s="5">
        <f t="shared" si="285"/>
        <v>18.376226307399623</v>
      </c>
      <c r="AT131" s="5">
        <f t="shared" si="342"/>
        <v>6.3988846780215072</v>
      </c>
      <c r="AU131" s="5">
        <f t="shared" si="343"/>
        <v>11.977341629378117</v>
      </c>
      <c r="AV131" s="5"/>
      <c r="AW131" s="173">
        <f t="shared" si="344"/>
        <v>0.34821538279841735</v>
      </c>
      <c r="AX131" s="173">
        <f t="shared" si="214"/>
        <v>32.650882175868496</v>
      </c>
      <c r="AY131" s="173">
        <f t="shared" si="215"/>
        <v>3.258923086007913</v>
      </c>
      <c r="AZ131" s="173">
        <f t="shared" si="288"/>
        <v>10.018917695865259</v>
      </c>
      <c r="BA131" s="460">
        <f t="shared" si="433"/>
        <v>89.584385492301109</v>
      </c>
      <c r="BB131" s="5">
        <f t="shared" si="434"/>
        <v>5.5884520296833076</v>
      </c>
      <c r="BD131" s="173">
        <f t="shared" si="289"/>
        <v>3.4069310862730862</v>
      </c>
      <c r="BE131" s="173">
        <f t="shared" si="218"/>
        <v>4.6611322558708226</v>
      </c>
      <c r="BG131" s="528">
        <f t="shared" si="347"/>
        <v>0.23214358853227823</v>
      </c>
      <c r="BH131" s="528">
        <f t="shared" si="348"/>
        <v>0.34998998167482637</v>
      </c>
      <c r="BI131" s="528">
        <f t="shared" si="349"/>
        <v>2.5512947817309256E-2</v>
      </c>
      <c r="BJ131" s="528">
        <f t="shared" si="350"/>
        <v>6.4027274103278633E-3</v>
      </c>
      <c r="BK131">
        <f t="shared" si="351"/>
        <v>8.4389706514755389E-3</v>
      </c>
      <c r="BL131" s="460">
        <f t="shared" si="427"/>
        <v>33.951918468784797</v>
      </c>
      <c r="BM131" s="528">
        <f t="shared" si="352"/>
        <v>0.68923121064140558</v>
      </c>
      <c r="BN131" s="460">
        <f t="shared" si="353"/>
        <v>689.2312106414056</v>
      </c>
      <c r="BO131" s="528">
        <f t="shared" si="354"/>
        <v>1.47</v>
      </c>
      <c r="BR131" s="460">
        <f t="shared" si="355"/>
        <v>1470</v>
      </c>
      <c r="BS131" s="528">
        <f t="shared" si="356"/>
        <v>0.34821538279841729</v>
      </c>
      <c r="BT131" s="528">
        <f t="shared" si="357"/>
        <v>0.65178461720158276</v>
      </c>
      <c r="BU131" s="528">
        <f t="shared" si="358"/>
        <v>0.34540544353567165</v>
      </c>
      <c r="BV131" s="528"/>
      <c r="BW131" s="528">
        <f t="shared" si="359"/>
        <v>5.4418136959780818E-3</v>
      </c>
      <c r="BX131" s="460">
        <f t="shared" si="360"/>
        <v>1350.8472572316498</v>
      </c>
      <c r="BY131" s="173">
        <f t="shared" si="361"/>
        <v>3.4433354733178669</v>
      </c>
      <c r="BZ131" s="5">
        <f t="shared" si="362"/>
        <v>31.5</v>
      </c>
      <c r="CA131" s="173">
        <f t="shared" si="363"/>
        <v>0.90145945065985078</v>
      </c>
      <c r="CB131" s="5">
        <f t="shared" si="364"/>
        <v>90.145945065985075</v>
      </c>
      <c r="CE131" s="562">
        <f t="shared" si="365"/>
        <v>-50</v>
      </c>
      <c r="CF131">
        <f t="shared" si="366"/>
        <v>-50</v>
      </c>
      <c r="CG131" s="173">
        <f t="shared" si="367"/>
        <v>0.42556315629997865</v>
      </c>
      <c r="CI131" s="170">
        <v>21</v>
      </c>
      <c r="CJ131" s="217">
        <f t="shared" si="428"/>
        <v>2.1</v>
      </c>
      <c r="CK131" s="217"/>
      <c r="CL131" s="217">
        <f t="shared" si="368"/>
        <v>31.5</v>
      </c>
      <c r="CM131" s="541">
        <f t="shared" si="369"/>
        <v>19</v>
      </c>
      <c r="CN131" s="443">
        <f t="shared" si="370"/>
        <v>15.4</v>
      </c>
      <c r="CO131" s="443">
        <f t="shared" si="371"/>
        <v>34.4</v>
      </c>
      <c r="CP131" s="443"/>
      <c r="CQ131" s="217">
        <f t="shared" si="372"/>
        <v>0.44767441860465118</v>
      </c>
      <c r="CR131" s="172">
        <f t="shared" si="429"/>
        <v>212.84736191860466</v>
      </c>
      <c r="CS131" s="172">
        <f t="shared" si="373"/>
        <v>31.5</v>
      </c>
      <c r="CT131" s="217">
        <f t="shared" si="374"/>
        <v>14.189824127906977</v>
      </c>
      <c r="CU131" s="217">
        <f t="shared" si="375"/>
        <v>15</v>
      </c>
      <c r="CV131" s="217"/>
      <c r="CW131" s="172">
        <f t="shared" si="376"/>
        <v>207.22708027887251</v>
      </c>
      <c r="CX131" s="172">
        <f t="shared" si="377"/>
        <v>15</v>
      </c>
      <c r="CY131" s="217">
        <f t="shared" si="378"/>
        <v>7.4066985645933014</v>
      </c>
      <c r="CZ131" s="217">
        <f t="shared" si="379"/>
        <v>4.6779148829010326</v>
      </c>
      <c r="DA131" s="217">
        <f t="shared" si="380"/>
        <v>5.7714534269558193</v>
      </c>
      <c r="DB131" s="197">
        <f t="shared" si="381"/>
        <v>70.881782945736433</v>
      </c>
      <c r="DC131" s="443">
        <f t="shared" si="382"/>
        <v>95.699564829837968</v>
      </c>
      <c r="DE131" s="217">
        <f t="shared" si="383"/>
        <v>10.000000000000002</v>
      </c>
      <c r="DF131" s="173">
        <f t="shared" si="384"/>
        <v>7.792207792207793</v>
      </c>
      <c r="DG131" s="173">
        <f t="shared" si="385"/>
        <v>2.7616279069767451</v>
      </c>
      <c r="DH131" s="173"/>
      <c r="DI131" s="173">
        <f t="shared" si="386"/>
        <v>7.7922077922077913</v>
      </c>
      <c r="DJ131" s="545">
        <f t="shared" si="387"/>
        <v>53.900000000000006</v>
      </c>
      <c r="DK131" s="528">
        <f t="shared" si="388"/>
        <v>2.7616279069767442</v>
      </c>
      <c r="DM131" s="173">
        <f t="shared" si="389"/>
        <v>3.9242833740697169</v>
      </c>
      <c r="DN131" s="173">
        <f t="shared" si="390"/>
        <v>10</v>
      </c>
      <c r="DO131" s="173">
        <f t="shared" si="391"/>
        <v>1.0307999999999999</v>
      </c>
      <c r="DQ131" s="545">
        <f t="shared" si="392"/>
        <v>2100</v>
      </c>
      <c r="DR131" s="460">
        <f t="shared" si="393"/>
        <v>53.900000000000006</v>
      </c>
      <c r="DT131">
        <f t="shared" si="430"/>
        <v>2100</v>
      </c>
      <c r="DU131">
        <f t="shared" si="431"/>
        <v>53.900000000000006</v>
      </c>
      <c r="DW131" s="5">
        <f t="shared" si="394"/>
        <v>18.552875695732837</v>
      </c>
      <c r="DX131" s="5">
        <f t="shared" si="395"/>
        <v>6.3157894736842106</v>
      </c>
      <c r="DY131" s="5">
        <f t="shared" si="396"/>
        <v>12.237086222048626</v>
      </c>
      <c r="DZ131" s="5"/>
      <c r="EA131" s="173">
        <f t="shared" si="397"/>
        <v>0.34042105263157896</v>
      </c>
      <c r="EB131" s="173">
        <f t="shared" si="398"/>
        <v>32.340000000000011</v>
      </c>
      <c r="EC131" s="173">
        <f t="shared" si="399"/>
        <v>3.297894736842105</v>
      </c>
      <c r="ED131" s="173">
        <f t="shared" si="400"/>
        <v>9.8062559846792254</v>
      </c>
      <c r="EE131" s="460">
        <f t="shared" si="401"/>
        <v>88.421052631578959</v>
      </c>
      <c r="EF131" s="5">
        <f t="shared" si="402"/>
        <v>5.6355002338381839</v>
      </c>
      <c r="EH131" s="173">
        <f t="shared" si="403"/>
        <v>3.3685855223005152</v>
      </c>
      <c r="EI131" s="173">
        <f t="shared" si="404"/>
        <v>4.6889193757496725</v>
      </c>
      <c r="EK131" s="528">
        <f t="shared" si="405"/>
        <v>0.22694736842105273</v>
      </c>
      <c r="EL131" s="528">
        <f t="shared" si="406"/>
        <v>0.37083200000000011</v>
      </c>
      <c r="EM131" s="528">
        <f t="shared" si="407"/>
        <v>6.7375000000000004E-3</v>
      </c>
      <c r="EN131" s="528">
        <f t="shared" si="408"/>
        <v>6.3783104E-3</v>
      </c>
      <c r="EO131">
        <f t="shared" si="409"/>
        <v>8.5500000000000003E-3</v>
      </c>
      <c r="EP131" s="460">
        <f t="shared" si="410"/>
        <v>15.287500000000001</v>
      </c>
      <c r="EQ131" s="460"/>
      <c r="ER131" s="460">
        <f t="shared" si="432"/>
        <v>619.44517882105276</v>
      </c>
      <c r="ES131" s="528">
        <f t="shared" si="411"/>
        <v>1.47</v>
      </c>
      <c r="EV131" s="460">
        <f t="shared" si="412"/>
        <v>1470</v>
      </c>
      <c r="EW131" s="528">
        <f t="shared" si="413"/>
        <v>0.34042105263157907</v>
      </c>
      <c r="EX131" s="528">
        <f t="shared" si="414"/>
        <v>0.65957894736842093</v>
      </c>
      <c r="EY131" s="528">
        <f t="shared" si="415"/>
        <v>0.33724220275159505</v>
      </c>
      <c r="EZ131" s="528"/>
      <c r="FA131" s="528">
        <f t="shared" si="416"/>
        <v>5.3900000000000007E-3</v>
      </c>
      <c r="FB131" s="460">
        <f t="shared" si="417"/>
        <v>1342.6322027515951</v>
      </c>
      <c r="FC131" s="173">
        <f t="shared" si="418"/>
        <v>3.4320773815726473</v>
      </c>
      <c r="FD131" s="5">
        <f t="shared" si="419"/>
        <v>31.5</v>
      </c>
      <c r="FE131" s="173">
        <f t="shared" si="420"/>
        <v>0.90174997770435683</v>
      </c>
      <c r="FF131" s="5">
        <f t="shared" si="421"/>
        <v>90.174997770435681</v>
      </c>
      <c r="FI131" s="562">
        <f t="shared" si="422"/>
        <v>-50</v>
      </c>
      <c r="FJ131">
        <f t="shared" si="423"/>
        <v>-50</v>
      </c>
      <c r="FL131">
        <f t="shared" si="424"/>
        <v>0.42000000000000004</v>
      </c>
    </row>
    <row r="132" spans="5:168">
      <c r="E132" s="170">
        <v>22</v>
      </c>
      <c r="F132" s="217">
        <f t="shared" si="425"/>
        <v>2.2000000000000002</v>
      </c>
      <c r="G132" s="217"/>
      <c r="H132" s="217">
        <f t="shared" si="315"/>
        <v>33</v>
      </c>
      <c r="I132" s="541">
        <f t="shared" si="316"/>
        <v>18.753268114390085</v>
      </c>
      <c r="J132" s="172">
        <f t="shared" si="317"/>
        <v>15.548039131365949</v>
      </c>
      <c r="K132" s="172">
        <f t="shared" si="318"/>
        <v>34.301307245756036</v>
      </c>
      <c r="L132" s="443"/>
      <c r="M132" s="217">
        <f t="shared" si="319"/>
        <v>0.45330957820537332</v>
      </c>
      <c r="N132" s="172">
        <f t="shared" si="426"/>
        <v>212.72780107906019</v>
      </c>
      <c r="O132" s="172">
        <f t="shared" si="284"/>
        <v>33</v>
      </c>
      <c r="P132" s="217">
        <f t="shared" si="320"/>
        <v>14.18185340527068</v>
      </c>
      <c r="Q132" s="217">
        <f t="shared" si="321"/>
        <v>15</v>
      </c>
      <c r="R132" s="217"/>
      <c r="S132" s="172">
        <f t="shared" si="322"/>
        <v>194.39056097069849</v>
      </c>
      <c r="T132" s="172">
        <f t="shared" si="323"/>
        <v>15</v>
      </c>
      <c r="U132" s="217">
        <f t="shared" si="324"/>
        <v>8.0484307472519276</v>
      </c>
      <c r="V132" s="217">
        <f t="shared" si="325"/>
        <v>5.1500980190707546</v>
      </c>
      <c r="W132" s="217">
        <f t="shared" si="326"/>
        <v>6.2117909628992649</v>
      </c>
      <c r="X132" s="197">
        <f t="shared" si="327"/>
        <v>70.83708316481389</v>
      </c>
      <c r="Y132" s="443">
        <f t="shared" si="328"/>
        <v>86.491057089324428</v>
      </c>
      <c r="AA132" s="217">
        <f t="shared" si="329"/>
        <v>10</v>
      </c>
      <c r="AB132" s="173">
        <f t="shared" si="330"/>
        <v>7.7180150491078416</v>
      </c>
      <c r="AC132" s="173">
        <f t="shared" si="331"/>
        <v>2.7336083695046867</v>
      </c>
      <c r="AD132" s="173"/>
      <c r="AE132" s="173">
        <f t="shared" si="332"/>
        <v>7.7180150491078416</v>
      </c>
      <c r="AF132" s="545">
        <f t="shared" si="333"/>
        <v>57.009476815008476</v>
      </c>
      <c r="AG132" s="528">
        <f t="shared" si="334"/>
        <v>2.7336083695046871</v>
      </c>
      <c r="AI132" s="173">
        <f t="shared" si="335"/>
        <v>4.0358917164791821</v>
      </c>
      <c r="AJ132" s="173">
        <f t="shared" si="336"/>
        <v>10</v>
      </c>
      <c r="AK132" s="173">
        <f t="shared" si="337"/>
        <v>1.0325768438942906</v>
      </c>
      <c r="AM132" s="545">
        <f t="shared" si="338"/>
        <v>2200</v>
      </c>
      <c r="AN132" s="460">
        <f t="shared" si="339"/>
        <v>57.009476815008476</v>
      </c>
      <c r="AP132" s="460">
        <f t="shared" si="340"/>
        <v>2200</v>
      </c>
      <c r="AQ132" s="460">
        <f t="shared" si="341"/>
        <v>57.009476815008476</v>
      </c>
      <c r="AS132" s="5">
        <f t="shared" si="285"/>
        <v>17.54094329342691</v>
      </c>
      <c r="AT132" s="5">
        <f t="shared" si="342"/>
        <v>6.3988846780215072</v>
      </c>
      <c r="AU132" s="5">
        <f t="shared" si="343"/>
        <v>11.142058615405404</v>
      </c>
      <c r="AV132" s="5"/>
      <c r="AW132" s="173">
        <f t="shared" si="344"/>
        <v>0.36479706769358017</v>
      </c>
      <c r="AX132" s="173">
        <f t="shared" si="214"/>
        <v>34.205686089005084</v>
      </c>
      <c r="AY132" s="173">
        <f t="shared" si="215"/>
        <v>3.1760146615320997</v>
      </c>
      <c r="AZ132" s="173">
        <f t="shared" si="288"/>
        <v>10.770002576910136</v>
      </c>
      <c r="BA132" s="460">
        <f t="shared" si="433"/>
        <v>93.850308610982125</v>
      </c>
      <c r="BB132" s="5">
        <f t="shared" si="434"/>
        <v>5.4462793730075472</v>
      </c>
      <c r="BD132" s="173">
        <f t="shared" si="289"/>
        <v>3.4871051398620994</v>
      </c>
      <c r="BE132" s="173">
        <f t="shared" si="218"/>
        <v>4.6014596680706292</v>
      </c>
      <c r="BG132" s="528">
        <f t="shared" si="347"/>
        <v>0.24319804512905344</v>
      </c>
      <c r="BH132" s="528">
        <f t="shared" si="348"/>
        <v>0.36665617127838956</v>
      </c>
      <c r="BI132" s="528">
        <f t="shared" si="349"/>
        <v>2.672785009432398E-2</v>
      </c>
      <c r="BJ132" s="528">
        <f t="shared" si="350"/>
        <v>6.7076191917720476E-3</v>
      </c>
      <c r="BK132">
        <f t="shared" si="351"/>
        <v>8.4389706514755389E-3</v>
      </c>
      <c r="BL132" s="460">
        <f t="shared" si="427"/>
        <v>35.166820745799519</v>
      </c>
      <c r="BM132" s="528">
        <f t="shared" si="352"/>
        <v>0.72406454907700746</v>
      </c>
      <c r="BN132" s="460">
        <f t="shared" si="353"/>
        <v>724.06454907700743</v>
      </c>
      <c r="BO132" s="528">
        <f t="shared" si="354"/>
        <v>1.54</v>
      </c>
      <c r="BR132" s="460">
        <f t="shared" si="355"/>
        <v>1540</v>
      </c>
      <c r="BS132" s="528">
        <f t="shared" si="356"/>
        <v>0.36479706769358011</v>
      </c>
      <c r="BT132" s="528">
        <f t="shared" si="357"/>
        <v>0.63520293230641989</v>
      </c>
      <c r="BU132" s="528">
        <f t="shared" si="358"/>
        <v>0.38800528659190409</v>
      </c>
      <c r="BV132" s="528"/>
      <c r="BW132" s="528">
        <f t="shared" si="359"/>
        <v>5.7009476815008484E-3</v>
      </c>
      <c r="BX132" s="460">
        <f t="shared" si="360"/>
        <v>1393.706234273405</v>
      </c>
      <c r="BY132" s="173">
        <f t="shared" si="361"/>
        <v>3.5854348906184201</v>
      </c>
      <c r="BZ132" s="5">
        <f t="shared" si="362"/>
        <v>33</v>
      </c>
      <c r="CA132" s="173">
        <f t="shared" si="363"/>
        <v>0.90199829791997821</v>
      </c>
      <c r="CB132" s="5">
        <f t="shared" si="364"/>
        <v>90.199829791997814</v>
      </c>
      <c r="CE132" s="562">
        <f t="shared" si="365"/>
        <v>-50</v>
      </c>
      <c r="CF132">
        <f t="shared" si="366"/>
        <v>-50</v>
      </c>
      <c r="CG132" s="173">
        <f t="shared" si="367"/>
        <v>0.44582806850473949</v>
      </c>
      <c r="CI132" s="170">
        <v>22</v>
      </c>
      <c r="CJ132" s="217">
        <f t="shared" si="428"/>
        <v>2.2000000000000002</v>
      </c>
      <c r="CK132" s="217"/>
      <c r="CL132" s="217">
        <f t="shared" si="368"/>
        <v>33</v>
      </c>
      <c r="CM132" s="541">
        <f t="shared" si="369"/>
        <v>19</v>
      </c>
      <c r="CN132" s="443">
        <f t="shared" si="370"/>
        <v>15.4</v>
      </c>
      <c r="CO132" s="443">
        <f t="shared" si="371"/>
        <v>34.4</v>
      </c>
      <c r="CP132" s="443"/>
      <c r="CQ132" s="217">
        <f t="shared" si="372"/>
        <v>0.44767441860465118</v>
      </c>
      <c r="CR132" s="172">
        <f t="shared" si="429"/>
        <v>212.84736191860466</v>
      </c>
      <c r="CS132" s="172">
        <f t="shared" si="373"/>
        <v>33</v>
      </c>
      <c r="CT132" s="217">
        <f t="shared" si="374"/>
        <v>14.189824127906977</v>
      </c>
      <c r="CU132" s="217">
        <f t="shared" si="375"/>
        <v>15</v>
      </c>
      <c r="CV132" s="217"/>
      <c r="CW132" s="172">
        <f t="shared" si="376"/>
        <v>196.94760163806308</v>
      </c>
      <c r="CX132" s="172">
        <f t="shared" si="377"/>
        <v>15</v>
      </c>
      <c r="CY132" s="217">
        <f t="shared" si="378"/>
        <v>7.7593984962406015</v>
      </c>
      <c r="CZ132" s="217">
        <f t="shared" si="379"/>
        <v>4.9006727344677481</v>
      </c>
      <c r="DA132" s="217">
        <f t="shared" si="380"/>
        <v>6.0462845425251448</v>
      </c>
      <c r="DB132" s="197">
        <f t="shared" si="381"/>
        <v>70.881782945736433</v>
      </c>
      <c r="DC132" s="443">
        <f t="shared" si="382"/>
        <v>91.349584610299843</v>
      </c>
      <c r="DE132" s="217">
        <f t="shared" si="383"/>
        <v>10.000000000000002</v>
      </c>
      <c r="DF132" s="173">
        <f t="shared" si="384"/>
        <v>7.792207792207793</v>
      </c>
      <c r="DG132" s="173">
        <f t="shared" si="385"/>
        <v>2.7616279069767451</v>
      </c>
      <c r="DH132" s="173"/>
      <c r="DI132" s="173">
        <f t="shared" si="386"/>
        <v>7.7922077922077913</v>
      </c>
      <c r="DJ132" s="545">
        <f t="shared" si="387"/>
        <v>56.466666666666669</v>
      </c>
      <c r="DK132" s="528">
        <f t="shared" si="388"/>
        <v>2.7616279069767442</v>
      </c>
      <c r="DM132" s="173">
        <f t="shared" si="389"/>
        <v>4.0166320883712183</v>
      </c>
      <c r="DN132" s="173">
        <f t="shared" si="390"/>
        <v>10</v>
      </c>
      <c r="DO132" s="173">
        <f t="shared" si="391"/>
        <v>1.0322666666666667</v>
      </c>
      <c r="DQ132" s="545">
        <f t="shared" si="392"/>
        <v>2200</v>
      </c>
      <c r="DR132" s="460">
        <f t="shared" si="393"/>
        <v>56.466666666666669</v>
      </c>
      <c r="DT132">
        <f t="shared" si="430"/>
        <v>2200</v>
      </c>
      <c r="DU132">
        <f t="shared" si="431"/>
        <v>56.466666666666669</v>
      </c>
      <c r="DW132" s="5">
        <f t="shared" si="394"/>
        <v>17.709563164108616</v>
      </c>
      <c r="DX132" s="5">
        <f t="shared" si="395"/>
        <v>6.3157894736842106</v>
      </c>
      <c r="DY132" s="5">
        <f t="shared" si="396"/>
        <v>11.393773690424405</v>
      </c>
      <c r="DZ132" s="5"/>
      <c r="EA132" s="173">
        <f t="shared" si="397"/>
        <v>0.35663157894736847</v>
      </c>
      <c r="EB132" s="173">
        <f t="shared" si="398"/>
        <v>33.88000000000001</v>
      </c>
      <c r="EC132" s="173">
        <f t="shared" si="399"/>
        <v>3.2168421052631579</v>
      </c>
      <c r="ED132" s="173">
        <f t="shared" si="400"/>
        <v>10.532068062827229</v>
      </c>
      <c r="EE132" s="460">
        <f t="shared" si="401"/>
        <v>92.631578947368425</v>
      </c>
      <c r="EF132" s="5">
        <f t="shared" si="402"/>
        <v>5.4969960787135292</v>
      </c>
      <c r="EH132" s="173">
        <f t="shared" si="403"/>
        <v>3.4478572038652668</v>
      </c>
      <c r="EI132" s="173">
        <f t="shared" si="404"/>
        <v>4.6309409448931351</v>
      </c>
      <c r="EK132" s="528">
        <f t="shared" si="405"/>
        <v>0.2377543859649123</v>
      </c>
      <c r="EL132" s="528">
        <f t="shared" si="406"/>
        <v>0.38849066666666665</v>
      </c>
      <c r="EM132" s="528">
        <f t="shared" si="407"/>
        <v>7.0583333333333331E-3</v>
      </c>
      <c r="EN132" s="528">
        <f t="shared" si="408"/>
        <v>6.682039466666667E-3</v>
      </c>
      <c r="EO132">
        <f t="shared" si="409"/>
        <v>8.5500000000000003E-3</v>
      </c>
      <c r="EP132" s="460">
        <f t="shared" si="410"/>
        <v>15.608333333333334</v>
      </c>
      <c r="EQ132" s="460"/>
      <c r="ER132" s="460">
        <f t="shared" si="432"/>
        <v>648.5354254315788</v>
      </c>
      <c r="ES132" s="528">
        <f t="shared" si="411"/>
        <v>1.54</v>
      </c>
      <c r="EV132" s="460">
        <f t="shared" si="412"/>
        <v>1540</v>
      </c>
      <c r="EW132" s="528">
        <f t="shared" si="413"/>
        <v>0.35663157894736847</v>
      </c>
      <c r="EX132" s="528">
        <f t="shared" si="414"/>
        <v>0.64336842105263159</v>
      </c>
      <c r="EY132" s="528">
        <f t="shared" si="415"/>
        <v>0.37883524993144391</v>
      </c>
      <c r="EZ132" s="528"/>
      <c r="FA132" s="528">
        <f t="shared" si="416"/>
        <v>5.646666666666667E-3</v>
      </c>
      <c r="FB132" s="460">
        <f t="shared" si="417"/>
        <v>1384.4819165981105</v>
      </c>
      <c r="FC132" s="173">
        <f t="shared" si="418"/>
        <v>3.5730173420296896</v>
      </c>
      <c r="FD132" s="5">
        <f t="shared" si="419"/>
        <v>33</v>
      </c>
      <c r="FE132" s="173">
        <f t="shared" si="420"/>
        <v>0.90230455123199316</v>
      </c>
      <c r="FF132" s="5">
        <f t="shared" si="421"/>
        <v>90.23045512319932</v>
      </c>
      <c r="FI132" s="562">
        <f t="shared" si="422"/>
        <v>-50</v>
      </c>
      <c r="FJ132">
        <f t="shared" si="423"/>
        <v>-50</v>
      </c>
      <c r="FL132">
        <f t="shared" si="424"/>
        <v>0.44000000000000006</v>
      </c>
    </row>
    <row r="133" spans="5:168">
      <c r="E133" s="170">
        <v>23</v>
      </c>
      <c r="F133" s="217">
        <f t="shared" si="425"/>
        <v>2.3000000000000003</v>
      </c>
      <c r="G133" s="217"/>
      <c r="H133" s="217">
        <f t="shared" si="315"/>
        <v>34.500000000000007</v>
      </c>
      <c r="I133" s="541">
        <f t="shared" si="316"/>
        <v>18.753268114390085</v>
      </c>
      <c r="J133" s="172">
        <f t="shared" si="317"/>
        <v>15.548039131365949</v>
      </c>
      <c r="K133" s="172">
        <f t="shared" si="318"/>
        <v>34.301307245756036</v>
      </c>
      <c r="L133" s="443"/>
      <c r="M133" s="217">
        <f t="shared" si="319"/>
        <v>0.45330957820537332</v>
      </c>
      <c r="N133" s="172">
        <f t="shared" si="426"/>
        <v>212.72780107906019</v>
      </c>
      <c r="O133" s="172">
        <f t="shared" si="284"/>
        <v>34.500000000000007</v>
      </c>
      <c r="P133" s="217">
        <f t="shared" si="320"/>
        <v>14.18185340527068</v>
      </c>
      <c r="Q133" s="217">
        <f t="shared" si="321"/>
        <v>15</v>
      </c>
      <c r="R133" s="217"/>
      <c r="S133" s="172">
        <f t="shared" si="322"/>
        <v>185.12703511549466</v>
      </c>
      <c r="T133" s="172">
        <f t="shared" si="323"/>
        <v>15</v>
      </c>
      <c r="U133" s="217">
        <f t="shared" si="324"/>
        <v>8.4142685084906539</v>
      </c>
      <c r="V133" s="217">
        <f t="shared" si="325"/>
        <v>5.3841933835739724</v>
      </c>
      <c r="W133" s="217">
        <f t="shared" si="326"/>
        <v>6.4941450975765056</v>
      </c>
      <c r="X133" s="197">
        <f t="shared" si="327"/>
        <v>70.83708316481389</v>
      </c>
      <c r="Y133" s="443">
        <f t="shared" si="328"/>
        <v>82.792844525810025</v>
      </c>
      <c r="AA133" s="217">
        <f t="shared" si="329"/>
        <v>10</v>
      </c>
      <c r="AB133" s="173">
        <f t="shared" si="330"/>
        <v>7.7180150491078416</v>
      </c>
      <c r="AC133" s="173">
        <f t="shared" si="331"/>
        <v>2.7336083695046867</v>
      </c>
      <c r="AD133" s="173"/>
      <c r="AE133" s="173">
        <f t="shared" si="332"/>
        <v>7.7180150491078416</v>
      </c>
      <c r="AF133" s="545">
        <f t="shared" si="333"/>
        <v>59.600816670236135</v>
      </c>
      <c r="AG133" s="528">
        <f t="shared" si="334"/>
        <v>2.7336083695046871</v>
      </c>
      <c r="AI133" s="173">
        <f t="shared" si="335"/>
        <v>4.1265972377886131</v>
      </c>
      <c r="AJ133" s="173">
        <f t="shared" si="336"/>
        <v>10</v>
      </c>
      <c r="AK133" s="173">
        <f t="shared" si="337"/>
        <v>1.0340576095258491</v>
      </c>
      <c r="AM133" s="545">
        <f t="shared" si="338"/>
        <v>2300.0000000000005</v>
      </c>
      <c r="AN133" s="460">
        <f t="shared" si="339"/>
        <v>59.600816670236135</v>
      </c>
      <c r="AP133" s="460">
        <f t="shared" si="340"/>
        <v>2300.0000000000005</v>
      </c>
      <c r="AQ133" s="460">
        <f t="shared" si="341"/>
        <v>59.600816670236135</v>
      </c>
      <c r="AS133" s="5">
        <f t="shared" si="285"/>
        <v>16.77829358501705</v>
      </c>
      <c r="AT133" s="5">
        <f t="shared" si="342"/>
        <v>6.3988846780215072</v>
      </c>
      <c r="AU133" s="5">
        <f t="shared" si="343"/>
        <v>10.379408906995543</v>
      </c>
      <c r="AV133" s="5"/>
      <c r="AW133" s="173">
        <f t="shared" si="344"/>
        <v>0.38137875258874276</v>
      </c>
      <c r="AX133" s="173">
        <f t="shared" ref="AX133:AX196" si="435">0.5*L*AJ133^2*AN133*1000</f>
        <v>35.76049000214168</v>
      </c>
      <c r="AY133" s="173">
        <f t="shared" ref="AY133:AY196" si="436">AJ133*Nps/2*(1-AW133)</f>
        <v>3.0931062370562863</v>
      </c>
      <c r="AZ133" s="173">
        <f t="shared" si="288"/>
        <v>11.561352007157371</v>
      </c>
      <c r="BA133" s="460">
        <f t="shared" si="433"/>
        <v>98.116231729663113</v>
      </c>
      <c r="BB133" s="5">
        <f t="shared" si="434"/>
        <v>5.304106716331793</v>
      </c>
      <c r="BD133" s="173">
        <f t="shared" si="289"/>
        <v>3.5654768385577023</v>
      </c>
      <c r="BE133" s="173">
        <f t="shared" ref="BE133:BE196" si="437">AJ133*Nps*SQRT((1-AW133)/3)</f>
        <v>4.5410030001137311</v>
      </c>
      <c r="BG133" s="528">
        <f t="shared" si="347"/>
        <v>0.25425250172582853</v>
      </c>
      <c r="BH133" s="528">
        <f t="shared" si="348"/>
        <v>0.38332236088195271</v>
      </c>
      <c r="BI133" s="528">
        <f t="shared" si="349"/>
        <v>2.7942752371338711E-2</v>
      </c>
      <c r="BJ133" s="528">
        <f t="shared" si="350"/>
        <v>7.0125109732162311E-3</v>
      </c>
      <c r="BK133">
        <f t="shared" si="351"/>
        <v>8.4389706514755389E-3</v>
      </c>
      <c r="BL133" s="460">
        <f t="shared" si="427"/>
        <v>36.381723022814249</v>
      </c>
      <c r="BM133" s="528">
        <f t="shared" si="352"/>
        <v>0.75909263449029929</v>
      </c>
      <c r="BN133" s="460">
        <f t="shared" si="353"/>
        <v>759.09263449029925</v>
      </c>
      <c r="BO133" s="528">
        <f t="shared" si="354"/>
        <v>1.61</v>
      </c>
      <c r="BR133" s="460">
        <f t="shared" si="355"/>
        <v>1610</v>
      </c>
      <c r="BS133" s="528">
        <f t="shared" si="356"/>
        <v>0.38137875258874276</v>
      </c>
      <c r="BT133" s="528">
        <f t="shared" si="357"/>
        <v>0.61862124741125724</v>
      </c>
      <c r="BU133" s="528">
        <f t="shared" si="358"/>
        <v>0.43361123952117253</v>
      </c>
      <c r="BV133" s="528"/>
      <c r="BW133" s="528">
        <f t="shared" si="359"/>
        <v>5.9600816670236142E-3</v>
      </c>
      <c r="BX133" s="460">
        <f t="shared" si="360"/>
        <v>1439.5713211881962</v>
      </c>
      <c r="BY133" s="173">
        <f t="shared" si="361"/>
        <v>3.7305404177920081</v>
      </c>
      <c r="BZ133" s="5">
        <f t="shared" si="362"/>
        <v>34.500000000000007</v>
      </c>
      <c r="CA133" s="173">
        <f t="shared" si="363"/>
        <v>0.90241988794759853</v>
      </c>
      <c r="CB133" s="5">
        <f t="shared" si="364"/>
        <v>90.241988794759848</v>
      </c>
      <c r="CE133" s="562">
        <f t="shared" si="365"/>
        <v>-50</v>
      </c>
      <c r="CF133">
        <f t="shared" si="366"/>
        <v>-50</v>
      </c>
      <c r="CG133" s="173">
        <f t="shared" si="367"/>
        <v>0.46609298070950039</v>
      </c>
      <c r="CI133" s="170">
        <v>23</v>
      </c>
      <c r="CJ133" s="217">
        <f t="shared" si="428"/>
        <v>2.3000000000000003</v>
      </c>
      <c r="CK133" s="217"/>
      <c r="CL133" s="217">
        <f t="shared" si="368"/>
        <v>34.500000000000007</v>
      </c>
      <c r="CM133" s="541">
        <f t="shared" si="369"/>
        <v>19</v>
      </c>
      <c r="CN133" s="443">
        <f t="shared" si="370"/>
        <v>15.4</v>
      </c>
      <c r="CO133" s="443">
        <f t="shared" si="371"/>
        <v>34.4</v>
      </c>
      <c r="CP133" s="443"/>
      <c r="CQ133" s="217">
        <f t="shared" si="372"/>
        <v>0.44767441860465118</v>
      </c>
      <c r="CR133" s="172">
        <f t="shared" si="429"/>
        <v>212.84736191860466</v>
      </c>
      <c r="CS133" s="172">
        <f t="shared" si="373"/>
        <v>34.500000000000007</v>
      </c>
      <c r="CT133" s="217">
        <f t="shared" si="374"/>
        <v>14.189824127906977</v>
      </c>
      <c r="CU133" s="217">
        <f t="shared" si="375"/>
        <v>15</v>
      </c>
      <c r="CV133" s="217"/>
      <c r="CW133" s="172">
        <f t="shared" si="376"/>
        <v>187.56217279794811</v>
      </c>
      <c r="CX133" s="172">
        <f t="shared" si="377"/>
        <v>15</v>
      </c>
      <c r="CY133" s="217">
        <f t="shared" si="378"/>
        <v>8.1120984278879025</v>
      </c>
      <c r="CZ133" s="217">
        <f t="shared" si="379"/>
        <v>5.1234305860344644</v>
      </c>
      <c r="DA133" s="217">
        <f t="shared" si="380"/>
        <v>6.3211156580944685</v>
      </c>
      <c r="DB133" s="197">
        <f t="shared" si="381"/>
        <v>70.881782945736433</v>
      </c>
      <c r="DC133" s="443">
        <f t="shared" si="382"/>
        <v>87.377863540286825</v>
      </c>
      <c r="DE133" s="217">
        <f t="shared" si="383"/>
        <v>10.000000000000002</v>
      </c>
      <c r="DF133" s="173">
        <f t="shared" si="384"/>
        <v>7.792207792207793</v>
      </c>
      <c r="DG133" s="173">
        <f t="shared" si="385"/>
        <v>2.7616279069767451</v>
      </c>
      <c r="DH133" s="173"/>
      <c r="DI133" s="173">
        <f t="shared" si="386"/>
        <v>7.7922077922077913</v>
      </c>
      <c r="DJ133" s="545">
        <f t="shared" si="387"/>
        <v>59.033333333333346</v>
      </c>
      <c r="DK133" s="528">
        <f t="shared" si="388"/>
        <v>2.7616279069767442</v>
      </c>
      <c r="DM133" s="173">
        <f t="shared" si="389"/>
        <v>4.1069047550030513</v>
      </c>
      <c r="DN133" s="173">
        <f t="shared" si="390"/>
        <v>10</v>
      </c>
      <c r="DO133" s="173">
        <f t="shared" si="391"/>
        <v>1.0337333333333334</v>
      </c>
      <c r="DQ133" s="545">
        <f t="shared" si="392"/>
        <v>2300.0000000000005</v>
      </c>
      <c r="DR133" s="460">
        <f t="shared" si="393"/>
        <v>59.033333333333346</v>
      </c>
      <c r="DT133">
        <f t="shared" si="430"/>
        <v>2300.0000000000005</v>
      </c>
      <c r="DU133">
        <f t="shared" si="431"/>
        <v>59.033333333333346</v>
      </c>
      <c r="DW133" s="5">
        <f t="shared" si="394"/>
        <v>16.939582156973458</v>
      </c>
      <c r="DX133" s="5">
        <f t="shared" si="395"/>
        <v>6.3157894736842106</v>
      </c>
      <c r="DY133" s="5">
        <f t="shared" si="396"/>
        <v>10.623792683289247</v>
      </c>
      <c r="DZ133" s="5"/>
      <c r="EA133" s="173">
        <f t="shared" si="397"/>
        <v>0.37284210526315797</v>
      </c>
      <c r="EB133" s="173">
        <f t="shared" si="398"/>
        <v>35.420000000000016</v>
      </c>
      <c r="EC133" s="173">
        <f t="shared" si="399"/>
        <v>3.13578947368421</v>
      </c>
      <c r="ED133" s="173">
        <f t="shared" si="400"/>
        <v>11.295401141322598</v>
      </c>
      <c r="EE133" s="460">
        <f t="shared" si="401"/>
        <v>96.842105263157904</v>
      </c>
      <c r="EF133" s="5">
        <f t="shared" si="402"/>
        <v>5.3584919235888755</v>
      </c>
      <c r="EH133" s="173">
        <f t="shared" si="403"/>
        <v>3.5253468163343307</v>
      </c>
      <c r="EI133" s="173">
        <f t="shared" si="404"/>
        <v>4.5722273738184471</v>
      </c>
      <c r="EK133" s="528">
        <f t="shared" si="405"/>
        <v>0.24856140350877201</v>
      </c>
      <c r="EL133" s="528">
        <f t="shared" si="406"/>
        <v>0.40614933333333342</v>
      </c>
      <c r="EM133" s="528">
        <f t="shared" si="407"/>
        <v>7.3791666666666676E-3</v>
      </c>
      <c r="EN133" s="528">
        <f t="shared" si="408"/>
        <v>6.9857685333333348E-3</v>
      </c>
      <c r="EO133">
        <f t="shared" si="409"/>
        <v>8.5500000000000003E-3</v>
      </c>
      <c r="EP133" s="460">
        <f t="shared" si="410"/>
        <v>15.929166666666667</v>
      </c>
      <c r="EQ133" s="460"/>
      <c r="ER133" s="460">
        <f t="shared" si="432"/>
        <v>677.62567204210541</v>
      </c>
      <c r="ES133" s="528">
        <f t="shared" si="411"/>
        <v>1.61</v>
      </c>
      <c r="EV133" s="460">
        <f t="shared" si="412"/>
        <v>1610</v>
      </c>
      <c r="EW133" s="528">
        <f t="shared" si="413"/>
        <v>0.37284210526315797</v>
      </c>
      <c r="EX133" s="528">
        <f t="shared" si="414"/>
        <v>0.62715789473684203</v>
      </c>
      <c r="EY133" s="528">
        <f t="shared" si="415"/>
        <v>0.42336336120559115</v>
      </c>
      <c r="EZ133" s="528"/>
      <c r="FA133" s="528">
        <f t="shared" si="416"/>
        <v>5.9033333333333351E-3</v>
      </c>
      <c r="FB133" s="460">
        <f t="shared" si="417"/>
        <v>1429.2666945389244</v>
      </c>
      <c r="FC133" s="173">
        <f t="shared" si="418"/>
        <v>3.7168923665810301</v>
      </c>
      <c r="FD133" s="5">
        <f t="shared" si="419"/>
        <v>34.500000000000007</v>
      </c>
      <c r="FE133" s="173">
        <f t="shared" si="420"/>
        <v>0.90274216095520932</v>
      </c>
      <c r="FF133" s="5">
        <f t="shared" si="421"/>
        <v>90.274216095520927</v>
      </c>
      <c r="FI133" s="562">
        <f t="shared" si="422"/>
        <v>-50</v>
      </c>
      <c r="FJ133">
        <f t="shared" si="423"/>
        <v>-50</v>
      </c>
      <c r="FL133">
        <f t="shared" si="424"/>
        <v>0.46000000000000008</v>
      </c>
    </row>
    <row r="134" spans="5:168">
      <c r="E134" s="170">
        <v>24</v>
      </c>
      <c r="F134" s="217">
        <f t="shared" si="425"/>
        <v>2.4</v>
      </c>
      <c r="G134" s="217"/>
      <c r="H134" s="217">
        <f t="shared" si="315"/>
        <v>36</v>
      </c>
      <c r="I134" s="541">
        <f t="shared" si="316"/>
        <v>18.753268114390085</v>
      </c>
      <c r="J134" s="172">
        <f t="shared" si="317"/>
        <v>15.548039131365949</v>
      </c>
      <c r="K134" s="172">
        <f t="shared" si="318"/>
        <v>34.301307245756036</v>
      </c>
      <c r="L134" s="443"/>
      <c r="M134" s="217">
        <f t="shared" si="319"/>
        <v>0.45330957820537332</v>
      </c>
      <c r="N134" s="172">
        <f t="shared" si="426"/>
        <v>212.72780107906019</v>
      </c>
      <c r="O134" s="172">
        <f t="shared" ref="O134:O197" si="438">T134*F134</f>
        <v>36</v>
      </c>
      <c r="P134" s="217">
        <f t="shared" si="320"/>
        <v>14.18185340527068</v>
      </c>
      <c r="Q134" s="217">
        <f t="shared" si="321"/>
        <v>15</v>
      </c>
      <c r="R134" s="217"/>
      <c r="S134" s="172">
        <f t="shared" si="322"/>
        <v>176.63564647741464</v>
      </c>
      <c r="T134" s="172">
        <f t="shared" si="323"/>
        <v>15</v>
      </c>
      <c r="U134" s="217">
        <f t="shared" si="324"/>
        <v>8.7801062697293766</v>
      </c>
      <c r="V134" s="217">
        <f t="shared" si="325"/>
        <v>5.6182887480771875</v>
      </c>
      <c r="W134" s="217">
        <f t="shared" si="326"/>
        <v>6.7764992322537436</v>
      </c>
      <c r="X134" s="197">
        <f t="shared" si="327"/>
        <v>70.83708316481389</v>
      </c>
      <c r="Y134" s="443">
        <f t="shared" si="328"/>
        <v>79.397922502679933</v>
      </c>
      <c r="AA134" s="217">
        <f t="shared" si="329"/>
        <v>10</v>
      </c>
      <c r="AB134" s="173">
        <f t="shared" si="330"/>
        <v>7.7180150491078416</v>
      </c>
      <c r="AC134" s="173">
        <f t="shared" si="331"/>
        <v>2.7336083695046867</v>
      </c>
      <c r="AD134" s="173"/>
      <c r="AE134" s="173">
        <f t="shared" si="332"/>
        <v>7.7180150491078416</v>
      </c>
      <c r="AF134" s="545">
        <f t="shared" si="333"/>
        <v>62.19215652546378</v>
      </c>
      <c r="AG134" s="528">
        <f t="shared" si="334"/>
        <v>2.7336083695046871</v>
      </c>
      <c r="AI134" s="173">
        <f t="shared" si="335"/>
        <v>4.2153514181742828</v>
      </c>
      <c r="AJ134" s="173">
        <f t="shared" si="336"/>
        <v>10</v>
      </c>
      <c r="AK134" s="173">
        <f t="shared" si="337"/>
        <v>1.0355383751574079</v>
      </c>
      <c r="AM134" s="545">
        <f t="shared" si="338"/>
        <v>2400</v>
      </c>
      <c r="AN134" s="460">
        <f t="shared" si="339"/>
        <v>62.19215652546378</v>
      </c>
      <c r="AP134" s="460">
        <f t="shared" si="340"/>
        <v>2400</v>
      </c>
      <c r="AQ134" s="460">
        <f t="shared" si="341"/>
        <v>62.19215652546378</v>
      </c>
      <c r="AS134" s="5">
        <f t="shared" ref="AS134:AS197" si="439">1/AN134*1000</f>
        <v>16.079198018974672</v>
      </c>
      <c r="AT134" s="5">
        <f t="shared" si="342"/>
        <v>6.3988846780215072</v>
      </c>
      <c r="AU134" s="5">
        <f t="shared" si="343"/>
        <v>9.6803133409531661</v>
      </c>
      <c r="AV134" s="5"/>
      <c r="AW134" s="173">
        <f t="shared" si="344"/>
        <v>0.39796043748390547</v>
      </c>
      <c r="AX134" s="173">
        <f t="shared" si="435"/>
        <v>37.315293915278268</v>
      </c>
      <c r="AY134" s="173">
        <f t="shared" si="436"/>
        <v>3.0101978125804729</v>
      </c>
      <c r="AZ134" s="173">
        <f t="shared" ref="AZ134:AZ197" si="440">AX134/AY134</f>
        <v>12.396292947701657</v>
      </c>
      <c r="BA134" s="460">
        <f t="shared" si="433"/>
        <v>102.3821548483441</v>
      </c>
      <c r="BB134" s="5">
        <f t="shared" si="434"/>
        <v>5.1619340596560326</v>
      </c>
      <c r="BD134" s="173">
        <f t="shared" ref="BD134:BD197" si="441">AJ134*SQRT(AW134/3)</f>
        <v>3.6421625329095604</v>
      </c>
      <c r="BE134" s="173">
        <f t="shared" si="437"/>
        <v>4.4797305072072309</v>
      </c>
      <c r="BG134" s="528">
        <f t="shared" si="347"/>
        <v>0.2653069583226037</v>
      </c>
      <c r="BH134" s="528">
        <f t="shared" si="348"/>
        <v>0.39998855048551579</v>
      </c>
      <c r="BI134" s="528">
        <f t="shared" si="349"/>
        <v>2.9157654648353428E-2</v>
      </c>
      <c r="BJ134" s="528">
        <f t="shared" si="350"/>
        <v>7.3174027546604138E-3</v>
      </c>
      <c r="BK134">
        <f t="shared" si="351"/>
        <v>8.4389706514755389E-3</v>
      </c>
      <c r="BL134" s="460">
        <f t="shared" si="427"/>
        <v>37.596625299828972</v>
      </c>
      <c r="BM134" s="528">
        <f t="shared" si="352"/>
        <v>0.79431710465291272</v>
      </c>
      <c r="BN134" s="460">
        <f t="shared" si="353"/>
        <v>794.31710465291269</v>
      </c>
      <c r="BO134" s="528">
        <f t="shared" si="354"/>
        <v>1.68</v>
      </c>
      <c r="BR134" s="460">
        <f t="shared" si="355"/>
        <v>1680</v>
      </c>
      <c r="BS134" s="528">
        <f t="shared" si="356"/>
        <v>0.39796043748390553</v>
      </c>
      <c r="BT134" s="528">
        <f t="shared" si="357"/>
        <v>0.60203956251609458</v>
      </c>
      <c r="BU134" s="528">
        <f t="shared" si="358"/>
        <v>0.48229087505060703</v>
      </c>
      <c r="BV134" s="528"/>
      <c r="BW134" s="528">
        <f t="shared" si="359"/>
        <v>6.2192156525463791E-3</v>
      </c>
      <c r="BX134" s="460">
        <f t="shared" si="360"/>
        <v>1488.5100907031535</v>
      </c>
      <c r="BY134" s="173">
        <f t="shared" si="361"/>
        <v>3.8787196275657623</v>
      </c>
      <c r="BZ134" s="5">
        <f t="shared" si="362"/>
        <v>36</v>
      </c>
      <c r="CA134" s="173">
        <f t="shared" si="363"/>
        <v>0.90273710731463308</v>
      </c>
      <c r="CB134" s="5">
        <f t="shared" si="364"/>
        <v>90.273710731463311</v>
      </c>
      <c r="CE134" s="562">
        <f t="shared" si="365"/>
        <v>-50</v>
      </c>
      <c r="CF134">
        <f t="shared" si="366"/>
        <v>-50</v>
      </c>
      <c r="CG134" s="173">
        <f t="shared" si="367"/>
        <v>0.48635789291426124</v>
      </c>
      <c r="CI134" s="170">
        <v>24</v>
      </c>
      <c r="CJ134" s="217">
        <f t="shared" si="428"/>
        <v>2.4</v>
      </c>
      <c r="CK134" s="217"/>
      <c r="CL134" s="217">
        <f t="shared" si="368"/>
        <v>36</v>
      </c>
      <c r="CM134" s="541">
        <f t="shared" si="369"/>
        <v>19</v>
      </c>
      <c r="CN134" s="443">
        <f t="shared" si="370"/>
        <v>15.4</v>
      </c>
      <c r="CO134" s="443">
        <f t="shared" si="371"/>
        <v>34.4</v>
      </c>
      <c r="CP134" s="443"/>
      <c r="CQ134" s="217">
        <f t="shared" si="372"/>
        <v>0.44767441860465118</v>
      </c>
      <c r="CR134" s="172">
        <f t="shared" si="429"/>
        <v>212.84736191860466</v>
      </c>
      <c r="CS134" s="172">
        <f t="shared" si="373"/>
        <v>36</v>
      </c>
      <c r="CT134" s="217">
        <f t="shared" si="374"/>
        <v>14.189824127906977</v>
      </c>
      <c r="CU134" s="217">
        <f t="shared" si="375"/>
        <v>15</v>
      </c>
      <c r="CV134" s="217"/>
      <c r="CW134" s="172">
        <f t="shared" si="376"/>
        <v>178.95903977487208</v>
      </c>
      <c r="CX134" s="172">
        <f t="shared" si="377"/>
        <v>15</v>
      </c>
      <c r="CY134" s="217">
        <f t="shared" si="378"/>
        <v>8.4647983595352017</v>
      </c>
      <c r="CZ134" s="217">
        <f t="shared" si="379"/>
        <v>5.3461884376011799</v>
      </c>
      <c r="DA134" s="217">
        <f t="shared" si="380"/>
        <v>6.5959467736637931</v>
      </c>
      <c r="DB134" s="197">
        <f t="shared" si="381"/>
        <v>70.881782945736433</v>
      </c>
      <c r="DC134" s="443">
        <f t="shared" si="382"/>
        <v>83.73711922610822</v>
      </c>
      <c r="DE134" s="217">
        <f t="shared" si="383"/>
        <v>10.000000000000002</v>
      </c>
      <c r="DF134" s="173">
        <f t="shared" si="384"/>
        <v>7.792207792207793</v>
      </c>
      <c r="DG134" s="173">
        <f t="shared" si="385"/>
        <v>2.7616279069767451</v>
      </c>
      <c r="DH134" s="173"/>
      <c r="DI134" s="173">
        <f t="shared" si="386"/>
        <v>7.7922077922077913</v>
      </c>
      <c r="DJ134" s="545">
        <f t="shared" si="387"/>
        <v>61.6</v>
      </c>
      <c r="DK134" s="528">
        <f t="shared" si="388"/>
        <v>2.7616279069767442</v>
      </c>
      <c r="DM134" s="173">
        <f t="shared" si="389"/>
        <v>4.1952353926806065</v>
      </c>
      <c r="DN134" s="173">
        <f t="shared" si="390"/>
        <v>10</v>
      </c>
      <c r="DO134" s="173">
        <f t="shared" si="391"/>
        <v>1.0351999999999999</v>
      </c>
      <c r="DQ134" s="545">
        <f t="shared" si="392"/>
        <v>2400</v>
      </c>
      <c r="DR134" s="460">
        <f t="shared" si="393"/>
        <v>61.6</v>
      </c>
      <c r="DT134">
        <f t="shared" si="430"/>
        <v>2400</v>
      </c>
      <c r="DU134">
        <f t="shared" si="431"/>
        <v>61.6</v>
      </c>
      <c r="DW134" s="5">
        <f t="shared" si="394"/>
        <v>16.233766233766232</v>
      </c>
      <c r="DX134" s="5">
        <f t="shared" si="395"/>
        <v>6.3157894736842106</v>
      </c>
      <c r="DY134" s="5">
        <f t="shared" si="396"/>
        <v>9.9179767600820217</v>
      </c>
      <c r="DZ134" s="5"/>
      <c r="EA134" s="173">
        <f t="shared" si="397"/>
        <v>0.38905263157894743</v>
      </c>
      <c r="EB134" s="173">
        <f t="shared" si="398"/>
        <v>36.960000000000008</v>
      </c>
      <c r="EC134" s="173">
        <f t="shared" si="399"/>
        <v>3.054736842105263</v>
      </c>
      <c r="ED134" s="173">
        <f t="shared" si="400"/>
        <v>12.099241902136461</v>
      </c>
      <c r="EE134" s="460">
        <f t="shared" si="401"/>
        <v>101.05263157894737</v>
      </c>
      <c r="EF134" s="5">
        <f t="shared" si="402"/>
        <v>5.2199877684642209</v>
      </c>
      <c r="EH134" s="173">
        <f t="shared" si="403"/>
        <v>3.6011694007129935</v>
      </c>
      <c r="EI134" s="173">
        <f t="shared" si="404"/>
        <v>4.5127499687775465</v>
      </c>
      <c r="EK134" s="528">
        <f t="shared" si="405"/>
        <v>0.25936842105263158</v>
      </c>
      <c r="EL134" s="528">
        <f t="shared" si="406"/>
        <v>0.42380800000000002</v>
      </c>
      <c r="EM134" s="528">
        <f t="shared" si="407"/>
        <v>7.6999999999999994E-3</v>
      </c>
      <c r="EN134" s="528">
        <f t="shared" si="408"/>
        <v>7.2894976E-3</v>
      </c>
      <c r="EO134">
        <f t="shared" si="409"/>
        <v>8.5500000000000003E-3</v>
      </c>
      <c r="EP134" s="460">
        <f t="shared" si="410"/>
        <v>16.25</v>
      </c>
      <c r="EQ134" s="460"/>
      <c r="ER134" s="460">
        <f t="shared" si="432"/>
        <v>706.71591865263156</v>
      </c>
      <c r="ES134" s="528">
        <f t="shared" si="411"/>
        <v>1.68</v>
      </c>
      <c r="EV134" s="460">
        <f t="shared" si="412"/>
        <v>1680</v>
      </c>
      <c r="EW134" s="528">
        <f t="shared" si="413"/>
        <v>0.38905263157894737</v>
      </c>
      <c r="EX134" s="528">
        <f t="shared" si="414"/>
        <v>0.61094736842105246</v>
      </c>
      <c r="EY134" s="528">
        <f t="shared" si="415"/>
        <v>0.47089251230131174</v>
      </c>
      <c r="EZ134" s="528"/>
      <c r="FA134" s="528">
        <f t="shared" si="416"/>
        <v>6.1600000000000005E-3</v>
      </c>
      <c r="FB134" s="460">
        <f t="shared" si="417"/>
        <v>1477.0525123013115</v>
      </c>
      <c r="FC134" s="173">
        <f t="shared" si="418"/>
        <v>3.8637684309539426</v>
      </c>
      <c r="FD134" s="5">
        <f t="shared" si="419"/>
        <v>36</v>
      </c>
      <c r="FE134" s="173">
        <f t="shared" si="420"/>
        <v>0.90307568543987049</v>
      </c>
      <c r="FF134" s="5">
        <f t="shared" si="421"/>
        <v>90.307568543987045</v>
      </c>
      <c r="FI134" s="562">
        <f t="shared" si="422"/>
        <v>-50</v>
      </c>
      <c r="FJ134">
        <f t="shared" si="423"/>
        <v>-50</v>
      </c>
      <c r="FL134">
        <f t="shared" si="424"/>
        <v>0.48000000000000004</v>
      </c>
    </row>
    <row r="135" spans="5:168">
      <c r="E135" s="170">
        <v>25</v>
      </c>
      <c r="F135" s="217">
        <f t="shared" si="425"/>
        <v>2.5</v>
      </c>
      <c r="G135" s="217"/>
      <c r="H135" s="217">
        <f t="shared" si="315"/>
        <v>37.5</v>
      </c>
      <c r="I135" s="541">
        <f t="shared" si="316"/>
        <v>18.753268114390085</v>
      </c>
      <c r="J135" s="172">
        <f t="shared" si="317"/>
        <v>15.548039131365949</v>
      </c>
      <c r="K135" s="172">
        <f t="shared" si="318"/>
        <v>34.301307245756036</v>
      </c>
      <c r="L135" s="443"/>
      <c r="M135" s="217">
        <f t="shared" si="319"/>
        <v>0.45330957820537332</v>
      </c>
      <c r="N135" s="172">
        <f t="shared" si="426"/>
        <v>212.72780107906019</v>
      </c>
      <c r="O135" s="172">
        <f t="shared" si="438"/>
        <v>37.5</v>
      </c>
      <c r="P135" s="217">
        <f t="shared" si="320"/>
        <v>14.18185340527068</v>
      </c>
      <c r="Q135" s="217">
        <f t="shared" si="321"/>
        <v>15</v>
      </c>
      <c r="R135" s="217"/>
      <c r="S135" s="172">
        <f t="shared" si="322"/>
        <v>168.82374077697287</v>
      </c>
      <c r="T135" s="172">
        <f t="shared" si="323"/>
        <v>15</v>
      </c>
      <c r="U135" s="217">
        <f t="shared" si="324"/>
        <v>9.1459440309680993</v>
      </c>
      <c r="V135" s="217">
        <f t="shared" si="325"/>
        <v>5.8523841125804044</v>
      </c>
      <c r="W135" s="217">
        <f t="shared" si="326"/>
        <v>7.0588533669309825</v>
      </c>
      <c r="X135" s="197">
        <f t="shared" si="327"/>
        <v>70.83708316481389</v>
      </c>
      <c r="Y135" s="443">
        <f t="shared" si="328"/>
        <v>76.270451325641517</v>
      </c>
      <c r="AA135" s="217">
        <f t="shared" si="329"/>
        <v>10</v>
      </c>
      <c r="AB135" s="173">
        <f t="shared" si="330"/>
        <v>7.7180150491078416</v>
      </c>
      <c r="AC135" s="173">
        <f t="shared" si="331"/>
        <v>2.7336083695046867</v>
      </c>
      <c r="AD135" s="173"/>
      <c r="AE135" s="173">
        <f t="shared" si="332"/>
        <v>7.7180150491078416</v>
      </c>
      <c r="AF135" s="545">
        <f t="shared" si="333"/>
        <v>64.783496380691446</v>
      </c>
      <c r="AG135" s="528">
        <f t="shared" si="334"/>
        <v>2.7336083695046871</v>
      </c>
      <c r="AI135" s="173">
        <f t="shared" si="335"/>
        <v>4.3022750254351791</v>
      </c>
      <c r="AJ135" s="173">
        <f t="shared" si="336"/>
        <v>10</v>
      </c>
      <c r="AK135" s="173">
        <f t="shared" si="337"/>
        <v>1.0370191407889666</v>
      </c>
      <c r="AM135" s="545">
        <f t="shared" si="338"/>
        <v>2500</v>
      </c>
      <c r="AN135" s="460">
        <f t="shared" si="339"/>
        <v>64.783496380691446</v>
      </c>
      <c r="AP135" s="460">
        <f t="shared" si="340"/>
        <v>2500</v>
      </c>
      <c r="AQ135" s="460">
        <f t="shared" si="341"/>
        <v>64.783496380691446</v>
      </c>
      <c r="AS135" s="5">
        <f t="shared" si="439"/>
        <v>15.436030098215683</v>
      </c>
      <c r="AT135" s="5">
        <f t="shared" si="342"/>
        <v>6.3988846780215072</v>
      </c>
      <c r="AU135" s="5">
        <f t="shared" si="343"/>
        <v>9.0371454201941752</v>
      </c>
      <c r="AV135" s="5"/>
      <c r="AW135" s="173">
        <f t="shared" si="344"/>
        <v>0.41454212237906829</v>
      </c>
      <c r="AX135" s="173">
        <f t="shared" si="435"/>
        <v>38.87009782841487</v>
      </c>
      <c r="AY135" s="173">
        <f t="shared" si="436"/>
        <v>2.9272893881046587</v>
      </c>
      <c r="AZ135" s="173">
        <f t="shared" si="440"/>
        <v>13.27852927229112</v>
      </c>
      <c r="BA135" s="460">
        <f t="shared" si="433"/>
        <v>106.64807796702512</v>
      </c>
      <c r="BB135" s="5">
        <f t="shared" si="434"/>
        <v>5.0197614029802731</v>
      </c>
      <c r="BD135" s="173">
        <f t="shared" si="441"/>
        <v>3.7172665691296536</v>
      </c>
      <c r="BE135" s="173">
        <f t="shared" si="437"/>
        <v>4.4176082428577104</v>
      </c>
      <c r="BG135" s="528">
        <f t="shared" si="347"/>
        <v>0.27636141491937893</v>
      </c>
      <c r="BH135" s="528">
        <f t="shared" si="348"/>
        <v>0.41665474008907899</v>
      </c>
      <c r="BI135" s="528">
        <f t="shared" si="349"/>
        <v>3.0372556925368163E-2</v>
      </c>
      <c r="BJ135" s="528">
        <f t="shared" si="350"/>
        <v>7.6222945361045999E-3</v>
      </c>
      <c r="BK135">
        <f t="shared" si="351"/>
        <v>8.4389706514755389E-3</v>
      </c>
      <c r="BL135" s="460">
        <f t="shared" si="427"/>
        <v>38.811527576843702</v>
      </c>
      <c r="BM135" s="528">
        <f t="shared" si="352"/>
        <v>0.82973961575241706</v>
      </c>
      <c r="BN135" s="460">
        <f t="shared" si="353"/>
        <v>829.73961575241708</v>
      </c>
      <c r="BO135" s="528">
        <f t="shared" si="354"/>
        <v>1.75</v>
      </c>
      <c r="BR135" s="460">
        <f t="shared" si="355"/>
        <v>1750</v>
      </c>
      <c r="BS135" s="528">
        <f t="shared" si="356"/>
        <v>0.41454212237906835</v>
      </c>
      <c r="BT135" s="528">
        <f t="shared" si="357"/>
        <v>0.5854578776209316</v>
      </c>
      <c r="BU135" s="528">
        <f t="shared" si="358"/>
        <v>0.53411031153898481</v>
      </c>
      <c r="BV135" s="528"/>
      <c r="BW135" s="528">
        <f t="shared" si="359"/>
        <v>6.4783496380691448E-3</v>
      </c>
      <c r="BX135" s="460">
        <f t="shared" si="360"/>
        <v>1540.5886611770541</v>
      </c>
      <c r="BY135" s="173">
        <f t="shared" si="361"/>
        <v>4.0300386382984605</v>
      </c>
      <c r="BZ135" s="5">
        <f t="shared" si="362"/>
        <v>37.5</v>
      </c>
      <c r="CA135" s="173">
        <f t="shared" si="363"/>
        <v>0.90296087433489614</v>
      </c>
      <c r="CB135" s="5">
        <f t="shared" si="364"/>
        <v>90.296087433489618</v>
      </c>
      <c r="CE135" s="562">
        <f t="shared" si="365"/>
        <v>-50</v>
      </c>
      <c r="CF135">
        <f t="shared" si="366"/>
        <v>-50</v>
      </c>
      <c r="CG135" s="173">
        <f t="shared" si="367"/>
        <v>0.50662280511902213</v>
      </c>
      <c r="CI135" s="170">
        <v>25</v>
      </c>
      <c r="CJ135" s="217">
        <f t="shared" si="428"/>
        <v>2.5</v>
      </c>
      <c r="CK135" s="217"/>
      <c r="CL135" s="217">
        <f t="shared" si="368"/>
        <v>37.5</v>
      </c>
      <c r="CM135" s="541">
        <f t="shared" si="369"/>
        <v>19</v>
      </c>
      <c r="CN135" s="443">
        <f t="shared" si="370"/>
        <v>15.4</v>
      </c>
      <c r="CO135" s="443">
        <f t="shared" si="371"/>
        <v>34.4</v>
      </c>
      <c r="CP135" s="443"/>
      <c r="CQ135" s="217">
        <f t="shared" si="372"/>
        <v>0.44767441860465118</v>
      </c>
      <c r="CR135" s="172">
        <f t="shared" si="429"/>
        <v>212.84736191860466</v>
      </c>
      <c r="CS135" s="172">
        <f t="shared" si="373"/>
        <v>37.5</v>
      </c>
      <c r="CT135" s="217">
        <f t="shared" si="374"/>
        <v>14.189824127906977</v>
      </c>
      <c r="CU135" s="217">
        <f t="shared" si="375"/>
        <v>15</v>
      </c>
      <c r="CV135" s="217"/>
      <c r="CW135" s="172">
        <f t="shared" si="376"/>
        <v>171.04432925855798</v>
      </c>
      <c r="CX135" s="172">
        <f t="shared" si="377"/>
        <v>15</v>
      </c>
      <c r="CY135" s="217">
        <f t="shared" si="378"/>
        <v>8.8174982911825008</v>
      </c>
      <c r="CZ135" s="217">
        <f t="shared" si="379"/>
        <v>5.5689462891678954</v>
      </c>
      <c r="DA135" s="217">
        <f t="shared" si="380"/>
        <v>6.8707778892331168</v>
      </c>
      <c r="DB135" s="197">
        <f t="shared" si="381"/>
        <v>70.881782945736433</v>
      </c>
      <c r="DC135" s="443">
        <f t="shared" si="382"/>
        <v>80.387634457063896</v>
      </c>
      <c r="DE135" s="217">
        <f t="shared" si="383"/>
        <v>10.000000000000002</v>
      </c>
      <c r="DF135" s="173">
        <f t="shared" si="384"/>
        <v>7.792207792207793</v>
      </c>
      <c r="DG135" s="173">
        <f t="shared" si="385"/>
        <v>2.7616279069767451</v>
      </c>
      <c r="DH135" s="173"/>
      <c r="DI135" s="173">
        <f t="shared" si="386"/>
        <v>7.7922077922077913</v>
      </c>
      <c r="DJ135" s="545">
        <f t="shared" si="387"/>
        <v>64.166666666666671</v>
      </c>
      <c r="DK135" s="528">
        <f t="shared" si="388"/>
        <v>2.7616279069767442</v>
      </c>
      <c r="DM135" s="173">
        <f t="shared" si="389"/>
        <v>4.281744192888377</v>
      </c>
      <c r="DN135" s="173">
        <f t="shared" si="390"/>
        <v>10</v>
      </c>
      <c r="DO135" s="173">
        <f t="shared" si="391"/>
        <v>1.0366666666666666</v>
      </c>
      <c r="DQ135" s="545">
        <f t="shared" si="392"/>
        <v>2500</v>
      </c>
      <c r="DR135" s="460">
        <f t="shared" si="393"/>
        <v>64.166666666666671</v>
      </c>
      <c r="DT135">
        <f t="shared" si="430"/>
        <v>2500</v>
      </c>
      <c r="DU135">
        <f t="shared" si="431"/>
        <v>64.166666666666671</v>
      </c>
      <c r="DW135" s="5">
        <f t="shared" si="394"/>
        <v>15.584415584415583</v>
      </c>
      <c r="DX135" s="5">
        <f t="shared" si="395"/>
        <v>6.3157894736842106</v>
      </c>
      <c r="DY135" s="5">
        <f t="shared" si="396"/>
        <v>9.2686261107313719</v>
      </c>
      <c r="DZ135" s="5"/>
      <c r="EA135" s="173">
        <f t="shared" si="397"/>
        <v>0.40526315789473688</v>
      </c>
      <c r="EB135" s="173">
        <f t="shared" si="398"/>
        <v>38.500000000000007</v>
      </c>
      <c r="EC135" s="173">
        <f t="shared" si="399"/>
        <v>2.9736842105263155</v>
      </c>
      <c r="ED135" s="173">
        <f t="shared" si="400"/>
        <v>12.946902654867261</v>
      </c>
      <c r="EE135" s="460">
        <f t="shared" si="401"/>
        <v>105.26315789473685</v>
      </c>
      <c r="EF135" s="5">
        <f t="shared" si="402"/>
        <v>5.081483613339568</v>
      </c>
      <c r="EH135" s="173">
        <f t="shared" si="403"/>
        <v>3.6754281287796342</v>
      </c>
      <c r="EI135" s="173">
        <f t="shared" si="404"/>
        <v>4.4524781193745095</v>
      </c>
      <c r="EK135" s="528">
        <f t="shared" si="405"/>
        <v>0.27017543859649129</v>
      </c>
      <c r="EL135" s="528">
        <f t="shared" si="406"/>
        <v>0.44146666666666673</v>
      </c>
      <c r="EM135" s="528">
        <f t="shared" si="407"/>
        <v>8.0208333333333329E-3</v>
      </c>
      <c r="EN135" s="528">
        <f t="shared" si="408"/>
        <v>7.593226666666667E-3</v>
      </c>
      <c r="EO135">
        <f t="shared" si="409"/>
        <v>8.5500000000000003E-3</v>
      </c>
      <c r="EP135" s="460">
        <f t="shared" si="410"/>
        <v>16.570833333333333</v>
      </c>
      <c r="EQ135" s="460"/>
      <c r="ER135" s="460">
        <f t="shared" si="432"/>
        <v>735.80616526315805</v>
      </c>
      <c r="ES135" s="528">
        <f t="shared" si="411"/>
        <v>1.75</v>
      </c>
      <c r="EV135" s="460">
        <f t="shared" si="412"/>
        <v>1750</v>
      </c>
      <c r="EW135" s="528">
        <f t="shared" si="413"/>
        <v>0.40526315789473688</v>
      </c>
      <c r="EX135" s="528">
        <f t="shared" si="414"/>
        <v>0.59473684210526312</v>
      </c>
      <c r="EY135" s="528">
        <f t="shared" si="415"/>
        <v>0.52148725894977166</v>
      </c>
      <c r="EZ135" s="528"/>
      <c r="FA135" s="528">
        <f t="shared" si="416"/>
        <v>6.4166666666666677E-3</v>
      </c>
      <c r="FB135" s="460">
        <f t="shared" si="417"/>
        <v>1527.9039256164383</v>
      </c>
      <c r="FC135" s="173">
        <f t="shared" si="418"/>
        <v>4.013710090879596</v>
      </c>
      <c r="FD135" s="5">
        <f t="shared" si="419"/>
        <v>37.5</v>
      </c>
      <c r="FE135" s="173">
        <f t="shared" si="420"/>
        <v>0.90331603506183866</v>
      </c>
      <c r="FF135" s="5">
        <f t="shared" si="421"/>
        <v>90.331603506183868</v>
      </c>
      <c r="FI135" s="562">
        <f t="shared" si="422"/>
        <v>-50</v>
      </c>
      <c r="FJ135">
        <f t="shared" si="423"/>
        <v>-50</v>
      </c>
      <c r="FL135">
        <f t="shared" si="424"/>
        <v>0.5</v>
      </c>
    </row>
    <row r="136" spans="5:168">
      <c r="E136" s="170">
        <v>26</v>
      </c>
      <c r="F136" s="217">
        <f t="shared" si="425"/>
        <v>2.6</v>
      </c>
      <c r="G136" s="217"/>
      <c r="H136" s="217">
        <f t="shared" si="315"/>
        <v>39</v>
      </c>
      <c r="I136" s="541">
        <f t="shared" si="316"/>
        <v>18.753268114390085</v>
      </c>
      <c r="J136" s="172">
        <f t="shared" si="317"/>
        <v>15.548039131365949</v>
      </c>
      <c r="K136" s="172">
        <f t="shared" si="318"/>
        <v>34.301307245756036</v>
      </c>
      <c r="L136" s="443"/>
      <c r="M136" s="217">
        <f t="shared" si="319"/>
        <v>0.45330957820537332</v>
      </c>
      <c r="N136" s="172">
        <f t="shared" si="426"/>
        <v>212.72780107906019</v>
      </c>
      <c r="O136" s="172">
        <f t="shared" si="438"/>
        <v>39</v>
      </c>
      <c r="P136" s="217">
        <f t="shared" si="320"/>
        <v>14.18185340527068</v>
      </c>
      <c r="Q136" s="217">
        <f t="shared" si="321"/>
        <v>15</v>
      </c>
      <c r="R136" s="217"/>
      <c r="S136" s="172">
        <f t="shared" si="322"/>
        <v>161.61291827448528</v>
      </c>
      <c r="T136" s="172">
        <f t="shared" si="323"/>
        <v>15</v>
      </c>
      <c r="U136" s="217">
        <f t="shared" si="324"/>
        <v>9.5117817922068237</v>
      </c>
      <c r="V136" s="217">
        <f t="shared" si="325"/>
        <v>6.0864794770836204</v>
      </c>
      <c r="W136" s="217">
        <f t="shared" si="326"/>
        <v>7.3412075016082223</v>
      </c>
      <c r="X136" s="197">
        <f t="shared" si="327"/>
        <v>70.83708316481389</v>
      </c>
      <c r="Y136" s="443">
        <f t="shared" si="328"/>
        <v>73.3800241789816</v>
      </c>
      <c r="AA136" s="217">
        <f t="shared" si="329"/>
        <v>10</v>
      </c>
      <c r="AB136" s="173">
        <f t="shared" si="330"/>
        <v>7.7180150491078416</v>
      </c>
      <c r="AC136" s="173">
        <f t="shared" si="331"/>
        <v>2.7336083695046867</v>
      </c>
      <c r="AD136" s="173"/>
      <c r="AE136" s="173">
        <f t="shared" si="332"/>
        <v>7.7180150491078416</v>
      </c>
      <c r="AF136" s="545">
        <f t="shared" si="333"/>
        <v>67.374836235919105</v>
      </c>
      <c r="AG136" s="528">
        <f t="shared" si="334"/>
        <v>2.7336083695046871</v>
      </c>
      <c r="AI136" s="173">
        <f t="shared" si="335"/>
        <v>4.3874768615073751</v>
      </c>
      <c r="AJ136" s="173">
        <f t="shared" si="336"/>
        <v>10</v>
      </c>
      <c r="AK136" s="173">
        <f t="shared" si="337"/>
        <v>1.0384999064205251</v>
      </c>
      <c r="AM136" s="545">
        <f t="shared" si="338"/>
        <v>2600</v>
      </c>
      <c r="AN136" s="460">
        <f t="shared" si="339"/>
        <v>67.374836235919105</v>
      </c>
      <c r="AP136" s="460">
        <f t="shared" si="340"/>
        <v>2600</v>
      </c>
      <c r="AQ136" s="460">
        <f t="shared" si="341"/>
        <v>67.374836235919105</v>
      </c>
      <c r="AS136" s="5">
        <f t="shared" si="439"/>
        <v>14.842336632899695</v>
      </c>
      <c r="AT136" s="5">
        <f t="shared" si="342"/>
        <v>6.3988846780215072</v>
      </c>
      <c r="AU136" s="5">
        <f t="shared" si="343"/>
        <v>8.4434519548781886</v>
      </c>
      <c r="AV136" s="5"/>
      <c r="AW136" s="173">
        <f t="shared" si="344"/>
        <v>0.43112380727423105</v>
      </c>
      <c r="AX136" s="173">
        <f t="shared" si="435"/>
        <v>40.424901741551466</v>
      </c>
      <c r="AY136" s="173">
        <f t="shared" si="436"/>
        <v>2.8443809636288448</v>
      </c>
      <c r="AZ136" s="173">
        <f t="shared" si="440"/>
        <v>14.212196698847826</v>
      </c>
      <c r="BA136" s="460">
        <f t="shared" si="433"/>
        <v>110.91400108570613</v>
      </c>
      <c r="BB136" s="5">
        <f t="shared" si="434"/>
        <v>4.8775887463045144</v>
      </c>
      <c r="BD136" s="173">
        <f t="shared" si="441"/>
        <v>3.7908829546436413</v>
      </c>
      <c r="BE136" s="173">
        <f t="shared" si="437"/>
        <v>4.354599838966335</v>
      </c>
      <c r="BG136" s="528">
        <f t="shared" si="347"/>
        <v>0.28741587151615411</v>
      </c>
      <c r="BH136" s="528">
        <f t="shared" si="348"/>
        <v>0.43332092969264219</v>
      </c>
      <c r="BI136" s="528">
        <f t="shared" si="349"/>
        <v>3.1587459202382887E-2</v>
      </c>
      <c r="BJ136" s="528">
        <f t="shared" si="350"/>
        <v>7.9271863175487834E-3</v>
      </c>
      <c r="BK136">
        <f t="shared" si="351"/>
        <v>8.4389706514755389E-3</v>
      </c>
      <c r="BL136" s="460">
        <f t="shared" si="427"/>
        <v>40.026429853858424</v>
      </c>
      <c r="BM136" s="528">
        <f t="shared" si="352"/>
        <v>0.8653618426518972</v>
      </c>
      <c r="BN136" s="460">
        <f t="shared" si="353"/>
        <v>865.36184265189718</v>
      </c>
      <c r="BO136" s="528">
        <f t="shared" si="354"/>
        <v>1.8199999999999998</v>
      </c>
      <c r="BR136" s="460">
        <f t="shared" si="355"/>
        <v>1819.9999999999998</v>
      </c>
      <c r="BS136" s="528">
        <f t="shared" si="356"/>
        <v>0.43112380727423111</v>
      </c>
      <c r="BT136" s="528">
        <f t="shared" si="357"/>
        <v>0.56887619272576884</v>
      </c>
      <c r="BU136" s="528">
        <f t="shared" si="358"/>
        <v>0.58913430305315906</v>
      </c>
      <c r="BV136" s="528"/>
      <c r="BW136" s="528">
        <f t="shared" si="359"/>
        <v>6.7374836235919106E-3</v>
      </c>
      <c r="BX136" s="460">
        <f t="shared" si="360"/>
        <v>1595.8717866767508</v>
      </c>
      <c r="BY136" s="173">
        <f t="shared" si="361"/>
        <v>4.1845622040569541</v>
      </c>
      <c r="BZ136" s="5">
        <f t="shared" si="362"/>
        <v>39</v>
      </c>
      <c r="CA136" s="173">
        <f t="shared" si="363"/>
        <v>0.90310050651239815</v>
      </c>
      <c r="CB136" s="5">
        <f t="shared" si="364"/>
        <v>90.31005065123982</v>
      </c>
      <c r="CE136" s="562">
        <f t="shared" si="365"/>
        <v>-50</v>
      </c>
      <c r="CF136">
        <f t="shared" si="366"/>
        <v>-50</v>
      </c>
      <c r="CG136" s="173">
        <f t="shared" si="367"/>
        <v>0.52688771732378314</v>
      </c>
      <c r="CI136" s="170">
        <v>26</v>
      </c>
      <c r="CJ136" s="217">
        <f t="shared" si="428"/>
        <v>2.6</v>
      </c>
      <c r="CK136" s="217"/>
      <c r="CL136" s="217">
        <f t="shared" si="368"/>
        <v>39</v>
      </c>
      <c r="CM136" s="541">
        <f t="shared" si="369"/>
        <v>19</v>
      </c>
      <c r="CN136" s="443">
        <f t="shared" si="370"/>
        <v>15.4</v>
      </c>
      <c r="CO136" s="443">
        <f t="shared" si="371"/>
        <v>34.4</v>
      </c>
      <c r="CP136" s="443"/>
      <c r="CQ136" s="217">
        <f t="shared" si="372"/>
        <v>0.44767441860465118</v>
      </c>
      <c r="CR136" s="172">
        <f t="shared" si="429"/>
        <v>212.84736191860466</v>
      </c>
      <c r="CS136" s="172">
        <f t="shared" si="373"/>
        <v>39</v>
      </c>
      <c r="CT136" s="217">
        <f t="shared" si="374"/>
        <v>14.189824127906977</v>
      </c>
      <c r="CU136" s="217">
        <f t="shared" si="375"/>
        <v>15</v>
      </c>
      <c r="CV136" s="217"/>
      <c r="CW136" s="172">
        <f t="shared" si="376"/>
        <v>163.73861002177782</v>
      </c>
      <c r="CX136" s="172">
        <f t="shared" si="377"/>
        <v>15</v>
      </c>
      <c r="CY136" s="217">
        <f t="shared" si="378"/>
        <v>9.1701982228298018</v>
      </c>
      <c r="CZ136" s="217">
        <f t="shared" si="379"/>
        <v>5.7917041407346126</v>
      </c>
      <c r="DA136" s="217">
        <f t="shared" si="380"/>
        <v>7.1456090048024432</v>
      </c>
      <c r="DB136" s="197">
        <f t="shared" si="381"/>
        <v>70.881782945736433</v>
      </c>
      <c r="DC136" s="443">
        <f t="shared" si="382"/>
        <v>77.295802362561403</v>
      </c>
      <c r="DE136" s="217">
        <f t="shared" si="383"/>
        <v>10.000000000000002</v>
      </c>
      <c r="DF136" s="173">
        <f t="shared" si="384"/>
        <v>7.792207792207793</v>
      </c>
      <c r="DG136" s="173">
        <f t="shared" si="385"/>
        <v>2.7616279069767451</v>
      </c>
      <c r="DH136" s="173"/>
      <c r="DI136" s="173">
        <f t="shared" si="386"/>
        <v>7.7922077922077913</v>
      </c>
      <c r="DJ136" s="545">
        <f t="shared" si="387"/>
        <v>66.733333333333348</v>
      </c>
      <c r="DK136" s="528">
        <f t="shared" si="388"/>
        <v>2.7616279069767442</v>
      </c>
      <c r="DM136" s="173">
        <f t="shared" si="389"/>
        <v>4.3665394383500846</v>
      </c>
      <c r="DN136" s="173">
        <f t="shared" si="390"/>
        <v>10</v>
      </c>
      <c r="DO136" s="173">
        <f t="shared" si="391"/>
        <v>1.0381333333333334</v>
      </c>
      <c r="DQ136" s="545">
        <f t="shared" si="392"/>
        <v>2600</v>
      </c>
      <c r="DR136" s="460">
        <f t="shared" si="393"/>
        <v>66.733333333333348</v>
      </c>
      <c r="DT136">
        <f t="shared" si="430"/>
        <v>2600</v>
      </c>
      <c r="DU136">
        <f t="shared" si="431"/>
        <v>66.733333333333348</v>
      </c>
      <c r="DW136" s="5">
        <f t="shared" si="394"/>
        <v>14.985014985014983</v>
      </c>
      <c r="DX136" s="5">
        <f t="shared" si="395"/>
        <v>6.3157894736842106</v>
      </c>
      <c r="DY136" s="5">
        <f t="shared" si="396"/>
        <v>8.6692255113307723</v>
      </c>
      <c r="DZ136" s="5"/>
      <c r="EA136" s="173">
        <f t="shared" si="397"/>
        <v>0.42147368421052639</v>
      </c>
      <c r="EB136" s="173">
        <f t="shared" si="398"/>
        <v>40.040000000000013</v>
      </c>
      <c r="EC136" s="173">
        <f t="shared" si="399"/>
        <v>2.892631578947368</v>
      </c>
      <c r="ED136" s="173">
        <f t="shared" si="400"/>
        <v>13.842066957787489</v>
      </c>
      <c r="EE136" s="460">
        <f t="shared" si="401"/>
        <v>109.47368421052632</v>
      </c>
      <c r="EF136" s="5">
        <f t="shared" si="402"/>
        <v>4.9429794582149151</v>
      </c>
      <c r="EH136" s="173">
        <f t="shared" si="403"/>
        <v>3.7482159498910339</v>
      </c>
      <c r="EI136" s="173">
        <f t="shared" si="404"/>
        <v>4.3913791143917171</v>
      </c>
      <c r="EK136" s="528">
        <f t="shared" si="405"/>
        <v>0.28098245614035089</v>
      </c>
      <c r="EL136" s="528">
        <f t="shared" si="406"/>
        <v>0.45912533333333344</v>
      </c>
      <c r="EM136" s="528">
        <f t="shared" si="407"/>
        <v>8.3416666666666691E-3</v>
      </c>
      <c r="EN136" s="528">
        <f t="shared" si="408"/>
        <v>7.8969557333333357E-3</v>
      </c>
      <c r="EO136">
        <f t="shared" si="409"/>
        <v>8.5500000000000003E-3</v>
      </c>
      <c r="EP136" s="460">
        <f t="shared" si="410"/>
        <v>16.891666666666669</v>
      </c>
      <c r="EQ136" s="460"/>
      <c r="ER136" s="460">
        <f t="shared" si="432"/>
        <v>764.89641187368431</v>
      </c>
      <c r="ES136" s="528">
        <f t="shared" si="411"/>
        <v>1.8199999999999998</v>
      </c>
      <c r="EV136" s="460">
        <f t="shared" si="412"/>
        <v>1819.9999999999998</v>
      </c>
      <c r="EW136" s="528">
        <f t="shared" si="413"/>
        <v>0.42147368421052633</v>
      </c>
      <c r="EX136" s="528">
        <f t="shared" si="414"/>
        <v>0.57852631578947344</v>
      </c>
      <c r="EY136" s="528">
        <f t="shared" si="415"/>
        <v>0.57521082483361041</v>
      </c>
      <c r="EZ136" s="528"/>
      <c r="FA136" s="528">
        <f t="shared" si="416"/>
        <v>6.6733333333333349E-3</v>
      </c>
      <c r="FB136" s="460">
        <f t="shared" si="417"/>
        <v>1581.8841581669433</v>
      </c>
      <c r="FC136" s="173">
        <f t="shared" si="418"/>
        <v>4.1667805700406273</v>
      </c>
      <c r="FD136" s="5">
        <f t="shared" si="419"/>
        <v>39</v>
      </c>
      <c r="FE136" s="173">
        <f t="shared" si="420"/>
        <v>0.9034725194926273</v>
      </c>
      <c r="FF136" s="5">
        <f t="shared" si="421"/>
        <v>90.347251949262727</v>
      </c>
      <c r="FI136" s="562">
        <f t="shared" si="422"/>
        <v>-50</v>
      </c>
      <c r="FJ136">
        <f t="shared" si="423"/>
        <v>-50</v>
      </c>
      <c r="FL136">
        <f t="shared" si="424"/>
        <v>0.52</v>
      </c>
    </row>
    <row r="137" spans="5:168">
      <c r="E137" s="170">
        <v>27</v>
      </c>
      <c r="F137" s="217">
        <f t="shared" si="425"/>
        <v>2.7</v>
      </c>
      <c r="G137" s="217"/>
      <c r="H137" s="217">
        <f t="shared" si="315"/>
        <v>40.5</v>
      </c>
      <c r="I137" s="541">
        <f t="shared" si="316"/>
        <v>18.753268114390085</v>
      </c>
      <c r="J137" s="172">
        <f t="shared" si="317"/>
        <v>15.548039131365949</v>
      </c>
      <c r="K137" s="172">
        <f t="shared" si="318"/>
        <v>34.301307245756036</v>
      </c>
      <c r="L137" s="443"/>
      <c r="M137" s="217">
        <f t="shared" si="319"/>
        <v>0.45330957820537332</v>
      </c>
      <c r="N137" s="172">
        <f t="shared" si="426"/>
        <v>212.72780107906019</v>
      </c>
      <c r="O137" s="172">
        <f t="shared" si="438"/>
        <v>40.5</v>
      </c>
      <c r="P137" s="217">
        <f t="shared" si="320"/>
        <v>14.18185340527068</v>
      </c>
      <c r="Q137" s="217">
        <f t="shared" si="321"/>
        <v>15</v>
      </c>
      <c r="R137" s="217"/>
      <c r="S137" s="172">
        <f t="shared" si="322"/>
        <v>154.93639404116888</v>
      </c>
      <c r="T137" s="172">
        <f t="shared" si="323"/>
        <v>15</v>
      </c>
      <c r="U137" s="217">
        <f t="shared" si="324"/>
        <v>9.87761955344555</v>
      </c>
      <c r="V137" s="217">
        <f t="shared" si="325"/>
        <v>6.3205748415868381</v>
      </c>
      <c r="W137" s="217">
        <f t="shared" si="326"/>
        <v>7.623561636285463</v>
      </c>
      <c r="X137" s="197">
        <f t="shared" si="327"/>
        <v>70.83708316481389</v>
      </c>
      <c r="Y137" s="443">
        <f t="shared" si="328"/>
        <v>70.700675263169529</v>
      </c>
      <c r="AA137" s="217">
        <f t="shared" si="329"/>
        <v>10</v>
      </c>
      <c r="AB137" s="173">
        <f t="shared" si="330"/>
        <v>7.7180150491078416</v>
      </c>
      <c r="AC137" s="173">
        <f t="shared" si="331"/>
        <v>2.7336083695046867</v>
      </c>
      <c r="AD137" s="173"/>
      <c r="AE137" s="173">
        <f t="shared" si="332"/>
        <v>7.7180150491078416</v>
      </c>
      <c r="AF137" s="545">
        <f t="shared" si="333"/>
        <v>69.966176091146764</v>
      </c>
      <c r="AG137" s="528">
        <f t="shared" si="334"/>
        <v>2.7336083695046871</v>
      </c>
      <c r="AI137" s="173">
        <f t="shared" si="335"/>
        <v>4.4710553593130484</v>
      </c>
      <c r="AJ137" s="173">
        <f t="shared" si="336"/>
        <v>10</v>
      </c>
      <c r="AK137" s="173">
        <f t="shared" si="337"/>
        <v>1.0399806720520839</v>
      </c>
      <c r="AM137" s="545">
        <f t="shared" si="338"/>
        <v>2700</v>
      </c>
      <c r="AN137" s="460">
        <f t="shared" si="339"/>
        <v>69.966176091146764</v>
      </c>
      <c r="AP137" s="460">
        <f t="shared" si="340"/>
        <v>2700</v>
      </c>
      <c r="AQ137" s="460">
        <f t="shared" si="341"/>
        <v>69.966176091146764</v>
      </c>
      <c r="AS137" s="5">
        <f t="shared" si="439"/>
        <v>14.292620461310818</v>
      </c>
      <c r="AT137" s="5">
        <f t="shared" si="342"/>
        <v>6.3988846780215072</v>
      </c>
      <c r="AU137" s="5">
        <f t="shared" si="343"/>
        <v>7.8937357832893111</v>
      </c>
      <c r="AV137" s="5"/>
      <c r="AW137" s="173">
        <f t="shared" si="344"/>
        <v>0.4477054921693937</v>
      </c>
      <c r="AX137" s="173">
        <f t="shared" si="435"/>
        <v>41.979705654688061</v>
      </c>
      <c r="AY137" s="173">
        <f t="shared" si="436"/>
        <v>2.7614725391530315</v>
      </c>
      <c r="AZ137" s="173">
        <f t="shared" si="440"/>
        <v>15.201927616330241</v>
      </c>
      <c r="BA137" s="460">
        <f t="shared" si="433"/>
        <v>115.17992420438713</v>
      </c>
      <c r="BB137" s="5">
        <f t="shared" si="434"/>
        <v>4.7354160896287576</v>
      </c>
      <c r="BD137" s="173">
        <f t="shared" si="441"/>
        <v>3.8630967378058836</v>
      </c>
      <c r="BE137" s="173">
        <f t="shared" si="437"/>
        <v>4.2906662568518277</v>
      </c>
      <c r="BG137" s="528">
        <f t="shared" si="347"/>
        <v>0.29847032811292923</v>
      </c>
      <c r="BH137" s="528">
        <f t="shared" si="348"/>
        <v>0.44998711929620538</v>
      </c>
      <c r="BI137" s="528">
        <f t="shared" si="349"/>
        <v>3.2802361479397614E-2</v>
      </c>
      <c r="BJ137" s="528">
        <f t="shared" si="350"/>
        <v>8.2320780989929669E-3</v>
      </c>
      <c r="BK137">
        <f t="shared" si="351"/>
        <v>8.4389706514755389E-3</v>
      </c>
      <c r="BL137" s="460">
        <f t="shared" si="427"/>
        <v>41.241332130873154</v>
      </c>
      <c r="BM137" s="528">
        <f t="shared" si="352"/>
        <v>0.90118547915393321</v>
      </c>
      <c r="BN137" s="460">
        <f t="shared" si="353"/>
        <v>901.18547915393322</v>
      </c>
      <c r="BO137" s="528">
        <f t="shared" si="354"/>
        <v>1.89</v>
      </c>
      <c r="BR137" s="460">
        <f t="shared" si="355"/>
        <v>1890</v>
      </c>
      <c r="BS137" s="528">
        <f t="shared" si="356"/>
        <v>0.44770549216939376</v>
      </c>
      <c r="BT137" s="528">
        <f t="shared" si="357"/>
        <v>0.55229450783060619</v>
      </c>
      <c r="BU137" s="528">
        <f t="shared" si="358"/>
        <v>0.64742632051094418</v>
      </c>
      <c r="BV137" s="528"/>
      <c r="BW137" s="528">
        <f t="shared" si="359"/>
        <v>6.9966176091146772E-3</v>
      </c>
      <c r="BX137" s="460">
        <f t="shared" si="360"/>
        <v>1654.4229381200589</v>
      </c>
      <c r="BY137" s="173">
        <f t="shared" si="361"/>
        <v>4.3423537957590597</v>
      </c>
      <c r="BZ137" s="5">
        <f t="shared" si="362"/>
        <v>40.5</v>
      </c>
      <c r="CA137" s="173">
        <f t="shared" si="363"/>
        <v>0.90316400839400779</v>
      </c>
      <c r="CB137" s="5">
        <f t="shared" si="364"/>
        <v>90.316400839400785</v>
      </c>
      <c r="CE137" s="562">
        <f t="shared" si="365"/>
        <v>-50</v>
      </c>
      <c r="CF137">
        <f t="shared" si="366"/>
        <v>-50</v>
      </c>
      <c r="CG137" s="173">
        <f t="shared" si="367"/>
        <v>0.54715262952854382</v>
      </c>
      <c r="CI137" s="170">
        <v>27</v>
      </c>
      <c r="CJ137" s="217">
        <f t="shared" si="428"/>
        <v>2.7</v>
      </c>
      <c r="CK137" s="217"/>
      <c r="CL137" s="217">
        <f t="shared" si="368"/>
        <v>40.5</v>
      </c>
      <c r="CM137" s="541">
        <f t="shared" si="369"/>
        <v>19</v>
      </c>
      <c r="CN137" s="443">
        <f t="shared" si="370"/>
        <v>15.4</v>
      </c>
      <c r="CO137" s="443">
        <f t="shared" si="371"/>
        <v>34.4</v>
      </c>
      <c r="CP137" s="443"/>
      <c r="CQ137" s="217">
        <f t="shared" si="372"/>
        <v>0.44767441860465118</v>
      </c>
      <c r="CR137" s="172">
        <f t="shared" si="429"/>
        <v>212.84736191860466</v>
      </c>
      <c r="CS137" s="172">
        <f t="shared" si="373"/>
        <v>40.5</v>
      </c>
      <c r="CT137" s="217">
        <f t="shared" si="374"/>
        <v>14.189824127906977</v>
      </c>
      <c r="CU137" s="217">
        <f t="shared" si="375"/>
        <v>15</v>
      </c>
      <c r="CV137" s="217"/>
      <c r="CW137" s="172">
        <f t="shared" si="376"/>
        <v>156.9742184612237</v>
      </c>
      <c r="CX137" s="172">
        <f t="shared" si="377"/>
        <v>15</v>
      </c>
      <c r="CY137" s="217">
        <f t="shared" si="378"/>
        <v>9.522898154477101</v>
      </c>
      <c r="CZ137" s="217">
        <f t="shared" si="379"/>
        <v>6.0144619923013272</v>
      </c>
      <c r="DA137" s="217">
        <f t="shared" si="380"/>
        <v>7.4204401203717669</v>
      </c>
      <c r="DB137" s="197">
        <f t="shared" si="381"/>
        <v>70.881782945736433</v>
      </c>
      <c r="DC137" s="443">
        <f t="shared" si="382"/>
        <v>74.432994867651743</v>
      </c>
      <c r="DE137" s="217">
        <f t="shared" si="383"/>
        <v>10.000000000000002</v>
      </c>
      <c r="DF137" s="173">
        <f t="shared" si="384"/>
        <v>7.792207792207793</v>
      </c>
      <c r="DG137" s="173">
        <f t="shared" si="385"/>
        <v>2.7616279069767451</v>
      </c>
      <c r="DH137" s="173"/>
      <c r="DI137" s="173">
        <f t="shared" si="386"/>
        <v>7.7922077922077913</v>
      </c>
      <c r="DJ137" s="545">
        <f t="shared" si="387"/>
        <v>69.3</v>
      </c>
      <c r="DK137" s="528">
        <f t="shared" si="388"/>
        <v>2.7616279069767442</v>
      </c>
      <c r="DM137" s="173">
        <f t="shared" si="389"/>
        <v>4.4497190922573981</v>
      </c>
      <c r="DN137" s="173">
        <f t="shared" si="390"/>
        <v>10</v>
      </c>
      <c r="DO137" s="173">
        <f t="shared" si="391"/>
        <v>1.0396000000000001</v>
      </c>
      <c r="DQ137" s="545">
        <f t="shared" si="392"/>
        <v>2700</v>
      </c>
      <c r="DR137" s="460">
        <f t="shared" si="393"/>
        <v>69.3</v>
      </c>
      <c r="DT137">
        <f t="shared" si="430"/>
        <v>2700</v>
      </c>
      <c r="DU137">
        <f t="shared" si="431"/>
        <v>69.3</v>
      </c>
      <c r="DW137" s="5">
        <f t="shared" si="394"/>
        <v>14.430014430014429</v>
      </c>
      <c r="DX137" s="5">
        <f t="shared" si="395"/>
        <v>6.3157894736842106</v>
      </c>
      <c r="DY137" s="5">
        <f t="shared" si="396"/>
        <v>8.1142249563302187</v>
      </c>
      <c r="DZ137" s="5"/>
      <c r="EA137" s="173">
        <f t="shared" si="397"/>
        <v>0.43768421052631584</v>
      </c>
      <c r="EB137" s="173">
        <f t="shared" si="398"/>
        <v>41.58</v>
      </c>
      <c r="EC137" s="173">
        <f t="shared" si="399"/>
        <v>2.8115789473684205</v>
      </c>
      <c r="ED137" s="173">
        <f t="shared" si="400"/>
        <v>14.788843129913893</v>
      </c>
      <c r="EE137" s="460">
        <f t="shared" si="401"/>
        <v>113.68421052631581</v>
      </c>
      <c r="EF137" s="5">
        <f t="shared" si="402"/>
        <v>4.8044753030902614</v>
      </c>
      <c r="EH137" s="173">
        <f t="shared" si="403"/>
        <v>3.8196169551684793</v>
      </c>
      <c r="EI137" s="173">
        <f t="shared" si="404"/>
        <v>4.3294179342173473</v>
      </c>
      <c r="EK137" s="528">
        <f t="shared" si="405"/>
        <v>0.29178947368421049</v>
      </c>
      <c r="EL137" s="528">
        <f t="shared" si="406"/>
        <v>0.47678399999999999</v>
      </c>
      <c r="EM137" s="528">
        <f t="shared" si="407"/>
        <v>8.6624999999999983E-3</v>
      </c>
      <c r="EN137" s="528">
        <f t="shared" si="408"/>
        <v>8.2006848E-3</v>
      </c>
      <c r="EO137">
        <f t="shared" si="409"/>
        <v>8.5500000000000003E-3</v>
      </c>
      <c r="EP137" s="460">
        <f t="shared" si="410"/>
        <v>17.212499999999999</v>
      </c>
      <c r="EQ137" s="460"/>
      <c r="ER137" s="460">
        <f t="shared" si="432"/>
        <v>793.98665848421047</v>
      </c>
      <c r="ES137" s="528">
        <f t="shared" si="411"/>
        <v>1.89</v>
      </c>
      <c r="EV137" s="460">
        <f t="shared" si="412"/>
        <v>1890</v>
      </c>
      <c r="EW137" s="528">
        <f t="shared" si="413"/>
        <v>0.43768421052631573</v>
      </c>
      <c r="EX137" s="528">
        <f t="shared" si="414"/>
        <v>0.5623157894736841</v>
      </c>
      <c r="EY137" s="528">
        <f t="shared" si="415"/>
        <v>0.63212518081210267</v>
      </c>
      <c r="EZ137" s="528"/>
      <c r="FA137" s="528">
        <f t="shared" si="416"/>
        <v>6.9300000000000004E-3</v>
      </c>
      <c r="FB137" s="460">
        <f t="shared" si="417"/>
        <v>1639.0551808121027</v>
      </c>
      <c r="FC137" s="173">
        <f t="shared" si="418"/>
        <v>4.3230418392963124</v>
      </c>
      <c r="FD137" s="5">
        <f t="shared" si="419"/>
        <v>40.5</v>
      </c>
      <c r="FE137" s="173">
        <f t="shared" si="420"/>
        <v>0.90355313557710615</v>
      </c>
      <c r="FF137" s="5">
        <f t="shared" si="421"/>
        <v>90.355313557710616</v>
      </c>
      <c r="FI137" s="562">
        <f t="shared" si="422"/>
        <v>-50</v>
      </c>
      <c r="FJ137">
        <f t="shared" si="423"/>
        <v>-50</v>
      </c>
      <c r="FL137">
        <f t="shared" si="424"/>
        <v>0.54</v>
      </c>
    </row>
    <row r="138" spans="5:168">
      <c r="E138" s="170">
        <v>28</v>
      </c>
      <c r="F138" s="217">
        <f t="shared" si="425"/>
        <v>2.8000000000000003</v>
      </c>
      <c r="G138" s="217"/>
      <c r="H138" s="217">
        <f t="shared" si="315"/>
        <v>42.000000000000007</v>
      </c>
      <c r="I138" s="541">
        <f t="shared" si="316"/>
        <v>18.742219417031801</v>
      </c>
      <c r="J138" s="172">
        <f t="shared" si="317"/>
        <v>15.554668349780918</v>
      </c>
      <c r="K138" s="172">
        <f t="shared" si="318"/>
        <v>34.296887766812716</v>
      </c>
      <c r="L138" s="443"/>
      <c r="M138" s="217">
        <f t="shared" si="319"/>
        <v>0.45351384636422654</v>
      </c>
      <c r="N138" s="172">
        <f t="shared" si="426"/>
        <v>212.6982720109186</v>
      </c>
      <c r="O138" s="172">
        <f t="shared" si="438"/>
        <v>42.000000000000007</v>
      </c>
      <c r="P138" s="217">
        <f t="shared" si="320"/>
        <v>14.179884800727907</v>
      </c>
      <c r="Q138" s="217">
        <f t="shared" si="321"/>
        <v>15</v>
      </c>
      <c r="R138" s="217"/>
      <c r="S138" s="172">
        <f t="shared" si="322"/>
        <v>148.64932341075593</v>
      </c>
      <c r="T138" s="172">
        <f t="shared" si="323"/>
        <v>15</v>
      </c>
      <c r="U138" s="217">
        <f t="shared" si="324"/>
        <v>10.247286162226052</v>
      </c>
      <c r="V138" s="217">
        <f t="shared" si="325"/>
        <v>6.5609857194910033</v>
      </c>
      <c r="W138" s="217">
        <f t="shared" si="326"/>
        <v>7.905500212638386</v>
      </c>
      <c r="X138" s="197">
        <f t="shared" si="327"/>
        <v>70.834660264434433</v>
      </c>
      <c r="Y138" s="443">
        <f t="shared" si="328"/>
        <v>68.182658383719087</v>
      </c>
      <c r="AA138" s="217">
        <f t="shared" si="329"/>
        <v>9.9999999999999982</v>
      </c>
      <c r="AB138" s="173">
        <f t="shared" si="330"/>
        <v>7.7147257210206055</v>
      </c>
      <c r="AC138" s="173">
        <f t="shared" si="331"/>
        <v>2.7323498774089421</v>
      </c>
      <c r="AD138" s="173"/>
      <c r="AE138" s="173">
        <f t="shared" si="332"/>
        <v>7.7147257210206073</v>
      </c>
      <c r="AF138" s="545">
        <f t="shared" si="333"/>
        <v>72.588452298977614</v>
      </c>
      <c r="AG138" s="528">
        <f t="shared" si="334"/>
        <v>2.7323498774089434</v>
      </c>
      <c r="AI138" s="173">
        <f t="shared" si="335"/>
        <v>4.5540704649475829</v>
      </c>
      <c r="AJ138" s="173">
        <f t="shared" si="336"/>
        <v>10.247286162226052</v>
      </c>
      <c r="AK138" s="173">
        <f t="shared" si="337"/>
        <v>1.3831749349822609</v>
      </c>
      <c r="AM138" s="545">
        <f t="shared" si="338"/>
        <v>2800.0000000000005</v>
      </c>
      <c r="AN138" s="460">
        <f t="shared" si="339"/>
        <v>68.182658383719087</v>
      </c>
      <c r="AP138" s="460">
        <f t="shared" si="340"/>
        <v>2800.0000000000005</v>
      </c>
      <c r="AQ138" s="460">
        <f t="shared" si="341"/>
        <v>68.182658383719087</v>
      </c>
      <c r="AS138" s="5">
        <f t="shared" si="439"/>
        <v>14.666485932129389</v>
      </c>
      <c r="AT138" s="5">
        <f t="shared" si="342"/>
        <v>6.5609857194910033</v>
      </c>
      <c r="AU138" s="5">
        <f t="shared" si="343"/>
        <v>8.1055002126383862</v>
      </c>
      <c r="AV138" s="5"/>
      <c r="AW138" s="173">
        <f t="shared" si="344"/>
        <v>0.44734544797251452</v>
      </c>
      <c r="AX138" s="173">
        <f t="shared" si="435"/>
        <v>42.957886780710467</v>
      </c>
      <c r="AY138" s="173">
        <f t="shared" si="436"/>
        <v>2.8316046717412449</v>
      </c>
      <c r="AZ138" s="173">
        <f t="shared" si="440"/>
        <v>15.170863083191016</v>
      </c>
      <c r="BA138" s="460">
        <f t="shared" si="433"/>
        <v>122.47173343049873</v>
      </c>
      <c r="BB138" s="5">
        <f t="shared" si="434"/>
        <v>5.0455160642028138</v>
      </c>
      <c r="BD138" s="173">
        <f t="shared" si="441"/>
        <v>3.9570336933656138</v>
      </c>
      <c r="BE138" s="173">
        <f t="shared" si="437"/>
        <v>4.3982014028182546</v>
      </c>
      <c r="BG138" s="528">
        <f t="shared" si="347"/>
        <v>0.31316231300861425</v>
      </c>
      <c r="BH138" s="528">
        <f t="shared" si="348"/>
        <v>0.4493024416090316</v>
      </c>
      <c r="BI138" s="528">
        <f t="shared" si="349"/>
        <v>3.194735859660465E-2</v>
      </c>
      <c r="BJ138" s="528">
        <f t="shared" si="350"/>
        <v>8.0201659479488367E-3</v>
      </c>
      <c r="BK138">
        <f t="shared" si="351"/>
        <v>8.4339987376643097E-3</v>
      </c>
      <c r="BL138" s="460">
        <f t="shared" si="427"/>
        <v>40.381357334268962</v>
      </c>
      <c r="BM138" s="528">
        <f t="shared" si="352"/>
        <v>0.92377436171502603</v>
      </c>
      <c r="BN138" s="460">
        <f t="shared" si="353"/>
        <v>923.77436171502598</v>
      </c>
      <c r="BO138" s="528">
        <f t="shared" si="354"/>
        <v>1.96</v>
      </c>
      <c r="BR138" s="460">
        <f t="shared" si="355"/>
        <v>1960</v>
      </c>
      <c r="BS138" s="528">
        <f t="shared" si="356"/>
        <v>0.46974346951292129</v>
      </c>
      <c r="BT138" s="528">
        <f t="shared" si="357"/>
        <v>0.58032526739257384</v>
      </c>
      <c r="BU138" s="528">
        <f t="shared" si="358"/>
        <v>0.64517419730591374</v>
      </c>
      <c r="BV138" s="528"/>
      <c r="BW138" s="528">
        <f t="shared" si="359"/>
        <v>7.1596477967850788E-3</v>
      </c>
      <c r="BX138" s="460">
        <f t="shared" si="360"/>
        <v>1702.4025820081938</v>
      </c>
      <c r="BY138" s="173">
        <f t="shared" si="361"/>
        <v>4.4732688599080577</v>
      </c>
      <c r="BZ138" s="5">
        <f t="shared" si="362"/>
        <v>42.000000000000007</v>
      </c>
      <c r="CA138" s="173">
        <f t="shared" si="363"/>
        <v>0.90374533641279764</v>
      </c>
      <c r="CB138" s="5">
        <f t="shared" si="364"/>
        <v>90.374533641279768</v>
      </c>
      <c r="CE138" s="562">
        <f t="shared" si="365"/>
        <v>-50</v>
      </c>
      <c r="CF138">
        <f t="shared" si="366"/>
        <v>-50</v>
      </c>
      <c r="CG138" s="173">
        <f t="shared" si="367"/>
        <v>0.54309753817754336</v>
      </c>
      <c r="CI138" s="170">
        <v>28</v>
      </c>
      <c r="CJ138" s="217">
        <f t="shared" si="428"/>
        <v>2.8000000000000003</v>
      </c>
      <c r="CK138" s="217"/>
      <c r="CL138" s="217">
        <f t="shared" si="368"/>
        <v>42.000000000000007</v>
      </c>
      <c r="CM138" s="541">
        <f t="shared" si="369"/>
        <v>19</v>
      </c>
      <c r="CN138" s="443">
        <f t="shared" si="370"/>
        <v>15.4</v>
      </c>
      <c r="CO138" s="443">
        <f t="shared" si="371"/>
        <v>34.4</v>
      </c>
      <c r="CP138" s="443"/>
      <c r="CQ138" s="217">
        <f t="shared" si="372"/>
        <v>0.44767441860465118</v>
      </c>
      <c r="CR138" s="172">
        <f t="shared" si="429"/>
        <v>212.84736191860466</v>
      </c>
      <c r="CS138" s="172">
        <f t="shared" si="373"/>
        <v>42.000000000000007</v>
      </c>
      <c r="CT138" s="217">
        <f t="shared" si="374"/>
        <v>14.189824127906977</v>
      </c>
      <c r="CU138" s="217">
        <f t="shared" si="375"/>
        <v>15</v>
      </c>
      <c r="CV138" s="217"/>
      <c r="CW138" s="172">
        <f t="shared" si="376"/>
        <v>150.69315723677926</v>
      </c>
      <c r="CX138" s="172">
        <f t="shared" si="377"/>
        <v>15</v>
      </c>
      <c r="CY138" s="217">
        <f t="shared" si="378"/>
        <v>9.8755980861244037</v>
      </c>
      <c r="CZ138" s="217">
        <f t="shared" si="379"/>
        <v>6.2372198438680435</v>
      </c>
      <c r="DA138" s="217">
        <f t="shared" si="380"/>
        <v>7.6952712359410933</v>
      </c>
      <c r="DB138" s="197">
        <f t="shared" si="381"/>
        <v>70.881782945736433</v>
      </c>
      <c r="DC138" s="443">
        <f t="shared" si="382"/>
        <v>71.774673622378472</v>
      </c>
      <c r="DE138" s="217">
        <f t="shared" si="383"/>
        <v>10.000000000000002</v>
      </c>
      <c r="DF138" s="173">
        <f t="shared" si="384"/>
        <v>7.792207792207793</v>
      </c>
      <c r="DG138" s="173">
        <f t="shared" si="385"/>
        <v>2.7616279069767451</v>
      </c>
      <c r="DH138" s="173"/>
      <c r="DI138" s="173">
        <f t="shared" si="386"/>
        <v>7.7922077922077913</v>
      </c>
      <c r="DJ138" s="545">
        <f t="shared" si="387"/>
        <v>71.866666666666674</v>
      </c>
      <c r="DK138" s="528">
        <f t="shared" si="388"/>
        <v>2.7616279069767442</v>
      </c>
      <c r="DM138" s="173">
        <f t="shared" si="389"/>
        <v>4.5313721247910479</v>
      </c>
      <c r="DN138" s="173">
        <f t="shared" si="390"/>
        <v>10</v>
      </c>
      <c r="DO138" s="173">
        <f t="shared" si="391"/>
        <v>1.2</v>
      </c>
      <c r="DQ138" s="545">
        <f t="shared" si="392"/>
        <v>2800.0000000000005</v>
      </c>
      <c r="DR138" s="460">
        <f t="shared" si="393"/>
        <v>71.774673622378472</v>
      </c>
      <c r="DT138">
        <f t="shared" si="430"/>
        <v>2800.0000000000005</v>
      </c>
      <c r="DU138">
        <f t="shared" si="431"/>
        <v>71.774673622378472</v>
      </c>
      <c r="DW138" s="5">
        <f t="shared" si="394"/>
        <v>13.932491079809132</v>
      </c>
      <c r="DX138" s="5">
        <f t="shared" si="395"/>
        <v>6.3157894736842106</v>
      </c>
      <c r="DY138" s="5">
        <f t="shared" si="396"/>
        <v>7.6167016061249218</v>
      </c>
      <c r="DZ138" s="5"/>
      <c r="EA138" s="173">
        <f t="shared" si="397"/>
        <v>0.4533137281413378</v>
      </c>
      <c r="EB138" s="173">
        <f t="shared" si="398"/>
        <v>43.064804173427092</v>
      </c>
      <c r="EC138" s="173">
        <f t="shared" si="399"/>
        <v>2.733431359293311</v>
      </c>
      <c r="ED138" s="173">
        <f t="shared" si="400"/>
        <v>15.754851142324229</v>
      </c>
      <c r="EE138" s="460">
        <f t="shared" si="401"/>
        <v>117.89473684210527</v>
      </c>
      <c r="EF138" s="5">
        <f t="shared" si="402"/>
        <v>4.6769220388486366</v>
      </c>
      <c r="EH138" s="173">
        <f t="shared" si="403"/>
        <v>3.8872172057541703</v>
      </c>
      <c r="EI138" s="173">
        <f t="shared" si="404"/>
        <v>4.2688260363502835</v>
      </c>
      <c r="EK138" s="528">
        <f t="shared" si="405"/>
        <v>0.30220915209422516</v>
      </c>
      <c r="EL138" s="528">
        <f t="shared" si="406"/>
        <v>0.49380975452196391</v>
      </c>
      <c r="EM138" s="528">
        <f t="shared" si="407"/>
        <v>8.9718342027973082E-3</v>
      </c>
      <c r="EN138" s="528">
        <f t="shared" si="408"/>
        <v>8.4935277777777787E-3</v>
      </c>
      <c r="EO138">
        <f t="shared" si="409"/>
        <v>8.5500000000000003E-3</v>
      </c>
      <c r="EP138" s="460">
        <f t="shared" si="410"/>
        <v>17.521834202797308</v>
      </c>
      <c r="EQ138" s="460"/>
      <c r="ER138" s="460">
        <f t="shared" si="432"/>
        <v>822.03426859676415</v>
      </c>
      <c r="ES138" s="528">
        <f t="shared" si="411"/>
        <v>1.96</v>
      </c>
      <c r="EV138" s="460">
        <f t="shared" si="412"/>
        <v>1960</v>
      </c>
      <c r="EW138" s="528">
        <f t="shared" si="413"/>
        <v>0.45331372814133775</v>
      </c>
      <c r="EX138" s="528">
        <f t="shared" si="414"/>
        <v>0.54668627185866214</v>
      </c>
      <c r="EY138" s="528">
        <f t="shared" si="415"/>
        <v>0.69007782208326285</v>
      </c>
      <c r="EZ138" s="528"/>
      <c r="FA138" s="528">
        <f t="shared" si="416"/>
        <v>7.1774673622378481E-3</v>
      </c>
      <c r="FB138" s="460">
        <f t="shared" si="417"/>
        <v>1697.2552894455007</v>
      </c>
      <c r="FC138" s="173">
        <f t="shared" si="418"/>
        <v>4.4792895580422645</v>
      </c>
      <c r="FD138" s="5">
        <f t="shared" si="419"/>
        <v>42.000000000000007</v>
      </c>
      <c r="FE138" s="173">
        <f t="shared" si="420"/>
        <v>0.90362826969528809</v>
      </c>
      <c r="FF138" s="5">
        <f t="shared" si="421"/>
        <v>90.362826969528811</v>
      </c>
      <c r="FI138" s="562">
        <f t="shared" si="422"/>
        <v>-50</v>
      </c>
      <c r="FJ138">
        <f t="shared" si="423"/>
        <v>-50</v>
      </c>
      <c r="FL138">
        <f t="shared" si="424"/>
        <v>0.54668627185866225</v>
      </c>
    </row>
    <row r="139" spans="5:168">
      <c r="E139" s="170">
        <v>29</v>
      </c>
      <c r="F139" s="217">
        <f t="shared" si="425"/>
        <v>2.9</v>
      </c>
      <c r="G139" s="217"/>
      <c r="H139" s="217">
        <f t="shared" si="315"/>
        <v>43.5</v>
      </c>
      <c r="I139" s="541">
        <f t="shared" si="316"/>
        <v>18.735816342523904</v>
      </c>
      <c r="J139" s="172">
        <f t="shared" si="317"/>
        <v>15.558510194485658</v>
      </c>
      <c r="K139" s="172">
        <f t="shared" si="318"/>
        <v>34.29432653700956</v>
      </c>
      <c r="L139" s="443"/>
      <c r="M139" s="217">
        <f t="shared" si="319"/>
        <v>0.45366007973770672</v>
      </c>
      <c r="N139" s="172">
        <f t="shared" si="426"/>
        <v>212.6941660809882</v>
      </c>
      <c r="O139" s="172">
        <f t="shared" si="438"/>
        <v>43.5</v>
      </c>
      <c r="P139" s="217">
        <f t="shared" si="320"/>
        <v>14.17961107206588</v>
      </c>
      <c r="Q139" s="217">
        <f t="shared" si="321"/>
        <v>15</v>
      </c>
      <c r="R139" s="217"/>
      <c r="S139" s="172">
        <f t="shared" si="322"/>
        <v>142.83216471274497</v>
      </c>
      <c r="T139" s="172">
        <f t="shared" si="323"/>
        <v>15</v>
      </c>
      <c r="U139" s="217">
        <f t="shared" si="324"/>
        <v>10.616101413961234</v>
      </c>
      <c r="V139" s="217">
        <f t="shared" si="325"/>
        <v>6.7994484274696765</v>
      </c>
      <c r="W139" s="217">
        <f t="shared" si="326"/>
        <v>8.1880087087442526</v>
      </c>
      <c r="X139" s="197">
        <f t="shared" si="327"/>
        <v>70.833239538078374</v>
      </c>
      <c r="Y139" s="443">
        <f t="shared" si="328"/>
        <v>65.843807230608533</v>
      </c>
      <c r="AA139" s="217">
        <f t="shared" si="329"/>
        <v>10</v>
      </c>
      <c r="AB139" s="173">
        <f t="shared" si="330"/>
        <v>7.712820732831549</v>
      </c>
      <c r="AC139" s="173">
        <f t="shared" si="331"/>
        <v>2.731620392414571</v>
      </c>
      <c r="AD139" s="173"/>
      <c r="AE139" s="173">
        <f t="shared" si="332"/>
        <v>7.712820732831549</v>
      </c>
      <c r="AF139" s="545">
        <f t="shared" si="333"/>
        <v>75.199465940014022</v>
      </c>
      <c r="AG139" s="528">
        <f t="shared" si="334"/>
        <v>2.731620392414571</v>
      </c>
      <c r="AI139" s="173">
        <f t="shared" si="335"/>
        <v>4.6352520640356616</v>
      </c>
      <c r="AJ139" s="173">
        <f t="shared" si="336"/>
        <v>10.616101413961234</v>
      </c>
      <c r="AK139" s="173">
        <f t="shared" si="337"/>
        <v>1.656371417749062</v>
      </c>
      <c r="AM139" s="545">
        <f t="shared" si="338"/>
        <v>2900</v>
      </c>
      <c r="AN139" s="460">
        <f t="shared" si="339"/>
        <v>65.843807230608533</v>
      </c>
      <c r="AP139" s="460">
        <f t="shared" si="340"/>
        <v>2900</v>
      </c>
      <c r="AQ139" s="460">
        <f t="shared" si="341"/>
        <v>65.843807230608533</v>
      </c>
      <c r="AS139" s="5">
        <f t="shared" si="439"/>
        <v>15.187457136213931</v>
      </c>
      <c r="AT139" s="5">
        <f t="shared" si="342"/>
        <v>6.7994484274696765</v>
      </c>
      <c r="AU139" s="5">
        <f t="shared" si="343"/>
        <v>8.3880087087442554</v>
      </c>
      <c r="AV139" s="5"/>
      <c r="AW139" s="173">
        <f t="shared" si="344"/>
        <v>0.44770157153277773</v>
      </c>
      <c r="AX139" s="173">
        <f t="shared" si="435"/>
        <v>44.524218196913381</v>
      </c>
      <c r="AY139" s="173">
        <f t="shared" si="436"/>
        <v>2.9316280636897232</v>
      </c>
      <c r="AZ139" s="173">
        <f t="shared" si="440"/>
        <v>15.187539902614919</v>
      </c>
      <c r="BA139" s="460">
        <f t="shared" si="433"/>
        <v>131.45600293108043</v>
      </c>
      <c r="BB139" s="5">
        <f t="shared" si="434"/>
        <v>5.4096978417010986</v>
      </c>
      <c r="BD139" s="173">
        <f t="shared" si="441"/>
        <v>4.1010847169669598</v>
      </c>
      <c r="BE139" s="173">
        <f t="shared" si="437"/>
        <v>4.555030979195414</v>
      </c>
      <c r="BG139" s="528">
        <f t="shared" si="347"/>
        <v>0.33637791711479936</v>
      </c>
      <c r="BH139" s="528">
        <f t="shared" si="348"/>
        <v>0.44947293329179067</v>
      </c>
      <c r="BI139" s="528">
        <f t="shared" si="349"/>
        <v>3.0840936989130725E-2</v>
      </c>
      <c r="BJ139" s="528">
        <f t="shared" si="350"/>
        <v>7.7438956507252894E-3</v>
      </c>
      <c r="BK139">
        <f t="shared" si="351"/>
        <v>8.4311173541357573E-3</v>
      </c>
      <c r="BL139" s="460">
        <f t="shared" si="427"/>
        <v>39.272054343266483</v>
      </c>
      <c r="BM139" s="528">
        <f t="shared" si="352"/>
        <v>0.9612425498615691</v>
      </c>
      <c r="BN139" s="460">
        <f t="shared" si="353"/>
        <v>961.24254986156905</v>
      </c>
      <c r="BO139" s="528">
        <f t="shared" si="354"/>
        <v>2.0299999999999998</v>
      </c>
      <c r="BR139" s="460">
        <f t="shared" si="355"/>
        <v>2029.9999999999998</v>
      </c>
      <c r="BS139" s="528">
        <f t="shared" si="356"/>
        <v>0.50456687567219904</v>
      </c>
      <c r="BT139" s="528">
        <f t="shared" si="357"/>
        <v>0.62244921664289798</v>
      </c>
      <c r="BU139" s="528">
        <f t="shared" si="358"/>
        <v>0.64590699494436465</v>
      </c>
      <c r="BV139" s="528"/>
      <c r="BW139" s="528">
        <f t="shared" si="359"/>
        <v>7.4207030328188968E-3</v>
      </c>
      <c r="BX139" s="460">
        <f t="shared" si="360"/>
        <v>1780.3437902922808</v>
      </c>
      <c r="BY139" s="173">
        <f t="shared" si="361"/>
        <v>4.6432105906928625</v>
      </c>
      <c r="BZ139" s="5">
        <f t="shared" si="362"/>
        <v>43.5</v>
      </c>
      <c r="CA139" s="173">
        <f t="shared" si="363"/>
        <v>0.90355419728507902</v>
      </c>
      <c r="CB139" s="5">
        <f t="shared" si="364"/>
        <v>90.355419728507897</v>
      </c>
      <c r="CE139" s="562">
        <f t="shared" si="365"/>
        <v>-50</v>
      </c>
      <c r="CF139">
        <f t="shared" si="366"/>
        <v>-50</v>
      </c>
      <c r="CG139" s="173">
        <f t="shared" si="367"/>
        <v>0.54886059715150981</v>
      </c>
      <c r="CI139" s="170">
        <v>29</v>
      </c>
      <c r="CJ139" s="217">
        <f t="shared" si="428"/>
        <v>2.9</v>
      </c>
      <c r="CK139" s="217"/>
      <c r="CL139" s="217">
        <f t="shared" si="368"/>
        <v>43.5</v>
      </c>
      <c r="CM139" s="541">
        <f t="shared" si="369"/>
        <v>19</v>
      </c>
      <c r="CN139" s="443">
        <f t="shared" si="370"/>
        <v>15.4</v>
      </c>
      <c r="CO139" s="443">
        <f t="shared" si="371"/>
        <v>34.4</v>
      </c>
      <c r="CP139" s="443"/>
      <c r="CQ139" s="217">
        <f t="shared" si="372"/>
        <v>0.44767441860465118</v>
      </c>
      <c r="CR139" s="172">
        <f t="shared" si="429"/>
        <v>212.84736191860466</v>
      </c>
      <c r="CS139" s="172">
        <f t="shared" si="373"/>
        <v>43.5</v>
      </c>
      <c r="CT139" s="217">
        <f t="shared" si="374"/>
        <v>14.189824127906977</v>
      </c>
      <c r="CU139" s="217">
        <f t="shared" si="375"/>
        <v>15</v>
      </c>
      <c r="CV139" s="217"/>
      <c r="CW139" s="172">
        <f t="shared" si="376"/>
        <v>144.84542867509592</v>
      </c>
      <c r="CX139" s="172">
        <f t="shared" si="377"/>
        <v>15</v>
      </c>
      <c r="CY139" s="217">
        <f t="shared" si="378"/>
        <v>10.228298017771701</v>
      </c>
      <c r="CZ139" s="217">
        <f t="shared" si="379"/>
        <v>6.459977695434759</v>
      </c>
      <c r="DA139" s="217">
        <f t="shared" si="380"/>
        <v>7.970102351510417</v>
      </c>
      <c r="DB139" s="197">
        <f t="shared" si="381"/>
        <v>70.881782945736433</v>
      </c>
      <c r="DC139" s="443">
        <f t="shared" si="382"/>
        <v>69.29968487677921</v>
      </c>
      <c r="DE139" s="217">
        <f t="shared" si="383"/>
        <v>10.000000000000002</v>
      </c>
      <c r="DF139" s="173">
        <f t="shared" si="384"/>
        <v>7.792207792207793</v>
      </c>
      <c r="DG139" s="173">
        <f t="shared" si="385"/>
        <v>2.7616279069767451</v>
      </c>
      <c r="DH139" s="173"/>
      <c r="DI139" s="173">
        <f t="shared" si="386"/>
        <v>7.7922077922077913</v>
      </c>
      <c r="DJ139" s="545">
        <f t="shared" si="387"/>
        <v>74.433333333333323</v>
      </c>
      <c r="DK139" s="528">
        <f t="shared" si="388"/>
        <v>2.7616279069767442</v>
      </c>
      <c r="DM139" s="173">
        <f t="shared" si="389"/>
        <v>4.6115796281390038</v>
      </c>
      <c r="DN139" s="173">
        <f t="shared" si="390"/>
        <v>10.228298017771701</v>
      </c>
      <c r="DO139" s="173">
        <f t="shared" si="391"/>
        <v>1.3691096427938527</v>
      </c>
      <c r="DQ139" s="545">
        <f t="shared" si="392"/>
        <v>2900</v>
      </c>
      <c r="DR139" s="460">
        <f t="shared" si="393"/>
        <v>69.29968487677921</v>
      </c>
      <c r="DT139">
        <f t="shared" si="430"/>
        <v>2900</v>
      </c>
      <c r="DU139">
        <f t="shared" si="431"/>
        <v>69.29968487677921</v>
      </c>
      <c r="DW139" s="5">
        <f t="shared" si="394"/>
        <v>14.430080046945175</v>
      </c>
      <c r="DX139" s="5">
        <f t="shared" si="395"/>
        <v>6.459977695434759</v>
      </c>
      <c r="DY139" s="5">
        <f t="shared" si="396"/>
        <v>7.9701023515104161</v>
      </c>
      <c r="DZ139" s="5"/>
      <c r="EA139" s="173">
        <f t="shared" si="397"/>
        <v>0.44767441860465118</v>
      </c>
      <c r="EB139" s="173">
        <f t="shared" si="398"/>
        <v>43.5</v>
      </c>
      <c r="EC139" s="173">
        <f t="shared" si="399"/>
        <v>2.8246753246753245</v>
      </c>
      <c r="ED139" s="173">
        <f t="shared" si="400"/>
        <v>15.4</v>
      </c>
      <c r="EE139" s="460">
        <f t="shared" si="401"/>
        <v>124.89290211173866</v>
      </c>
      <c r="EF139" s="5">
        <f t="shared" si="402"/>
        <v>5.0687054428465368</v>
      </c>
      <c r="EH139" s="173">
        <f t="shared" si="403"/>
        <v>3.951153346045599</v>
      </c>
      <c r="EI139" s="173">
        <f t="shared" si="404"/>
        <v>4.3887447730321298</v>
      </c>
      <c r="EK139" s="528">
        <f t="shared" si="405"/>
        <v>0.31223225527934667</v>
      </c>
      <c r="EL139" s="528">
        <f t="shared" si="406"/>
        <v>0.48766666666666664</v>
      </c>
      <c r="EM139" s="528">
        <f t="shared" si="407"/>
        <v>8.6624606095974006E-3</v>
      </c>
      <c r="EN139" s="528">
        <f t="shared" si="408"/>
        <v>8.2006475095785444E-3</v>
      </c>
      <c r="EO139">
        <f t="shared" si="409"/>
        <v>8.5500000000000003E-3</v>
      </c>
      <c r="EP139" s="460">
        <f t="shared" si="410"/>
        <v>17.2124606095974</v>
      </c>
      <c r="EQ139" s="460"/>
      <c r="ER139" s="460">
        <f t="shared" si="432"/>
        <v>825.31203006518911</v>
      </c>
      <c r="ES139" s="528">
        <f t="shared" si="411"/>
        <v>2.0299999999999998</v>
      </c>
      <c r="EV139" s="460">
        <f t="shared" si="412"/>
        <v>2029.9999999999998</v>
      </c>
      <c r="EW139" s="528">
        <f t="shared" si="413"/>
        <v>0.46834838291901998</v>
      </c>
      <c r="EX139" s="528">
        <f t="shared" si="414"/>
        <v>0.57783242048450512</v>
      </c>
      <c r="EY139" s="528">
        <f t="shared" si="415"/>
        <v>0.66881589702681288</v>
      </c>
      <c r="EZ139" s="528"/>
      <c r="FA139" s="528">
        <f t="shared" si="416"/>
        <v>7.2500000000000004E-3</v>
      </c>
      <c r="FB139" s="460">
        <f t="shared" si="417"/>
        <v>1722.2467004303378</v>
      </c>
      <c r="FC139" s="173">
        <f t="shared" si="418"/>
        <v>4.577558730495527</v>
      </c>
      <c r="FD139" s="5">
        <f t="shared" si="419"/>
        <v>43.5</v>
      </c>
      <c r="FE139" s="173">
        <f t="shared" si="420"/>
        <v>0.90478803725963763</v>
      </c>
      <c r="FF139" s="5">
        <f t="shared" si="421"/>
        <v>90.478803725963758</v>
      </c>
      <c r="FI139" s="562">
        <f t="shared" si="422"/>
        <v>-50</v>
      </c>
      <c r="FJ139">
        <f t="shared" si="423"/>
        <v>-50</v>
      </c>
      <c r="FL139">
        <f t="shared" si="424"/>
        <v>0.55232558139534882</v>
      </c>
    </row>
    <row r="140" spans="5:168">
      <c r="E140" s="170">
        <v>30</v>
      </c>
      <c r="F140" s="217">
        <f t="shared" si="425"/>
        <v>3</v>
      </c>
      <c r="G140" s="217"/>
      <c r="H140" s="217">
        <f t="shared" si="315"/>
        <v>45</v>
      </c>
      <c r="I140" s="541">
        <f t="shared" si="316"/>
        <v>18.726764059634263</v>
      </c>
      <c r="J140" s="172">
        <f t="shared" si="317"/>
        <v>15.563941564219443</v>
      </c>
      <c r="K140" s="172">
        <f t="shared" si="318"/>
        <v>34.290705623853704</v>
      </c>
      <c r="L140" s="443"/>
      <c r="M140" s="217">
        <f t="shared" si="319"/>
        <v>0.45386638499639542</v>
      </c>
      <c r="N140" s="172">
        <f t="shared" si="426"/>
        <v>212.68807956744325</v>
      </c>
      <c r="O140" s="172">
        <f t="shared" si="438"/>
        <v>45</v>
      </c>
      <c r="P140" s="217">
        <f t="shared" si="320"/>
        <v>14.179205304496216</v>
      </c>
      <c r="Q140" s="217">
        <f t="shared" si="321"/>
        <v>15</v>
      </c>
      <c r="R140" s="217"/>
      <c r="S140" s="172">
        <f t="shared" si="322"/>
        <v>137.38396868581026</v>
      </c>
      <c r="T140" s="172">
        <f t="shared" si="323"/>
        <v>15</v>
      </c>
      <c r="U140" s="217">
        <f t="shared" si="324"/>
        <v>10.986322458763867</v>
      </c>
      <c r="V140" s="217">
        <f t="shared" si="325"/>
        <v>7.0399706583231865</v>
      </c>
      <c r="W140" s="217">
        <f t="shared" si="326"/>
        <v>8.4705965363072995</v>
      </c>
      <c r="X140" s="197">
        <f t="shared" si="327"/>
        <v>70.831210238186245</v>
      </c>
      <c r="Y140" s="443">
        <f t="shared" si="328"/>
        <v>63.651425668563853</v>
      </c>
      <c r="AA140" s="217">
        <f t="shared" si="329"/>
        <v>10</v>
      </c>
      <c r="AB140" s="173">
        <f t="shared" si="330"/>
        <v>7.7101291793508615</v>
      </c>
      <c r="AC140" s="173">
        <f t="shared" si="331"/>
        <v>2.730588904330876</v>
      </c>
      <c r="AD140" s="173"/>
      <c r="AE140" s="173">
        <f t="shared" si="332"/>
        <v>7.7101291793508615</v>
      </c>
      <c r="AF140" s="545">
        <f t="shared" si="333"/>
        <v>77.819707821097197</v>
      </c>
      <c r="AG140" s="528">
        <f t="shared" si="334"/>
        <v>2.730588904330876</v>
      </c>
      <c r="AI140" s="173">
        <f t="shared" si="335"/>
        <v>4.7153157089000102</v>
      </c>
      <c r="AJ140" s="173">
        <f t="shared" si="336"/>
        <v>10.986322458763867</v>
      </c>
      <c r="AK140" s="173">
        <f t="shared" si="337"/>
        <v>1.9306092287139758</v>
      </c>
      <c r="AM140" s="545">
        <f t="shared" si="338"/>
        <v>3000</v>
      </c>
      <c r="AN140" s="460">
        <f t="shared" si="339"/>
        <v>63.651425668563853</v>
      </c>
      <c r="AP140" s="460">
        <f t="shared" si="340"/>
        <v>3000</v>
      </c>
      <c r="AQ140" s="460">
        <f t="shared" si="341"/>
        <v>63.651425668563853</v>
      </c>
      <c r="AS140" s="5">
        <f t="shared" si="439"/>
        <v>15.710567194630483</v>
      </c>
      <c r="AT140" s="5">
        <f t="shared" si="342"/>
        <v>7.0399706583231865</v>
      </c>
      <c r="AU140" s="5">
        <f t="shared" si="343"/>
        <v>8.670596536307297</v>
      </c>
      <c r="AV140" s="5"/>
      <c r="AW140" s="173">
        <f t="shared" si="344"/>
        <v>0.44810416906712885</v>
      </c>
      <c r="AX140" s="173">
        <f t="shared" si="435"/>
        <v>46.096087941061079</v>
      </c>
      <c r="AY140" s="173">
        <f t="shared" si="436"/>
        <v>3.0316527811379745</v>
      </c>
      <c r="AZ140" s="173">
        <f t="shared" si="440"/>
        <v>15.204936471569891</v>
      </c>
      <c r="BA140" s="460">
        <f t="shared" si="433"/>
        <v>140.79941316646375</v>
      </c>
      <c r="BB140" s="5">
        <f t="shared" si="434"/>
        <v>5.7875699378015195</v>
      </c>
      <c r="BD140" s="173">
        <f t="shared" si="441"/>
        <v>4.2460118972497476</v>
      </c>
      <c r="BE140" s="173">
        <f t="shared" si="437"/>
        <v>4.7121626341903831</v>
      </c>
      <c r="BG140" s="528">
        <f t="shared" si="347"/>
        <v>0.36057234063172799</v>
      </c>
      <c r="BH140" s="528">
        <f t="shared" si="348"/>
        <v>0.44961228721299973</v>
      </c>
      <c r="BI140" s="528">
        <f t="shared" si="349"/>
        <v>2.9799630763863581E-2</v>
      </c>
      <c r="BJ140" s="528">
        <f t="shared" si="350"/>
        <v>7.4844687503304898E-3</v>
      </c>
      <c r="BK140">
        <f t="shared" si="351"/>
        <v>8.4270438268354182E-3</v>
      </c>
      <c r="BL140" s="460">
        <f t="shared" si="427"/>
        <v>38.226674590698998</v>
      </c>
      <c r="BM140" s="528">
        <f t="shared" si="352"/>
        <v>1.0007607955686535</v>
      </c>
      <c r="BN140" s="460">
        <f t="shared" si="353"/>
        <v>1000.7607955686535</v>
      </c>
      <c r="BO140" s="528">
        <f t="shared" si="354"/>
        <v>2.0999999999999996</v>
      </c>
      <c r="BR140" s="460">
        <f t="shared" si="355"/>
        <v>2099.9999999999995</v>
      </c>
      <c r="BS140" s="528">
        <f t="shared" si="356"/>
        <v>0.54085851094759196</v>
      </c>
      <c r="BT140" s="528">
        <f t="shared" si="357"/>
        <v>0.66613430073180147</v>
      </c>
      <c r="BU140" s="528">
        <f t="shared" si="358"/>
        <v>0.64657840790457699</v>
      </c>
      <c r="BV140" s="528"/>
      <c r="BW140" s="528">
        <f t="shared" si="359"/>
        <v>7.6826813235101798E-3</v>
      </c>
      <c r="BX140" s="460">
        <f t="shared" si="360"/>
        <v>1861.2539009074808</v>
      </c>
      <c r="BY140" s="173">
        <f t="shared" si="361"/>
        <v>4.8171496720932376</v>
      </c>
      <c r="BZ140" s="5">
        <f t="shared" si="362"/>
        <v>45</v>
      </c>
      <c r="CA140" s="173">
        <f t="shared" si="363"/>
        <v>0.90330338640808017</v>
      </c>
      <c r="CB140" s="5">
        <f t="shared" si="364"/>
        <v>90.330338640808023</v>
      </c>
      <c r="CE140" s="562">
        <f t="shared" si="365"/>
        <v>-50</v>
      </c>
      <c r="CF140">
        <f t="shared" si="366"/>
        <v>-50</v>
      </c>
      <c r="CG140" s="173">
        <f t="shared" si="367"/>
        <v>0.54897609662630453</v>
      </c>
      <c r="CI140" s="170">
        <v>30</v>
      </c>
      <c r="CJ140" s="217">
        <f t="shared" si="428"/>
        <v>3</v>
      </c>
      <c r="CK140" s="217"/>
      <c r="CL140" s="217">
        <f t="shared" si="368"/>
        <v>45</v>
      </c>
      <c r="CM140" s="541">
        <f t="shared" si="369"/>
        <v>19</v>
      </c>
      <c r="CN140" s="443">
        <f t="shared" si="370"/>
        <v>15.4</v>
      </c>
      <c r="CO140" s="443">
        <f t="shared" si="371"/>
        <v>34.4</v>
      </c>
      <c r="CP140" s="443"/>
      <c r="CQ140" s="217">
        <f t="shared" si="372"/>
        <v>0.44767441860465118</v>
      </c>
      <c r="CR140" s="172">
        <f t="shared" si="429"/>
        <v>212.84736191860466</v>
      </c>
      <c r="CS140" s="172">
        <f t="shared" si="373"/>
        <v>45</v>
      </c>
      <c r="CT140" s="217">
        <f t="shared" si="374"/>
        <v>14.189824127906977</v>
      </c>
      <c r="CU140" s="217">
        <f t="shared" si="375"/>
        <v>15</v>
      </c>
      <c r="CV140" s="217"/>
      <c r="CW140" s="172">
        <f t="shared" si="376"/>
        <v>139.38770149246935</v>
      </c>
      <c r="CX140" s="172">
        <f t="shared" si="377"/>
        <v>15</v>
      </c>
      <c r="CY140" s="217">
        <f t="shared" si="378"/>
        <v>10.580997949419002</v>
      </c>
      <c r="CZ140" s="217">
        <f t="shared" si="379"/>
        <v>6.6827355470014753</v>
      </c>
      <c r="DA140" s="217">
        <f t="shared" si="380"/>
        <v>8.2449334670797416</v>
      </c>
      <c r="DB140" s="197">
        <f t="shared" si="381"/>
        <v>70.881782945736433</v>
      </c>
      <c r="DC140" s="443">
        <f t="shared" si="382"/>
        <v>66.989695380886559</v>
      </c>
      <c r="DE140" s="217">
        <f t="shared" si="383"/>
        <v>10.000000000000002</v>
      </c>
      <c r="DF140" s="173">
        <f t="shared" si="384"/>
        <v>7.792207792207793</v>
      </c>
      <c r="DG140" s="173">
        <f t="shared" si="385"/>
        <v>2.7616279069767451</v>
      </c>
      <c r="DH140" s="173"/>
      <c r="DI140" s="173">
        <f t="shared" si="386"/>
        <v>7.7922077922077913</v>
      </c>
      <c r="DJ140" s="545">
        <f t="shared" si="387"/>
        <v>77</v>
      </c>
      <c r="DK140" s="528">
        <f t="shared" si="388"/>
        <v>2.7616279069767442</v>
      </c>
      <c r="DM140" s="173">
        <f t="shared" si="389"/>
        <v>4.6904157598234297</v>
      </c>
      <c r="DN140" s="173">
        <f t="shared" si="390"/>
        <v>10.580997949419002</v>
      </c>
      <c r="DO140" s="173">
        <f t="shared" si="391"/>
        <v>1.6303688514214829</v>
      </c>
      <c r="DQ140" s="545">
        <f t="shared" si="392"/>
        <v>3000</v>
      </c>
      <c r="DR140" s="460">
        <f t="shared" si="393"/>
        <v>66.989695380886559</v>
      </c>
      <c r="DT140">
        <f t="shared" si="430"/>
        <v>3000</v>
      </c>
      <c r="DU140">
        <f t="shared" si="431"/>
        <v>66.989695380886559</v>
      </c>
      <c r="DW140" s="5">
        <f t="shared" si="394"/>
        <v>14.927669014081218</v>
      </c>
      <c r="DX140" s="5">
        <f t="shared" si="395"/>
        <v>6.6827355470014753</v>
      </c>
      <c r="DY140" s="5">
        <f t="shared" si="396"/>
        <v>8.2449334670797434</v>
      </c>
      <c r="DZ140" s="5"/>
      <c r="EA140" s="173">
        <f t="shared" si="397"/>
        <v>0.44767441860465118</v>
      </c>
      <c r="EB140" s="173">
        <f t="shared" si="398"/>
        <v>45</v>
      </c>
      <c r="EC140" s="173">
        <f t="shared" si="399"/>
        <v>2.9220779220779218</v>
      </c>
      <c r="ED140" s="173">
        <f t="shared" si="400"/>
        <v>15.400000000000002</v>
      </c>
      <c r="EE140" s="460">
        <f t="shared" si="401"/>
        <v>133.6547109400295</v>
      </c>
      <c r="EF140" s="5">
        <f t="shared" si="402"/>
        <v>5.4242983336050932</v>
      </c>
      <c r="EH140" s="173">
        <f t="shared" si="403"/>
        <v>4.0874000131506198</v>
      </c>
      <c r="EI140" s="173">
        <f t="shared" si="404"/>
        <v>4.5400807996884103</v>
      </c>
      <c r="EK140" s="528">
        <f t="shared" si="405"/>
        <v>0.33413677735007374</v>
      </c>
      <c r="EL140" s="528">
        <f t="shared" si="406"/>
        <v>0.48766666666666664</v>
      </c>
      <c r="EM140" s="528">
        <f t="shared" si="407"/>
        <v>8.37371192261082E-3</v>
      </c>
      <c r="EN140" s="528">
        <f t="shared" si="408"/>
        <v>7.9272925925925903E-3</v>
      </c>
      <c r="EO140">
        <f t="shared" si="409"/>
        <v>8.5500000000000003E-3</v>
      </c>
      <c r="EP140" s="460">
        <f t="shared" si="410"/>
        <v>16.923711922610821</v>
      </c>
      <c r="EQ140" s="460"/>
      <c r="ER140" s="460">
        <f t="shared" si="432"/>
        <v>846.65444853194367</v>
      </c>
      <c r="ES140" s="528">
        <f t="shared" si="411"/>
        <v>2.0999999999999996</v>
      </c>
      <c r="EV140" s="460">
        <f t="shared" si="412"/>
        <v>2099.9999999999995</v>
      </c>
      <c r="EW140" s="528">
        <f t="shared" si="413"/>
        <v>0.50120516602511067</v>
      </c>
      <c r="EX140" s="528">
        <f t="shared" si="414"/>
        <v>0.61837001003098058</v>
      </c>
      <c r="EY140" s="528">
        <f t="shared" si="415"/>
        <v>0.66881589702681221</v>
      </c>
      <c r="EZ140" s="528"/>
      <c r="FA140" s="528">
        <f t="shared" si="416"/>
        <v>7.5000000000000006E-3</v>
      </c>
      <c r="FB140" s="460">
        <f t="shared" si="417"/>
        <v>1795.8910730829036</v>
      </c>
      <c r="FC140" s="173">
        <f t="shared" si="418"/>
        <v>4.7425455216148471</v>
      </c>
      <c r="FD140" s="5">
        <f t="shared" si="419"/>
        <v>45</v>
      </c>
      <c r="FE140" s="173">
        <f t="shared" si="420"/>
        <v>0.90465816592449932</v>
      </c>
      <c r="FF140" s="5">
        <f t="shared" si="421"/>
        <v>90.465816592449926</v>
      </c>
      <c r="FI140" s="562">
        <f t="shared" si="422"/>
        <v>-50</v>
      </c>
      <c r="FJ140">
        <f t="shared" si="423"/>
        <v>-50</v>
      </c>
      <c r="FL140">
        <f t="shared" si="424"/>
        <v>0.55232558139534882</v>
      </c>
    </row>
    <row r="141" spans="5:168">
      <c r="E141" s="170">
        <v>31</v>
      </c>
      <c r="F141" s="217">
        <f t="shared" si="425"/>
        <v>3.1</v>
      </c>
      <c r="G141" s="217"/>
      <c r="H141" s="217">
        <f t="shared" si="315"/>
        <v>46.5</v>
      </c>
      <c r="I141" s="541">
        <f t="shared" si="316"/>
        <v>18.717711754115737</v>
      </c>
      <c r="J141" s="172">
        <f t="shared" si="317"/>
        <v>15.569372947530558</v>
      </c>
      <c r="K141" s="172">
        <f t="shared" si="318"/>
        <v>34.287084701646293</v>
      </c>
      <c r="L141" s="443"/>
      <c r="M141" s="217">
        <f t="shared" si="319"/>
        <v>0.45407273412755994</v>
      </c>
      <c r="N141" s="172">
        <f t="shared" si="426"/>
        <v>212.68191988070154</v>
      </c>
      <c r="O141" s="172">
        <f t="shared" si="438"/>
        <v>46.5</v>
      </c>
      <c r="P141" s="217">
        <f t="shared" si="320"/>
        <v>14.178794658713436</v>
      </c>
      <c r="Q141" s="217">
        <f t="shared" si="321"/>
        <v>15</v>
      </c>
      <c r="R141" s="217"/>
      <c r="S141" s="172">
        <f t="shared" si="322"/>
        <v>132.28800282258248</v>
      </c>
      <c r="T141" s="172">
        <f t="shared" si="323"/>
        <v>15</v>
      </c>
      <c r="U141" s="217">
        <f t="shared" si="324"/>
        <v>11.356824228392131</v>
      </c>
      <c r="V141" s="217">
        <f t="shared" si="325"/>
        <v>7.2809055151059958</v>
      </c>
      <c r="W141" s="217">
        <f t="shared" si="326"/>
        <v>8.753203561889185</v>
      </c>
      <c r="X141" s="197">
        <f t="shared" si="327"/>
        <v>70.829156605191457</v>
      </c>
      <c r="Y141" s="443">
        <f t="shared" si="328"/>
        <v>61.598699088271317</v>
      </c>
      <c r="AA141" s="217">
        <f t="shared" si="329"/>
        <v>10</v>
      </c>
      <c r="AB141" s="173">
        <f t="shared" si="330"/>
        <v>7.7074394970436551</v>
      </c>
      <c r="AC141" s="173">
        <f t="shared" si="331"/>
        <v>2.7295571958057154</v>
      </c>
      <c r="AD141" s="173"/>
      <c r="AE141" s="173">
        <f t="shared" si="332"/>
        <v>7.7074394970436551</v>
      </c>
      <c r="AF141" s="545">
        <f t="shared" si="333"/>
        <v>80.441760228907881</v>
      </c>
      <c r="AG141" s="528">
        <f t="shared" si="334"/>
        <v>2.7295571958057159</v>
      </c>
      <c r="AI141" s="173">
        <f t="shared" si="335"/>
        <v>4.7940963763155882</v>
      </c>
      <c r="AJ141" s="173">
        <f t="shared" si="336"/>
        <v>11.356824228392131</v>
      </c>
      <c r="AK141" s="173">
        <f t="shared" si="337"/>
        <v>2.2050549839941715</v>
      </c>
      <c r="AM141" s="545">
        <f t="shared" si="338"/>
        <v>3100</v>
      </c>
      <c r="AN141" s="460">
        <f t="shared" si="339"/>
        <v>61.598699088271317</v>
      </c>
      <c r="AP141" s="460">
        <f t="shared" si="340"/>
        <v>3100</v>
      </c>
      <c r="AQ141" s="460">
        <f t="shared" si="341"/>
        <v>61.598699088271317</v>
      </c>
      <c r="AS141" s="5">
        <f t="shared" si="439"/>
        <v>16.234109076995178</v>
      </c>
      <c r="AT141" s="5">
        <f t="shared" si="342"/>
        <v>7.2809055151059958</v>
      </c>
      <c r="AU141" s="5">
        <f t="shared" si="343"/>
        <v>8.9532035618891825</v>
      </c>
      <c r="AV141" s="5"/>
      <c r="AW141" s="173">
        <f t="shared" si="344"/>
        <v>0.44849430791514933</v>
      </c>
      <c r="AX141" s="173">
        <f t="shared" si="435"/>
        <v>47.669061212862339</v>
      </c>
      <c r="AY141" s="173">
        <f t="shared" si="436"/>
        <v>3.1316766029827012</v>
      </c>
      <c r="AZ141" s="173">
        <f t="shared" si="440"/>
        <v>15.221578488487898</v>
      </c>
      <c r="BA141" s="460">
        <f t="shared" si="433"/>
        <v>150.47204731219057</v>
      </c>
      <c r="BB141" s="5">
        <f t="shared" si="434"/>
        <v>6.1784019076106675</v>
      </c>
      <c r="BD141" s="173">
        <f t="shared" si="441"/>
        <v>4.3911143275979931</v>
      </c>
      <c r="BE141" s="173">
        <f t="shared" si="437"/>
        <v>4.8693531890962483</v>
      </c>
      <c r="BG141" s="528">
        <f t="shared" si="347"/>
        <v>0.38563770076072751</v>
      </c>
      <c r="BH141" s="528">
        <f t="shared" si="348"/>
        <v>0.44973871727474207</v>
      </c>
      <c r="BI141" s="528">
        <f t="shared" si="349"/>
        <v>2.8824667349069358E-2</v>
      </c>
      <c r="BJ141" s="528">
        <f t="shared" si="350"/>
        <v>7.2415687966750032E-3</v>
      </c>
      <c r="BK141">
        <f t="shared" si="351"/>
        <v>8.4229702893520806E-3</v>
      </c>
      <c r="BL141" s="460">
        <f t="shared" si="427"/>
        <v>37.247637638421438</v>
      </c>
      <c r="BM141" s="528">
        <f t="shared" si="352"/>
        <v>1.0422378313807728</v>
      </c>
      <c r="BN141" s="460">
        <f t="shared" si="353"/>
        <v>1042.2378313807728</v>
      </c>
      <c r="BO141" s="528">
        <f t="shared" si="354"/>
        <v>2.17</v>
      </c>
      <c r="BR141" s="460">
        <f t="shared" si="355"/>
        <v>2170</v>
      </c>
      <c r="BS141" s="528">
        <f t="shared" si="356"/>
        <v>0.57845655114109118</v>
      </c>
      <c r="BT141" s="528">
        <f t="shared" si="357"/>
        <v>0.71131801440485409</v>
      </c>
      <c r="BU141" s="528">
        <f t="shared" si="358"/>
        <v>0.6472038850838927</v>
      </c>
      <c r="BV141" s="528"/>
      <c r="BW141" s="528">
        <f t="shared" si="359"/>
        <v>7.9448435354770568E-3</v>
      </c>
      <c r="BX141" s="460">
        <f t="shared" si="360"/>
        <v>1944.9232941653147</v>
      </c>
      <c r="BY141" s="173">
        <f t="shared" si="361"/>
        <v>4.9947889186358809</v>
      </c>
      <c r="BZ141" s="5">
        <f t="shared" si="362"/>
        <v>46.5</v>
      </c>
      <c r="CA141" s="173">
        <f t="shared" si="363"/>
        <v>0.9030039927626875</v>
      </c>
      <c r="CB141" s="5">
        <f t="shared" si="364"/>
        <v>90.300399276268749</v>
      </c>
      <c r="CE141" s="562">
        <f t="shared" si="365"/>
        <v>-50</v>
      </c>
      <c r="CF141">
        <f t="shared" si="366"/>
        <v>-50</v>
      </c>
      <c r="CG141" s="173">
        <f t="shared" si="367"/>
        <v>0.54908414452207999</v>
      </c>
      <c r="CI141" s="170">
        <v>31</v>
      </c>
      <c r="CJ141" s="217">
        <f t="shared" si="428"/>
        <v>3.1</v>
      </c>
      <c r="CK141" s="217"/>
      <c r="CL141" s="217">
        <f t="shared" si="368"/>
        <v>46.5</v>
      </c>
      <c r="CM141" s="541">
        <f t="shared" si="369"/>
        <v>19</v>
      </c>
      <c r="CN141" s="443">
        <f t="shared" si="370"/>
        <v>15.4</v>
      </c>
      <c r="CO141" s="443">
        <f t="shared" si="371"/>
        <v>34.4</v>
      </c>
      <c r="CP141" s="443"/>
      <c r="CQ141" s="217">
        <f t="shared" si="372"/>
        <v>0.44767441860465118</v>
      </c>
      <c r="CR141" s="172">
        <f t="shared" si="429"/>
        <v>212.84736191860466</v>
      </c>
      <c r="CS141" s="172">
        <f t="shared" si="373"/>
        <v>46.5</v>
      </c>
      <c r="CT141" s="217">
        <f t="shared" si="374"/>
        <v>14.189824127906977</v>
      </c>
      <c r="CU141" s="217">
        <f t="shared" si="375"/>
        <v>15</v>
      </c>
      <c r="CV141" s="217"/>
      <c r="CW141" s="172">
        <f t="shared" si="376"/>
        <v>134.28223557136843</v>
      </c>
      <c r="CX141" s="172">
        <f t="shared" si="377"/>
        <v>15</v>
      </c>
      <c r="CY141" s="217">
        <f t="shared" si="378"/>
        <v>10.933697881066301</v>
      </c>
      <c r="CZ141" s="217">
        <f t="shared" si="379"/>
        <v>6.9054933985681908</v>
      </c>
      <c r="DA141" s="217">
        <f t="shared" si="380"/>
        <v>8.5197645826490671</v>
      </c>
      <c r="DB141" s="197">
        <f t="shared" si="381"/>
        <v>70.881782945736433</v>
      </c>
      <c r="DC141" s="443">
        <f t="shared" si="382"/>
        <v>64.828737465374104</v>
      </c>
      <c r="DE141" s="217">
        <f t="shared" si="383"/>
        <v>10.000000000000002</v>
      </c>
      <c r="DF141" s="173">
        <f t="shared" si="384"/>
        <v>7.792207792207793</v>
      </c>
      <c r="DG141" s="173">
        <f t="shared" si="385"/>
        <v>2.7616279069767451</v>
      </c>
      <c r="DH141" s="173"/>
      <c r="DI141" s="173">
        <f t="shared" si="386"/>
        <v>7.7922077922077913</v>
      </c>
      <c r="DJ141" s="545">
        <f t="shared" si="387"/>
        <v>79.566666666666677</v>
      </c>
      <c r="DK141" s="528">
        <f t="shared" si="388"/>
        <v>2.7616279069767442</v>
      </c>
      <c r="DM141" s="173">
        <f t="shared" si="389"/>
        <v>4.7679485455836597</v>
      </c>
      <c r="DN141" s="173">
        <f t="shared" si="390"/>
        <v>10.933697881066301</v>
      </c>
      <c r="DO141" s="173">
        <f t="shared" si="391"/>
        <v>1.891628060049112</v>
      </c>
      <c r="DQ141" s="545">
        <f t="shared" si="392"/>
        <v>3100</v>
      </c>
      <c r="DR141" s="460">
        <f t="shared" si="393"/>
        <v>64.828737465374104</v>
      </c>
      <c r="DT141">
        <f t="shared" si="430"/>
        <v>3100</v>
      </c>
      <c r="DU141">
        <f t="shared" si="431"/>
        <v>64.828737465374104</v>
      </c>
      <c r="DW141" s="5">
        <f t="shared" si="394"/>
        <v>15.425257981217255</v>
      </c>
      <c r="DX141" s="5">
        <f t="shared" si="395"/>
        <v>6.9054933985681908</v>
      </c>
      <c r="DY141" s="5">
        <f t="shared" si="396"/>
        <v>8.5197645826490636</v>
      </c>
      <c r="DZ141" s="5"/>
      <c r="EA141" s="173">
        <f t="shared" si="397"/>
        <v>0.44767441860465124</v>
      </c>
      <c r="EB141" s="173">
        <f t="shared" si="398"/>
        <v>46.499999999999993</v>
      </c>
      <c r="EC141" s="173">
        <f t="shared" si="399"/>
        <v>3.0194805194805183</v>
      </c>
      <c r="ED141" s="173">
        <f t="shared" si="400"/>
        <v>15.400000000000004</v>
      </c>
      <c r="EE141" s="460">
        <f t="shared" si="401"/>
        <v>142.71353023707596</v>
      </c>
      <c r="EF141" s="5">
        <f t="shared" si="402"/>
        <v>5.7919452206605468</v>
      </c>
      <c r="EH141" s="173">
        <f t="shared" si="403"/>
        <v>4.2236466802556407</v>
      </c>
      <c r="EI141" s="173">
        <f t="shared" si="404"/>
        <v>4.6914168263446898</v>
      </c>
      <c r="EK141" s="528">
        <f t="shared" si="405"/>
        <v>0.3567838255926899</v>
      </c>
      <c r="EL141" s="528">
        <f t="shared" si="406"/>
        <v>0.48766666666666675</v>
      </c>
      <c r="EM141" s="528">
        <f t="shared" si="407"/>
        <v>8.1035921831717622E-3</v>
      </c>
      <c r="EN141" s="528">
        <f t="shared" si="408"/>
        <v>7.67157347670251E-3</v>
      </c>
      <c r="EO141">
        <f t="shared" si="409"/>
        <v>8.5500000000000003E-3</v>
      </c>
      <c r="EP141" s="460">
        <f t="shared" si="410"/>
        <v>16.653592183171764</v>
      </c>
      <c r="EQ141" s="460"/>
      <c r="ER141" s="460">
        <f t="shared" si="432"/>
        <v>868.77565791923098</v>
      </c>
      <c r="ES141" s="528">
        <f t="shared" si="411"/>
        <v>2.17</v>
      </c>
      <c r="EV141" s="460">
        <f t="shared" si="412"/>
        <v>2170</v>
      </c>
      <c r="EW141" s="528">
        <f t="shared" si="413"/>
        <v>0.53517573838903487</v>
      </c>
      <c r="EX141" s="528">
        <f t="shared" si="414"/>
        <v>0.66028175515530241</v>
      </c>
      <c r="EY141" s="528">
        <f t="shared" si="415"/>
        <v>0.66881589702681166</v>
      </c>
      <c r="EZ141" s="528"/>
      <c r="FA141" s="528">
        <f t="shared" si="416"/>
        <v>7.7499999999999999E-3</v>
      </c>
      <c r="FB141" s="460">
        <f t="shared" si="417"/>
        <v>1872.0233905711486</v>
      </c>
      <c r="FC141" s="173">
        <f t="shared" si="418"/>
        <v>4.9107990484903796</v>
      </c>
      <c r="FD141" s="5">
        <f t="shared" si="419"/>
        <v>46.5</v>
      </c>
      <c r="FE141" s="173">
        <f t="shared" si="420"/>
        <v>0.90447923122419194</v>
      </c>
      <c r="FF141" s="5">
        <f t="shared" si="421"/>
        <v>90.447923122419198</v>
      </c>
      <c r="FI141" s="562">
        <f t="shared" si="422"/>
        <v>-50</v>
      </c>
      <c r="FJ141">
        <f t="shared" si="423"/>
        <v>-50</v>
      </c>
      <c r="FL141">
        <f t="shared" si="424"/>
        <v>0.55232558139534871</v>
      </c>
    </row>
    <row r="142" spans="5:168">
      <c r="E142" s="170">
        <v>32</v>
      </c>
      <c r="F142" s="217">
        <f t="shared" si="425"/>
        <v>3.2</v>
      </c>
      <c r="G142" s="217"/>
      <c r="H142" s="217">
        <f t="shared" ref="H142:H173" si="442">F142*Vout</f>
        <v>48</v>
      </c>
      <c r="I142" s="541">
        <f t="shared" ref="I142:I173" si="443">VIN_min-F142*(Rdcr_pri+RON/1000)/CG142/Nps</f>
        <v>18.70865942810191</v>
      </c>
      <c r="J142" s="172">
        <f t="shared" ref="J142:J173" si="444">(T142+Vfwd1+F142/CG142*Rdcr_sec)*Nps</f>
        <v>15.574804343138855</v>
      </c>
      <c r="K142" s="172">
        <f t="shared" ref="K142:K173" si="445">(Vout+Vfwd1+F142/CG142*Rdcr_sec)*Nps++I142</f>
        <v>34.283463771240761</v>
      </c>
      <c r="L142" s="443"/>
      <c r="M142" s="217">
        <f t="shared" ref="M142:M173" si="446">(Vout+Vfwd1+F142/FL142*Rdcr_sec)*Nps/((Vout+Vfwd1+F142/FL142*Rdcr_sec)*Nps+I142)</f>
        <v>0.45427912711723739</v>
      </c>
      <c r="N142" s="172">
        <f t="shared" ref="N142:N173" si="447">M142*I142*(Isw_max+VIN_min/Lmag*ILIM_delay)*0.5*Efficiency</f>
        <v>212.67568700831538</v>
      </c>
      <c r="O142" s="172">
        <f t="shared" si="438"/>
        <v>48</v>
      </c>
      <c r="P142" s="217">
        <f t="shared" ref="P142:P172" si="448">N142/Vout</f>
        <v>14.178379133887692</v>
      </c>
      <c r="Q142" s="217">
        <f t="shared" ref="Q142:Q173" si="449">MIN(Vout,N142/F142)</f>
        <v>15</v>
      </c>
      <c r="R142" s="217"/>
      <c r="S142" s="172">
        <f t="shared" ref="S142:S173" si="450">(SQRT(Isw_max^2*Nps^2*I142^2+4*Isw_max*F142/Efficiency*(Nps^2*Vfwd1*I142-Nps*I142^2)+4*(F142/Efficiency)^2*Nps^2*Vfwd1^2+8*(F142/Efficiency)^2*Nps*Vfwd1*I142+4*(F142/Efficiency)^2*I142^2)-2*F142/Efficiency*I142-2*F142/Efficiency*Nps*Vfwd1+Isw_max*Nps*I142)/(4*F142/Efficiency*Nps)</f>
        <v>127.51124748088674</v>
      </c>
      <c r="T142" s="172">
        <f t="shared" ref="T142:T173" si="451">MIN(Vout, S142)</f>
        <v>15</v>
      </c>
      <c r="U142" s="217">
        <f t="shared" ref="U142:U173" si="452">MIN(2*(Vout+Vfwd1+F142/FL142*Rdcr_sec)*F142/(I142*M142), Isw_max)</f>
        <v>11.727607130348694</v>
      </c>
      <c r="V142" s="217">
        <f t="shared" ref="V142:V173" si="453">L*U142/I142*1000000</f>
        <v>7.5222538581676588</v>
      </c>
      <c r="W142" s="217">
        <f t="shared" ref="W142:W173" si="454">L*U142/J142*1000000</f>
        <v>9.0358300793794868</v>
      </c>
      <c r="X142" s="197">
        <f t="shared" ref="X142:X173" si="455">IF(1/((350000*L)*(1/I142+1/J142))&gt;Isw_min, 350, 0.001/((Isw_min*L)*(1/I142+1/J142)))</f>
        <v>70.827078631695713</v>
      </c>
      <c r="Y142" s="443">
        <f t="shared" si="328"/>
        <v>59.672693114960516</v>
      </c>
      <c r="AA142" s="217">
        <f t="shared" ref="AA142:AA173" si="456">1/((X142*1000*L)*(1/I142+1/J142))</f>
        <v>10</v>
      </c>
      <c r="AB142" s="173">
        <f t="shared" ref="AB142:AB173" si="457">L*AA142/J142*1000000</f>
        <v>7.70475168459265</v>
      </c>
      <c r="AC142" s="173">
        <f t="shared" ref="AC142:AC173" si="458">0.5*AB142*AA142*Nps*X142/1000</f>
        <v>2.7285252670116678</v>
      </c>
      <c r="AD142" s="173"/>
      <c r="AE142" s="173">
        <f t="shared" ref="AE142:AE173" si="459">L*Isw_min/J142*1000000</f>
        <v>7.70475168459265</v>
      </c>
      <c r="AF142" s="545">
        <f t="shared" ref="AF142:AF173" si="460">MAX(12000,F142/(0.5*AE142/1000000*Isw_min*Nps))/1000</f>
        <v>83.065623163407224</v>
      </c>
      <c r="AG142" s="528">
        <f t="shared" ref="AG142:AG173" si="461">0.5*AE142/1000000*Isw_min*Nps*X142*1000</f>
        <v>2.7285252670116682</v>
      </c>
      <c r="AI142" s="173">
        <f t="shared" ref="AI142:AI173" si="462">SQRT(F142/(0.5*L/J142*Fsw_DCM*Nps))</f>
        <v>4.8716563086433879</v>
      </c>
      <c r="AJ142" s="173">
        <f t="shared" ref="AJ142:AJ173" si="463">MAX(IF(F142&gt;AC142,U142,AI142),Isw_min)</f>
        <v>11.727607130348694</v>
      </c>
      <c r="AK142" s="173">
        <f t="shared" ref="AK142:AK173" si="464">IF(F142&gt;AG142, (AJ142-Isw_min)/1.08*0.8+1.2, AF142*0.2/350+1)</f>
        <v>2.4797089854434775</v>
      </c>
      <c r="AM142" s="545">
        <f t="shared" ref="AM142:AM173" si="465">F142*1000</f>
        <v>3200</v>
      </c>
      <c r="AN142" s="460">
        <f t="shared" ref="AN142:AN173" si="466">IF(F142&gt;AG142, Y142, AF142)</f>
        <v>59.672693114960516</v>
      </c>
      <c r="AP142" s="460">
        <f t="shared" ref="AP142:AP173" si="467">IF(H142&gt;N142, "",AM142)</f>
        <v>3200</v>
      </c>
      <c r="AQ142" s="460">
        <f t="shared" ref="AQ142:AQ173" si="468">IF(H142&gt;N142, "",AN142)</f>
        <v>59.672693114960516</v>
      </c>
      <c r="AS142" s="5">
        <f t="shared" si="439"/>
        <v>16.758083937547148</v>
      </c>
      <c r="AT142" s="5">
        <f t="shared" ref="AT142:AT173" si="469">L*AJ142/I142*1000000</f>
        <v>7.5222538581676588</v>
      </c>
      <c r="AU142" s="5">
        <f t="shared" si="343"/>
        <v>9.2358300793794896</v>
      </c>
      <c r="AV142" s="5"/>
      <c r="AW142" s="173">
        <f t="shared" si="344"/>
        <v>0.44887314601126638</v>
      </c>
      <c r="AX142" s="173">
        <f t="shared" si="435"/>
        <v>49.243136452723817</v>
      </c>
      <c r="AY142" s="173">
        <f t="shared" si="436"/>
        <v>3.2316996112824583</v>
      </c>
      <c r="AZ142" s="173">
        <f t="shared" si="440"/>
        <v>15.237535159767623</v>
      </c>
      <c r="BA142" s="460">
        <f t="shared" si="433"/>
        <v>160.47474897424337</v>
      </c>
      <c r="BB142" s="5">
        <f t="shared" si="434"/>
        <v>6.5822140560974889</v>
      </c>
      <c r="BD142" s="173">
        <f t="shared" si="441"/>
        <v>4.5363921859763927</v>
      </c>
      <c r="BE142" s="173">
        <f t="shared" si="437"/>
        <v>5.0266027894540768</v>
      </c>
      <c r="BG142" s="528">
        <f t="shared" si="347"/>
        <v>0.41157708129975346</v>
      </c>
      <c r="BH142" s="528">
        <f t="shared" ref="BH142:BH173" si="470">0.5*K142*AJ142*AN142*1000*Tfall</f>
        <v>0.44985340620723085</v>
      </c>
      <c r="BI142" s="528">
        <f t="shared" ref="BI142:BI173" si="471">Qg*Vdd*AN142*1000*0+Qg*I142*AN142*1000</f>
        <v>2.7909902316135951E-2</v>
      </c>
      <c r="BJ142" s="528">
        <f t="shared" si="350"/>
        <v>7.0136651214674174E-3</v>
      </c>
      <c r="BK142">
        <f t="shared" si="351"/>
        <v>8.4188967426458601E-3</v>
      </c>
      <c r="BL142" s="460">
        <f t="shared" si="427"/>
        <v>36.328799058781804</v>
      </c>
      <c r="BM142" s="528">
        <f t="shared" ref="BM142:BM173" si="472">(BH142+BI142*0+BJ142+BK142*0+BG142*(1+RdsonTC*(Ta-25)))/(1-BG142*RdsonTC*ThetaJA)</f>
        <v>1.0857458245453282</v>
      </c>
      <c r="BN142" s="460">
        <f t="shared" si="353"/>
        <v>1085.7458245453281</v>
      </c>
      <c r="BO142" s="528">
        <f t="shared" si="354"/>
        <v>2.2399999999999998</v>
      </c>
      <c r="BR142" s="460">
        <f t="shared" si="355"/>
        <v>2239.9999999999995</v>
      </c>
      <c r="BS142" s="528">
        <f t="shared" si="356"/>
        <v>0.61736562194963018</v>
      </c>
      <c r="BT142" s="528">
        <f t="shared" si="357"/>
        <v>0.75800206808842518</v>
      </c>
      <c r="BU142" s="528">
        <f t="shared" si="358"/>
        <v>0.64778758897925171</v>
      </c>
      <c r="BV142" s="528"/>
      <c r="BW142" s="528">
        <f t="shared" si="359"/>
        <v>8.2071894087873045E-3</v>
      </c>
      <c r="BX142" s="460">
        <f t="shared" si="360"/>
        <v>2031.3624684260944</v>
      </c>
      <c r="BY142" s="173">
        <f t="shared" si="361"/>
        <v>5.1761354201133267</v>
      </c>
      <c r="BZ142" s="5">
        <f t="shared" si="362"/>
        <v>48</v>
      </c>
      <c r="CA142" s="173">
        <f t="shared" si="363"/>
        <v>0.90266055667227929</v>
      </c>
      <c r="CB142" s="5">
        <f t="shared" si="364"/>
        <v>90.266055667227931</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0.5491854394243697</v>
      </c>
      <c r="CI142" s="170">
        <v>32</v>
      </c>
      <c r="CJ142" s="217">
        <f t="shared" si="428"/>
        <v>3.2</v>
      </c>
      <c r="CK142" s="217"/>
      <c r="CL142" s="217">
        <f t="shared" si="368"/>
        <v>48</v>
      </c>
      <c r="CM142" s="541">
        <f t="shared" si="369"/>
        <v>19</v>
      </c>
      <c r="CN142" s="443">
        <f t="shared" si="370"/>
        <v>15.4</v>
      </c>
      <c r="CO142" s="443">
        <f t="shared" si="371"/>
        <v>34.4</v>
      </c>
      <c r="CP142" s="443"/>
      <c r="CQ142" s="217">
        <f t="shared" si="372"/>
        <v>0.44767441860465118</v>
      </c>
      <c r="CR142" s="172">
        <f t="shared" si="429"/>
        <v>212.84736191860466</v>
      </c>
      <c r="CS142" s="172">
        <f t="shared" si="373"/>
        <v>48</v>
      </c>
      <c r="CT142" s="217">
        <f t="shared" si="374"/>
        <v>14.189824127906977</v>
      </c>
      <c r="CU142" s="217">
        <f t="shared" si="375"/>
        <v>15</v>
      </c>
      <c r="CV142" s="217"/>
      <c r="CW142" s="172">
        <f t="shared" si="376"/>
        <v>129.49600834138047</v>
      </c>
      <c r="CX142" s="172">
        <f t="shared" si="377"/>
        <v>15</v>
      </c>
      <c r="CY142" s="217">
        <f t="shared" si="378"/>
        <v>11.286397812713602</v>
      </c>
      <c r="CZ142" s="217">
        <f t="shared" si="379"/>
        <v>7.1282512501349071</v>
      </c>
      <c r="DA142" s="217">
        <f t="shared" si="380"/>
        <v>8.7945956982183908</v>
      </c>
      <c r="DB142" s="197">
        <f t="shared" si="381"/>
        <v>70.881782945736433</v>
      </c>
      <c r="DC142" s="443">
        <f t="shared" si="382"/>
        <v>62.802839419581161</v>
      </c>
      <c r="DE142" s="217">
        <f t="shared" si="383"/>
        <v>10.000000000000002</v>
      </c>
      <c r="DF142" s="173">
        <f t="shared" si="384"/>
        <v>7.792207792207793</v>
      </c>
      <c r="DG142" s="173">
        <f t="shared" si="385"/>
        <v>2.7616279069767451</v>
      </c>
      <c r="DH142" s="173"/>
      <c r="DI142" s="173">
        <f t="shared" si="386"/>
        <v>7.7922077922077913</v>
      </c>
      <c r="DJ142" s="545">
        <f t="shared" si="387"/>
        <v>82.13333333333334</v>
      </c>
      <c r="DK142" s="528">
        <f t="shared" si="388"/>
        <v>2.7616279069767442</v>
      </c>
      <c r="DM142" s="173">
        <f t="shared" si="389"/>
        <v>4.8442405665559871</v>
      </c>
      <c r="DN142" s="173">
        <f t="shared" si="390"/>
        <v>11.286397812713602</v>
      </c>
      <c r="DO142" s="173">
        <f t="shared" si="391"/>
        <v>2.1528872686767424</v>
      </c>
      <c r="DQ142" s="545">
        <f t="shared" si="392"/>
        <v>3200</v>
      </c>
      <c r="DR142" s="460">
        <f t="shared" si="393"/>
        <v>62.802839419581161</v>
      </c>
      <c r="DT142">
        <f t="shared" si="430"/>
        <v>3200</v>
      </c>
      <c r="DU142">
        <f t="shared" si="431"/>
        <v>62.802839419581161</v>
      </c>
      <c r="DW142" s="5">
        <f t="shared" si="394"/>
        <v>15.922846948353296</v>
      </c>
      <c r="DX142" s="5">
        <f t="shared" si="395"/>
        <v>7.1282512501349071</v>
      </c>
      <c r="DY142" s="5">
        <f t="shared" si="396"/>
        <v>8.794595698218389</v>
      </c>
      <c r="DZ142" s="5"/>
      <c r="EA142" s="173">
        <f t="shared" si="397"/>
        <v>0.44767441860465124</v>
      </c>
      <c r="EB142" s="173">
        <f t="shared" si="398"/>
        <v>48.000000000000007</v>
      </c>
      <c r="EC142" s="173">
        <f t="shared" si="399"/>
        <v>3.1168831168831161</v>
      </c>
      <c r="ED142" s="173">
        <f t="shared" si="400"/>
        <v>15.400000000000006</v>
      </c>
      <c r="EE142" s="460">
        <f t="shared" si="401"/>
        <v>152.06936000287803</v>
      </c>
      <c r="EF142" s="5">
        <f t="shared" si="402"/>
        <v>6.171646104012904</v>
      </c>
      <c r="EH142" s="173">
        <f t="shared" si="403"/>
        <v>4.3598933473606616</v>
      </c>
      <c r="EI142" s="173">
        <f t="shared" si="404"/>
        <v>4.8427528530009702</v>
      </c>
      <c r="EK142" s="528">
        <f t="shared" si="405"/>
        <v>0.38017340000719507</v>
      </c>
      <c r="EL142" s="528">
        <f t="shared" si="406"/>
        <v>0.48766666666666675</v>
      </c>
      <c r="EM142" s="528">
        <f t="shared" si="407"/>
        <v>7.8503549274476433E-3</v>
      </c>
      <c r="EN142" s="528">
        <f t="shared" si="408"/>
        <v>7.4318368055555561E-3</v>
      </c>
      <c r="EO142">
        <f t="shared" si="409"/>
        <v>8.5500000000000003E-3</v>
      </c>
      <c r="EP142" s="460">
        <f t="shared" si="410"/>
        <v>16.400354927447644</v>
      </c>
      <c r="EQ142" s="460"/>
      <c r="ER142" s="460">
        <f t="shared" si="432"/>
        <v>891.67225840686501</v>
      </c>
      <c r="ES142" s="528">
        <f t="shared" si="411"/>
        <v>2.2399999999999998</v>
      </c>
      <c r="EV142" s="460">
        <f t="shared" si="412"/>
        <v>2239.9999999999995</v>
      </c>
      <c r="EW142" s="528">
        <f t="shared" si="413"/>
        <v>0.57026010001079264</v>
      </c>
      <c r="EX142" s="528">
        <f t="shared" si="414"/>
        <v>0.70356765585747105</v>
      </c>
      <c r="EY142" s="528">
        <f t="shared" si="415"/>
        <v>0.66881589702681221</v>
      </c>
      <c r="EZ142" s="528"/>
      <c r="FA142" s="528">
        <f t="shared" si="416"/>
        <v>8.0000000000000019E-3</v>
      </c>
      <c r="FB142" s="460">
        <f t="shared" si="417"/>
        <v>1950.6436528950762</v>
      </c>
      <c r="FC142" s="173">
        <f t="shared" si="418"/>
        <v>5.0823159113019409</v>
      </c>
      <c r="FD142" s="5">
        <f t="shared" si="419"/>
        <v>48</v>
      </c>
      <c r="FE142" s="173">
        <f t="shared" si="420"/>
        <v>0.90425594995150071</v>
      </c>
      <c r="FF142" s="5">
        <f t="shared" si="421"/>
        <v>90.425594995150078</v>
      </c>
      <c r="FI142" s="562">
        <f t="shared" si="422"/>
        <v>-50</v>
      </c>
      <c r="FJ142">
        <f t="shared" si="423"/>
        <v>-50</v>
      </c>
      <c r="FL142">
        <f t="shared" ref="FL142:FL173" si="476">MIN(SQRT(2*L*DR142*1000*CJ142*(CX142+Vfwd1))/(Nps*(CX142+Vfwd1)), 1-EA142)</f>
        <v>0.55232558139534871</v>
      </c>
    </row>
    <row r="143" spans="5:168">
      <c r="E143" s="170">
        <v>33</v>
      </c>
      <c r="F143" s="217">
        <f t="shared" ref="F143:F174" si="477">IF(PLOT_TYPE=1, E143/100*Iout_max, min_I*EXP(N143*rr/100))</f>
        <v>3.3000000000000003</v>
      </c>
      <c r="G143" s="217"/>
      <c r="H143" s="217">
        <f t="shared" si="442"/>
        <v>49.500000000000007</v>
      </c>
      <c r="I143" s="541">
        <f t="shared" si="443"/>
        <v>18.699607083466322</v>
      </c>
      <c r="J143" s="172">
        <f t="shared" si="444"/>
        <v>15.580235749920206</v>
      </c>
      <c r="K143" s="172">
        <f t="shared" si="445"/>
        <v>34.279842833386525</v>
      </c>
      <c r="L143" s="443"/>
      <c r="M143" s="217">
        <f t="shared" si="446"/>
        <v>0.45448556395485551</v>
      </c>
      <c r="N143" s="172">
        <f t="shared" si="447"/>
        <v>212.6693809365228</v>
      </c>
      <c r="O143" s="172">
        <f t="shared" si="438"/>
        <v>49.500000000000007</v>
      </c>
      <c r="P143" s="217">
        <f t="shared" si="448"/>
        <v>14.177958729101521</v>
      </c>
      <c r="Q143" s="217">
        <f t="shared" si="449"/>
        <v>15</v>
      </c>
      <c r="R143" s="217"/>
      <c r="S143" s="172">
        <f t="shared" si="450"/>
        <v>123.02468542930089</v>
      </c>
      <c r="T143" s="172">
        <f t="shared" si="451"/>
        <v>15</v>
      </c>
      <c r="U143" s="217">
        <f t="shared" si="452"/>
        <v>12.098671572925729</v>
      </c>
      <c r="V143" s="217">
        <f t="shared" si="453"/>
        <v>7.7640165500309619</v>
      </c>
      <c r="W143" s="217">
        <f t="shared" si="454"/>
        <v>9.318476382865537</v>
      </c>
      <c r="X143" s="197">
        <f t="shared" si="455"/>
        <v>70.824976310259686</v>
      </c>
      <c r="Y143" s="443">
        <f t="shared" si="328"/>
        <v>57.862022792819545</v>
      </c>
      <c r="AA143" s="217">
        <f t="shared" si="456"/>
        <v>9.9999999999999982</v>
      </c>
      <c r="AB143" s="173">
        <f t="shared" si="457"/>
        <v>7.7020657406043789</v>
      </c>
      <c r="AC143" s="173">
        <f t="shared" si="458"/>
        <v>2.7274931180918389</v>
      </c>
      <c r="AD143" s="173"/>
      <c r="AE143" s="173">
        <f t="shared" si="459"/>
        <v>7.7020657406043798</v>
      </c>
      <c r="AF143" s="545">
        <f t="shared" si="460"/>
        <v>85.691296624561133</v>
      </c>
      <c r="AG143" s="528">
        <f t="shared" si="461"/>
        <v>2.7274931180918398</v>
      </c>
      <c r="AI143" s="173">
        <f t="shared" si="462"/>
        <v>4.9480529106929998</v>
      </c>
      <c r="AJ143" s="173">
        <f t="shared" si="463"/>
        <v>12.098671572925729</v>
      </c>
      <c r="AK143" s="173">
        <f t="shared" si="464"/>
        <v>2.7545715355005402</v>
      </c>
      <c r="AM143" s="545">
        <f t="shared" si="465"/>
        <v>3300.0000000000005</v>
      </c>
      <c r="AN143" s="460">
        <f t="shared" si="466"/>
        <v>57.862022792819545</v>
      </c>
      <c r="AP143" s="460">
        <f t="shared" si="467"/>
        <v>3300.0000000000005</v>
      </c>
      <c r="AQ143" s="460">
        <f t="shared" si="468"/>
        <v>57.862022792819545</v>
      </c>
      <c r="AS143" s="5">
        <f t="shared" si="439"/>
        <v>17.282492932896499</v>
      </c>
      <c r="AT143" s="5">
        <f t="shared" si="469"/>
        <v>7.7640165500309619</v>
      </c>
      <c r="AU143" s="5">
        <f t="shared" si="343"/>
        <v>9.5184763828655363</v>
      </c>
      <c r="AV143" s="5"/>
      <c r="AW143" s="173">
        <f t="shared" si="344"/>
        <v>0.44924170258171969</v>
      </c>
      <c r="AX143" s="173">
        <f t="shared" si="435"/>
        <v>50.818312287886563</v>
      </c>
      <c r="AY143" s="173">
        <f t="shared" si="436"/>
        <v>3.3317218782637612</v>
      </c>
      <c r="AZ143" s="173">
        <f t="shared" si="440"/>
        <v>15.252867479553601</v>
      </c>
      <c r="BA143" s="460">
        <f t="shared" si="433"/>
        <v>170.80836410068119</v>
      </c>
      <c r="BB143" s="5">
        <f t="shared" si="434"/>
        <v>6.9990267538894324</v>
      </c>
      <c r="BD143" s="173">
        <f t="shared" si="441"/>
        <v>4.6818456572393252</v>
      </c>
      <c r="BE143" s="173">
        <f t="shared" si="437"/>
        <v>5.1839115718695465</v>
      </c>
      <c r="BG143" s="528">
        <f t="shared" si="347"/>
        <v>0.43839357516421457</v>
      </c>
      <c r="BH143" s="528">
        <f t="shared" si="470"/>
        <v>0.44995739506048132</v>
      </c>
      <c r="BI143" s="528">
        <f t="shared" si="471"/>
        <v>2.7049927282007453E-2</v>
      </c>
      <c r="BJ143" s="528">
        <f t="shared" si="350"/>
        <v>6.7994104163347493E-3</v>
      </c>
      <c r="BK143">
        <f t="shared" si="351"/>
        <v>8.4148231875598445E-3</v>
      </c>
      <c r="BL143" s="460">
        <f t="shared" si="427"/>
        <v>35.464750469567299</v>
      </c>
      <c r="BM143" s="528">
        <f t="shared" si="472"/>
        <v>1.1313619209845582</v>
      </c>
      <c r="BN143" s="460">
        <f t="shared" si="353"/>
        <v>1131.3619209845583</v>
      </c>
      <c r="BO143" s="528">
        <f t="shared" si="354"/>
        <v>2.31</v>
      </c>
      <c r="BR143" s="460">
        <f t="shared" si="355"/>
        <v>2310</v>
      </c>
      <c r="BS143" s="528">
        <f t="shared" si="356"/>
        <v>0.65759036274632188</v>
      </c>
      <c r="BT143" s="528">
        <f t="shared" si="357"/>
        <v>0.80618817554888966</v>
      </c>
      <c r="BU143" s="528">
        <f t="shared" si="358"/>
        <v>0.64833318795685313</v>
      </c>
      <c r="BV143" s="528"/>
      <c r="BW143" s="528">
        <f t="shared" si="359"/>
        <v>8.4697187146477605E-3</v>
      </c>
      <c r="BX143" s="460">
        <f t="shared" si="360"/>
        <v>2120.5814449667123</v>
      </c>
      <c r="BY143" s="173">
        <f t="shared" si="361"/>
        <v>5.3611965760773099</v>
      </c>
      <c r="BZ143" s="5">
        <f t="shared" si="362"/>
        <v>49.500000000000007</v>
      </c>
      <c r="CA143" s="173">
        <f t="shared" si="363"/>
        <v>0.90227707540715385</v>
      </c>
      <c r="CB143" s="5">
        <f t="shared" si="364"/>
        <v>90.227707540715386</v>
      </c>
      <c r="CE143" s="562">
        <f t="shared" si="473"/>
        <v>-50</v>
      </c>
      <c r="CF143">
        <f t="shared" si="474"/>
        <v>-50</v>
      </c>
      <c r="CG143" s="173">
        <f t="shared" si="475"/>
        <v>0.54928059524167205</v>
      </c>
      <c r="CI143" s="170">
        <v>33</v>
      </c>
      <c r="CJ143" s="217">
        <f t="shared" si="428"/>
        <v>3.3000000000000003</v>
      </c>
      <c r="CK143" s="217"/>
      <c r="CL143" s="217">
        <f t="shared" si="368"/>
        <v>49.500000000000007</v>
      </c>
      <c r="CM143" s="541">
        <f t="shared" si="369"/>
        <v>19</v>
      </c>
      <c r="CN143" s="443">
        <f t="shared" si="370"/>
        <v>15.4</v>
      </c>
      <c r="CO143" s="443">
        <f t="shared" si="371"/>
        <v>34.4</v>
      </c>
      <c r="CP143" s="443"/>
      <c r="CQ143" s="217">
        <f t="shared" si="372"/>
        <v>0.44767441860465118</v>
      </c>
      <c r="CR143" s="172">
        <f t="shared" si="429"/>
        <v>212.84736191860466</v>
      </c>
      <c r="CS143" s="172">
        <f t="shared" si="373"/>
        <v>49.500000000000007</v>
      </c>
      <c r="CT143" s="217">
        <f t="shared" si="374"/>
        <v>14.189824127906977</v>
      </c>
      <c r="CU143" s="217">
        <f t="shared" si="375"/>
        <v>15</v>
      </c>
      <c r="CV143" s="217"/>
      <c r="CW143" s="172">
        <f t="shared" si="376"/>
        <v>124.99999999999999</v>
      </c>
      <c r="CX143" s="172">
        <f t="shared" si="377"/>
        <v>15</v>
      </c>
      <c r="CY143" s="217">
        <f t="shared" si="378"/>
        <v>11.639097744360903</v>
      </c>
      <c r="CZ143" s="217">
        <f t="shared" si="379"/>
        <v>7.3510091017016235</v>
      </c>
      <c r="DA143" s="217">
        <f t="shared" si="380"/>
        <v>9.0694268137877163</v>
      </c>
      <c r="DB143" s="197">
        <f t="shared" si="381"/>
        <v>70.881782945736433</v>
      </c>
      <c r="DC143" s="443">
        <f t="shared" si="382"/>
        <v>60.899723073533238</v>
      </c>
      <c r="DE143" s="217">
        <f t="shared" si="383"/>
        <v>10.000000000000002</v>
      </c>
      <c r="DF143" s="173">
        <f t="shared" si="384"/>
        <v>7.792207792207793</v>
      </c>
      <c r="DG143" s="173">
        <f t="shared" si="385"/>
        <v>2.7616279069767451</v>
      </c>
      <c r="DH143" s="173"/>
      <c r="DI143" s="173">
        <f t="shared" si="386"/>
        <v>7.7922077922077913</v>
      </c>
      <c r="DJ143" s="545">
        <f t="shared" si="387"/>
        <v>84.700000000000017</v>
      </c>
      <c r="DK143" s="528">
        <f t="shared" si="388"/>
        <v>2.7616279069767442</v>
      </c>
      <c r="DM143" s="173">
        <f t="shared" si="389"/>
        <v>4.9193495504995379</v>
      </c>
      <c r="DN143" s="173">
        <f t="shared" si="390"/>
        <v>11.639097744360903</v>
      </c>
      <c r="DO143" s="173">
        <f t="shared" si="391"/>
        <v>2.4141464773043726</v>
      </c>
      <c r="DQ143" s="545">
        <f t="shared" si="392"/>
        <v>3300.0000000000005</v>
      </c>
      <c r="DR143" s="460">
        <f t="shared" si="393"/>
        <v>60.899723073533238</v>
      </c>
      <c r="DT143">
        <f t="shared" si="430"/>
        <v>3300.0000000000005</v>
      </c>
      <c r="DU143">
        <f t="shared" si="431"/>
        <v>60.899723073533238</v>
      </c>
      <c r="DW143" s="5">
        <f t="shared" si="394"/>
        <v>16.420435915489339</v>
      </c>
      <c r="DX143" s="5">
        <f t="shared" si="395"/>
        <v>7.3510091017016235</v>
      </c>
      <c r="DY143" s="5">
        <f t="shared" si="396"/>
        <v>9.0694268137877145</v>
      </c>
      <c r="DZ143" s="5"/>
      <c r="EA143" s="173">
        <f t="shared" si="397"/>
        <v>0.44767441860465124</v>
      </c>
      <c r="EB143" s="173">
        <f t="shared" si="398"/>
        <v>49.500000000000007</v>
      </c>
      <c r="EC143" s="173">
        <f t="shared" si="399"/>
        <v>3.214285714285714</v>
      </c>
      <c r="ED143" s="173">
        <f t="shared" si="400"/>
        <v>15.400000000000004</v>
      </c>
      <c r="EE143" s="460">
        <f t="shared" si="401"/>
        <v>161.72220023743571</v>
      </c>
      <c r="EF143" s="5">
        <f t="shared" si="402"/>
        <v>6.5634009836621621</v>
      </c>
      <c r="EH143" s="173">
        <f t="shared" si="403"/>
        <v>4.4961400144656825</v>
      </c>
      <c r="EI143" s="173">
        <f t="shared" si="404"/>
        <v>4.9940888796572516</v>
      </c>
      <c r="EK143" s="528">
        <f t="shared" si="405"/>
        <v>0.40430550059358938</v>
      </c>
      <c r="EL143" s="528">
        <f t="shared" si="406"/>
        <v>0.48766666666666664</v>
      </c>
      <c r="EM143" s="528">
        <f t="shared" si="407"/>
        <v>7.6124653841916539E-3</v>
      </c>
      <c r="EN143" s="528">
        <f t="shared" si="408"/>
        <v>7.2066296296296288E-3</v>
      </c>
      <c r="EO143">
        <f t="shared" si="409"/>
        <v>8.5500000000000003E-3</v>
      </c>
      <c r="EP143" s="460">
        <f t="shared" si="410"/>
        <v>16.162465384191655</v>
      </c>
      <c r="EQ143" s="460"/>
      <c r="ER143" s="460">
        <f t="shared" si="432"/>
        <v>915.34126227407728</v>
      </c>
      <c r="ES143" s="528">
        <f t="shared" si="411"/>
        <v>2.31</v>
      </c>
      <c r="EV143" s="460">
        <f t="shared" si="412"/>
        <v>2310</v>
      </c>
      <c r="EW143" s="528">
        <f t="shared" si="413"/>
        <v>0.60645825089038397</v>
      </c>
      <c r="EX143" s="528">
        <f t="shared" si="414"/>
        <v>0.74822771213748662</v>
      </c>
      <c r="EY143" s="528">
        <f t="shared" si="415"/>
        <v>0.66881589702681221</v>
      </c>
      <c r="EZ143" s="528"/>
      <c r="FA143" s="528">
        <f t="shared" si="416"/>
        <v>8.2500000000000004E-3</v>
      </c>
      <c r="FB143" s="460">
        <f t="shared" si="417"/>
        <v>2031.751860054683</v>
      </c>
      <c r="FC143" s="173">
        <f t="shared" si="418"/>
        <v>5.2570931223287607</v>
      </c>
      <c r="FD143" s="5">
        <f t="shared" si="419"/>
        <v>49.500000000000007</v>
      </c>
      <c r="FE143" s="173">
        <f t="shared" si="420"/>
        <v>0.90399247252617521</v>
      </c>
      <c r="FF143" s="5">
        <f t="shared" si="421"/>
        <v>90.399247252617528</v>
      </c>
      <c r="FI143" s="562">
        <f t="shared" si="422"/>
        <v>-50</v>
      </c>
      <c r="FJ143">
        <f t="shared" si="423"/>
        <v>-50</v>
      </c>
      <c r="FL143">
        <f t="shared" si="476"/>
        <v>0.55232558139534871</v>
      </c>
    </row>
    <row r="144" spans="5:168">
      <c r="E144" s="170">
        <v>34</v>
      </c>
      <c r="F144" s="217">
        <f t="shared" si="477"/>
        <v>3.4000000000000004</v>
      </c>
      <c r="G144" s="217"/>
      <c r="H144" s="217">
        <f t="shared" si="442"/>
        <v>51.000000000000007</v>
      </c>
      <c r="I144" s="541">
        <f t="shared" si="443"/>
        <v>18.690554721860913</v>
      </c>
      <c r="J144" s="172">
        <f t="shared" si="444"/>
        <v>15.585667166883454</v>
      </c>
      <c r="K144" s="172">
        <f t="shared" si="445"/>
        <v>34.276221888744367</v>
      </c>
      <c r="L144" s="443"/>
      <c r="M144" s="217">
        <f t="shared" si="446"/>
        <v>0.45469204463273222</v>
      </c>
      <c r="N144" s="172">
        <f t="shared" si="447"/>
        <v>212.66300165044046</v>
      </c>
      <c r="O144" s="172">
        <f t="shared" si="438"/>
        <v>51.000000000000007</v>
      </c>
      <c r="P144" s="217">
        <f t="shared" si="448"/>
        <v>14.177533443362698</v>
      </c>
      <c r="Q144" s="217">
        <f t="shared" si="449"/>
        <v>15</v>
      </c>
      <c r="R144" s="217"/>
      <c r="S144" s="172">
        <f t="shared" si="450"/>
        <v>118.80271325826068</v>
      </c>
      <c r="T144" s="172">
        <f t="shared" si="451"/>
        <v>15</v>
      </c>
      <c r="U144" s="217">
        <f t="shared" si="452"/>
        <v>12.47001796520677</v>
      </c>
      <c r="V144" s="217">
        <f t="shared" si="453"/>
        <v>8.006194455398294</v>
      </c>
      <c r="W144" s="217">
        <f t="shared" si="454"/>
        <v>9.6011427666335596</v>
      </c>
      <c r="X144" s="197">
        <f t="shared" si="455"/>
        <v>70.82284963340841</v>
      </c>
      <c r="Y144" s="443">
        <f t="shared" si="328"/>
        <v>56.156627323413943</v>
      </c>
      <c r="AA144" s="217">
        <f t="shared" si="456"/>
        <v>10.000000000000002</v>
      </c>
      <c r="AB144" s="173">
        <f t="shared" si="457"/>
        <v>7.6993816636208532</v>
      </c>
      <c r="AC144" s="173">
        <f t="shared" si="458"/>
        <v>2.7264607491642088</v>
      </c>
      <c r="AD144" s="173"/>
      <c r="AE144" s="173">
        <f t="shared" si="459"/>
        <v>7.6993816636208523</v>
      </c>
      <c r="AF144" s="545">
        <f t="shared" si="460"/>
        <v>88.318780612339552</v>
      </c>
      <c r="AG144" s="528">
        <f t="shared" si="461"/>
        <v>2.7264607491642074</v>
      </c>
      <c r="AI144" s="173">
        <f t="shared" si="462"/>
        <v>5.0233392596769049</v>
      </c>
      <c r="AJ144" s="173">
        <f t="shared" si="463"/>
        <v>12.47001796520677</v>
      </c>
      <c r="AK144" s="173">
        <f t="shared" si="464"/>
        <v>3.0296429371902001</v>
      </c>
      <c r="AM144" s="545">
        <f t="shared" si="465"/>
        <v>3400.0000000000005</v>
      </c>
      <c r="AN144" s="460">
        <f t="shared" si="466"/>
        <v>56.156627323413943</v>
      </c>
      <c r="AP144" s="460">
        <f t="shared" si="467"/>
        <v>3400.0000000000005</v>
      </c>
      <c r="AQ144" s="460">
        <f t="shared" si="468"/>
        <v>56.156627323413943</v>
      </c>
      <c r="AS144" s="5">
        <f t="shared" si="439"/>
        <v>17.807337222031851</v>
      </c>
      <c r="AT144" s="5">
        <f t="shared" si="469"/>
        <v>8.006194455398294</v>
      </c>
      <c r="AU144" s="5">
        <f t="shared" si="343"/>
        <v>9.8011427666335571</v>
      </c>
      <c r="AV144" s="5"/>
      <c r="AW144" s="173">
        <f t="shared" si="344"/>
        <v>0.44960087831058504</v>
      </c>
      <c r="AX144" s="173">
        <f t="shared" si="435"/>
        <v>52.394587505263161</v>
      </c>
      <c r="AY144" s="173">
        <f t="shared" si="436"/>
        <v>3.4317434677505156</v>
      </c>
      <c r="AZ144" s="173">
        <f t="shared" si="440"/>
        <v>15.267629412756616</v>
      </c>
      <c r="BA144" s="460">
        <f t="shared" si="433"/>
        <v>181.47374098902802</v>
      </c>
      <c r="BB144" s="5">
        <f t="shared" si="434"/>
        <v>7.4288604374543823</v>
      </c>
      <c r="BD144" s="173">
        <f t="shared" si="441"/>
        <v>4.8274749321952219</v>
      </c>
      <c r="BE144" s="173">
        <f t="shared" si="437"/>
        <v>5.3412796653255246</v>
      </c>
      <c r="BG144" s="528">
        <f t="shared" si="347"/>
        <v>0.46609028441946526</v>
      </c>
      <c r="BH144" s="528">
        <f t="shared" si="470"/>
        <v>0.45005160380242448</v>
      </c>
      <c r="BI144" s="528">
        <f t="shared" si="471"/>
        <v>2.6239962899585453E-2</v>
      </c>
      <c r="BJ144" s="528">
        <f t="shared" si="350"/>
        <v>6.5976140751288848E-3</v>
      </c>
      <c r="BK144">
        <f t="shared" si="351"/>
        <v>8.4107496248374113E-3</v>
      </c>
      <c r="BL144" s="460">
        <f t="shared" si="427"/>
        <v>34.650712524422865</v>
      </c>
      <c r="BM144" s="528">
        <f t="shared" si="472"/>
        <v>1.1791686091979139</v>
      </c>
      <c r="BN144" s="460">
        <f t="shared" si="353"/>
        <v>1179.1686091979138</v>
      </c>
      <c r="BO144" s="528">
        <f t="shared" si="354"/>
        <v>2.38</v>
      </c>
      <c r="BR144" s="460">
        <f t="shared" si="355"/>
        <v>2380</v>
      </c>
      <c r="BS144" s="528">
        <f t="shared" si="356"/>
        <v>0.69913542662919792</v>
      </c>
      <c r="BT144" s="528">
        <f t="shared" si="357"/>
        <v>0.85587805389659832</v>
      </c>
      <c r="BU144" s="528">
        <f t="shared" si="358"/>
        <v>0.64884392745586561</v>
      </c>
      <c r="BV144" s="528"/>
      <c r="BW144" s="528">
        <f t="shared" si="359"/>
        <v>8.7324312508771929E-3</v>
      </c>
      <c r="BX144" s="460">
        <f t="shared" si="360"/>
        <v>2212.5898392325389</v>
      </c>
      <c r="BY144" s="173">
        <f t="shared" si="361"/>
        <v>5.5499800540539797</v>
      </c>
      <c r="BZ144" s="5">
        <f t="shared" si="362"/>
        <v>51.000000000000007</v>
      </c>
      <c r="CA144" s="173">
        <f t="shared" si="363"/>
        <v>0.90185708202285897</v>
      </c>
      <c r="CB144" s="5">
        <f t="shared" si="364"/>
        <v>90.185708202285895</v>
      </c>
      <c r="CE144" s="562">
        <f t="shared" si="473"/>
        <v>-50</v>
      </c>
      <c r="CF144">
        <f t="shared" si="474"/>
        <v>-50</v>
      </c>
      <c r="CG144" s="173">
        <f t="shared" si="475"/>
        <v>0.54937015365795661</v>
      </c>
      <c r="CI144" s="170">
        <v>34</v>
      </c>
      <c r="CJ144" s="217">
        <f t="shared" si="428"/>
        <v>3.4000000000000004</v>
      </c>
      <c r="CK144" s="217"/>
      <c r="CL144" s="217">
        <f t="shared" si="368"/>
        <v>51.000000000000007</v>
      </c>
      <c r="CM144" s="541">
        <f t="shared" si="369"/>
        <v>19</v>
      </c>
      <c r="CN144" s="443">
        <f t="shared" si="370"/>
        <v>15.4</v>
      </c>
      <c r="CO144" s="443">
        <f t="shared" si="371"/>
        <v>34.4</v>
      </c>
      <c r="CP144" s="443"/>
      <c r="CQ144" s="217">
        <f t="shared" si="372"/>
        <v>0.44767441860465118</v>
      </c>
      <c r="CR144" s="172">
        <f t="shared" si="429"/>
        <v>212.84736191860466</v>
      </c>
      <c r="CS144" s="172">
        <f t="shared" si="373"/>
        <v>51.000000000000007</v>
      </c>
      <c r="CT144" s="217">
        <f t="shared" si="374"/>
        <v>14.189824127906977</v>
      </c>
      <c r="CU144" s="217">
        <f t="shared" si="375"/>
        <v>15</v>
      </c>
      <c r="CV144" s="217"/>
      <c r="CW144" s="172">
        <f t="shared" si="376"/>
        <v>120.76860487094072</v>
      </c>
      <c r="CX144" s="172">
        <f t="shared" si="377"/>
        <v>15</v>
      </c>
      <c r="CY144" s="217">
        <f t="shared" si="378"/>
        <v>11.991797676008204</v>
      </c>
      <c r="CZ144" s="217">
        <f t="shared" si="379"/>
        <v>7.5737669532683398</v>
      </c>
      <c r="DA144" s="217">
        <f t="shared" si="380"/>
        <v>9.3442579293570418</v>
      </c>
      <c r="DB144" s="197">
        <f t="shared" si="381"/>
        <v>70.881782945736433</v>
      </c>
      <c r="DC144" s="443">
        <f t="shared" si="382"/>
        <v>59.108554747841083</v>
      </c>
      <c r="DE144" s="217">
        <f t="shared" si="383"/>
        <v>10.000000000000002</v>
      </c>
      <c r="DF144" s="173">
        <f t="shared" si="384"/>
        <v>7.792207792207793</v>
      </c>
      <c r="DG144" s="173">
        <f t="shared" si="385"/>
        <v>2.7616279069767451</v>
      </c>
      <c r="DH144" s="173"/>
      <c r="DI144" s="173">
        <f t="shared" si="386"/>
        <v>7.7922077922077913</v>
      </c>
      <c r="DJ144" s="545">
        <f t="shared" si="387"/>
        <v>87.26666666666668</v>
      </c>
      <c r="DK144" s="528">
        <f t="shared" si="388"/>
        <v>2.7616279069767442</v>
      </c>
      <c r="DM144" s="173">
        <f t="shared" si="389"/>
        <v>4.993328882953068</v>
      </c>
      <c r="DN144" s="173">
        <f t="shared" si="390"/>
        <v>11.991797676008204</v>
      </c>
      <c r="DO144" s="173">
        <f t="shared" si="391"/>
        <v>2.6754056859320032</v>
      </c>
      <c r="DQ144" s="545">
        <f t="shared" si="392"/>
        <v>3400.0000000000005</v>
      </c>
      <c r="DR144" s="460">
        <f t="shared" si="393"/>
        <v>59.108554747841083</v>
      </c>
      <c r="DT144">
        <f t="shared" si="430"/>
        <v>3400.0000000000005</v>
      </c>
      <c r="DU144">
        <f t="shared" si="431"/>
        <v>59.108554747841083</v>
      </c>
      <c r="DW144" s="5">
        <f t="shared" si="394"/>
        <v>16.918024882625378</v>
      </c>
      <c r="DX144" s="5">
        <f t="shared" si="395"/>
        <v>7.5737669532683398</v>
      </c>
      <c r="DY144" s="5">
        <f t="shared" si="396"/>
        <v>9.3442579293570383</v>
      </c>
      <c r="DZ144" s="5"/>
      <c r="EA144" s="173">
        <f t="shared" si="397"/>
        <v>0.44767441860465129</v>
      </c>
      <c r="EB144" s="173">
        <f t="shared" si="398"/>
        <v>51.000000000000007</v>
      </c>
      <c r="EC144" s="173">
        <f t="shared" si="399"/>
        <v>3.3116883116883113</v>
      </c>
      <c r="ED144" s="173">
        <f t="shared" si="400"/>
        <v>15.400000000000004</v>
      </c>
      <c r="EE144" s="460">
        <f t="shared" si="401"/>
        <v>171.67205094074905</v>
      </c>
      <c r="EF144" s="5">
        <f t="shared" si="402"/>
        <v>6.9672098596083192</v>
      </c>
      <c r="EH144" s="173">
        <f t="shared" si="403"/>
        <v>4.6323866815707042</v>
      </c>
      <c r="EI144" s="173">
        <f t="shared" si="404"/>
        <v>5.145424906313532</v>
      </c>
      <c r="EK144" s="528">
        <f t="shared" si="405"/>
        <v>0.42918012735187283</v>
      </c>
      <c r="EL144" s="528">
        <f t="shared" si="406"/>
        <v>0.48766666666666675</v>
      </c>
      <c r="EM144" s="528">
        <f t="shared" si="407"/>
        <v>7.3885693434801352E-3</v>
      </c>
      <c r="EN144" s="528">
        <f t="shared" si="408"/>
        <v>6.9946699346405215E-3</v>
      </c>
      <c r="EO144">
        <f t="shared" si="409"/>
        <v>8.5500000000000003E-3</v>
      </c>
      <c r="EP144" s="460">
        <f t="shared" si="410"/>
        <v>15.938569343480136</v>
      </c>
      <c r="EQ144" s="460"/>
      <c r="ER144" s="460">
        <f t="shared" si="432"/>
        <v>939.78003329666012</v>
      </c>
      <c r="ES144" s="528">
        <f t="shared" si="411"/>
        <v>2.38</v>
      </c>
      <c r="EV144" s="460">
        <f t="shared" si="412"/>
        <v>2380</v>
      </c>
      <c r="EW144" s="528">
        <f t="shared" si="413"/>
        <v>0.64377019102780919</v>
      </c>
      <c r="EX144" s="528">
        <f t="shared" si="414"/>
        <v>0.79426192399534856</v>
      </c>
      <c r="EY144" s="528">
        <f t="shared" si="415"/>
        <v>0.66881589702681232</v>
      </c>
      <c r="EZ144" s="528"/>
      <c r="FA144" s="528">
        <f t="shared" si="416"/>
        <v>8.5000000000000041E-3</v>
      </c>
      <c r="FB144" s="460">
        <f t="shared" si="417"/>
        <v>2115.3480120499703</v>
      </c>
      <c r="FC144" s="173">
        <f t="shared" si="418"/>
        <v>5.4351280453466302</v>
      </c>
      <c r="FD144" s="5">
        <f t="shared" si="419"/>
        <v>51.000000000000007</v>
      </c>
      <c r="FE144" s="173">
        <f t="shared" si="420"/>
        <v>0.90369246542721748</v>
      </c>
      <c r="FF144" s="5">
        <f t="shared" si="421"/>
        <v>90.369246542721754</v>
      </c>
      <c r="FI144" s="562">
        <f t="shared" si="422"/>
        <v>-50</v>
      </c>
      <c r="FJ144">
        <f t="shared" si="423"/>
        <v>-50</v>
      </c>
      <c r="FL144">
        <f t="shared" si="476"/>
        <v>0.55232558139534871</v>
      </c>
    </row>
    <row r="145" spans="5:168">
      <c r="E145" s="170">
        <v>35</v>
      </c>
      <c r="F145" s="217">
        <f t="shared" si="477"/>
        <v>3.5</v>
      </c>
      <c r="G145" s="217"/>
      <c r="H145" s="217">
        <f t="shared" si="442"/>
        <v>52.5</v>
      </c>
      <c r="I145" s="541">
        <f t="shared" si="443"/>
        <v>18.681502344747834</v>
      </c>
      <c r="J145" s="172">
        <f t="shared" si="444"/>
        <v>15.591098593151301</v>
      </c>
      <c r="K145" s="172">
        <f t="shared" si="445"/>
        <v>34.272600937899135</v>
      </c>
      <c r="L145" s="443"/>
      <c r="M145" s="217">
        <f t="shared" si="446"/>
        <v>0.45489856914566185</v>
      </c>
      <c r="N145" s="172">
        <f t="shared" si="447"/>
        <v>212.65654913422318</v>
      </c>
      <c r="O145" s="172">
        <f t="shared" si="438"/>
        <v>52.5</v>
      </c>
      <c r="P145" s="217">
        <f t="shared" si="448"/>
        <v>14.177103275614879</v>
      </c>
      <c r="Q145" s="217">
        <f t="shared" si="449"/>
        <v>15</v>
      </c>
      <c r="R145" s="217"/>
      <c r="S145" s="172">
        <f t="shared" si="450"/>
        <v>114.82265369208562</v>
      </c>
      <c r="T145" s="172">
        <f t="shared" si="451"/>
        <v>15</v>
      </c>
      <c r="U145" s="217">
        <f t="shared" si="452"/>
        <v>12.841646717068587</v>
      </c>
      <c r="V145" s="217">
        <f t="shared" si="453"/>
        <v>8.2487884411580552</v>
      </c>
      <c r="W145" s="217">
        <f t="shared" si="454"/>
        <v>9.8838295251698565</v>
      </c>
      <c r="X145" s="197">
        <f t="shared" si="455"/>
        <v>70.820698593636038</v>
      </c>
      <c r="Y145" s="443">
        <f t="shared" si="328"/>
        <v>54.54758299315084</v>
      </c>
      <c r="AA145" s="217">
        <f t="shared" si="456"/>
        <v>10</v>
      </c>
      <c r="AB145" s="173">
        <f t="shared" si="457"/>
        <v>7.6966994521292031</v>
      </c>
      <c r="AC145" s="173">
        <f t="shared" si="458"/>
        <v>2.7254281603252299</v>
      </c>
      <c r="AD145" s="173"/>
      <c r="AE145" s="173">
        <f t="shared" si="459"/>
        <v>7.6966994521292031</v>
      </c>
      <c r="AF145" s="545">
        <f t="shared" si="460"/>
        <v>90.948075126715906</v>
      </c>
      <c r="AG145" s="528">
        <f t="shared" si="461"/>
        <v>2.7254281603252299</v>
      </c>
      <c r="AI145" s="173">
        <f t="shared" si="462"/>
        <v>5.0975645480875311</v>
      </c>
      <c r="AJ145" s="173">
        <f t="shared" si="463"/>
        <v>12.841646717068587</v>
      </c>
      <c r="AK145" s="173">
        <f t="shared" si="464"/>
        <v>3.3049234941248784</v>
      </c>
      <c r="AM145" s="545">
        <f t="shared" si="465"/>
        <v>3500</v>
      </c>
      <c r="AN145" s="460">
        <f t="shared" si="466"/>
        <v>54.54758299315084</v>
      </c>
      <c r="AP145" s="460">
        <f t="shared" si="467"/>
        <v>3500</v>
      </c>
      <c r="AQ145" s="460">
        <f t="shared" si="468"/>
        <v>54.54758299315084</v>
      </c>
      <c r="AS145" s="5">
        <f t="shared" si="439"/>
        <v>18.332617966327913</v>
      </c>
      <c r="AT145" s="5">
        <f t="shared" si="469"/>
        <v>8.2487884411580552</v>
      </c>
      <c r="AU145" s="5">
        <f t="shared" si="343"/>
        <v>10.083829525169858</v>
      </c>
      <c r="AV145" s="5"/>
      <c r="AW145" s="173">
        <f t="shared" si="344"/>
        <v>0.44995147208701236</v>
      </c>
      <c r="AX145" s="173">
        <f t="shared" si="435"/>
        <v>53.971961028879733</v>
      </c>
      <c r="AY145" s="173">
        <f t="shared" si="436"/>
        <v>3.5317644363511134</v>
      </c>
      <c r="AZ145" s="173">
        <f t="shared" si="440"/>
        <v>15.281868879296361</v>
      </c>
      <c r="BA145" s="460">
        <f t="shared" si="433"/>
        <v>192.47173029368795</v>
      </c>
      <c r="BB145" s="5">
        <f t="shared" si="434"/>
        <v>7.8717356092832693</v>
      </c>
      <c r="BD145" s="173">
        <f t="shared" si="441"/>
        <v>4.9732802068300517</v>
      </c>
      <c r="BE145" s="173">
        <f t="shared" si="437"/>
        <v>5.498707192272736</v>
      </c>
      <c r="BG145" s="528">
        <f t="shared" si="347"/>
        <v>0.49467032031295127</v>
      </c>
      <c r="BH145" s="528">
        <f t="shared" si="470"/>
        <v>0.45013684842498014</v>
      </c>
      <c r="BI145" s="528">
        <f t="shared" si="471"/>
        <v>2.5475769989671857E-2</v>
      </c>
      <c r="BJ145" s="528">
        <f t="shared" si="350"/>
        <v>6.4072200555639657E-3</v>
      </c>
      <c r="BK145">
        <f t="shared" si="351"/>
        <v>8.4066760551365256E-3</v>
      </c>
      <c r="BL145" s="460">
        <f t="shared" si="427"/>
        <v>33.882446044808383</v>
      </c>
      <c r="BM145" s="528">
        <f t="shared" si="472"/>
        <v>1.2292541211744863</v>
      </c>
      <c r="BN145" s="460">
        <f t="shared" si="353"/>
        <v>1229.2541211744863</v>
      </c>
      <c r="BO145" s="528">
        <f t="shared" si="354"/>
        <v>2.4499999999999997</v>
      </c>
      <c r="BR145" s="460">
        <f t="shared" si="355"/>
        <v>2449.9999999999995</v>
      </c>
      <c r="BS145" s="528">
        <f t="shared" si="356"/>
        <v>0.74200548046942683</v>
      </c>
      <c r="BT145" s="528">
        <f t="shared" si="357"/>
        <v>0.90707342359055743</v>
      </c>
      <c r="BU145" s="528">
        <f t="shared" si="358"/>
        <v>0.64932268922529091</v>
      </c>
      <c r="BV145" s="528"/>
      <c r="BW145" s="528">
        <f t="shared" si="359"/>
        <v>8.995326838146623E-3</v>
      </c>
      <c r="BX145" s="460">
        <f t="shared" si="360"/>
        <v>2307.3969201234218</v>
      </c>
      <c r="BY145" s="173">
        <f t="shared" si="361"/>
        <v>5.7424937549617256</v>
      </c>
      <c r="BZ145" s="5">
        <f t="shared" si="362"/>
        <v>52.5</v>
      </c>
      <c r="CA145" s="173">
        <f t="shared" si="363"/>
        <v>0.90140371085205262</v>
      </c>
      <c r="CB145" s="5">
        <f t="shared" si="364"/>
        <v>90.14037108520526</v>
      </c>
      <c r="CE145" s="562">
        <f t="shared" si="473"/>
        <v>-50</v>
      </c>
      <c r="CF145">
        <f t="shared" si="474"/>
        <v>-50</v>
      </c>
      <c r="CG145" s="173">
        <f t="shared" si="475"/>
        <v>0.54945459445045375</v>
      </c>
      <c r="CI145" s="170">
        <v>35</v>
      </c>
      <c r="CJ145" s="217">
        <f t="shared" si="428"/>
        <v>3.5</v>
      </c>
      <c r="CK145" s="217"/>
      <c r="CL145" s="217">
        <f t="shared" si="368"/>
        <v>52.5</v>
      </c>
      <c r="CM145" s="541">
        <f t="shared" si="369"/>
        <v>19</v>
      </c>
      <c r="CN145" s="443">
        <f t="shared" si="370"/>
        <v>15.4</v>
      </c>
      <c r="CO145" s="443">
        <f t="shared" si="371"/>
        <v>34.4</v>
      </c>
      <c r="CP145" s="443"/>
      <c r="CQ145" s="217">
        <f t="shared" si="372"/>
        <v>0.44767441860465118</v>
      </c>
      <c r="CR145" s="172">
        <f t="shared" si="429"/>
        <v>212.84736191860466</v>
      </c>
      <c r="CS145" s="172">
        <f t="shared" si="373"/>
        <v>52.5</v>
      </c>
      <c r="CT145" s="217">
        <f t="shared" si="374"/>
        <v>14.189824127906977</v>
      </c>
      <c r="CU145" s="217">
        <f t="shared" si="375"/>
        <v>15</v>
      </c>
      <c r="CV145" s="217"/>
      <c r="CW145" s="172">
        <f t="shared" si="376"/>
        <v>116.77914367246676</v>
      </c>
      <c r="CX145" s="172">
        <f t="shared" si="377"/>
        <v>15</v>
      </c>
      <c r="CY145" s="217">
        <f t="shared" si="378"/>
        <v>12.344497607655502</v>
      </c>
      <c r="CZ145" s="217">
        <f t="shared" si="379"/>
        <v>7.7965248048350544</v>
      </c>
      <c r="DA145" s="217">
        <f t="shared" si="380"/>
        <v>9.6190890449263655</v>
      </c>
      <c r="DB145" s="197">
        <f t="shared" si="381"/>
        <v>70.881782945736433</v>
      </c>
      <c r="DC145" s="443">
        <f t="shared" si="382"/>
        <v>57.419738897902761</v>
      </c>
      <c r="DE145" s="217">
        <f t="shared" si="383"/>
        <v>10.000000000000002</v>
      </c>
      <c r="DF145" s="173">
        <f t="shared" si="384"/>
        <v>7.792207792207793</v>
      </c>
      <c r="DG145" s="173">
        <f t="shared" si="385"/>
        <v>2.7616279069767451</v>
      </c>
      <c r="DH145" s="173"/>
      <c r="DI145" s="173">
        <f t="shared" si="386"/>
        <v>7.7922077922077913</v>
      </c>
      <c r="DJ145" s="545">
        <f t="shared" si="387"/>
        <v>89.833333333333343</v>
      </c>
      <c r="DK145" s="528">
        <f t="shared" si="388"/>
        <v>2.7616279069767442</v>
      </c>
      <c r="DM145" s="173">
        <f t="shared" si="389"/>
        <v>5.0662280511902216</v>
      </c>
      <c r="DN145" s="173">
        <f t="shared" si="390"/>
        <v>12.344497607655502</v>
      </c>
      <c r="DO145" s="173">
        <f t="shared" si="391"/>
        <v>2.9366648945596308</v>
      </c>
      <c r="DQ145" s="545">
        <f t="shared" si="392"/>
        <v>3500</v>
      </c>
      <c r="DR145" s="460">
        <f t="shared" si="393"/>
        <v>57.419738897902761</v>
      </c>
      <c r="DT145">
        <f t="shared" si="430"/>
        <v>3500</v>
      </c>
      <c r="DU145">
        <f t="shared" si="431"/>
        <v>57.419738897902761</v>
      </c>
      <c r="DW145" s="5">
        <f t="shared" si="394"/>
        <v>17.415613849761421</v>
      </c>
      <c r="DX145" s="5">
        <f t="shared" si="395"/>
        <v>7.7965248048350544</v>
      </c>
      <c r="DY145" s="5">
        <f t="shared" si="396"/>
        <v>9.6190890449263655</v>
      </c>
      <c r="DZ145" s="5"/>
      <c r="EA145" s="173">
        <f t="shared" si="397"/>
        <v>0.44767441860465113</v>
      </c>
      <c r="EB145" s="173">
        <f t="shared" si="398"/>
        <v>52.499999999999986</v>
      </c>
      <c r="EC145" s="173">
        <f t="shared" si="399"/>
        <v>3.4090909090909096</v>
      </c>
      <c r="ED145" s="173">
        <f t="shared" si="400"/>
        <v>15.399999999999993</v>
      </c>
      <c r="EE145" s="460">
        <f t="shared" si="401"/>
        <v>181.91891211281794</v>
      </c>
      <c r="EF145" s="5">
        <f t="shared" si="402"/>
        <v>7.3830727318513762</v>
      </c>
      <c r="EH145" s="173">
        <f t="shared" si="403"/>
        <v>4.7686333486757224</v>
      </c>
      <c r="EI145" s="173">
        <f t="shared" si="404"/>
        <v>5.2967609329698115</v>
      </c>
      <c r="EK145" s="528">
        <f t="shared" si="405"/>
        <v>0.45479728028204469</v>
      </c>
      <c r="EL145" s="528">
        <f t="shared" si="406"/>
        <v>0.48766666666666658</v>
      </c>
      <c r="EM145" s="528">
        <f t="shared" si="407"/>
        <v>7.1774673622378446E-3</v>
      </c>
      <c r="EN145" s="528">
        <f t="shared" si="408"/>
        <v>6.7948222222222205E-3</v>
      </c>
      <c r="EO145">
        <f t="shared" si="409"/>
        <v>8.5500000000000003E-3</v>
      </c>
      <c r="EP145" s="460">
        <f t="shared" si="410"/>
        <v>15.727467362237846</v>
      </c>
      <c r="EQ145" s="460"/>
      <c r="ER145" s="460">
        <f t="shared" si="432"/>
        <v>964.98623653317145</v>
      </c>
      <c r="ES145" s="528">
        <f t="shared" si="411"/>
        <v>2.4499999999999997</v>
      </c>
      <c r="EV145" s="460">
        <f t="shared" si="412"/>
        <v>2449.9999999999995</v>
      </c>
      <c r="EW145" s="528">
        <f t="shared" si="413"/>
        <v>0.68219592042306698</v>
      </c>
      <c r="EX145" s="528">
        <f t="shared" si="414"/>
        <v>0.84167029143105687</v>
      </c>
      <c r="EY145" s="528">
        <f t="shared" si="415"/>
        <v>0.66881589702681166</v>
      </c>
      <c r="EZ145" s="528"/>
      <c r="FA145" s="528">
        <f t="shared" si="416"/>
        <v>8.7499999999999974E-3</v>
      </c>
      <c r="FB145" s="460">
        <f t="shared" si="417"/>
        <v>2201.4321088809361</v>
      </c>
      <c r="FC145" s="173">
        <f t="shared" si="418"/>
        <v>5.6164183454141066</v>
      </c>
      <c r="FD145" s="5">
        <f t="shared" si="419"/>
        <v>52.5</v>
      </c>
      <c r="FE145" s="173">
        <f t="shared" si="420"/>
        <v>0.90335917963779178</v>
      </c>
      <c r="FF145" s="5">
        <f t="shared" si="421"/>
        <v>90.335917963779181</v>
      </c>
      <c r="FI145" s="562">
        <f t="shared" si="422"/>
        <v>-50</v>
      </c>
      <c r="FJ145">
        <f t="shared" si="423"/>
        <v>-50</v>
      </c>
      <c r="FL145">
        <f t="shared" si="476"/>
        <v>0.55232558139534893</v>
      </c>
    </row>
    <row r="146" spans="5:168">
      <c r="E146" s="170">
        <v>36</v>
      </c>
      <c r="F146" s="217">
        <f t="shared" si="477"/>
        <v>3.5999999999999996</v>
      </c>
      <c r="G146" s="217"/>
      <c r="H146" s="217">
        <f t="shared" si="442"/>
        <v>53.999999999999993</v>
      </c>
      <c r="I146" s="541">
        <f t="shared" si="443"/>
        <v>18.672449953425954</v>
      </c>
      <c r="J146" s="172">
        <f t="shared" si="444"/>
        <v>15.596530027944427</v>
      </c>
      <c r="K146" s="172">
        <f t="shared" si="445"/>
        <v>34.268979981370379</v>
      </c>
      <c r="L146" s="443"/>
      <c r="M146" s="217">
        <f t="shared" si="446"/>
        <v>0.45510513749056974</v>
      </c>
      <c r="N146" s="172">
        <f t="shared" si="447"/>
        <v>212.65002337119682</v>
      </c>
      <c r="O146" s="172">
        <f t="shared" si="438"/>
        <v>53.999999999999993</v>
      </c>
      <c r="P146" s="217">
        <f t="shared" si="448"/>
        <v>14.176668224746455</v>
      </c>
      <c r="Q146" s="217">
        <f t="shared" si="449"/>
        <v>15</v>
      </c>
      <c r="R146" s="217"/>
      <c r="S146" s="172">
        <f t="shared" si="450"/>
        <v>111.06434918231177</v>
      </c>
      <c r="T146" s="172">
        <f t="shared" si="451"/>
        <v>15</v>
      </c>
      <c r="U146" s="217">
        <f t="shared" si="452"/>
        <v>13.213558239183055</v>
      </c>
      <c r="V146" s="217">
        <f t="shared" si="453"/>
        <v>8.491799376391107</v>
      </c>
      <c r="W146" s="217">
        <f t="shared" si="454"/>
        <v>10.166536953161929</v>
      </c>
      <c r="X146" s="197">
        <f t="shared" si="455"/>
        <v>70.81852318340961</v>
      </c>
      <c r="Y146" s="443">
        <f t="shared" si="328"/>
        <v>53.02694694403624</v>
      </c>
      <c r="AA146" s="217">
        <f t="shared" si="456"/>
        <v>10</v>
      </c>
      <c r="AB146" s="173">
        <f t="shared" si="457"/>
        <v>7.6940191045697377</v>
      </c>
      <c r="AC146" s="173">
        <f t="shared" si="458"/>
        <v>2.7243953516528423</v>
      </c>
      <c r="AD146" s="173"/>
      <c r="AE146" s="173">
        <f t="shared" si="459"/>
        <v>7.6940191045697377</v>
      </c>
      <c r="AF146" s="545">
        <f t="shared" si="460"/>
        <v>93.57918016766655</v>
      </c>
      <c r="AG146" s="528">
        <f t="shared" si="461"/>
        <v>2.7243953516528419</v>
      </c>
      <c r="AI146" s="173">
        <f t="shared" si="462"/>
        <v>5.1707744699738454</v>
      </c>
      <c r="AJ146" s="173">
        <f t="shared" si="463"/>
        <v>13.213558239183055</v>
      </c>
      <c r="AK146" s="173">
        <f t="shared" si="464"/>
        <v>3.5804135105059665</v>
      </c>
      <c r="AM146" s="545">
        <f t="shared" si="465"/>
        <v>3599.9999999999995</v>
      </c>
      <c r="AN146" s="460">
        <f t="shared" si="466"/>
        <v>53.02694694403624</v>
      </c>
      <c r="AP146" s="460">
        <f t="shared" si="467"/>
        <v>3599.9999999999995</v>
      </c>
      <c r="AQ146" s="460">
        <f t="shared" si="468"/>
        <v>53.02694694403624</v>
      </c>
      <c r="AS146" s="5">
        <f t="shared" si="439"/>
        <v>18.858336329553037</v>
      </c>
      <c r="AT146" s="5">
        <f t="shared" si="469"/>
        <v>8.491799376391107</v>
      </c>
      <c r="AU146" s="5">
        <f t="shared" si="343"/>
        <v>10.36653695316193</v>
      </c>
      <c r="AV146" s="5"/>
      <c r="AW146" s="173">
        <f t="shared" si="344"/>
        <v>0.45029419499129125</v>
      </c>
      <c r="AX146" s="173">
        <f t="shared" si="435"/>
        <v>55.550431901037335</v>
      </c>
      <c r="AY146" s="173">
        <f t="shared" si="436"/>
        <v>3.6317848344497881</v>
      </c>
      <c r="AZ146" s="173">
        <f t="shared" si="440"/>
        <v>15.295628577471378</v>
      </c>
      <c r="BA146" s="460">
        <f t="shared" si="433"/>
        <v>203.80318503338654</v>
      </c>
      <c r="BB146" s="5">
        <f t="shared" si="434"/>
        <v>8.3276728380733296</v>
      </c>
      <c r="BD146" s="173">
        <f t="shared" si="441"/>
        <v>5.119261681659256</v>
      </c>
      <c r="BE146" s="173">
        <f t="shared" si="437"/>
        <v>5.6561942695410821</v>
      </c>
      <c r="BG146" s="528">
        <f t="shared" si="347"/>
        <v>0.52413680330609513</v>
      </c>
      <c r="BH146" s="528">
        <f t="shared" si="470"/>
        <v>0.45021385522979468</v>
      </c>
      <c r="BI146" s="528">
        <f t="shared" si="471"/>
        <v>2.4753575324887249E-2</v>
      </c>
      <c r="BJ146" s="528">
        <f t="shared" si="350"/>
        <v>6.2272883908810707E-3</v>
      </c>
      <c r="BK146">
        <f t="shared" si="351"/>
        <v>8.4026024790416782E-3</v>
      </c>
      <c r="BL146" s="460">
        <f t="shared" si="427"/>
        <v>33.156177803928927</v>
      </c>
      <c r="BM146" s="528">
        <f t="shared" si="472"/>
        <v>1.2817128741544825</v>
      </c>
      <c r="BN146" s="460">
        <f t="shared" si="353"/>
        <v>1281.7128741544825</v>
      </c>
      <c r="BO146" s="528">
        <f t="shared" si="354"/>
        <v>2.5199999999999996</v>
      </c>
      <c r="BR146" s="460">
        <f t="shared" si="355"/>
        <v>2519.9999999999995</v>
      </c>
      <c r="BS146" s="528">
        <f t="shared" si="356"/>
        <v>0.78620520495914259</v>
      </c>
      <c r="BT146" s="528">
        <f t="shared" si="357"/>
        <v>0.95977600844368127</v>
      </c>
      <c r="BU146" s="528">
        <f t="shared" si="358"/>
        <v>0.64977204087635898</v>
      </c>
      <c r="BV146" s="528"/>
      <c r="BW146" s="528">
        <f t="shared" si="359"/>
        <v>9.2584053168395554E-3</v>
      </c>
      <c r="BX146" s="460">
        <f t="shared" si="360"/>
        <v>2405.0116595960221</v>
      </c>
      <c r="BY146" s="173">
        <f t="shared" si="361"/>
        <v>5.9387457843267217</v>
      </c>
      <c r="BZ146" s="5">
        <f t="shared" si="362"/>
        <v>53.999999999999993</v>
      </c>
      <c r="CA146" s="173">
        <f t="shared" si="363"/>
        <v>0.90091975221344001</v>
      </c>
      <c r="CB146" s="5">
        <f t="shared" si="364"/>
        <v>90.091975221344001</v>
      </c>
      <c r="CE146" s="562">
        <f t="shared" si="473"/>
        <v>-50</v>
      </c>
      <c r="CF146">
        <f t="shared" si="474"/>
        <v>-50</v>
      </c>
      <c r="CG146" s="173">
        <f t="shared" si="475"/>
        <v>0.54953434408781199</v>
      </c>
      <c r="CI146" s="170">
        <v>36</v>
      </c>
      <c r="CJ146" s="217">
        <f t="shared" si="428"/>
        <v>3.5999999999999996</v>
      </c>
      <c r="CK146" s="217"/>
      <c r="CL146" s="217">
        <f t="shared" si="368"/>
        <v>53.999999999999993</v>
      </c>
      <c r="CM146" s="541">
        <f t="shared" si="369"/>
        <v>19</v>
      </c>
      <c r="CN146" s="443">
        <f t="shared" si="370"/>
        <v>15.4</v>
      </c>
      <c r="CO146" s="443">
        <f t="shared" si="371"/>
        <v>34.4</v>
      </c>
      <c r="CP146" s="443"/>
      <c r="CQ146" s="217">
        <f t="shared" si="372"/>
        <v>0.44767441860465118</v>
      </c>
      <c r="CR146" s="172">
        <f t="shared" si="429"/>
        <v>212.84736191860466</v>
      </c>
      <c r="CS146" s="172">
        <f t="shared" si="373"/>
        <v>53.999999999999993</v>
      </c>
      <c r="CT146" s="217">
        <f t="shared" si="374"/>
        <v>14.189824127906977</v>
      </c>
      <c r="CU146" s="217">
        <f t="shared" si="375"/>
        <v>15</v>
      </c>
      <c r="CV146" s="217"/>
      <c r="CW146" s="172">
        <f t="shared" si="376"/>
        <v>113.01145707435026</v>
      </c>
      <c r="CX146" s="172">
        <f t="shared" si="377"/>
        <v>15</v>
      </c>
      <c r="CY146" s="217">
        <f t="shared" si="378"/>
        <v>12.697197539302801</v>
      </c>
      <c r="CZ146" s="217">
        <f t="shared" si="379"/>
        <v>8.019282656401769</v>
      </c>
      <c r="DA146" s="217">
        <f t="shared" si="380"/>
        <v>9.8939201604956892</v>
      </c>
      <c r="DB146" s="197">
        <f t="shared" si="381"/>
        <v>70.881782945736433</v>
      </c>
      <c r="DC146" s="443">
        <f t="shared" si="382"/>
        <v>55.824746150738804</v>
      </c>
      <c r="DE146" s="217">
        <f t="shared" si="383"/>
        <v>10.000000000000002</v>
      </c>
      <c r="DF146" s="173">
        <f t="shared" si="384"/>
        <v>7.792207792207793</v>
      </c>
      <c r="DG146" s="173">
        <f t="shared" si="385"/>
        <v>2.7616279069767451</v>
      </c>
      <c r="DH146" s="173"/>
      <c r="DI146" s="173">
        <f t="shared" si="386"/>
        <v>7.7922077922077913</v>
      </c>
      <c r="DJ146" s="545">
        <f t="shared" si="387"/>
        <v>92.4</v>
      </c>
      <c r="DK146" s="528">
        <f t="shared" si="388"/>
        <v>2.7616279069767442</v>
      </c>
      <c r="DM146" s="173">
        <f t="shared" si="389"/>
        <v>5.1380930314660516</v>
      </c>
      <c r="DN146" s="173">
        <f t="shared" si="390"/>
        <v>12.697197539302801</v>
      </c>
      <c r="DO146" s="173">
        <f t="shared" si="391"/>
        <v>3.1979241031872601</v>
      </c>
      <c r="DQ146" s="545">
        <f t="shared" si="392"/>
        <v>3599.9999999999995</v>
      </c>
      <c r="DR146" s="460">
        <f t="shared" si="393"/>
        <v>55.824746150738804</v>
      </c>
      <c r="DT146">
        <f t="shared" si="430"/>
        <v>3599.9999999999995</v>
      </c>
      <c r="DU146">
        <f t="shared" si="431"/>
        <v>55.824746150738804</v>
      </c>
      <c r="DW146" s="5">
        <f t="shared" si="394"/>
        <v>17.91320281689746</v>
      </c>
      <c r="DX146" s="5">
        <f t="shared" si="395"/>
        <v>8.019282656401769</v>
      </c>
      <c r="DY146" s="5">
        <f t="shared" si="396"/>
        <v>9.893920160495691</v>
      </c>
      <c r="DZ146" s="5"/>
      <c r="EA146" s="173">
        <f t="shared" si="397"/>
        <v>0.44767441860465113</v>
      </c>
      <c r="EB146" s="173">
        <f t="shared" si="398"/>
        <v>53.999999999999986</v>
      </c>
      <c r="EC146" s="173">
        <f t="shared" si="399"/>
        <v>3.5064935064935066</v>
      </c>
      <c r="ED146" s="173">
        <f t="shared" si="400"/>
        <v>15.399999999999995</v>
      </c>
      <c r="EE146" s="460">
        <f t="shared" si="401"/>
        <v>192.46278375364241</v>
      </c>
      <c r="EF146" s="5">
        <f t="shared" si="402"/>
        <v>7.8109896003913342</v>
      </c>
      <c r="EH146" s="173">
        <f t="shared" si="403"/>
        <v>4.9048800157807424</v>
      </c>
      <c r="EI146" s="173">
        <f t="shared" si="404"/>
        <v>5.448096959626092</v>
      </c>
      <c r="EK146" s="528">
        <f t="shared" si="405"/>
        <v>0.48115695938410591</v>
      </c>
      <c r="EL146" s="528">
        <f t="shared" si="406"/>
        <v>0.48766666666666658</v>
      </c>
      <c r="EM146" s="528">
        <f t="shared" si="407"/>
        <v>6.9780932688423506E-3</v>
      </c>
      <c r="EN146" s="528">
        <f t="shared" si="408"/>
        <v>6.6060771604938267E-3</v>
      </c>
      <c r="EO146">
        <f t="shared" si="409"/>
        <v>8.5500000000000003E-3</v>
      </c>
      <c r="EP146" s="460">
        <f t="shared" si="410"/>
        <v>15.528093268842351</v>
      </c>
      <c r="EQ146" s="460"/>
      <c r="ER146" s="460">
        <f t="shared" si="432"/>
        <v>990.95779648010864</v>
      </c>
      <c r="ES146" s="528">
        <f t="shared" si="411"/>
        <v>2.5199999999999996</v>
      </c>
      <c r="EV146" s="460">
        <f t="shared" si="412"/>
        <v>2519.9999999999995</v>
      </c>
      <c r="EW146" s="528">
        <f t="shared" si="413"/>
        <v>0.72173543907615878</v>
      </c>
      <c r="EX146" s="528">
        <f t="shared" si="414"/>
        <v>0.890452814444612</v>
      </c>
      <c r="EY146" s="528">
        <f t="shared" si="415"/>
        <v>0.66881589702681166</v>
      </c>
      <c r="EZ146" s="528"/>
      <c r="FA146" s="528">
        <f t="shared" si="416"/>
        <v>8.9999999999999976E-3</v>
      </c>
      <c r="FB146" s="460">
        <f t="shared" si="417"/>
        <v>2290.0041505475824</v>
      </c>
      <c r="FC146" s="173">
        <f t="shared" si="418"/>
        <v>5.800961947027691</v>
      </c>
      <c r="FD146" s="5">
        <f t="shared" si="419"/>
        <v>53.999999999999993</v>
      </c>
      <c r="FE146" s="173">
        <f t="shared" si="420"/>
        <v>0.90299550779523841</v>
      </c>
      <c r="FF146" s="5">
        <f t="shared" si="421"/>
        <v>90.299550779523841</v>
      </c>
      <c r="FI146" s="562">
        <f t="shared" si="422"/>
        <v>-50</v>
      </c>
      <c r="FJ146">
        <f t="shared" si="423"/>
        <v>-50</v>
      </c>
      <c r="FL146">
        <f t="shared" si="476"/>
        <v>0.55232558139534893</v>
      </c>
    </row>
    <row r="147" spans="5:168">
      <c r="E147" s="170">
        <v>37</v>
      </c>
      <c r="F147" s="217">
        <f t="shared" si="477"/>
        <v>3.7</v>
      </c>
      <c r="G147" s="217"/>
      <c r="H147" s="217">
        <f t="shared" si="442"/>
        <v>55.5</v>
      </c>
      <c r="I147" s="541">
        <f t="shared" si="443"/>
        <v>18.663397549053037</v>
      </c>
      <c r="J147" s="172">
        <f t="shared" si="444"/>
        <v>15.601961470568178</v>
      </c>
      <c r="K147" s="172">
        <f t="shared" si="445"/>
        <v>34.265359019621215</v>
      </c>
      <c r="L147" s="443"/>
      <c r="M147" s="217">
        <f t="shared" si="446"/>
        <v>0.45531174966622384</v>
      </c>
      <c r="N147" s="172">
        <f t="shared" si="447"/>
        <v>212.64342434396971</v>
      </c>
      <c r="O147" s="172">
        <f t="shared" si="438"/>
        <v>55.5</v>
      </c>
      <c r="P147" s="217">
        <f t="shared" si="448"/>
        <v>14.176228289597981</v>
      </c>
      <c r="Q147" s="217">
        <f t="shared" si="449"/>
        <v>15</v>
      </c>
      <c r="R147" s="217"/>
      <c r="S147" s="172">
        <f t="shared" si="450"/>
        <v>107.50982140479411</v>
      </c>
      <c r="T147" s="172">
        <f t="shared" si="451"/>
        <v>15</v>
      </c>
      <c r="U147" s="217">
        <f t="shared" si="452"/>
        <v>13.58575294301906</v>
      </c>
      <c r="V147" s="217">
        <f t="shared" si="453"/>
        <v>8.7352281323772498</v>
      </c>
      <c r="W147" s="217">
        <f t="shared" si="454"/>
        <v>10.449265345499644</v>
      </c>
      <c r="X147" s="197">
        <f t="shared" si="455"/>
        <v>70.816323395172404</v>
      </c>
      <c r="Y147" s="443">
        <f t="shared" si="328"/>
        <v>51.587626013611278</v>
      </c>
      <c r="AA147" s="217">
        <f t="shared" si="456"/>
        <v>10</v>
      </c>
      <c r="AB147" s="173">
        <f t="shared" si="457"/>
        <v>7.6913406193426486</v>
      </c>
      <c r="AC147" s="173">
        <f t="shared" si="458"/>
        <v>2.7233623232089732</v>
      </c>
      <c r="AD147" s="173"/>
      <c r="AE147" s="173">
        <f t="shared" si="459"/>
        <v>7.6913406193426486</v>
      </c>
      <c r="AF147" s="545">
        <f t="shared" si="460"/>
        <v>96.212095735170436</v>
      </c>
      <c r="AG147" s="528">
        <f t="shared" si="461"/>
        <v>2.7233623232089732</v>
      </c>
      <c r="AI147" s="173">
        <f t="shared" si="462"/>
        <v>5.2430115592137216</v>
      </c>
      <c r="AJ147" s="173">
        <f t="shared" si="463"/>
        <v>13.58575294301906</v>
      </c>
      <c r="AK147" s="173">
        <f t="shared" si="464"/>
        <v>3.8561132911252294</v>
      </c>
      <c r="AM147" s="545">
        <f t="shared" si="465"/>
        <v>3700</v>
      </c>
      <c r="AN147" s="460">
        <f t="shared" si="466"/>
        <v>51.587626013611278</v>
      </c>
      <c r="AP147" s="460">
        <f t="shared" si="467"/>
        <v>3700</v>
      </c>
      <c r="AQ147" s="460">
        <f t="shared" si="468"/>
        <v>51.587626013611278</v>
      </c>
      <c r="AS147" s="5">
        <f t="shared" si="439"/>
        <v>19.384493477876891</v>
      </c>
      <c r="AT147" s="5">
        <f t="shared" si="469"/>
        <v>8.7352281323772498</v>
      </c>
      <c r="AU147" s="5">
        <f t="shared" si="343"/>
        <v>10.649265345499641</v>
      </c>
      <c r="AV147" s="5"/>
      <c r="AW147" s="173">
        <f t="shared" si="344"/>
        <v>0.45062968203665366</v>
      </c>
      <c r="AX147" s="173">
        <f t="shared" si="435"/>
        <v>57.129999266496149</v>
      </c>
      <c r="AY147" s="173">
        <f t="shared" si="436"/>
        <v>3.7318047070389246</v>
      </c>
      <c r="AZ147" s="173">
        <f t="shared" si="440"/>
        <v>15.30894667631927</v>
      </c>
      <c r="BA147" s="460">
        <f t="shared" si="433"/>
        <v>215.46896059863883</v>
      </c>
      <c r="BB147" s="5">
        <f t="shared" si="434"/>
        <v>8.7966927589121049</v>
      </c>
      <c r="BD147" s="173">
        <f t="shared" si="441"/>
        <v>5.265419561184026</v>
      </c>
      <c r="BE147" s="173">
        <f t="shared" si="437"/>
        <v>5.8137410091051498</v>
      </c>
      <c r="BG147" s="528">
        <f t="shared" si="347"/>
        <v>0.55449286310598755</v>
      </c>
      <c r="BH147" s="528">
        <f t="shared" si="470"/>
        <v>0.45028327282162967</v>
      </c>
      <c r="BI147" s="528">
        <f t="shared" si="471"/>
        <v>2.4070009322597438E-2</v>
      </c>
      <c r="BJ147" s="528">
        <f t="shared" si="350"/>
        <v>6.0569796682256836E-3</v>
      </c>
      <c r="BK147">
        <f t="shared" si="351"/>
        <v>8.3985288970738672E-3</v>
      </c>
      <c r="BL147" s="460">
        <f t="shared" si="427"/>
        <v>32.468538219671309</v>
      </c>
      <c r="BM147" s="528">
        <f t="shared" si="472"/>
        <v>1.3366459576531726</v>
      </c>
      <c r="BN147" s="460">
        <f t="shared" si="353"/>
        <v>1336.6459576531727</v>
      </c>
      <c r="BO147" s="528">
        <f t="shared" si="354"/>
        <v>2.59</v>
      </c>
      <c r="BR147" s="460">
        <f t="shared" si="355"/>
        <v>2590</v>
      </c>
      <c r="BS147" s="528">
        <f t="shared" si="356"/>
        <v>0.83173929465898133</v>
      </c>
      <c r="BT147" s="528">
        <f t="shared" si="357"/>
        <v>1.0139875356285288</v>
      </c>
      <c r="BU147" s="528">
        <f t="shared" si="358"/>
        <v>0.65019427754850723</v>
      </c>
      <c r="BV147" s="528"/>
      <c r="BW147" s="528">
        <f t="shared" si="359"/>
        <v>9.521666544416026E-3</v>
      </c>
      <c r="BX147" s="460">
        <f t="shared" si="360"/>
        <v>2505.4427743804335</v>
      </c>
      <c r="BY147" s="173">
        <f t="shared" si="361"/>
        <v>6.138744428195948</v>
      </c>
      <c r="BZ147" s="5">
        <f t="shared" si="362"/>
        <v>55.5</v>
      </c>
      <c r="CA147" s="173">
        <f t="shared" si="363"/>
        <v>0.90040769835363732</v>
      </c>
      <c r="CB147" s="5">
        <f t="shared" si="364"/>
        <v>90.040769835363733</v>
      </c>
      <c r="CE147" s="562">
        <f t="shared" si="473"/>
        <v>-50</v>
      </c>
      <c r="CF147">
        <f t="shared" si="474"/>
        <v>-50</v>
      </c>
      <c r="CG147" s="173">
        <f t="shared" si="475"/>
        <v>0.54960978293396168</v>
      </c>
      <c r="CI147" s="170">
        <v>37</v>
      </c>
      <c r="CJ147" s="217">
        <f t="shared" si="428"/>
        <v>3.7</v>
      </c>
      <c r="CK147" s="217"/>
      <c r="CL147" s="217">
        <f t="shared" si="368"/>
        <v>55.5</v>
      </c>
      <c r="CM147" s="541">
        <f t="shared" si="369"/>
        <v>19</v>
      </c>
      <c r="CN147" s="443">
        <f t="shared" si="370"/>
        <v>15.4</v>
      </c>
      <c r="CO147" s="443">
        <f t="shared" si="371"/>
        <v>34.4</v>
      </c>
      <c r="CP147" s="443"/>
      <c r="CQ147" s="217">
        <f t="shared" si="372"/>
        <v>0.44767441860465118</v>
      </c>
      <c r="CR147" s="172">
        <f t="shared" si="429"/>
        <v>212.84736191860466</v>
      </c>
      <c r="CS147" s="172">
        <f t="shared" si="373"/>
        <v>55.5</v>
      </c>
      <c r="CT147" s="217">
        <f t="shared" si="374"/>
        <v>14.189824127906977</v>
      </c>
      <c r="CU147" s="217">
        <f t="shared" si="375"/>
        <v>15</v>
      </c>
      <c r="CV147" s="217"/>
      <c r="CW147" s="172">
        <f t="shared" si="376"/>
        <v>109.44756516452712</v>
      </c>
      <c r="CX147" s="172">
        <f t="shared" si="377"/>
        <v>15</v>
      </c>
      <c r="CY147" s="217">
        <f t="shared" si="378"/>
        <v>13.049897470950102</v>
      </c>
      <c r="CZ147" s="217">
        <f t="shared" si="379"/>
        <v>8.2420405079684844</v>
      </c>
      <c r="DA147" s="217">
        <f t="shared" si="380"/>
        <v>10.168751276065013</v>
      </c>
      <c r="DB147" s="197">
        <f t="shared" si="381"/>
        <v>70.881782945736433</v>
      </c>
      <c r="DC147" s="443">
        <f t="shared" si="382"/>
        <v>54.315969227745867</v>
      </c>
      <c r="DE147" s="217">
        <f t="shared" si="383"/>
        <v>10.000000000000002</v>
      </c>
      <c r="DF147" s="173">
        <f t="shared" si="384"/>
        <v>7.792207792207793</v>
      </c>
      <c r="DG147" s="173">
        <f t="shared" si="385"/>
        <v>2.7616279069767451</v>
      </c>
      <c r="DH147" s="173"/>
      <c r="DI147" s="173">
        <f t="shared" si="386"/>
        <v>7.7922077922077913</v>
      </c>
      <c r="DJ147" s="545">
        <f t="shared" si="387"/>
        <v>94.966666666666669</v>
      </c>
      <c r="DK147" s="528">
        <f t="shared" si="388"/>
        <v>2.7616279069767442</v>
      </c>
      <c r="DM147" s="173">
        <f t="shared" si="389"/>
        <v>5.2089666281646823</v>
      </c>
      <c r="DN147" s="173">
        <f t="shared" si="390"/>
        <v>13.049897470950102</v>
      </c>
      <c r="DO147" s="173">
        <f t="shared" si="391"/>
        <v>3.4591833118148898</v>
      </c>
      <c r="DQ147" s="545">
        <f t="shared" si="392"/>
        <v>3700</v>
      </c>
      <c r="DR147" s="460">
        <f t="shared" si="393"/>
        <v>54.315969227745867</v>
      </c>
      <c r="DT147">
        <f t="shared" si="430"/>
        <v>3700</v>
      </c>
      <c r="DU147">
        <f t="shared" si="431"/>
        <v>54.315969227745867</v>
      </c>
      <c r="DW147" s="5">
        <f t="shared" si="394"/>
        <v>18.410791784033499</v>
      </c>
      <c r="DX147" s="5">
        <f t="shared" si="395"/>
        <v>8.2420405079684844</v>
      </c>
      <c r="DY147" s="5">
        <f t="shared" si="396"/>
        <v>10.168751276065015</v>
      </c>
      <c r="DZ147" s="5"/>
      <c r="EA147" s="173">
        <f t="shared" si="397"/>
        <v>0.44767441860465113</v>
      </c>
      <c r="EB147" s="173">
        <f t="shared" si="398"/>
        <v>55.5</v>
      </c>
      <c r="EC147" s="173">
        <f t="shared" si="399"/>
        <v>3.6038961038961044</v>
      </c>
      <c r="ED147" s="173">
        <f t="shared" si="400"/>
        <v>15.399999999999999</v>
      </c>
      <c r="EE147" s="460">
        <f t="shared" si="401"/>
        <v>203.30366586322262</v>
      </c>
      <c r="EF147" s="5">
        <f t="shared" si="402"/>
        <v>8.2509604652281912</v>
      </c>
      <c r="EH147" s="173">
        <f t="shared" si="403"/>
        <v>5.0411266828857633</v>
      </c>
      <c r="EI147" s="173">
        <f t="shared" si="404"/>
        <v>5.5994329862823724</v>
      </c>
      <c r="EK147" s="528">
        <f t="shared" si="405"/>
        <v>0.50825916465805643</v>
      </c>
      <c r="EL147" s="528">
        <f t="shared" si="406"/>
        <v>0.48766666666666664</v>
      </c>
      <c r="EM147" s="528">
        <f t="shared" si="407"/>
        <v>6.7894961534682328E-3</v>
      </c>
      <c r="EN147" s="528">
        <f t="shared" si="408"/>
        <v>6.4275345345345342E-3</v>
      </c>
      <c r="EO147">
        <f t="shared" si="409"/>
        <v>8.5500000000000003E-3</v>
      </c>
      <c r="EP147" s="460">
        <f t="shared" si="410"/>
        <v>15.339496153468232</v>
      </c>
      <c r="EQ147" s="460"/>
      <c r="ER147" s="460">
        <f t="shared" si="432"/>
        <v>1017.6928620127259</v>
      </c>
      <c r="ES147" s="528">
        <f t="shared" si="411"/>
        <v>2.59</v>
      </c>
      <c r="EV147" s="460">
        <f t="shared" si="412"/>
        <v>2590</v>
      </c>
      <c r="EW147" s="528">
        <f t="shared" si="413"/>
        <v>0.76238874698708459</v>
      </c>
      <c r="EX147" s="528">
        <f t="shared" si="414"/>
        <v>0.94060949303601371</v>
      </c>
      <c r="EY147" s="528">
        <f t="shared" si="415"/>
        <v>0.66881589702681277</v>
      </c>
      <c r="EZ147" s="528"/>
      <c r="FA147" s="528">
        <f t="shared" si="416"/>
        <v>9.2499999999999995E-3</v>
      </c>
      <c r="FB147" s="460">
        <f t="shared" si="417"/>
        <v>2381.0641370499111</v>
      </c>
      <c r="FC147" s="173">
        <f t="shared" si="418"/>
        <v>5.9887569990626375</v>
      </c>
      <c r="FD147" s="5">
        <f t="shared" si="419"/>
        <v>55.5</v>
      </c>
      <c r="FE147" s="173">
        <f t="shared" si="420"/>
        <v>0.90260403216227103</v>
      </c>
      <c r="FF147" s="5">
        <f t="shared" si="421"/>
        <v>90.260403216227104</v>
      </c>
      <c r="FI147" s="562">
        <f t="shared" si="422"/>
        <v>-50</v>
      </c>
      <c r="FJ147">
        <f t="shared" si="423"/>
        <v>-50</v>
      </c>
      <c r="FL147">
        <f t="shared" si="476"/>
        <v>0.55232558139534893</v>
      </c>
    </row>
    <row r="148" spans="5:168">
      <c r="E148" s="170">
        <v>38</v>
      </c>
      <c r="F148" s="217">
        <f t="shared" si="477"/>
        <v>3.8</v>
      </c>
      <c r="G148" s="217"/>
      <c r="H148" s="217">
        <f t="shared" si="442"/>
        <v>57</v>
      </c>
      <c r="I148" s="541">
        <f t="shared" si="443"/>
        <v>18.654345132664378</v>
      </c>
      <c r="J148" s="172">
        <f t="shared" si="444"/>
        <v>15.607392920401374</v>
      </c>
      <c r="K148" s="172">
        <f t="shared" si="445"/>
        <v>34.261738053065756</v>
      </c>
      <c r="L148" s="443"/>
      <c r="M148" s="217">
        <f t="shared" si="446"/>
        <v>0.45551840567299201</v>
      </c>
      <c r="N148" s="172">
        <f t="shared" si="447"/>
        <v>212.63675203452587</v>
      </c>
      <c r="O148" s="172">
        <f t="shared" si="438"/>
        <v>57</v>
      </c>
      <c r="P148" s="217">
        <f t="shared" si="448"/>
        <v>14.175783468968392</v>
      </c>
      <c r="Q148" s="217">
        <f t="shared" si="449"/>
        <v>15</v>
      </c>
      <c r="R148" s="217"/>
      <c r="S148" s="172">
        <f t="shared" si="450"/>
        <v>104.14298452041567</v>
      </c>
      <c r="T148" s="172">
        <f t="shared" si="451"/>
        <v>15</v>
      </c>
      <c r="U148" s="217">
        <f t="shared" si="452"/>
        <v>13.958231240844384</v>
      </c>
      <c r="V148" s="217">
        <f t="shared" si="453"/>
        <v>8.9790755826017552</v>
      </c>
      <c r="W148" s="217">
        <f t="shared" si="454"/>
        <v>10.732014997276371</v>
      </c>
      <c r="X148" s="197">
        <f t="shared" si="455"/>
        <v>70.814099221346524</v>
      </c>
      <c r="Y148" s="443">
        <f t="shared" si="328"/>
        <v>50.223266073159564</v>
      </c>
      <c r="AA148" s="217">
        <f t="shared" si="456"/>
        <v>10</v>
      </c>
      <c r="AB148" s="173">
        <f t="shared" si="457"/>
        <v>7.6886639948136812</v>
      </c>
      <c r="AC148" s="173">
        <f t="shared" si="458"/>
        <v>2.7223290750416531</v>
      </c>
      <c r="AD148" s="173"/>
      <c r="AE148" s="173">
        <f t="shared" si="459"/>
        <v>7.6886639948136812</v>
      </c>
      <c r="AF148" s="545">
        <f t="shared" si="460"/>
        <v>98.846821829208707</v>
      </c>
      <c r="AG148" s="528">
        <f t="shared" si="461"/>
        <v>2.7223290750416527</v>
      </c>
      <c r="AI148" s="173">
        <f t="shared" si="462"/>
        <v>5.3143154868768967</v>
      </c>
      <c r="AJ148" s="173">
        <f t="shared" si="463"/>
        <v>13.958231240844384</v>
      </c>
      <c r="AK148" s="173">
        <f t="shared" si="464"/>
        <v>4.1320231413662105</v>
      </c>
      <c r="AM148" s="545">
        <f t="shared" si="465"/>
        <v>3800</v>
      </c>
      <c r="AN148" s="460">
        <f t="shared" si="466"/>
        <v>50.223266073159564</v>
      </c>
      <c r="AP148" s="460">
        <f t="shared" si="467"/>
        <v>3800</v>
      </c>
      <c r="AQ148" s="460">
        <f t="shared" si="468"/>
        <v>50.223266073159564</v>
      </c>
      <c r="AS148" s="5">
        <f t="shared" si="439"/>
        <v>19.911090579878124</v>
      </c>
      <c r="AT148" s="5">
        <f t="shared" si="469"/>
        <v>8.9790755826017552</v>
      </c>
      <c r="AU148" s="5">
        <f t="shared" si="343"/>
        <v>10.932014997276369</v>
      </c>
      <c r="AV148" s="5"/>
      <c r="AW148" s="173">
        <f t="shared" si="344"/>
        <v>0.45095850207601818</v>
      </c>
      <c r="AX148" s="173">
        <f t="shared" si="435"/>
        <v>58.710662359131327</v>
      </c>
      <c r="AY148" s="173">
        <f t="shared" si="436"/>
        <v>3.8318240944212603</v>
      </c>
      <c r="AZ148" s="173">
        <f t="shared" si="440"/>
        <v>15.321857400658862</v>
      </c>
      <c r="BA148" s="460">
        <f t="shared" si="433"/>
        <v>227.46991475924446</v>
      </c>
      <c r="BB148" s="5">
        <f t="shared" si="434"/>
        <v>9.2788160734621048</v>
      </c>
      <c r="BD148" s="173">
        <f t="shared" si="441"/>
        <v>5.4117540534328912</v>
      </c>
      <c r="BE148" s="173">
        <f t="shared" si="437"/>
        <v>5.9713475187303731</v>
      </c>
      <c r="BG148" s="528">
        <f t="shared" si="347"/>
        <v>0.58574163869694662</v>
      </c>
      <c r="BH148" s="528">
        <f t="shared" si="470"/>
        <v>0.45034568222737004</v>
      </c>
      <c r="BI148" s="528">
        <f t="shared" si="471"/>
        <v>2.3422053475458803E-2</v>
      </c>
      <c r="BJ148" s="528">
        <f t="shared" si="350"/>
        <v>5.8955419328119959E-3</v>
      </c>
      <c r="BK148">
        <f t="shared" si="351"/>
        <v>8.3944553096989699E-3</v>
      </c>
      <c r="BL148" s="460">
        <f t="shared" si="427"/>
        <v>31.816508785157772</v>
      </c>
      <c r="BM148" s="528">
        <f t="shared" si="472"/>
        <v>1.3941616708051123</v>
      </c>
      <c r="BN148" s="460">
        <f t="shared" si="353"/>
        <v>1394.1616708051124</v>
      </c>
      <c r="BO148" s="528">
        <f t="shared" si="354"/>
        <v>2.6599999999999997</v>
      </c>
      <c r="BR148" s="460">
        <f t="shared" si="355"/>
        <v>2659.9999999999995</v>
      </c>
      <c r="BS148" s="528">
        <f t="shared" si="356"/>
        <v>0.87861245804541988</v>
      </c>
      <c r="BT148" s="528">
        <f t="shared" si="357"/>
        <v>1.0697097356834213</v>
      </c>
      <c r="BU148" s="528">
        <f t="shared" si="358"/>
        <v>0.6505914571153707</v>
      </c>
      <c r="BV148" s="528"/>
      <c r="BW148" s="528">
        <f t="shared" si="359"/>
        <v>9.7851103931885543E-3</v>
      </c>
      <c r="BX148" s="460">
        <f t="shared" si="360"/>
        <v>2608.6987612374005</v>
      </c>
      <c r="BY148" s="173">
        <f t="shared" si="361"/>
        <v>6.3424981328796868</v>
      </c>
      <c r="BZ148" s="5">
        <f t="shared" si="362"/>
        <v>57</v>
      </c>
      <c r="CA148" s="173">
        <f t="shared" si="363"/>
        <v>0.89986978221833924</v>
      </c>
      <c r="CB148" s="5">
        <f t="shared" si="364"/>
        <v>89.986978221833922</v>
      </c>
      <c r="CE148" s="562">
        <f t="shared" si="473"/>
        <v>-50</v>
      </c>
      <c r="CF148">
        <f t="shared" si="474"/>
        <v>-50</v>
      </c>
      <c r="CG148" s="173">
        <f t="shared" si="475"/>
        <v>0.5496812513145245</v>
      </c>
      <c r="CI148" s="170">
        <v>38</v>
      </c>
      <c r="CJ148" s="217">
        <f t="shared" si="428"/>
        <v>3.8</v>
      </c>
      <c r="CK148" s="217"/>
      <c r="CL148" s="217">
        <f t="shared" si="368"/>
        <v>57</v>
      </c>
      <c r="CM148" s="541">
        <f t="shared" si="369"/>
        <v>19</v>
      </c>
      <c r="CN148" s="443">
        <f t="shared" si="370"/>
        <v>15.4</v>
      </c>
      <c r="CO148" s="443">
        <f t="shared" si="371"/>
        <v>34.4</v>
      </c>
      <c r="CP148" s="443"/>
      <c r="CQ148" s="217">
        <f t="shared" si="372"/>
        <v>0.44767441860465118</v>
      </c>
      <c r="CR148" s="172">
        <f t="shared" si="429"/>
        <v>212.84736191860466</v>
      </c>
      <c r="CS148" s="172">
        <f t="shared" si="373"/>
        <v>57</v>
      </c>
      <c r="CT148" s="217">
        <f t="shared" si="374"/>
        <v>14.189824127906977</v>
      </c>
      <c r="CU148" s="217">
        <f t="shared" si="375"/>
        <v>15</v>
      </c>
      <c r="CV148" s="217"/>
      <c r="CW148" s="172">
        <f t="shared" si="376"/>
        <v>106.07138068419103</v>
      </c>
      <c r="CX148" s="172">
        <f t="shared" si="377"/>
        <v>15</v>
      </c>
      <c r="CY148" s="217">
        <f t="shared" si="378"/>
        <v>13.402597402597403</v>
      </c>
      <c r="CZ148" s="217">
        <f t="shared" si="379"/>
        <v>8.4647983595352017</v>
      </c>
      <c r="DA148" s="217">
        <f t="shared" si="380"/>
        <v>10.44358239163434</v>
      </c>
      <c r="DB148" s="197">
        <f t="shared" si="381"/>
        <v>70.881782945736433</v>
      </c>
      <c r="DC148" s="443">
        <f t="shared" si="382"/>
        <v>52.886601616489394</v>
      </c>
      <c r="DE148" s="217">
        <f t="shared" si="383"/>
        <v>10.000000000000002</v>
      </c>
      <c r="DF148" s="173">
        <f t="shared" si="384"/>
        <v>7.792207792207793</v>
      </c>
      <c r="DG148" s="173">
        <f t="shared" si="385"/>
        <v>2.7616279069767451</v>
      </c>
      <c r="DH148" s="173"/>
      <c r="DI148" s="173">
        <f t="shared" si="386"/>
        <v>7.7922077922077913</v>
      </c>
      <c r="DJ148" s="545">
        <f t="shared" si="387"/>
        <v>97.533333333333331</v>
      </c>
      <c r="DK148" s="528">
        <f t="shared" si="388"/>
        <v>2.7616279069767442</v>
      </c>
      <c r="DM148" s="173">
        <f t="shared" si="389"/>
        <v>5.2788887719544411</v>
      </c>
      <c r="DN148" s="173">
        <f t="shared" si="390"/>
        <v>13.402597402597403</v>
      </c>
      <c r="DO148" s="173">
        <f t="shared" si="391"/>
        <v>3.7204425204425204</v>
      </c>
      <c r="DQ148" s="545">
        <f t="shared" si="392"/>
        <v>3800</v>
      </c>
      <c r="DR148" s="460">
        <f t="shared" si="393"/>
        <v>52.886601616489394</v>
      </c>
      <c r="DT148">
        <f t="shared" si="430"/>
        <v>3800</v>
      </c>
      <c r="DU148">
        <f t="shared" si="431"/>
        <v>52.886601616489394</v>
      </c>
      <c r="DW148" s="5">
        <f t="shared" si="394"/>
        <v>18.908380751169542</v>
      </c>
      <c r="DX148" s="5">
        <f t="shared" si="395"/>
        <v>8.4647983595352017</v>
      </c>
      <c r="DY148" s="5">
        <f t="shared" si="396"/>
        <v>10.44358239163434</v>
      </c>
      <c r="DZ148" s="5"/>
      <c r="EA148" s="173">
        <f t="shared" si="397"/>
        <v>0.44767441860465113</v>
      </c>
      <c r="EB148" s="173">
        <f t="shared" si="398"/>
        <v>57</v>
      </c>
      <c r="EC148" s="173">
        <f t="shared" si="399"/>
        <v>3.7012987012987018</v>
      </c>
      <c r="ED148" s="173">
        <f t="shared" si="400"/>
        <v>15.399999999999999</v>
      </c>
      <c r="EE148" s="460">
        <f t="shared" si="401"/>
        <v>214.44155844155844</v>
      </c>
      <c r="EF148" s="5">
        <f t="shared" si="402"/>
        <v>8.7029853263619508</v>
      </c>
      <c r="EH148" s="173">
        <f t="shared" si="403"/>
        <v>5.177373349990785</v>
      </c>
      <c r="EI148" s="173">
        <f t="shared" si="404"/>
        <v>5.7507690129386528</v>
      </c>
      <c r="EK148" s="528">
        <f t="shared" si="405"/>
        <v>0.53610389610389608</v>
      </c>
      <c r="EL148" s="528">
        <f t="shared" si="406"/>
        <v>0.48766666666666664</v>
      </c>
      <c r="EM148" s="528">
        <f t="shared" si="407"/>
        <v>6.6108252020611732E-3</v>
      </c>
      <c r="EN148" s="528">
        <f t="shared" si="408"/>
        <v>6.2583888888888889E-3</v>
      </c>
      <c r="EO148">
        <f t="shared" si="409"/>
        <v>8.5500000000000003E-3</v>
      </c>
      <c r="EP148" s="460">
        <f t="shared" si="410"/>
        <v>15.160825202061172</v>
      </c>
      <c r="EQ148" s="460"/>
      <c r="ER148" s="460">
        <f t="shared" si="432"/>
        <v>1045.1897768615129</v>
      </c>
      <c r="ES148" s="528">
        <f t="shared" si="411"/>
        <v>2.6599999999999997</v>
      </c>
      <c r="EV148" s="460">
        <f t="shared" si="412"/>
        <v>2659.9999999999995</v>
      </c>
      <c r="EW148" s="528">
        <f t="shared" si="413"/>
        <v>0.80415584415584418</v>
      </c>
      <c r="EX148" s="528">
        <f t="shared" si="414"/>
        <v>0.99214032720526213</v>
      </c>
      <c r="EY148" s="528">
        <f t="shared" si="415"/>
        <v>0.66881589702681232</v>
      </c>
      <c r="EZ148" s="528"/>
      <c r="FA148" s="528">
        <f t="shared" si="416"/>
        <v>9.4999999999999998E-3</v>
      </c>
      <c r="FB148" s="460">
        <f t="shared" si="417"/>
        <v>2474.612068387919</v>
      </c>
      <c r="FC148" s="173">
        <f t="shared" si="418"/>
        <v>6.1798018452494317</v>
      </c>
      <c r="FD148" s="5">
        <f t="shared" si="419"/>
        <v>57</v>
      </c>
      <c r="FE148" s="173">
        <f t="shared" si="420"/>
        <v>0.90218706509422053</v>
      </c>
      <c r="FF148" s="5">
        <f t="shared" si="421"/>
        <v>90.218706509422049</v>
      </c>
      <c r="FI148" s="562">
        <f t="shared" si="422"/>
        <v>-50</v>
      </c>
      <c r="FJ148">
        <f t="shared" si="423"/>
        <v>-50</v>
      </c>
      <c r="FL148">
        <f t="shared" si="476"/>
        <v>0.55232558139534893</v>
      </c>
    </row>
    <row r="149" spans="5:168">
      <c r="E149" s="170">
        <v>39</v>
      </c>
      <c r="F149" s="217">
        <f t="shared" si="477"/>
        <v>3.9000000000000004</v>
      </c>
      <c r="G149" s="217"/>
      <c r="H149" s="217">
        <f t="shared" si="442"/>
        <v>58.500000000000007</v>
      </c>
      <c r="I149" s="541">
        <f t="shared" si="443"/>
        <v>18.645292705188602</v>
      </c>
      <c r="J149" s="172">
        <f t="shared" si="444"/>
        <v>15.61282437688684</v>
      </c>
      <c r="K149" s="172">
        <f t="shared" si="445"/>
        <v>34.258117082075444</v>
      </c>
      <c r="L149" s="443"/>
      <c r="M149" s="217">
        <f t="shared" si="446"/>
        <v>0.45572510551263656</v>
      </c>
      <c r="N149" s="172">
        <f t="shared" si="447"/>
        <v>212.63000642430464</v>
      </c>
      <c r="O149" s="172">
        <f t="shared" si="438"/>
        <v>58.500000000000007</v>
      </c>
      <c r="P149" s="217">
        <f t="shared" si="448"/>
        <v>14.17533376162031</v>
      </c>
      <c r="Q149" s="217">
        <f t="shared" si="449"/>
        <v>15</v>
      </c>
      <c r="R149" s="217"/>
      <c r="S149" s="172">
        <f t="shared" si="450"/>
        <v>100.94940254952995</v>
      </c>
      <c r="T149" s="172">
        <f t="shared" si="451"/>
        <v>15</v>
      </c>
      <c r="U149" s="217">
        <f t="shared" si="452"/>
        <v>14.330993545727644</v>
      </c>
      <c r="V149" s="217">
        <f t="shared" si="453"/>
        <v>9.2233426027619014</v>
      </c>
      <c r="W149" s="217">
        <f t="shared" si="454"/>
        <v>11.01478620379015</v>
      </c>
      <c r="X149" s="197">
        <f t="shared" si="455"/>
        <v>70.811850654335259</v>
      </c>
      <c r="Y149" s="443">
        <f t="shared" si="328"/>
        <v>48.92815822157948</v>
      </c>
      <c r="AA149" s="217">
        <f t="shared" si="456"/>
        <v>10</v>
      </c>
      <c r="AB149" s="173">
        <f t="shared" si="457"/>
        <v>7.6859892293189125</v>
      </c>
      <c r="AC149" s="173">
        <f t="shared" si="458"/>
        <v>2.7212956071868009</v>
      </c>
      <c r="AD149" s="173"/>
      <c r="AE149" s="173">
        <f t="shared" si="459"/>
        <v>7.6859892293189125</v>
      </c>
      <c r="AF149" s="545">
        <f t="shared" si="460"/>
        <v>101.48335844976445</v>
      </c>
      <c r="AG149" s="528">
        <f t="shared" si="461"/>
        <v>2.7212956071868013</v>
      </c>
      <c r="AI149" s="173">
        <f t="shared" si="462"/>
        <v>5.3847233235665204</v>
      </c>
      <c r="AJ149" s="173">
        <f t="shared" si="463"/>
        <v>14.330993545727644</v>
      </c>
      <c r="AK149" s="173">
        <f t="shared" si="464"/>
        <v>4.4081433672056622</v>
      </c>
      <c r="AM149" s="545">
        <f t="shared" si="465"/>
        <v>3900.0000000000005</v>
      </c>
      <c r="AN149" s="460">
        <f t="shared" si="466"/>
        <v>48.92815822157948</v>
      </c>
      <c r="AP149" s="460">
        <f t="shared" si="467"/>
        <v>3900.0000000000005</v>
      </c>
      <c r="AQ149" s="460">
        <f t="shared" si="468"/>
        <v>48.92815822157948</v>
      </c>
      <c r="AS149" s="5">
        <f t="shared" si="439"/>
        <v>20.438128806552047</v>
      </c>
      <c r="AT149" s="5">
        <f t="shared" si="469"/>
        <v>9.2233426027619014</v>
      </c>
      <c r="AU149" s="5">
        <f t="shared" si="343"/>
        <v>11.214786203790146</v>
      </c>
      <c r="AV149" s="5"/>
      <c r="AW149" s="173">
        <f t="shared" si="344"/>
        <v>0.45128116619976905</v>
      </c>
      <c r="AX149" s="173">
        <f t="shared" si="435"/>
        <v>60.292420490621708</v>
      </c>
      <c r="AY149" s="173">
        <f t="shared" si="436"/>
        <v>3.9318430328051543</v>
      </c>
      <c r="AZ149" s="173">
        <f t="shared" si="440"/>
        <v>15.334391527732574</v>
      </c>
      <c r="BA149" s="460">
        <f t="shared" si="433"/>
        <v>239.80690767180945</v>
      </c>
      <c r="BB149" s="5">
        <f t="shared" si="434"/>
        <v>9.7740635501461526</v>
      </c>
      <c r="BD149" s="173">
        <f t="shared" si="441"/>
        <v>5.5582653695734257</v>
      </c>
      <c r="BE149" s="173">
        <f t="shared" si="437"/>
        <v>6.1290139025210717</v>
      </c>
      <c r="BG149" s="528">
        <f t="shared" si="347"/>
        <v>0.61788627837198418</v>
      </c>
      <c r="BH149" s="528">
        <f t="shared" si="470"/>
        <v>0.45040160547373798</v>
      </c>
      <c r="BI149" s="528">
        <f t="shared" si="471"/>
        <v>2.280699578917824E-2</v>
      </c>
      <c r="BJ149" s="528">
        <f t="shared" si="350"/>
        <v>5.7422995868044004E-3</v>
      </c>
      <c r="BK149">
        <f t="shared" si="351"/>
        <v>8.3903817173348709E-3</v>
      </c>
      <c r="BL149" s="460">
        <f t="shared" si="427"/>
        <v>31.19737750651311</v>
      </c>
      <c r="BM149" s="528">
        <f t="shared" si="472"/>
        <v>1.4543761158168755</v>
      </c>
      <c r="BN149" s="460">
        <f t="shared" si="353"/>
        <v>1454.3761158168754</v>
      </c>
      <c r="BO149" s="528">
        <f t="shared" si="354"/>
        <v>2.73</v>
      </c>
      <c r="BR149" s="460">
        <f t="shared" si="355"/>
        <v>2730</v>
      </c>
      <c r="BS149" s="528">
        <f t="shared" si="356"/>
        <v>0.92682941755797621</v>
      </c>
      <c r="BT149" s="528">
        <f t="shared" si="357"/>
        <v>1.1269443425188972</v>
      </c>
      <c r="BU149" s="528">
        <f t="shared" si="358"/>
        <v>0.6509654300698281</v>
      </c>
      <c r="BV149" s="528"/>
      <c r="BW149" s="528">
        <f t="shared" si="359"/>
        <v>1.0048736748436949E-2</v>
      </c>
      <c r="BX149" s="460">
        <f t="shared" si="360"/>
        <v>2714.7879268951383</v>
      </c>
      <c r="BY149" s="173">
        <f t="shared" si="361"/>
        <v>6.5500154878341776</v>
      </c>
      <c r="BZ149" s="5">
        <f t="shared" si="362"/>
        <v>58.500000000000007</v>
      </c>
      <c r="CA149" s="173">
        <f t="shared" si="363"/>
        <v>0.89930801032539065</v>
      </c>
      <c r="CB149" s="5">
        <f t="shared" si="364"/>
        <v>89.930801032539065</v>
      </c>
      <c r="CE149" s="562">
        <f t="shared" si="473"/>
        <v>-50</v>
      </c>
      <c r="CF149">
        <f t="shared" si="474"/>
        <v>-50</v>
      </c>
      <c r="CG149" s="173">
        <f t="shared" si="475"/>
        <v>0.54974905464993018</v>
      </c>
      <c r="CI149" s="170">
        <v>39</v>
      </c>
      <c r="CJ149" s="217">
        <f t="shared" si="428"/>
        <v>3.9000000000000004</v>
      </c>
      <c r="CK149" s="217"/>
      <c r="CL149" s="217">
        <f t="shared" si="368"/>
        <v>58.500000000000007</v>
      </c>
      <c r="CM149" s="541">
        <f t="shared" si="369"/>
        <v>19</v>
      </c>
      <c r="CN149" s="443">
        <f t="shared" si="370"/>
        <v>15.4</v>
      </c>
      <c r="CO149" s="443">
        <f t="shared" si="371"/>
        <v>34.4</v>
      </c>
      <c r="CP149" s="443"/>
      <c r="CQ149" s="217">
        <f t="shared" si="372"/>
        <v>0.44767441860465118</v>
      </c>
      <c r="CR149" s="172">
        <f t="shared" si="429"/>
        <v>212.84736191860466</v>
      </c>
      <c r="CS149" s="172">
        <f t="shared" si="373"/>
        <v>58.500000000000007</v>
      </c>
      <c r="CT149" s="217">
        <f t="shared" si="374"/>
        <v>14.189824127906977</v>
      </c>
      <c r="CU149" s="217">
        <f t="shared" si="375"/>
        <v>15</v>
      </c>
      <c r="CV149" s="217"/>
      <c r="CW149" s="172">
        <f t="shared" si="376"/>
        <v>102.86846638057999</v>
      </c>
      <c r="CX149" s="172">
        <f t="shared" si="377"/>
        <v>15</v>
      </c>
      <c r="CY149" s="217">
        <f t="shared" si="378"/>
        <v>13.755297334244704</v>
      </c>
      <c r="CZ149" s="217">
        <f t="shared" si="379"/>
        <v>8.6875562111019171</v>
      </c>
      <c r="DA149" s="217">
        <f t="shared" si="380"/>
        <v>10.718413507203666</v>
      </c>
      <c r="DB149" s="197">
        <f t="shared" si="381"/>
        <v>70.881782945736433</v>
      </c>
      <c r="DC149" s="443">
        <f t="shared" si="382"/>
        <v>51.530534908374271</v>
      </c>
      <c r="DE149" s="217">
        <f t="shared" si="383"/>
        <v>10.000000000000002</v>
      </c>
      <c r="DF149" s="173">
        <f t="shared" si="384"/>
        <v>7.792207792207793</v>
      </c>
      <c r="DG149" s="173">
        <f t="shared" si="385"/>
        <v>2.7616279069767451</v>
      </c>
      <c r="DH149" s="173"/>
      <c r="DI149" s="173">
        <f t="shared" si="386"/>
        <v>7.7922077922077913</v>
      </c>
      <c r="DJ149" s="545">
        <f t="shared" si="387"/>
        <v>100.10000000000001</v>
      </c>
      <c r="DK149" s="528">
        <f t="shared" si="388"/>
        <v>2.7616279069767442</v>
      </c>
      <c r="DM149" s="173">
        <f t="shared" si="389"/>
        <v>5.3478967828483759</v>
      </c>
      <c r="DN149" s="173">
        <f t="shared" si="390"/>
        <v>13.755297334244704</v>
      </c>
      <c r="DO149" s="173">
        <f t="shared" si="391"/>
        <v>3.9817017290701511</v>
      </c>
      <c r="DQ149" s="545">
        <f t="shared" si="392"/>
        <v>3900.0000000000005</v>
      </c>
      <c r="DR149" s="460">
        <f t="shared" si="393"/>
        <v>51.530534908374271</v>
      </c>
      <c r="DT149">
        <f t="shared" si="430"/>
        <v>3900.0000000000005</v>
      </c>
      <c r="DU149">
        <f t="shared" si="431"/>
        <v>51.530534908374271</v>
      </c>
      <c r="DW149" s="5">
        <f t="shared" si="394"/>
        <v>19.405969718305588</v>
      </c>
      <c r="DX149" s="5">
        <f t="shared" si="395"/>
        <v>8.6875562111019171</v>
      </c>
      <c r="DY149" s="5">
        <f t="shared" si="396"/>
        <v>10.718413507203671</v>
      </c>
      <c r="DZ149" s="5"/>
      <c r="EA149" s="173">
        <f t="shared" si="397"/>
        <v>0.44767441860465101</v>
      </c>
      <c r="EB149" s="173">
        <f t="shared" si="398"/>
        <v>58.499999999999993</v>
      </c>
      <c r="EC149" s="173">
        <f t="shared" si="399"/>
        <v>3.7987012987012996</v>
      </c>
      <c r="ED149" s="173">
        <f t="shared" si="400"/>
        <v>15.399999999999995</v>
      </c>
      <c r="EE149" s="460">
        <f t="shared" si="401"/>
        <v>225.87646148864988</v>
      </c>
      <c r="EF149" s="5">
        <f t="shared" si="402"/>
        <v>9.1670641837926148</v>
      </c>
      <c r="EH149" s="173">
        <f t="shared" si="403"/>
        <v>5.3136200170958059</v>
      </c>
      <c r="EI149" s="173">
        <f t="shared" si="404"/>
        <v>5.9021050395949342</v>
      </c>
      <c r="EK149" s="528">
        <f t="shared" si="405"/>
        <v>0.56469115372162459</v>
      </c>
      <c r="EL149" s="528">
        <f t="shared" si="406"/>
        <v>0.48766666666666658</v>
      </c>
      <c r="EM149" s="528">
        <f t="shared" si="407"/>
        <v>6.4413168635467834E-3</v>
      </c>
      <c r="EN149" s="528">
        <f t="shared" si="408"/>
        <v>6.0979173789173771E-3</v>
      </c>
      <c r="EO149">
        <f t="shared" si="409"/>
        <v>8.5500000000000003E-3</v>
      </c>
      <c r="EP149" s="460">
        <f t="shared" si="410"/>
        <v>14.991316863546784</v>
      </c>
      <c r="EQ149" s="460"/>
      <c r="ER149" s="460">
        <f t="shared" si="432"/>
        <v>1073.4470546307555</v>
      </c>
      <c r="ES149" s="528">
        <f t="shared" si="411"/>
        <v>2.73</v>
      </c>
      <c r="EV149" s="460">
        <f t="shared" si="412"/>
        <v>2730</v>
      </c>
      <c r="EW149" s="528">
        <f t="shared" si="413"/>
        <v>0.84703673058243689</v>
      </c>
      <c r="EX149" s="528">
        <f t="shared" si="414"/>
        <v>1.0450453169523575</v>
      </c>
      <c r="EY149" s="528">
        <f t="shared" si="415"/>
        <v>0.66881589702681299</v>
      </c>
      <c r="EZ149" s="528"/>
      <c r="FA149" s="528">
        <f t="shared" si="416"/>
        <v>9.7499999999999983E-3</v>
      </c>
      <c r="FB149" s="460">
        <f t="shared" si="417"/>
        <v>2570.6479445616073</v>
      </c>
      <c r="FC149" s="173">
        <f t="shared" si="418"/>
        <v>6.374094999192363</v>
      </c>
      <c r="FD149" s="5">
        <f t="shared" si="419"/>
        <v>58.500000000000007</v>
      </c>
      <c r="FE149" s="173">
        <f t="shared" si="420"/>
        <v>0.90174668333682784</v>
      </c>
      <c r="FF149" s="5">
        <f t="shared" si="421"/>
        <v>90.174668333682789</v>
      </c>
      <c r="FI149" s="562">
        <f t="shared" si="422"/>
        <v>-50</v>
      </c>
      <c r="FJ149">
        <f t="shared" si="423"/>
        <v>-50</v>
      </c>
      <c r="FL149">
        <f t="shared" si="476"/>
        <v>0.55232558139534893</v>
      </c>
    </row>
    <row r="150" spans="5:168">
      <c r="E150" s="170">
        <v>40</v>
      </c>
      <c r="F150" s="217">
        <f t="shared" si="477"/>
        <v>4</v>
      </c>
      <c r="G150" s="217"/>
      <c r="H150" s="217">
        <f t="shared" si="442"/>
        <v>60</v>
      </c>
      <c r="I150" s="541">
        <f t="shared" si="443"/>
        <v>18.636240267461041</v>
      </c>
      <c r="J150" s="172">
        <f t="shared" si="444"/>
        <v>15.618255839523377</v>
      </c>
      <c r="K150" s="172">
        <f t="shared" si="445"/>
        <v>34.254496106984419</v>
      </c>
      <c r="L150" s="443"/>
      <c r="M150" s="217">
        <f t="shared" si="446"/>
        <v>0.45593184918813973</v>
      </c>
      <c r="N150" s="172">
        <f t="shared" si="447"/>
        <v>212.6231874942672</v>
      </c>
      <c r="O150" s="172">
        <f t="shared" si="438"/>
        <v>60</v>
      </c>
      <c r="P150" s="217">
        <f t="shared" si="448"/>
        <v>14.17487916628448</v>
      </c>
      <c r="Q150" s="217">
        <f t="shared" si="449"/>
        <v>15</v>
      </c>
      <c r="R150" s="217"/>
      <c r="S150" s="172">
        <f t="shared" si="450"/>
        <v>97.916083140237305</v>
      </c>
      <c r="T150" s="172">
        <f t="shared" si="451"/>
        <v>15</v>
      </c>
      <c r="U150" s="217">
        <f t="shared" si="452"/>
        <v>14.704040271540199</v>
      </c>
      <c r="V150" s="217">
        <f t="shared" si="453"/>
        <v>9.468030070773569</v>
      </c>
      <c r="W150" s="217">
        <f t="shared" si="454"/>
        <v>11.297579260544824</v>
      </c>
      <c r="X150" s="197">
        <f t="shared" si="455"/>
        <v>70.809577686525088</v>
      </c>
      <c r="Y150" s="443">
        <f t="shared" si="328"/>
        <v>47.697158913774167</v>
      </c>
      <c r="AA150" s="217">
        <f t="shared" si="456"/>
        <v>9.9999999999999964</v>
      </c>
      <c r="AB150" s="173">
        <f t="shared" si="457"/>
        <v>7.6833163211688049</v>
      </c>
      <c r="AC150" s="173">
        <f t="shared" si="458"/>
        <v>2.720261919669742</v>
      </c>
      <c r="AD150" s="173"/>
      <c r="AE150" s="173">
        <f t="shared" si="459"/>
        <v>7.6833163211688085</v>
      </c>
      <c r="AF150" s="545">
        <f t="shared" si="460"/>
        <v>104.12170559682249</v>
      </c>
      <c r="AG150" s="528">
        <f t="shared" si="461"/>
        <v>2.7202619196697446</v>
      </c>
      <c r="AI150" s="173">
        <f t="shared" si="462"/>
        <v>5.4542697716513153</v>
      </c>
      <c r="AJ150" s="173">
        <f t="shared" si="463"/>
        <v>14.704040271540199</v>
      </c>
      <c r="AK150" s="173">
        <f t="shared" si="464"/>
        <v>4.6844742752149626</v>
      </c>
      <c r="AM150" s="545">
        <f t="shared" si="465"/>
        <v>4000</v>
      </c>
      <c r="AN150" s="460">
        <f t="shared" si="466"/>
        <v>47.697158913774167</v>
      </c>
      <c r="AP150" s="460">
        <f t="shared" si="467"/>
        <v>4000</v>
      </c>
      <c r="AQ150" s="460">
        <f t="shared" si="468"/>
        <v>47.697158913774167</v>
      </c>
      <c r="AS150" s="5">
        <f t="shared" si="439"/>
        <v>20.965609331318394</v>
      </c>
      <c r="AT150" s="5">
        <f t="shared" si="469"/>
        <v>9.468030070773569</v>
      </c>
      <c r="AU150" s="5">
        <f t="shared" si="343"/>
        <v>11.497579260544825</v>
      </c>
      <c r="AV150" s="5"/>
      <c r="AW150" s="173">
        <f t="shared" si="344"/>
        <v>0.45159813488607942</v>
      </c>
      <c r="AX150" s="173">
        <f t="shared" si="435"/>
        <v>61.875273040818414</v>
      </c>
      <c r="AY150" s="173">
        <f t="shared" si="436"/>
        <v>4.0318615548114227</v>
      </c>
      <c r="AZ150" s="173">
        <f t="shared" si="440"/>
        <v>15.346576810649548</v>
      </c>
      <c r="BA150" s="460">
        <f t="shared" si="433"/>
        <v>252.48080188729517</v>
      </c>
      <c r="BB150" s="5">
        <f t="shared" si="434"/>
        <v>10.282456024333451</v>
      </c>
      <c r="BD150" s="173">
        <f t="shared" si="441"/>
        <v>5.7049537235818812</v>
      </c>
      <c r="BE150" s="173">
        <f t="shared" si="437"/>
        <v>6.2867402613872869</v>
      </c>
      <c r="BG150" s="528">
        <f t="shared" si="347"/>
        <v>0.65092993976421543</v>
      </c>
      <c r="BH150" s="528">
        <f t="shared" si="470"/>
        <v>0.45045151289082158</v>
      </c>
      <c r="BI150" s="528">
        <f t="shared" si="471"/>
        <v>2.222239283980916E-2</v>
      </c>
      <c r="BJ150" s="528">
        <f t="shared" si="350"/>
        <v>5.5966439372245273E-3</v>
      </c>
      <c r="BK150">
        <f t="shared" si="351"/>
        <v>8.3863081203574674E-3</v>
      </c>
      <c r="BL150" s="460">
        <f t="shared" si="427"/>
        <v>30.60870096016663</v>
      </c>
      <c r="BM150" s="528">
        <f t="shared" si="472"/>
        <v>1.5174138541509328</v>
      </c>
      <c r="BN150" s="460">
        <f t="shared" si="353"/>
        <v>1517.4138541509328</v>
      </c>
      <c r="BO150" s="528">
        <f t="shared" si="354"/>
        <v>2.8</v>
      </c>
      <c r="BR150" s="460">
        <f t="shared" si="355"/>
        <v>2800</v>
      </c>
      <c r="BS150" s="528">
        <f t="shared" si="356"/>
        <v>0.97639490964632303</v>
      </c>
      <c r="BT150" s="528">
        <f t="shared" si="357"/>
        <v>1.1856930934244367</v>
      </c>
      <c r="BU150" s="528">
        <f t="shared" si="358"/>
        <v>0.65131786500318223</v>
      </c>
      <c r="BV150" s="528"/>
      <c r="BW150" s="528">
        <f t="shared" si="359"/>
        <v>1.0312545506803069E-2</v>
      </c>
      <c r="BX150" s="460">
        <f t="shared" si="360"/>
        <v>2823.7184135807452</v>
      </c>
      <c r="BY150" s="173">
        <f t="shared" si="361"/>
        <v>6.7613052111331733</v>
      </c>
      <c r="BZ150" s="5">
        <f t="shared" si="362"/>
        <v>60</v>
      </c>
      <c r="CA150" s="173">
        <f t="shared" si="363"/>
        <v>0.89872419076064358</v>
      </c>
      <c r="CB150" s="5">
        <f t="shared" si="364"/>
        <v>89.872419076064361</v>
      </c>
      <c r="CE150" s="562">
        <f t="shared" si="473"/>
        <v>-50</v>
      </c>
      <c r="CF150">
        <f t="shared" si="474"/>
        <v>-50</v>
      </c>
      <c r="CG150" s="173">
        <f t="shared" si="475"/>
        <v>0.54981346781856555</v>
      </c>
      <c r="CI150" s="170">
        <v>40</v>
      </c>
      <c r="CJ150" s="217">
        <f t="shared" si="428"/>
        <v>4</v>
      </c>
      <c r="CK150" s="217"/>
      <c r="CL150" s="217">
        <f t="shared" si="368"/>
        <v>60</v>
      </c>
      <c r="CM150" s="541">
        <f t="shared" si="369"/>
        <v>19</v>
      </c>
      <c r="CN150" s="443">
        <f t="shared" si="370"/>
        <v>15.4</v>
      </c>
      <c r="CO150" s="443">
        <f t="shared" si="371"/>
        <v>34.4</v>
      </c>
      <c r="CP150" s="443"/>
      <c r="CQ150" s="217">
        <f t="shared" si="372"/>
        <v>0.44767441860465118</v>
      </c>
      <c r="CR150" s="172">
        <f t="shared" si="429"/>
        <v>212.84736191860466</v>
      </c>
      <c r="CS150" s="172">
        <f t="shared" si="373"/>
        <v>60</v>
      </c>
      <c r="CT150" s="217">
        <f t="shared" si="374"/>
        <v>14.189824127906977</v>
      </c>
      <c r="CU150" s="217">
        <f t="shared" si="375"/>
        <v>15</v>
      </c>
      <c r="CV150" s="217"/>
      <c r="CW150" s="172">
        <f t="shared" si="376"/>
        <v>99.825828756861029</v>
      </c>
      <c r="CX150" s="172">
        <f t="shared" si="377"/>
        <v>15</v>
      </c>
      <c r="CY150" s="217">
        <f t="shared" si="378"/>
        <v>14.107997265892003</v>
      </c>
      <c r="CZ150" s="217">
        <f t="shared" si="379"/>
        <v>8.9103140626686343</v>
      </c>
      <c r="DA150" s="217">
        <f t="shared" si="380"/>
        <v>10.993244622772989</v>
      </c>
      <c r="DB150" s="197">
        <f t="shared" si="381"/>
        <v>70.881782945736433</v>
      </c>
      <c r="DC150" s="443">
        <f t="shared" si="382"/>
        <v>50.242271535664919</v>
      </c>
      <c r="DE150" s="217">
        <f t="shared" si="383"/>
        <v>10.000000000000002</v>
      </c>
      <c r="DF150" s="173">
        <f t="shared" si="384"/>
        <v>7.792207792207793</v>
      </c>
      <c r="DG150" s="173">
        <f t="shared" si="385"/>
        <v>2.7616279069767451</v>
      </c>
      <c r="DH150" s="173"/>
      <c r="DI150" s="173">
        <f t="shared" si="386"/>
        <v>7.7922077922077913</v>
      </c>
      <c r="DJ150" s="545">
        <f t="shared" si="387"/>
        <v>102.66666666666667</v>
      </c>
      <c r="DK150" s="528">
        <f t="shared" si="388"/>
        <v>2.7616279069767442</v>
      </c>
      <c r="DM150" s="173">
        <f t="shared" si="389"/>
        <v>5.4160256030906408</v>
      </c>
      <c r="DN150" s="173">
        <f t="shared" si="390"/>
        <v>14.107997265892003</v>
      </c>
      <c r="DO150" s="173">
        <f t="shared" si="391"/>
        <v>4.2429609376977799</v>
      </c>
      <c r="DQ150" s="545">
        <f t="shared" si="392"/>
        <v>4000</v>
      </c>
      <c r="DR150" s="460">
        <f t="shared" si="393"/>
        <v>50.242271535664919</v>
      </c>
      <c r="DT150">
        <f t="shared" si="430"/>
        <v>4000</v>
      </c>
      <c r="DU150">
        <f t="shared" si="431"/>
        <v>50.242271535664919</v>
      </c>
      <c r="DW150" s="5">
        <f t="shared" si="394"/>
        <v>19.903558685441624</v>
      </c>
      <c r="DX150" s="5">
        <f t="shared" si="395"/>
        <v>8.9103140626686343</v>
      </c>
      <c r="DY150" s="5">
        <f t="shared" si="396"/>
        <v>10.993244622772989</v>
      </c>
      <c r="DZ150" s="5"/>
      <c r="EA150" s="173">
        <f t="shared" si="397"/>
        <v>0.44767441860465118</v>
      </c>
      <c r="EB150" s="173">
        <f t="shared" si="398"/>
        <v>60</v>
      </c>
      <c r="EC150" s="173">
        <f t="shared" si="399"/>
        <v>3.8961038961038961</v>
      </c>
      <c r="ED150" s="173">
        <f t="shared" si="400"/>
        <v>15.4</v>
      </c>
      <c r="EE150" s="460">
        <f t="shared" si="401"/>
        <v>237.60837500449691</v>
      </c>
      <c r="EF150" s="5">
        <f t="shared" si="402"/>
        <v>9.6431970375201654</v>
      </c>
      <c r="EH150" s="173">
        <f t="shared" si="403"/>
        <v>5.4498666842008268</v>
      </c>
      <c r="EI150" s="173">
        <f t="shared" si="404"/>
        <v>6.0534410662512137</v>
      </c>
      <c r="EK150" s="528">
        <f t="shared" si="405"/>
        <v>0.5940209375112423</v>
      </c>
      <c r="EL150" s="528">
        <f t="shared" si="406"/>
        <v>0.48766666666666658</v>
      </c>
      <c r="EM150" s="528">
        <f t="shared" si="407"/>
        <v>6.2802839419581142E-3</v>
      </c>
      <c r="EN150" s="528">
        <f t="shared" si="408"/>
        <v>5.945469444444444E-3</v>
      </c>
      <c r="EO150">
        <f t="shared" si="409"/>
        <v>8.5500000000000003E-3</v>
      </c>
      <c r="EP150" s="460">
        <f t="shared" si="410"/>
        <v>14.830283941958115</v>
      </c>
      <c r="EQ150" s="460"/>
      <c r="ER150" s="460">
        <f t="shared" si="432"/>
        <v>1102.4633575643115</v>
      </c>
      <c r="ES150" s="528">
        <f t="shared" si="411"/>
        <v>2.8</v>
      </c>
      <c r="EV150" s="460">
        <f t="shared" si="412"/>
        <v>2800</v>
      </c>
      <c r="EW150" s="528">
        <f t="shared" si="413"/>
        <v>0.89103140626686339</v>
      </c>
      <c r="EX150" s="528">
        <f t="shared" si="414"/>
        <v>1.0993244622772989</v>
      </c>
      <c r="EY150" s="528">
        <f t="shared" si="415"/>
        <v>0.66881589702681177</v>
      </c>
      <c r="EZ150" s="528"/>
      <c r="FA150" s="528">
        <f t="shared" si="416"/>
        <v>0.01</v>
      </c>
      <c r="FB150" s="460">
        <f t="shared" si="417"/>
        <v>2669.1717655709735</v>
      </c>
      <c r="FC150" s="173">
        <f t="shared" si="418"/>
        <v>6.5716351231352848</v>
      </c>
      <c r="FD150" s="5">
        <f t="shared" si="419"/>
        <v>60</v>
      </c>
      <c r="FE150" s="173">
        <f t="shared" si="420"/>
        <v>0.90128475722460544</v>
      </c>
      <c r="FF150" s="5">
        <f t="shared" si="421"/>
        <v>90.12847572246055</v>
      </c>
      <c r="FI150" s="562">
        <f t="shared" si="422"/>
        <v>-50</v>
      </c>
      <c r="FJ150">
        <f t="shared" si="423"/>
        <v>-50</v>
      </c>
      <c r="FL150">
        <f t="shared" si="476"/>
        <v>0.55232558139534882</v>
      </c>
    </row>
    <row r="151" spans="5:168">
      <c r="E151" s="170">
        <v>41</v>
      </c>
      <c r="F151" s="217">
        <f t="shared" si="477"/>
        <v>4.0999999999999996</v>
      </c>
      <c r="G151" s="217"/>
      <c r="H151" s="217">
        <f t="shared" si="442"/>
        <v>61.499999999999993</v>
      </c>
      <c r="I151" s="541">
        <f t="shared" si="443"/>
        <v>18.627187820235164</v>
      </c>
      <c r="J151" s="172">
        <f t="shared" si="444"/>
        <v>15.623687307858901</v>
      </c>
      <c r="K151" s="172">
        <f t="shared" si="445"/>
        <v>34.250875128094066</v>
      </c>
      <c r="L151" s="443"/>
      <c r="M151" s="217">
        <f t="shared" si="446"/>
        <v>0.45613863670355531</v>
      </c>
      <c r="N151" s="172">
        <f t="shared" si="447"/>
        <v>212.6162952249546</v>
      </c>
      <c r="O151" s="172">
        <f t="shared" si="438"/>
        <v>61.499999999999993</v>
      </c>
      <c r="P151" s="217">
        <f t="shared" si="448"/>
        <v>14.17441968166364</v>
      </c>
      <c r="Q151" s="217">
        <f t="shared" si="449"/>
        <v>15</v>
      </c>
      <c r="R151" s="217"/>
      <c r="S151" s="172">
        <f t="shared" si="450"/>
        <v>95.031301516915661</v>
      </c>
      <c r="T151" s="172">
        <f t="shared" si="451"/>
        <v>15</v>
      </c>
      <c r="U151" s="217">
        <f t="shared" si="452"/>
        <v>15.077371832958086</v>
      </c>
      <c r="V151" s="217">
        <f t="shared" si="453"/>
        <v>9.7131388667778431</v>
      </c>
      <c r="W151" s="217">
        <f t="shared" si="454"/>
        <v>11.580394463251187</v>
      </c>
      <c r="X151" s="197">
        <f t="shared" si="455"/>
        <v>70.807280310287197</v>
      </c>
      <c r="Y151" s="443">
        <f t="shared" si="328"/>
        <v>46.525621667000685</v>
      </c>
      <c r="AA151" s="217">
        <f t="shared" si="456"/>
        <v>9.9999999999999982</v>
      </c>
      <c r="AB151" s="173">
        <f t="shared" si="457"/>
        <v>7.6806452686516939</v>
      </c>
      <c r="AC151" s="173">
        <f t="shared" si="458"/>
        <v>2.7192280125065071</v>
      </c>
      <c r="AD151" s="173"/>
      <c r="AE151" s="173">
        <f t="shared" si="459"/>
        <v>7.6806452686516957</v>
      </c>
      <c r="AF151" s="545">
        <f t="shared" si="460"/>
        <v>106.76186327036912</v>
      </c>
      <c r="AG151" s="528">
        <f t="shared" si="461"/>
        <v>2.7192280125065085</v>
      </c>
      <c r="AI151" s="173">
        <f t="shared" si="462"/>
        <v>5.5229873715064528</v>
      </c>
      <c r="AJ151" s="173">
        <f t="shared" si="463"/>
        <v>15.077371832958086</v>
      </c>
      <c r="AK151" s="173">
        <f t="shared" si="464"/>
        <v>4.9610161725615454</v>
      </c>
      <c r="AM151" s="545">
        <f t="shared" si="465"/>
        <v>4100</v>
      </c>
      <c r="AN151" s="460">
        <f t="shared" si="466"/>
        <v>46.525621667000685</v>
      </c>
      <c r="AP151" s="460">
        <f t="shared" si="467"/>
        <v>4100</v>
      </c>
      <c r="AQ151" s="460">
        <f t="shared" si="468"/>
        <v>46.525621667000685</v>
      </c>
      <c r="AS151" s="5">
        <f t="shared" si="439"/>
        <v>21.493533330029031</v>
      </c>
      <c r="AT151" s="5">
        <f t="shared" si="469"/>
        <v>9.7131388667778431</v>
      </c>
      <c r="AU151" s="5">
        <f t="shared" si="343"/>
        <v>11.780394463251188</v>
      </c>
      <c r="AV151" s="5"/>
      <c r="AW151" s="173">
        <f t="shared" si="344"/>
        <v>0.45190982411474567</v>
      </c>
      <c r="AX151" s="173">
        <f t="shared" si="435"/>
        <v>63.459219449509888</v>
      </c>
      <c r="AY151" s="173">
        <f t="shared" si="436"/>
        <v>4.1318796899066887</v>
      </c>
      <c r="AZ151" s="173">
        <f t="shared" si="440"/>
        <v>15.358438340914763</v>
      </c>
      <c r="BA151" s="460">
        <f t="shared" si="433"/>
        <v>265.49246235859437</v>
      </c>
      <c r="BB151" s="5">
        <f t="shared" si="434"/>
        <v>10.804014398526299</v>
      </c>
      <c r="BD151" s="173">
        <f t="shared" si="441"/>
        <v>5.8518193319609715</v>
      </c>
      <c r="BE151" s="173">
        <f t="shared" si="437"/>
        <v>6.4445266934441197</v>
      </c>
      <c r="BG151" s="528">
        <f t="shared" si="347"/>
        <v>0.68487578987824305</v>
      </c>
      <c r="BH151" s="528">
        <f t="shared" si="470"/>
        <v>0.45049582935690419</v>
      </c>
      <c r="BI151" s="528">
        <f t="shared" si="471"/>
        <v>2.166603733111061E-2</v>
      </c>
      <c r="BJ151" s="528">
        <f t="shared" si="350"/>
        <v>5.4580251140062706E-3</v>
      </c>
      <c r="BK151">
        <f t="shared" si="351"/>
        <v>8.3822345191058231E-3</v>
      </c>
      <c r="BL151" s="460">
        <f t="shared" si="427"/>
        <v>30.048271850216434</v>
      </c>
      <c r="BM151" s="528">
        <f t="shared" si="472"/>
        <v>1.5834086330223986</v>
      </c>
      <c r="BN151" s="460">
        <f t="shared" si="353"/>
        <v>1583.4086330223986</v>
      </c>
      <c r="BO151" s="528">
        <f t="shared" si="354"/>
        <v>2.8699999999999997</v>
      </c>
      <c r="BR151" s="460">
        <f t="shared" si="355"/>
        <v>2869.9999999999995</v>
      </c>
      <c r="BS151" s="528">
        <f t="shared" si="356"/>
        <v>1.0273136848173645</v>
      </c>
      <c r="BT151" s="528">
        <f t="shared" si="357"/>
        <v>1.245957729075414</v>
      </c>
      <c r="BU151" s="528">
        <f t="shared" si="358"/>
        <v>0.65165027041812873</v>
      </c>
      <c r="BV151" s="528"/>
      <c r="BW151" s="528">
        <f t="shared" si="359"/>
        <v>1.0576536574918315E-2</v>
      </c>
      <c r="BX151" s="460">
        <f t="shared" si="360"/>
        <v>2935.4982208858255</v>
      </c>
      <c r="BY151" s="173">
        <f t="shared" si="361"/>
        <v>6.9763761370851949</v>
      </c>
      <c r="BZ151" s="5">
        <f t="shared" si="362"/>
        <v>61.499999999999993</v>
      </c>
      <c r="CA151" s="173">
        <f t="shared" si="363"/>
        <v>0.89811995712040971</v>
      </c>
      <c r="CB151" s="5">
        <f t="shared" si="364"/>
        <v>89.811995712040968</v>
      </c>
      <c r="CE151" s="562">
        <f t="shared" si="473"/>
        <v>-50</v>
      </c>
      <c r="CF151">
        <f t="shared" si="474"/>
        <v>-50</v>
      </c>
      <c r="CG151" s="173">
        <f t="shared" si="475"/>
        <v>0.54987473888141403</v>
      </c>
      <c r="CI151" s="170">
        <v>41</v>
      </c>
      <c r="CJ151" s="217">
        <f t="shared" si="428"/>
        <v>4.0999999999999996</v>
      </c>
      <c r="CK151" s="217"/>
      <c r="CL151" s="217">
        <f t="shared" si="368"/>
        <v>61.499999999999993</v>
      </c>
      <c r="CM151" s="541">
        <f t="shared" si="369"/>
        <v>19</v>
      </c>
      <c r="CN151" s="443">
        <f t="shared" si="370"/>
        <v>15.4</v>
      </c>
      <c r="CO151" s="443">
        <f t="shared" si="371"/>
        <v>34.4</v>
      </c>
      <c r="CP151" s="443"/>
      <c r="CQ151" s="217">
        <f t="shared" si="372"/>
        <v>0.44767441860465118</v>
      </c>
      <c r="CR151" s="172">
        <f t="shared" si="429"/>
        <v>212.84736191860466</v>
      </c>
      <c r="CS151" s="172">
        <f t="shared" si="373"/>
        <v>61.499999999999993</v>
      </c>
      <c r="CT151" s="217">
        <f t="shared" si="374"/>
        <v>14.189824127906977</v>
      </c>
      <c r="CU151" s="217">
        <f t="shared" si="375"/>
        <v>15</v>
      </c>
      <c r="CV151" s="217"/>
      <c r="CW151" s="172">
        <f t="shared" si="376"/>
        <v>96.931742004973444</v>
      </c>
      <c r="CX151" s="172">
        <f t="shared" si="377"/>
        <v>15</v>
      </c>
      <c r="CY151" s="217">
        <f t="shared" si="378"/>
        <v>14.4606971975393</v>
      </c>
      <c r="CZ151" s="217">
        <f t="shared" si="379"/>
        <v>9.133071914235348</v>
      </c>
      <c r="DA151" s="217">
        <f t="shared" si="380"/>
        <v>11.268075738342313</v>
      </c>
      <c r="DB151" s="197">
        <f t="shared" si="381"/>
        <v>70.881782945736433</v>
      </c>
      <c r="DC151" s="443">
        <f t="shared" si="382"/>
        <v>49.01685027869749</v>
      </c>
      <c r="DE151" s="217">
        <f t="shared" si="383"/>
        <v>10.000000000000002</v>
      </c>
      <c r="DF151" s="173">
        <f t="shared" si="384"/>
        <v>7.792207792207793</v>
      </c>
      <c r="DG151" s="173">
        <f t="shared" si="385"/>
        <v>2.7616279069767451</v>
      </c>
      <c r="DH151" s="173"/>
      <c r="DI151" s="173">
        <f t="shared" si="386"/>
        <v>7.7922077922077913</v>
      </c>
      <c r="DJ151" s="545">
        <f t="shared" si="387"/>
        <v>105.23333333333333</v>
      </c>
      <c r="DK151" s="528">
        <f t="shared" si="388"/>
        <v>2.7616279069767442</v>
      </c>
      <c r="DM151" s="173">
        <f t="shared" si="389"/>
        <v>5.4833080039941828</v>
      </c>
      <c r="DN151" s="173">
        <f t="shared" si="390"/>
        <v>14.4606971975393</v>
      </c>
      <c r="DO151" s="173">
        <f t="shared" si="391"/>
        <v>4.5042201463254079</v>
      </c>
      <c r="DQ151" s="545">
        <f t="shared" si="392"/>
        <v>4100</v>
      </c>
      <c r="DR151" s="460">
        <f t="shared" si="393"/>
        <v>49.01685027869749</v>
      </c>
      <c r="DT151">
        <f t="shared" si="430"/>
        <v>4100</v>
      </c>
      <c r="DU151">
        <f t="shared" si="431"/>
        <v>49.01685027869749</v>
      </c>
      <c r="DW151" s="5">
        <f t="shared" si="394"/>
        <v>20.401147652577663</v>
      </c>
      <c r="DX151" s="5">
        <f t="shared" si="395"/>
        <v>9.133071914235348</v>
      </c>
      <c r="DY151" s="5">
        <f t="shared" si="396"/>
        <v>11.268075738342315</v>
      </c>
      <c r="DZ151" s="5"/>
      <c r="EA151" s="173">
        <f t="shared" si="397"/>
        <v>0.44767441860465113</v>
      </c>
      <c r="EB151" s="173">
        <f t="shared" si="398"/>
        <v>61.499999999999986</v>
      </c>
      <c r="EC151" s="173">
        <f t="shared" si="399"/>
        <v>3.9935064935064934</v>
      </c>
      <c r="ED151" s="173">
        <f t="shared" si="400"/>
        <v>15.399999999999997</v>
      </c>
      <c r="EE151" s="460">
        <f t="shared" si="401"/>
        <v>249.63729898909949</v>
      </c>
      <c r="EF151" s="5">
        <f t="shared" si="402"/>
        <v>10.131383887544624</v>
      </c>
      <c r="EH151" s="173">
        <f t="shared" si="403"/>
        <v>5.5861133513058459</v>
      </c>
      <c r="EI151" s="173">
        <f t="shared" si="404"/>
        <v>6.2047770929074932</v>
      </c>
      <c r="EK151" s="528">
        <f t="shared" si="405"/>
        <v>0.62409324747274864</v>
      </c>
      <c r="EL151" s="528">
        <f t="shared" si="406"/>
        <v>0.48766666666666658</v>
      </c>
      <c r="EM151" s="528">
        <f t="shared" si="407"/>
        <v>6.1271062848371862E-3</v>
      </c>
      <c r="EN151" s="528">
        <f t="shared" si="408"/>
        <v>5.8004579945799464E-3</v>
      </c>
      <c r="EO151">
        <f t="shared" si="409"/>
        <v>8.5500000000000003E-3</v>
      </c>
      <c r="EP151" s="460">
        <f t="shared" si="410"/>
        <v>14.677106284837187</v>
      </c>
      <c r="EQ151" s="460"/>
      <c r="ER151" s="460">
        <f t="shared" si="432"/>
        <v>1132.2374784188323</v>
      </c>
      <c r="ES151" s="528">
        <f t="shared" si="411"/>
        <v>2.8699999999999997</v>
      </c>
      <c r="EV151" s="460">
        <f t="shared" si="412"/>
        <v>2869.9999999999995</v>
      </c>
      <c r="EW151" s="528">
        <f t="shared" si="413"/>
        <v>0.9361398712091229</v>
      </c>
      <c r="EX151" s="528">
        <f t="shared" si="414"/>
        <v>1.1549777631800868</v>
      </c>
      <c r="EY151" s="528">
        <f t="shared" si="415"/>
        <v>0.66881589702681166</v>
      </c>
      <c r="EZ151" s="528"/>
      <c r="FA151" s="528">
        <f t="shared" si="416"/>
        <v>1.0249999999999999E-2</v>
      </c>
      <c r="FB151" s="460">
        <f t="shared" si="417"/>
        <v>2770.1835314160217</v>
      </c>
      <c r="FC151" s="173">
        <f t="shared" si="418"/>
        <v>6.7724210098348525</v>
      </c>
      <c r="FD151" s="5">
        <f t="shared" si="419"/>
        <v>61.499999999999993</v>
      </c>
      <c r="FE151" s="173">
        <f t="shared" si="420"/>
        <v>0.90080297564284029</v>
      </c>
      <c r="FF151" s="5">
        <f t="shared" si="421"/>
        <v>90.080297564284024</v>
      </c>
      <c r="FI151" s="562">
        <f t="shared" si="422"/>
        <v>-50</v>
      </c>
      <c r="FJ151">
        <f t="shared" si="423"/>
        <v>-50</v>
      </c>
      <c r="FL151">
        <f t="shared" si="476"/>
        <v>0.55232558139534893</v>
      </c>
    </row>
    <row r="152" spans="5:168">
      <c r="E152" s="170">
        <v>42</v>
      </c>
      <c r="F152" s="217">
        <f t="shared" si="477"/>
        <v>4.2</v>
      </c>
      <c r="G152" s="217"/>
      <c r="H152" s="217">
        <f t="shared" si="442"/>
        <v>63</v>
      </c>
      <c r="I152" s="541">
        <f t="shared" si="443"/>
        <v>18.61813536419238</v>
      </c>
      <c r="J152" s="172">
        <f t="shared" si="444"/>
        <v>15.629118781484573</v>
      </c>
      <c r="K152" s="172">
        <f t="shared" si="445"/>
        <v>34.247254145676955</v>
      </c>
      <c r="L152" s="443"/>
      <c r="M152" s="217">
        <f t="shared" si="446"/>
        <v>0.4563454680638811</v>
      </c>
      <c r="N152" s="172">
        <f t="shared" si="447"/>
        <v>212.60932959653636</v>
      </c>
      <c r="O152" s="172">
        <f t="shared" si="438"/>
        <v>63</v>
      </c>
      <c r="P152" s="217">
        <f t="shared" si="448"/>
        <v>14.173955306435756</v>
      </c>
      <c r="Q152" s="217">
        <f t="shared" si="449"/>
        <v>15</v>
      </c>
      <c r="R152" s="217"/>
      <c r="S152" s="172">
        <f t="shared" si="450"/>
        <v>92.284449578966758</v>
      </c>
      <c r="T152" s="172">
        <f t="shared" si="451"/>
        <v>15</v>
      </c>
      <c r="U152" s="217">
        <f t="shared" si="452"/>
        <v>15.450988645463967</v>
      </c>
      <c r="V152" s="217">
        <f t="shared" si="453"/>
        <v>9.9586698731476559</v>
      </c>
      <c r="W152" s="217">
        <f t="shared" si="454"/>
        <v>11.863232107828141</v>
      </c>
      <c r="X152" s="197">
        <f t="shared" si="455"/>
        <v>70.804958517979074</v>
      </c>
      <c r="Y152" s="443">
        <f t="shared" si="328"/>
        <v>45.40933843334134</v>
      </c>
      <c r="AA152" s="217">
        <f t="shared" si="456"/>
        <v>10</v>
      </c>
      <c r="AB152" s="173">
        <f t="shared" si="457"/>
        <v>7.6779760700367188</v>
      </c>
      <c r="AC152" s="173">
        <f t="shared" si="458"/>
        <v>2.7181938857049293</v>
      </c>
      <c r="AD152" s="173"/>
      <c r="AE152" s="173">
        <f t="shared" si="459"/>
        <v>7.6779760700367188</v>
      </c>
      <c r="AF152" s="545">
        <f t="shared" si="460"/>
        <v>109.40383147039202</v>
      </c>
      <c r="AG152" s="528">
        <f t="shared" si="461"/>
        <v>2.7181938857049293</v>
      </c>
      <c r="AI152" s="173">
        <f t="shared" si="462"/>
        <v>5.5909066852317562</v>
      </c>
      <c r="AJ152" s="173">
        <f t="shared" si="463"/>
        <v>15.450988645463967</v>
      </c>
      <c r="AK152" s="173">
        <f t="shared" si="464"/>
        <v>5.2377693670103467</v>
      </c>
      <c r="AM152" s="545">
        <f t="shared" si="465"/>
        <v>4200</v>
      </c>
      <c r="AN152" s="460">
        <f t="shared" si="466"/>
        <v>45.40933843334134</v>
      </c>
      <c r="AP152" s="460">
        <f t="shared" si="467"/>
        <v>4200</v>
      </c>
      <c r="AQ152" s="460">
        <f t="shared" si="468"/>
        <v>45.40933843334134</v>
      </c>
      <c r="AS152" s="5">
        <f t="shared" si="439"/>
        <v>22.021901980975798</v>
      </c>
      <c r="AT152" s="5">
        <f t="shared" si="469"/>
        <v>9.9586698731476559</v>
      </c>
      <c r="AU152" s="5">
        <f t="shared" si="343"/>
        <v>12.063232107828142</v>
      </c>
      <c r="AV152" s="5"/>
      <c r="AW152" s="173">
        <f t="shared" si="344"/>
        <v>0.45221661061568236</v>
      </c>
      <c r="AX152" s="173">
        <f t="shared" si="435"/>
        <v>65.044259209352305</v>
      </c>
      <c r="AY152" s="173">
        <f t="shared" si="436"/>
        <v>4.2318974647754288</v>
      </c>
      <c r="AZ152" s="173">
        <f t="shared" si="440"/>
        <v>15.369998860027664</v>
      </c>
      <c r="BA152" s="460">
        <f t="shared" si="433"/>
        <v>278.84275644813437</v>
      </c>
      <c r="BB152" s="5">
        <f t="shared" si="434"/>
        <v>11.338759642547581</v>
      </c>
      <c r="BD152" s="173">
        <f t="shared" si="441"/>
        <v>5.9988624134978181</v>
      </c>
      <c r="BE152" s="173">
        <f t="shared" si="437"/>
        <v>6.6023732943547353</v>
      </c>
      <c r="BG152" s="528">
        <f t="shared" si="347"/>
        <v>0.71972700512153742</v>
      </c>
      <c r="BH152" s="528">
        <f t="shared" si="470"/>
        <v>0.45053493965941593</v>
      </c>
      <c r="BI152" s="528">
        <f t="shared" si="471"/>
        <v>2.1135930243759316E-2</v>
      </c>
      <c r="BJ152" s="528">
        <f t="shared" si="350"/>
        <v>5.3259451319500294E-3</v>
      </c>
      <c r="BK152">
        <f t="shared" si="351"/>
        <v>8.3781609138865714E-3</v>
      </c>
      <c r="BL152" s="460">
        <f t="shared" si="427"/>
        <v>29.51409115764589</v>
      </c>
      <c r="BM152" s="528">
        <f t="shared" si="472"/>
        <v>1.6525041908980895</v>
      </c>
      <c r="BN152" s="460">
        <f t="shared" si="353"/>
        <v>1652.5041908980895</v>
      </c>
      <c r="BO152" s="528">
        <f t="shared" si="354"/>
        <v>2.94</v>
      </c>
      <c r="BR152" s="460">
        <f t="shared" si="355"/>
        <v>2940</v>
      </c>
      <c r="BS152" s="528">
        <f t="shared" si="356"/>
        <v>1.079590507682306</v>
      </c>
      <c r="BT152" s="528">
        <f t="shared" si="357"/>
        <v>1.3077399935402578</v>
      </c>
      <c r="BU152" s="528">
        <f t="shared" si="358"/>
        <v>0.65196401347648492</v>
      </c>
      <c r="BV152" s="528"/>
      <c r="BW152" s="528">
        <f t="shared" si="359"/>
        <v>1.0840709868225386E-2</v>
      </c>
      <c r="BX152" s="460">
        <f t="shared" si="360"/>
        <v>3050.1352245672742</v>
      </c>
      <c r="BY152" s="173">
        <f t="shared" si="361"/>
        <v>7.1952372056378247</v>
      </c>
      <c r="BZ152" s="5">
        <f t="shared" si="362"/>
        <v>63</v>
      </c>
      <c r="CA152" s="173">
        <f t="shared" si="363"/>
        <v>0.89749678906904629</v>
      </c>
      <c r="CB152" s="5">
        <f t="shared" si="364"/>
        <v>89.749678906904634</v>
      </c>
      <c r="CE152" s="562">
        <f t="shared" si="473"/>
        <v>-50</v>
      </c>
      <c r="CF152">
        <f t="shared" si="474"/>
        <v>-50</v>
      </c>
      <c r="CG152" s="173">
        <f t="shared" si="475"/>
        <v>0.54993309227460274</v>
      </c>
      <c r="CI152" s="170">
        <v>42</v>
      </c>
      <c r="CJ152" s="217">
        <f t="shared" si="428"/>
        <v>4.2</v>
      </c>
      <c r="CK152" s="217"/>
      <c r="CL152" s="217">
        <f t="shared" si="368"/>
        <v>63</v>
      </c>
      <c r="CM152" s="541">
        <f t="shared" si="369"/>
        <v>19</v>
      </c>
      <c r="CN152" s="443">
        <f t="shared" si="370"/>
        <v>15.4</v>
      </c>
      <c r="CO152" s="443">
        <f t="shared" si="371"/>
        <v>34.4</v>
      </c>
      <c r="CP152" s="443"/>
      <c r="CQ152" s="217">
        <f t="shared" si="372"/>
        <v>0.44767441860465118</v>
      </c>
      <c r="CR152" s="172">
        <f t="shared" si="429"/>
        <v>212.84736191860466</v>
      </c>
      <c r="CS152" s="172">
        <f t="shared" si="373"/>
        <v>63</v>
      </c>
      <c r="CT152" s="217">
        <f t="shared" si="374"/>
        <v>14.189824127906977</v>
      </c>
      <c r="CU152" s="217">
        <f t="shared" si="375"/>
        <v>15</v>
      </c>
      <c r="CV152" s="217"/>
      <c r="CW152" s="172">
        <f t="shared" si="376"/>
        <v>94.175597090938552</v>
      </c>
      <c r="CX152" s="172">
        <f t="shared" si="377"/>
        <v>15</v>
      </c>
      <c r="CY152" s="217">
        <f t="shared" si="378"/>
        <v>14.813397129186603</v>
      </c>
      <c r="CZ152" s="217">
        <f t="shared" si="379"/>
        <v>9.3558297658020653</v>
      </c>
      <c r="DA152" s="217">
        <f t="shared" si="380"/>
        <v>11.542906853911639</v>
      </c>
      <c r="DB152" s="197">
        <f t="shared" si="381"/>
        <v>70.881782945736433</v>
      </c>
      <c r="DC152" s="443">
        <f t="shared" si="382"/>
        <v>47.849782414918984</v>
      </c>
      <c r="DE152" s="217">
        <f t="shared" si="383"/>
        <v>10.000000000000002</v>
      </c>
      <c r="DF152" s="173">
        <f t="shared" si="384"/>
        <v>7.792207792207793</v>
      </c>
      <c r="DG152" s="173">
        <f t="shared" si="385"/>
        <v>2.7616279069767451</v>
      </c>
      <c r="DH152" s="173"/>
      <c r="DI152" s="173">
        <f t="shared" si="386"/>
        <v>7.7922077922077913</v>
      </c>
      <c r="DJ152" s="545">
        <f t="shared" si="387"/>
        <v>107.80000000000001</v>
      </c>
      <c r="DK152" s="528">
        <f t="shared" si="388"/>
        <v>2.7616279069767442</v>
      </c>
      <c r="DM152" s="173">
        <f t="shared" si="389"/>
        <v>5.5497747702046434</v>
      </c>
      <c r="DN152" s="173">
        <f t="shared" si="390"/>
        <v>14.813397129186603</v>
      </c>
      <c r="DO152" s="173">
        <f t="shared" si="391"/>
        <v>4.7654793549530394</v>
      </c>
      <c r="DQ152" s="545">
        <f t="shared" si="392"/>
        <v>4200</v>
      </c>
      <c r="DR152" s="460">
        <f t="shared" si="393"/>
        <v>47.849782414918984</v>
      </c>
      <c r="DT152">
        <f t="shared" si="430"/>
        <v>4200</v>
      </c>
      <c r="DU152">
        <f t="shared" si="431"/>
        <v>47.849782414918984</v>
      </c>
      <c r="DW152" s="5">
        <f t="shared" si="394"/>
        <v>20.898736619713699</v>
      </c>
      <c r="DX152" s="5">
        <f t="shared" si="395"/>
        <v>9.3558297658020653</v>
      </c>
      <c r="DY152" s="5">
        <f t="shared" si="396"/>
        <v>11.542906853911633</v>
      </c>
      <c r="DZ152" s="5"/>
      <c r="EA152" s="173">
        <f t="shared" si="397"/>
        <v>0.44767441860465129</v>
      </c>
      <c r="EB152" s="173">
        <f t="shared" si="398"/>
        <v>63.000000000000014</v>
      </c>
      <c r="EC152" s="173">
        <f t="shared" si="399"/>
        <v>4.0909090909090899</v>
      </c>
      <c r="ED152" s="173">
        <f t="shared" si="400"/>
        <v>15.400000000000007</v>
      </c>
      <c r="EE152" s="460">
        <f t="shared" si="401"/>
        <v>261.96323344245781</v>
      </c>
      <c r="EF152" s="5">
        <f t="shared" si="402"/>
        <v>10.631624733865978</v>
      </c>
      <c r="EH152" s="173">
        <f t="shared" si="403"/>
        <v>5.7223600184108685</v>
      </c>
      <c r="EI152" s="173">
        <f t="shared" si="404"/>
        <v>6.3561131195637737</v>
      </c>
      <c r="EK152" s="528">
        <f t="shared" si="405"/>
        <v>0.65490808360614472</v>
      </c>
      <c r="EL152" s="528">
        <f t="shared" si="406"/>
        <v>0.48766666666666675</v>
      </c>
      <c r="EM152" s="528">
        <f t="shared" si="407"/>
        <v>5.9812228018648727E-3</v>
      </c>
      <c r="EN152" s="528">
        <f t="shared" si="408"/>
        <v>5.6623518518518524E-3</v>
      </c>
      <c r="EO152">
        <f t="shared" si="409"/>
        <v>8.5500000000000003E-3</v>
      </c>
      <c r="EP152" s="460">
        <f t="shared" si="410"/>
        <v>14.531222801864873</v>
      </c>
      <c r="EQ152" s="460"/>
      <c r="ER152" s="460">
        <f t="shared" si="432"/>
        <v>1162.7683249265283</v>
      </c>
      <c r="ES152" s="528">
        <f t="shared" si="411"/>
        <v>2.94</v>
      </c>
      <c r="EV152" s="460">
        <f t="shared" si="412"/>
        <v>2940</v>
      </c>
      <c r="EW152" s="528">
        <f t="shared" si="413"/>
        <v>0.98236212540921697</v>
      </c>
      <c r="EX152" s="528">
        <f t="shared" si="414"/>
        <v>1.2120052196607216</v>
      </c>
      <c r="EY152" s="528">
        <f t="shared" si="415"/>
        <v>0.66881589702681288</v>
      </c>
      <c r="EZ152" s="528"/>
      <c r="FA152" s="528">
        <f t="shared" si="416"/>
        <v>1.0500000000000002E-2</v>
      </c>
      <c r="FB152" s="460">
        <f t="shared" si="417"/>
        <v>2873.6832420967512</v>
      </c>
      <c r="FC152" s="173">
        <f t="shared" si="418"/>
        <v>6.9764515670232798</v>
      </c>
      <c r="FD152" s="5">
        <f t="shared" si="419"/>
        <v>63</v>
      </c>
      <c r="FE152" s="173">
        <f t="shared" si="420"/>
        <v>0.90030286745332821</v>
      </c>
      <c r="FF152" s="5">
        <f t="shared" si="421"/>
        <v>90.030286745332816</v>
      </c>
      <c r="FI152" s="562">
        <f t="shared" si="422"/>
        <v>-50</v>
      </c>
      <c r="FJ152">
        <f t="shared" si="423"/>
        <v>-50</v>
      </c>
      <c r="FL152">
        <f t="shared" si="476"/>
        <v>0.55232558139534871</v>
      </c>
    </row>
    <row r="153" spans="5:168">
      <c r="E153" s="170">
        <v>43</v>
      </c>
      <c r="F153" s="217">
        <f t="shared" si="477"/>
        <v>4.3</v>
      </c>
      <c r="G153" s="217"/>
      <c r="H153" s="217">
        <f t="shared" si="442"/>
        <v>64.5</v>
      </c>
      <c r="I153" s="541">
        <f t="shared" si="443"/>
        <v>18.609082899950433</v>
      </c>
      <c r="J153" s="172">
        <f t="shared" si="444"/>
        <v>15.634550260029741</v>
      </c>
      <c r="K153" s="172">
        <f t="shared" si="445"/>
        <v>34.243633159980178</v>
      </c>
      <c r="L153" s="443"/>
      <c r="M153" s="217">
        <f t="shared" si="446"/>
        <v>0.45655234327494915</v>
      </c>
      <c r="N153" s="172">
        <f t="shared" si="447"/>
        <v>212.60229058885295</v>
      </c>
      <c r="O153" s="172">
        <f t="shared" si="438"/>
        <v>64.5</v>
      </c>
      <c r="P153" s="217">
        <f t="shared" si="448"/>
        <v>14.173486039256863</v>
      </c>
      <c r="Q153" s="217">
        <f t="shared" si="449"/>
        <v>15</v>
      </c>
      <c r="R153" s="217"/>
      <c r="S153" s="172">
        <f t="shared" si="450"/>
        <v>89.665906055557855</v>
      </c>
      <c r="T153" s="172">
        <f t="shared" si="451"/>
        <v>15</v>
      </c>
      <c r="U153" s="217">
        <f t="shared" si="452"/>
        <v>15.82489112534906</v>
      </c>
      <c r="V153" s="217">
        <f t="shared" si="453"/>
        <v>10.204623974494442</v>
      </c>
      <c r="W153" s="217">
        <f t="shared" si="454"/>
        <v>12.146092490403845</v>
      </c>
      <c r="X153" s="197">
        <f t="shared" si="455"/>
        <v>70.802612301945615</v>
      </c>
      <c r="Y153" s="443">
        <f t="shared" si="328"/>
        <v>44.344489078942019</v>
      </c>
      <c r="AA153" s="217">
        <f t="shared" si="456"/>
        <v>10</v>
      </c>
      <c r="AB153" s="173">
        <f t="shared" si="457"/>
        <v>7.6753087235764035</v>
      </c>
      <c r="AC153" s="173">
        <f t="shared" si="458"/>
        <v>2.717159539265606</v>
      </c>
      <c r="AD153" s="173"/>
      <c r="AE153" s="173">
        <f t="shared" si="459"/>
        <v>7.6753087235764035</v>
      </c>
      <c r="AF153" s="545">
        <f t="shared" si="460"/>
        <v>112.0476101968798</v>
      </c>
      <c r="AG153" s="528">
        <f t="shared" si="461"/>
        <v>2.717159539265606</v>
      </c>
      <c r="AI153" s="173">
        <f t="shared" si="462"/>
        <v>5.6580564607817605</v>
      </c>
      <c r="AJ153" s="173">
        <f t="shared" si="463"/>
        <v>15.82489112534906</v>
      </c>
      <c r="AK153" s="173">
        <f t="shared" si="464"/>
        <v>5.5147341669252299</v>
      </c>
      <c r="AM153" s="545">
        <f t="shared" si="465"/>
        <v>4300</v>
      </c>
      <c r="AN153" s="460">
        <f t="shared" si="466"/>
        <v>44.344489078942019</v>
      </c>
      <c r="AP153" s="460">
        <f t="shared" si="467"/>
        <v>4300</v>
      </c>
      <c r="AQ153" s="460">
        <f t="shared" si="468"/>
        <v>44.344489078942019</v>
      </c>
      <c r="AS153" s="5">
        <f t="shared" si="439"/>
        <v>22.550716464898287</v>
      </c>
      <c r="AT153" s="5">
        <f t="shared" si="469"/>
        <v>10.204623974494442</v>
      </c>
      <c r="AU153" s="5">
        <f t="shared" si="343"/>
        <v>12.346092490403844</v>
      </c>
      <c r="AV153" s="5"/>
      <c r="AW153" s="173">
        <f t="shared" si="344"/>
        <v>0.45251883639167867</v>
      </c>
      <c r="AX153" s="173">
        <f t="shared" si="435"/>
        <v>66.63039185977749</v>
      </c>
      <c r="AY153" s="173">
        <f t="shared" si="436"/>
        <v>4.3319149036405502</v>
      </c>
      <c r="AZ153" s="173">
        <f t="shared" si="440"/>
        <v>15.381279028307128</v>
      </c>
      <c r="BA153" s="460">
        <f t="shared" si="433"/>
        <v>292.53255393550734</v>
      </c>
      <c r="BB153" s="5">
        <f t="shared" si="434"/>
        <v>11.886712793728885</v>
      </c>
      <c r="BD153" s="173">
        <f t="shared" si="441"/>
        <v>6.1460831890555596</v>
      </c>
      <c r="BE153" s="173">
        <f t="shared" si="437"/>
        <v>6.7602801576260463</v>
      </c>
      <c r="BG153" s="528">
        <f t="shared" si="347"/>
        <v>0.7554867713358272</v>
      </c>
      <c r="BH153" s="528">
        <f t="shared" si="470"/>
        <v>0.45056919311459492</v>
      </c>
      <c r="BI153" s="528">
        <f t="shared" si="471"/>
        <v>2.0630256835649466E-2</v>
      </c>
      <c r="BJ153" s="528">
        <f t="shared" si="350"/>
        <v>5.1999519120404271E-3</v>
      </c>
      <c r="BK153">
        <f t="shared" si="351"/>
        <v>8.3740873049776947E-3</v>
      </c>
      <c r="BL153" s="460">
        <f t="shared" si="427"/>
        <v>29.004344140627161</v>
      </c>
      <c r="BM153" s="528">
        <f t="shared" si="472"/>
        <v>1.7248551519721482</v>
      </c>
      <c r="BN153" s="460">
        <f t="shared" si="353"/>
        <v>1724.8551519721482</v>
      </c>
      <c r="BO153" s="528">
        <f t="shared" si="354"/>
        <v>3.01</v>
      </c>
      <c r="BR153" s="460">
        <f t="shared" si="355"/>
        <v>3010</v>
      </c>
      <c r="BS153" s="528">
        <f t="shared" si="356"/>
        <v>1.1332301570037406</v>
      </c>
      <c r="BT153" s="528">
        <f t="shared" si="357"/>
        <v>1.3710416342877731</v>
      </c>
      <c r="BU153" s="528">
        <f t="shared" si="358"/>
        <v>0.65226033617270485</v>
      </c>
      <c r="BV153" s="528"/>
      <c r="BW153" s="528">
        <f t="shared" si="359"/>
        <v>1.1105065309962915E-2</v>
      </c>
      <c r="BX153" s="460">
        <f t="shared" si="360"/>
        <v>3167.6371927741816</v>
      </c>
      <c r="BY153" s="173">
        <f t="shared" si="361"/>
        <v>7.4178974532772726</v>
      </c>
      <c r="BZ153" s="5">
        <f t="shared" si="362"/>
        <v>64.5</v>
      </c>
      <c r="CA153" s="173">
        <f t="shared" si="363"/>
        <v>0.89685603005710168</v>
      </c>
      <c r="CB153" s="5">
        <f t="shared" si="364"/>
        <v>89.685603005710163</v>
      </c>
      <c r="CE153" s="562">
        <f t="shared" si="473"/>
        <v>-50</v>
      </c>
      <c r="CF153">
        <f t="shared" si="474"/>
        <v>-50</v>
      </c>
      <c r="CG153" s="173">
        <f t="shared" si="475"/>
        <v>0.54998873155648054</v>
      </c>
      <c r="CI153" s="170">
        <v>43</v>
      </c>
      <c r="CJ153" s="217">
        <f t="shared" si="428"/>
        <v>4.3</v>
      </c>
      <c r="CK153" s="217"/>
      <c r="CL153" s="217">
        <f t="shared" si="368"/>
        <v>64.5</v>
      </c>
      <c r="CM153" s="541">
        <f t="shared" si="369"/>
        <v>19</v>
      </c>
      <c r="CN153" s="443">
        <f t="shared" si="370"/>
        <v>15.4</v>
      </c>
      <c r="CO153" s="443">
        <f t="shared" si="371"/>
        <v>34.4</v>
      </c>
      <c r="CP153" s="443"/>
      <c r="CQ153" s="217">
        <f t="shared" si="372"/>
        <v>0.44767441860465118</v>
      </c>
      <c r="CR153" s="172">
        <f t="shared" si="429"/>
        <v>212.84736191860466</v>
      </c>
      <c r="CS153" s="172">
        <f t="shared" si="373"/>
        <v>64.5</v>
      </c>
      <c r="CT153" s="217">
        <f t="shared" si="374"/>
        <v>14.189824127906977</v>
      </c>
      <c r="CU153" s="217">
        <f t="shared" si="375"/>
        <v>15</v>
      </c>
      <c r="CV153" s="217"/>
      <c r="CW153" s="172">
        <f t="shared" si="376"/>
        <v>91.547771898049078</v>
      </c>
      <c r="CX153" s="172">
        <f t="shared" si="377"/>
        <v>15</v>
      </c>
      <c r="CY153" s="217">
        <f t="shared" si="378"/>
        <v>15.166097060833902</v>
      </c>
      <c r="CZ153" s="217">
        <f t="shared" si="379"/>
        <v>9.5785876173687807</v>
      </c>
      <c r="DA153" s="217">
        <f t="shared" si="380"/>
        <v>11.817737969480962</v>
      </c>
      <c r="DB153" s="197">
        <f t="shared" si="381"/>
        <v>70.881782945736433</v>
      </c>
      <c r="DC153" s="443">
        <f t="shared" si="382"/>
        <v>46.736996777362727</v>
      </c>
      <c r="DE153" s="217">
        <f t="shared" si="383"/>
        <v>10.000000000000002</v>
      </c>
      <c r="DF153" s="173">
        <f t="shared" si="384"/>
        <v>7.792207792207793</v>
      </c>
      <c r="DG153" s="173">
        <f t="shared" si="385"/>
        <v>2.7616279069767451</v>
      </c>
      <c r="DH153" s="173"/>
      <c r="DI153" s="173">
        <f t="shared" si="386"/>
        <v>7.7922077922077913</v>
      </c>
      <c r="DJ153" s="545">
        <f t="shared" si="387"/>
        <v>110.36666666666667</v>
      </c>
      <c r="DK153" s="528">
        <f t="shared" si="388"/>
        <v>2.7616279069767442</v>
      </c>
      <c r="DM153" s="173">
        <f t="shared" si="389"/>
        <v>5.6154548643305233</v>
      </c>
      <c r="DN153" s="173">
        <f t="shared" si="390"/>
        <v>15.166097060833902</v>
      </c>
      <c r="DO153" s="173">
        <f t="shared" si="391"/>
        <v>5.0267385635806683</v>
      </c>
      <c r="DQ153" s="545">
        <f t="shared" si="392"/>
        <v>4300</v>
      </c>
      <c r="DR153" s="460">
        <f t="shared" si="393"/>
        <v>46.736996777362727</v>
      </c>
      <c r="DT153">
        <f t="shared" si="430"/>
        <v>4300</v>
      </c>
      <c r="DU153">
        <f t="shared" si="431"/>
        <v>46.736996777362727</v>
      </c>
      <c r="DW153" s="5">
        <f t="shared" si="394"/>
        <v>21.396325586849741</v>
      </c>
      <c r="DX153" s="5">
        <f t="shared" si="395"/>
        <v>9.5785876173687807</v>
      </c>
      <c r="DY153" s="5">
        <f t="shared" si="396"/>
        <v>11.817737969480961</v>
      </c>
      <c r="DZ153" s="5"/>
      <c r="EA153" s="173">
        <f t="shared" si="397"/>
        <v>0.44767441860465124</v>
      </c>
      <c r="EB153" s="173">
        <f t="shared" si="398"/>
        <v>64.5</v>
      </c>
      <c r="EC153" s="173">
        <f t="shared" si="399"/>
        <v>4.1883116883116873</v>
      </c>
      <c r="ED153" s="173">
        <f t="shared" si="400"/>
        <v>15.400000000000004</v>
      </c>
      <c r="EE153" s="460">
        <f t="shared" si="401"/>
        <v>274.58617836457171</v>
      </c>
      <c r="EF153" s="5">
        <f t="shared" si="402"/>
        <v>11.14391957648424</v>
      </c>
      <c r="EH153" s="173">
        <f t="shared" si="403"/>
        <v>5.8586066855158885</v>
      </c>
      <c r="EI153" s="173">
        <f t="shared" si="404"/>
        <v>6.5074491462200541</v>
      </c>
      <c r="EK153" s="528">
        <f t="shared" si="405"/>
        <v>0.68646544591142933</v>
      </c>
      <c r="EL153" s="528">
        <f t="shared" si="406"/>
        <v>0.48766666666666675</v>
      </c>
      <c r="EM153" s="528">
        <f t="shared" si="407"/>
        <v>5.8421245971703407E-3</v>
      </c>
      <c r="EN153" s="528">
        <f t="shared" si="408"/>
        <v>5.5306692506459955E-3</v>
      </c>
      <c r="EO153">
        <f t="shared" si="409"/>
        <v>8.5500000000000003E-3</v>
      </c>
      <c r="EP153" s="460">
        <f t="shared" si="410"/>
        <v>14.392124597170341</v>
      </c>
      <c r="EQ153" s="460"/>
      <c r="ER153" s="460">
        <f t="shared" si="432"/>
        <v>1194.0549064259126</v>
      </c>
      <c r="ES153" s="528">
        <f t="shared" si="411"/>
        <v>3.01</v>
      </c>
      <c r="EV153" s="460">
        <f t="shared" si="412"/>
        <v>3010</v>
      </c>
      <c r="EW153" s="528">
        <f t="shared" si="413"/>
        <v>1.0296981688671438</v>
      </c>
      <c r="EX153" s="528">
        <f t="shared" si="414"/>
        <v>1.2704068317192032</v>
      </c>
      <c r="EY153" s="528">
        <f t="shared" si="415"/>
        <v>0.66881589702681221</v>
      </c>
      <c r="EZ153" s="528"/>
      <c r="FA153" s="528">
        <f t="shared" si="416"/>
        <v>1.0750000000000001E-2</v>
      </c>
      <c r="FB153" s="460">
        <f t="shared" si="417"/>
        <v>2979.6708976131595</v>
      </c>
      <c r="FC153" s="173">
        <f t="shared" si="418"/>
        <v>7.1837258040390717</v>
      </c>
      <c r="FD153" s="5">
        <f t="shared" si="419"/>
        <v>64.5</v>
      </c>
      <c r="FE153" s="173">
        <f t="shared" si="420"/>
        <v>0.89978581995476725</v>
      </c>
      <c r="FF153" s="5">
        <f t="shared" si="421"/>
        <v>89.978581995476731</v>
      </c>
      <c r="FI153" s="562">
        <f t="shared" si="422"/>
        <v>-50</v>
      </c>
      <c r="FJ153">
        <f t="shared" si="423"/>
        <v>-50</v>
      </c>
      <c r="FL153">
        <f t="shared" si="476"/>
        <v>0.55232558139534871</v>
      </c>
    </row>
    <row r="154" spans="5:168">
      <c r="E154" s="170">
        <v>44</v>
      </c>
      <c r="F154" s="217">
        <f t="shared" si="477"/>
        <v>4.4000000000000004</v>
      </c>
      <c r="G154" s="217"/>
      <c r="H154" s="217">
        <f t="shared" si="442"/>
        <v>66</v>
      </c>
      <c r="I154" s="541">
        <f t="shared" si="443"/>
        <v>18.600030428070678</v>
      </c>
      <c r="J154" s="172">
        <f t="shared" si="444"/>
        <v>15.639981743157595</v>
      </c>
      <c r="K154" s="172">
        <f t="shared" si="445"/>
        <v>34.240012171228273</v>
      </c>
      <c r="L154" s="443"/>
      <c r="M154" s="217">
        <f t="shared" si="446"/>
        <v>0.45675926234333158</v>
      </c>
      <c r="N154" s="172">
        <f t="shared" si="447"/>
        <v>212.59517818145201</v>
      </c>
      <c r="O154" s="172">
        <f t="shared" si="438"/>
        <v>66</v>
      </c>
      <c r="P154" s="217">
        <f t="shared" si="448"/>
        <v>14.173011878763468</v>
      </c>
      <c r="Q154" s="217">
        <f t="shared" si="449"/>
        <v>15</v>
      </c>
      <c r="R154" s="217"/>
      <c r="S154" s="172">
        <f t="shared" si="450"/>
        <v>87.166924366543384</v>
      </c>
      <c r="T154" s="172">
        <f t="shared" si="451"/>
        <v>15</v>
      </c>
      <c r="U154" s="217">
        <f t="shared" si="452"/>
        <v>16.199079689715123</v>
      </c>
      <c r="V154" s="217">
        <f t="shared" si="453"/>
        <v>10.451002057674851</v>
      </c>
      <c r="W154" s="217">
        <f t="shared" si="454"/>
        <v>12.428975907316872</v>
      </c>
      <c r="X154" s="197">
        <f t="shared" si="455"/>
        <v>70.800241654520249</v>
      </c>
      <c r="Y154" s="443">
        <f t="shared" si="328"/>
        <v>43.327597691679969</v>
      </c>
      <c r="AA154" s="217">
        <f t="shared" si="456"/>
        <v>10</v>
      </c>
      <c r="AB154" s="173">
        <f t="shared" si="457"/>
        <v>7.6726432275088392</v>
      </c>
      <c r="AC154" s="173">
        <f t="shared" si="458"/>
        <v>2.7161249731827199</v>
      </c>
      <c r="AD154" s="173"/>
      <c r="AE154" s="173">
        <f t="shared" si="459"/>
        <v>7.6726432275088392</v>
      </c>
      <c r="AF154" s="545">
        <f t="shared" si="460"/>
        <v>114.69319944982236</v>
      </c>
      <c r="AG154" s="528">
        <f t="shared" si="461"/>
        <v>2.7161249731827199</v>
      </c>
      <c r="AI154" s="173">
        <f t="shared" si="462"/>
        <v>5.7244637790007982</v>
      </c>
      <c r="AJ154" s="173">
        <f t="shared" si="463"/>
        <v>16.199079689715123</v>
      </c>
      <c r="AK154" s="173">
        <f t="shared" si="464"/>
        <v>5.7919108812704616</v>
      </c>
      <c r="AM154" s="545">
        <f t="shared" si="465"/>
        <v>4400</v>
      </c>
      <c r="AN154" s="460">
        <f t="shared" si="466"/>
        <v>43.327597691679969</v>
      </c>
      <c r="AP154" s="460">
        <f t="shared" si="467"/>
        <v>4400</v>
      </c>
      <c r="AQ154" s="460">
        <f t="shared" si="468"/>
        <v>43.327597691679969</v>
      </c>
      <c r="AS154" s="5">
        <f t="shared" si="439"/>
        <v>23.079977964991723</v>
      </c>
      <c r="AT154" s="5">
        <f t="shared" si="469"/>
        <v>10.451002057674851</v>
      </c>
      <c r="AU154" s="5">
        <f t="shared" si="343"/>
        <v>12.628975907316873</v>
      </c>
      <c r="AV154" s="5"/>
      <c r="AW154" s="173">
        <f t="shared" si="344"/>
        <v>0.45281681262985551</v>
      </c>
      <c r="AX154" s="173">
        <f t="shared" si="435"/>
        <v>68.217616981724476</v>
      </c>
      <c r="AY154" s="173">
        <f t="shared" si="436"/>
        <v>4.4319320285406461</v>
      </c>
      <c r="AZ154" s="173">
        <f t="shared" si="440"/>
        <v>15.392297657639682</v>
      </c>
      <c r="BA154" s="460">
        <f t="shared" si="433"/>
        <v>306.56272702512899</v>
      </c>
      <c r="BB154" s="5">
        <f t="shared" si="434"/>
        <v>12.447894957099379</v>
      </c>
      <c r="BD154" s="173">
        <f t="shared" si="441"/>
        <v>6.2934818813933608</v>
      </c>
      <c r="BE154" s="173">
        <f t="shared" si="437"/>
        <v>6.9182473748645679</v>
      </c>
      <c r="BG154" s="528">
        <f t="shared" si="347"/>
        <v>0.79215828382853037</v>
      </c>
      <c r="BH154" s="528">
        <f t="shared" si="470"/>
        <v>0.45059890756275256</v>
      </c>
      <c r="BI154" s="528">
        <f t="shared" si="471"/>
        <v>2.0147365886011306E-2</v>
      </c>
      <c r="BJ154" s="528">
        <f t="shared" si="350"/>
        <v>5.0796341108477342E-3</v>
      </c>
      <c r="BK154">
        <f t="shared" si="351"/>
        <v>8.3700136926318051E-3</v>
      </c>
      <c r="BL154" s="460">
        <f t="shared" si="427"/>
        <v>28.517379578643112</v>
      </c>
      <c r="BM154" s="528">
        <f t="shared" si="472"/>
        <v>1.8006280210883805</v>
      </c>
      <c r="BN154" s="460">
        <f t="shared" si="353"/>
        <v>1800.6280210883806</v>
      </c>
      <c r="BO154" s="528">
        <f t="shared" si="354"/>
        <v>3.08</v>
      </c>
      <c r="BR154" s="460">
        <f t="shared" si="355"/>
        <v>3080</v>
      </c>
      <c r="BS154" s="528">
        <f t="shared" si="356"/>
        <v>1.1882374257427955</v>
      </c>
      <c r="BT154" s="528">
        <f t="shared" si="357"/>
        <v>1.4358644021946143</v>
      </c>
      <c r="BU154" s="528">
        <f t="shared" si="358"/>
        <v>0.65254036933632098</v>
      </c>
      <c r="BV154" s="528"/>
      <c r="BW154" s="528">
        <f t="shared" si="359"/>
        <v>1.1369602830287411E-2</v>
      </c>
      <c r="BX154" s="460">
        <f t="shared" si="360"/>
        <v>3288.0118001040178</v>
      </c>
      <c r="BY154" s="173">
        <f t="shared" si="361"/>
        <v>7.6443660051847919</v>
      </c>
      <c r="BZ154" s="5">
        <f t="shared" si="362"/>
        <v>66</v>
      </c>
      <c r="CA154" s="173">
        <f t="shared" si="363"/>
        <v>0.89619890264726287</v>
      </c>
      <c r="CB154" s="5">
        <f t="shared" si="364"/>
        <v>89.619890264726294</v>
      </c>
      <c r="CE154" s="562">
        <f t="shared" si="473"/>
        <v>-50</v>
      </c>
      <c r="CF154">
        <f t="shared" si="474"/>
        <v>-50</v>
      </c>
      <c r="CG154" s="173">
        <f t="shared" si="475"/>
        <v>0.55004184178009141</v>
      </c>
      <c r="CI154" s="170">
        <v>44</v>
      </c>
      <c r="CJ154" s="217">
        <f t="shared" si="428"/>
        <v>4.4000000000000004</v>
      </c>
      <c r="CK154" s="217"/>
      <c r="CL154" s="217">
        <f t="shared" si="368"/>
        <v>66</v>
      </c>
      <c r="CM154" s="541">
        <f t="shared" si="369"/>
        <v>19</v>
      </c>
      <c r="CN154" s="443">
        <f t="shared" si="370"/>
        <v>15.4</v>
      </c>
      <c r="CO154" s="443">
        <f t="shared" si="371"/>
        <v>34.4</v>
      </c>
      <c r="CP154" s="443"/>
      <c r="CQ154" s="217">
        <f t="shared" si="372"/>
        <v>0.44767441860465118</v>
      </c>
      <c r="CR154" s="172">
        <f t="shared" si="429"/>
        <v>212.84736191860466</v>
      </c>
      <c r="CS154" s="172">
        <f t="shared" si="373"/>
        <v>66</v>
      </c>
      <c r="CT154" s="217">
        <f t="shared" si="374"/>
        <v>14.189824127906977</v>
      </c>
      <c r="CU154" s="217">
        <f t="shared" si="375"/>
        <v>15</v>
      </c>
      <c r="CV154" s="217"/>
      <c r="CW154" s="172">
        <f t="shared" si="376"/>
        <v>89.039519077820273</v>
      </c>
      <c r="CX154" s="172">
        <f t="shared" si="377"/>
        <v>15</v>
      </c>
      <c r="CY154" s="217">
        <f t="shared" si="378"/>
        <v>15.518796992481203</v>
      </c>
      <c r="CZ154" s="217">
        <f t="shared" si="379"/>
        <v>9.8013454689354962</v>
      </c>
      <c r="DA154" s="217">
        <f t="shared" si="380"/>
        <v>12.09256908505029</v>
      </c>
      <c r="DB154" s="197">
        <f t="shared" si="381"/>
        <v>70.881782945736433</v>
      </c>
      <c r="DC154" s="443">
        <f t="shared" si="382"/>
        <v>45.674792305149921</v>
      </c>
      <c r="DE154" s="217">
        <f t="shared" si="383"/>
        <v>10.000000000000002</v>
      </c>
      <c r="DF154" s="173">
        <f t="shared" si="384"/>
        <v>7.792207792207793</v>
      </c>
      <c r="DG154" s="173">
        <f t="shared" si="385"/>
        <v>2.7616279069767451</v>
      </c>
      <c r="DH154" s="173"/>
      <c r="DI154" s="173">
        <f t="shared" si="386"/>
        <v>7.7922077922077913</v>
      </c>
      <c r="DJ154" s="545">
        <f t="shared" si="387"/>
        <v>112.93333333333334</v>
      </c>
      <c r="DK154" s="528">
        <f t="shared" si="388"/>
        <v>2.7616279069767442</v>
      </c>
      <c r="DM154" s="173">
        <f t="shared" si="389"/>
        <v>5.6803755744375453</v>
      </c>
      <c r="DN154" s="173">
        <f t="shared" si="390"/>
        <v>15.518796992481203</v>
      </c>
      <c r="DO154" s="173">
        <f t="shared" si="391"/>
        <v>5.2879977722082989</v>
      </c>
      <c r="DQ154" s="545">
        <f t="shared" si="392"/>
        <v>4400</v>
      </c>
      <c r="DR154" s="460">
        <f t="shared" si="393"/>
        <v>45.674792305149921</v>
      </c>
      <c r="DT154">
        <f t="shared" si="430"/>
        <v>4400</v>
      </c>
      <c r="DU154">
        <f t="shared" si="431"/>
        <v>45.674792305149921</v>
      </c>
      <c r="DW154" s="5">
        <f t="shared" si="394"/>
        <v>21.893914553985788</v>
      </c>
      <c r="DX154" s="5">
        <f t="shared" si="395"/>
        <v>9.8013454689354962</v>
      </c>
      <c r="DY154" s="5">
        <f t="shared" si="396"/>
        <v>12.092569085050291</v>
      </c>
      <c r="DZ154" s="5"/>
      <c r="EA154" s="173">
        <f t="shared" si="397"/>
        <v>0.44767441860465107</v>
      </c>
      <c r="EB154" s="173">
        <f t="shared" si="398"/>
        <v>65.999999999999986</v>
      </c>
      <c r="EC154" s="173">
        <f t="shared" si="399"/>
        <v>4.2857142857142865</v>
      </c>
      <c r="ED154" s="173">
        <f t="shared" si="400"/>
        <v>15.399999999999993</v>
      </c>
      <c r="EE154" s="460">
        <f t="shared" si="401"/>
        <v>287.50613375544128</v>
      </c>
      <c r="EF154" s="5">
        <f t="shared" si="402"/>
        <v>11.668268415399405</v>
      </c>
      <c r="EH154" s="173">
        <f t="shared" si="403"/>
        <v>5.9948533526209085</v>
      </c>
      <c r="EI154" s="173">
        <f t="shared" si="404"/>
        <v>6.6587851728763354</v>
      </c>
      <c r="EK154" s="528">
        <f t="shared" si="405"/>
        <v>0.71876533438860291</v>
      </c>
      <c r="EL154" s="528">
        <f t="shared" si="406"/>
        <v>0.48766666666666653</v>
      </c>
      <c r="EM154" s="528">
        <f t="shared" si="407"/>
        <v>5.7093490381437398E-3</v>
      </c>
      <c r="EN154" s="528">
        <f t="shared" si="408"/>
        <v>5.4049722222222207E-3</v>
      </c>
      <c r="EO154">
        <f t="shared" si="409"/>
        <v>8.5500000000000003E-3</v>
      </c>
      <c r="EP154" s="460">
        <f t="shared" si="410"/>
        <v>14.259349038143739</v>
      </c>
      <c r="EQ154" s="460"/>
      <c r="ER154" s="460">
        <f t="shared" si="432"/>
        <v>1226.0963223156355</v>
      </c>
      <c r="ES154" s="528">
        <f t="shared" si="411"/>
        <v>3.08</v>
      </c>
      <c r="EV154" s="460">
        <f t="shared" si="412"/>
        <v>3080</v>
      </c>
      <c r="EW154" s="528">
        <f t="shared" si="413"/>
        <v>1.0781480015829044</v>
      </c>
      <c r="EX154" s="528">
        <f t="shared" si="414"/>
        <v>1.3301825993555316</v>
      </c>
      <c r="EY154" s="528">
        <f t="shared" si="415"/>
        <v>0.66881589702681232</v>
      </c>
      <c r="EZ154" s="528"/>
      <c r="FA154" s="528">
        <f t="shared" si="416"/>
        <v>1.0999999999999999E-2</v>
      </c>
      <c r="FB154" s="460">
        <f t="shared" si="417"/>
        <v>3088.1464979652487</v>
      </c>
      <c r="FC154" s="173">
        <f t="shared" si="418"/>
        <v>7.3942428202808843</v>
      </c>
      <c r="FD154" s="5">
        <f t="shared" si="419"/>
        <v>66</v>
      </c>
      <c r="FE154" s="173">
        <f t="shared" si="420"/>
        <v>0.89925309484577665</v>
      </c>
      <c r="FF154" s="5">
        <f t="shared" si="421"/>
        <v>89.925309484577667</v>
      </c>
      <c r="FI154" s="562">
        <f t="shared" si="422"/>
        <v>-50</v>
      </c>
      <c r="FJ154">
        <f t="shared" si="423"/>
        <v>-50</v>
      </c>
      <c r="FL154">
        <f t="shared" si="476"/>
        <v>0.55232558139534893</v>
      </c>
    </row>
    <row r="155" spans="5:168">
      <c r="E155" s="170">
        <v>45</v>
      </c>
      <c r="F155" s="217">
        <f t="shared" si="477"/>
        <v>4.5</v>
      </c>
      <c r="G155" s="217"/>
      <c r="H155" s="217">
        <f t="shared" si="442"/>
        <v>67.5</v>
      </c>
      <c r="I155" s="541">
        <f t="shared" si="443"/>
        <v>18.590977949064367</v>
      </c>
      <c r="J155" s="172">
        <f t="shared" si="444"/>
        <v>15.645413230561379</v>
      </c>
      <c r="K155" s="172">
        <f t="shared" si="445"/>
        <v>34.236391179625748</v>
      </c>
      <c r="L155" s="443"/>
      <c r="M155" s="217">
        <f t="shared" si="446"/>
        <v>0.4569662252762583</v>
      </c>
      <c r="N155" s="172">
        <f t="shared" si="447"/>
        <v>212.58799235361994</v>
      </c>
      <c r="O155" s="172">
        <f t="shared" si="438"/>
        <v>67.5</v>
      </c>
      <c r="P155" s="217">
        <f t="shared" si="448"/>
        <v>14.172532823574663</v>
      </c>
      <c r="Q155" s="217">
        <f t="shared" si="449"/>
        <v>15</v>
      </c>
      <c r="R155" s="217"/>
      <c r="S155" s="172">
        <f t="shared" si="450"/>
        <v>84.779535435273317</v>
      </c>
      <c r="T155" s="172">
        <f t="shared" si="451"/>
        <v>15</v>
      </c>
      <c r="U155" s="217">
        <f t="shared" si="452"/>
        <v>16.573554756476394</v>
      </c>
      <c r="V155" s="217">
        <f t="shared" si="453"/>
        <v>10.697805011797453</v>
      </c>
      <c r="W155" s="217">
        <f t="shared" si="454"/>
        <v>12.711882655117352</v>
      </c>
      <c r="X155" s="197">
        <f t="shared" si="455"/>
        <v>70.797846568025761</v>
      </c>
      <c r="Y155" s="443">
        <f t="shared" si="328"/>
        <v>42.355494664223784</v>
      </c>
      <c r="AA155" s="217">
        <f t="shared" si="456"/>
        <v>10</v>
      </c>
      <c r="AB155" s="173">
        <f t="shared" si="457"/>
        <v>7.6699795800595956</v>
      </c>
      <c r="AC155" s="173">
        <f t="shared" si="458"/>
        <v>2.7150901874447495</v>
      </c>
      <c r="AD155" s="173"/>
      <c r="AE155" s="173">
        <f t="shared" si="459"/>
        <v>7.6699795800595956</v>
      </c>
      <c r="AF155" s="545">
        <f t="shared" si="460"/>
        <v>117.34059922921033</v>
      </c>
      <c r="AG155" s="528">
        <f t="shared" si="461"/>
        <v>2.7150901874447495</v>
      </c>
      <c r="AI155" s="173">
        <f t="shared" si="462"/>
        <v>5.7901541856897127</v>
      </c>
      <c r="AJ155" s="173">
        <f t="shared" si="463"/>
        <v>16.573554756476394</v>
      </c>
      <c r="AK155" s="173">
        <f t="shared" si="464"/>
        <v>6.0692998196121444</v>
      </c>
      <c r="AM155" s="545">
        <f t="shared" si="465"/>
        <v>4500</v>
      </c>
      <c r="AN155" s="460">
        <f t="shared" si="466"/>
        <v>42.355494664223784</v>
      </c>
      <c r="AP155" s="460">
        <f t="shared" si="467"/>
        <v>4500</v>
      </c>
      <c r="AQ155" s="460">
        <f t="shared" si="468"/>
        <v>42.355494664223784</v>
      </c>
      <c r="AS155" s="5">
        <f t="shared" si="439"/>
        <v>23.609687666914802</v>
      </c>
      <c r="AT155" s="5">
        <f t="shared" si="469"/>
        <v>10.697805011797453</v>
      </c>
      <c r="AU155" s="5">
        <f t="shared" si="343"/>
        <v>12.911882655117349</v>
      </c>
      <c r="AV155" s="5"/>
      <c r="AW155" s="173">
        <f t="shared" si="344"/>
        <v>0.45311082309609346</v>
      </c>
      <c r="AX155" s="173">
        <f t="shared" si="435"/>
        <v>69.80593419306733</v>
      </c>
      <c r="AY155" s="173">
        <f t="shared" si="436"/>
        <v>4.5319488595706003</v>
      </c>
      <c r="AZ155" s="173">
        <f t="shared" si="440"/>
        <v>15.403071913675875</v>
      </c>
      <c r="BA155" s="460">
        <f t="shared" si="433"/>
        <v>320.9341503539236</v>
      </c>
      <c r="BB155" s="5">
        <f t="shared" si="434"/>
        <v>13.022327305575359</v>
      </c>
      <c r="BD155" s="173">
        <f t="shared" si="441"/>
        <v>6.44105871501037</v>
      </c>
      <c r="BE155" s="173">
        <f t="shared" si="437"/>
        <v>7.0762750359985347</v>
      </c>
      <c r="BG155" s="528">
        <f t="shared" si="347"/>
        <v>0.82974474740422088</v>
      </c>
      <c r="BH155" s="528">
        <f t="shared" si="470"/>
        <v>0.45062437283542972</v>
      </c>
      <c r="BI155" s="528">
        <f t="shared" si="471"/>
        <v>1.9685751683107443E-2</v>
      </c>
      <c r="BJ155" s="528">
        <f t="shared" si="350"/>
        <v>4.9646166333954045E-3</v>
      </c>
      <c r="BK155">
        <f t="shared" si="351"/>
        <v>8.3659400770789653E-3</v>
      </c>
      <c r="BL155" s="460">
        <f t="shared" si="427"/>
        <v>28.051691760186412</v>
      </c>
      <c r="BM155" s="528">
        <f t="shared" si="472"/>
        <v>1.8800022923268509</v>
      </c>
      <c r="BN155" s="460">
        <f t="shared" si="353"/>
        <v>1880.0022923268509</v>
      </c>
      <c r="BO155" s="528">
        <f t="shared" si="354"/>
        <v>3.15</v>
      </c>
      <c r="BR155" s="460">
        <f t="shared" si="355"/>
        <v>3150</v>
      </c>
      <c r="BS155" s="528">
        <f t="shared" si="356"/>
        <v>1.2446171211063313</v>
      </c>
      <c r="BT155" s="528">
        <f t="shared" si="357"/>
        <v>1.5022100515528818</v>
      </c>
      <c r="BU155" s="528">
        <f t="shared" si="358"/>
        <v>0.65280514479585139</v>
      </c>
      <c r="BV155" s="528"/>
      <c r="BW155" s="528">
        <f t="shared" si="359"/>
        <v>1.1634322365511223E-2</v>
      </c>
      <c r="BX155" s="460">
        <f t="shared" si="360"/>
        <v>3411.2666398205756</v>
      </c>
      <c r="BY155" s="173">
        <f t="shared" si="361"/>
        <v>7.8746520684538082</v>
      </c>
      <c r="BZ155" s="5">
        <f t="shared" si="362"/>
        <v>67.5</v>
      </c>
      <c r="CA155" s="173">
        <f t="shared" si="363"/>
        <v>0.89552652181661541</v>
      </c>
      <c r="CB155" s="5">
        <f t="shared" si="364"/>
        <v>89.552652181661543</v>
      </c>
      <c r="CE155" s="562">
        <f t="shared" si="473"/>
        <v>-50</v>
      </c>
      <c r="CF155">
        <f t="shared" si="474"/>
        <v>-50</v>
      </c>
      <c r="CG155" s="173">
        <f t="shared" si="475"/>
        <v>0.55009259154931933</v>
      </c>
      <c r="CI155" s="170">
        <v>45</v>
      </c>
      <c r="CJ155" s="217">
        <f t="shared" si="428"/>
        <v>4.5</v>
      </c>
      <c r="CK155" s="217"/>
      <c r="CL155" s="217">
        <f t="shared" si="368"/>
        <v>67.5</v>
      </c>
      <c r="CM155" s="541">
        <f t="shared" si="369"/>
        <v>19</v>
      </c>
      <c r="CN155" s="443">
        <f t="shared" si="370"/>
        <v>15.4</v>
      </c>
      <c r="CO155" s="443">
        <f t="shared" si="371"/>
        <v>34.4</v>
      </c>
      <c r="CP155" s="443"/>
      <c r="CQ155" s="217">
        <f t="shared" si="372"/>
        <v>0.44767441860465118</v>
      </c>
      <c r="CR155" s="172">
        <f t="shared" si="429"/>
        <v>212.84736191860466</v>
      </c>
      <c r="CS155" s="172">
        <f t="shared" si="373"/>
        <v>67.5</v>
      </c>
      <c r="CT155" s="217">
        <f t="shared" si="374"/>
        <v>14.189824127906977</v>
      </c>
      <c r="CU155" s="217">
        <f t="shared" si="375"/>
        <v>15</v>
      </c>
      <c r="CV155" s="217"/>
      <c r="CW155" s="172">
        <f t="shared" si="376"/>
        <v>86.642868854164007</v>
      </c>
      <c r="CX155" s="172">
        <f t="shared" si="377"/>
        <v>15</v>
      </c>
      <c r="CY155" s="217">
        <f t="shared" si="378"/>
        <v>15.871496924128502</v>
      </c>
      <c r="CZ155" s="217">
        <f t="shared" si="379"/>
        <v>10.024103320502212</v>
      </c>
      <c r="DA155" s="217">
        <f t="shared" si="380"/>
        <v>12.367400200619613</v>
      </c>
      <c r="DB155" s="197">
        <f t="shared" si="381"/>
        <v>70.881782945736433</v>
      </c>
      <c r="DC155" s="443">
        <f t="shared" si="382"/>
        <v>44.659796920591042</v>
      </c>
      <c r="DE155" s="217">
        <f t="shared" si="383"/>
        <v>10.000000000000002</v>
      </c>
      <c r="DF155" s="173">
        <f t="shared" si="384"/>
        <v>7.792207792207793</v>
      </c>
      <c r="DG155" s="173">
        <f t="shared" si="385"/>
        <v>2.7616279069767451</v>
      </c>
      <c r="DH155" s="173"/>
      <c r="DI155" s="173">
        <f t="shared" si="386"/>
        <v>7.7922077922077913</v>
      </c>
      <c r="DJ155" s="545">
        <f t="shared" si="387"/>
        <v>115.5</v>
      </c>
      <c r="DK155" s="528">
        <f t="shared" si="388"/>
        <v>2.7616279069767442</v>
      </c>
      <c r="DM155" s="173">
        <f t="shared" si="389"/>
        <v>5.7445626465380286</v>
      </c>
      <c r="DN155" s="173">
        <f t="shared" si="390"/>
        <v>15.871496924128502</v>
      </c>
      <c r="DO155" s="173">
        <f t="shared" si="391"/>
        <v>5.5492569808359278</v>
      </c>
      <c r="DQ155" s="545">
        <f t="shared" si="392"/>
        <v>4500</v>
      </c>
      <c r="DR155" s="460">
        <f t="shared" si="393"/>
        <v>44.659796920591042</v>
      </c>
      <c r="DT155">
        <f t="shared" si="430"/>
        <v>4500</v>
      </c>
      <c r="DU155">
        <f t="shared" si="431"/>
        <v>44.659796920591042</v>
      </c>
      <c r="DW155" s="5">
        <f t="shared" si="394"/>
        <v>22.391503521121827</v>
      </c>
      <c r="DX155" s="5">
        <f t="shared" si="395"/>
        <v>10.024103320502212</v>
      </c>
      <c r="DY155" s="5">
        <f t="shared" si="396"/>
        <v>12.367400200619615</v>
      </c>
      <c r="DZ155" s="5"/>
      <c r="EA155" s="173">
        <f t="shared" si="397"/>
        <v>0.44767441860465107</v>
      </c>
      <c r="EB155" s="173">
        <f t="shared" si="398"/>
        <v>67.499999999999986</v>
      </c>
      <c r="EC155" s="173">
        <f t="shared" si="399"/>
        <v>4.3831168831168839</v>
      </c>
      <c r="ED155" s="173">
        <f t="shared" si="400"/>
        <v>15.399999999999995</v>
      </c>
      <c r="EE155" s="460">
        <f t="shared" si="401"/>
        <v>300.7230996150663</v>
      </c>
      <c r="EF155" s="5">
        <f t="shared" si="402"/>
        <v>12.204671250611463</v>
      </c>
      <c r="EH155" s="173">
        <f t="shared" si="403"/>
        <v>6.1311000197259284</v>
      </c>
      <c r="EI155" s="173">
        <f t="shared" si="404"/>
        <v>6.810121199532615</v>
      </c>
      <c r="EK155" s="528">
        <f t="shared" si="405"/>
        <v>0.75180774903766567</v>
      </c>
      <c r="EL155" s="528">
        <f t="shared" si="406"/>
        <v>0.48766666666666658</v>
      </c>
      <c r="EM155" s="528">
        <f t="shared" si="407"/>
        <v>5.5824746150738803E-3</v>
      </c>
      <c r="EN155" s="528">
        <f t="shared" si="408"/>
        <v>5.2848617283950614E-3</v>
      </c>
      <c r="EO155">
        <f t="shared" si="409"/>
        <v>8.5500000000000003E-3</v>
      </c>
      <c r="EP155" s="460">
        <f t="shared" si="410"/>
        <v>14.13247461507388</v>
      </c>
      <c r="EQ155" s="460"/>
      <c r="ER155" s="460">
        <f t="shared" si="432"/>
        <v>1258.8917520478014</v>
      </c>
      <c r="ES155" s="528">
        <f t="shared" si="411"/>
        <v>3.15</v>
      </c>
      <c r="EV155" s="460">
        <f t="shared" si="412"/>
        <v>3150</v>
      </c>
      <c r="EW155" s="528">
        <f t="shared" si="413"/>
        <v>1.1277116235564983</v>
      </c>
      <c r="EX155" s="528">
        <f t="shared" si="414"/>
        <v>1.3913325225697062</v>
      </c>
      <c r="EY155" s="528">
        <f t="shared" si="415"/>
        <v>0.66881589702681221</v>
      </c>
      <c r="EZ155" s="528"/>
      <c r="FA155" s="528">
        <f t="shared" si="416"/>
        <v>1.1250000000000001E-2</v>
      </c>
      <c r="FB155" s="460">
        <f t="shared" si="417"/>
        <v>3199.1100431530167</v>
      </c>
      <c r="FC155" s="173">
        <f t="shared" si="418"/>
        <v>7.6080017952008188</v>
      </c>
      <c r="FD155" s="5">
        <f t="shared" si="419"/>
        <v>67.5</v>
      </c>
      <c r="FE155" s="173">
        <f t="shared" si="420"/>
        <v>0.8987058420759777</v>
      </c>
      <c r="FF155" s="5">
        <f t="shared" si="421"/>
        <v>89.870584207597773</v>
      </c>
      <c r="FI155" s="562">
        <f t="shared" si="422"/>
        <v>-50</v>
      </c>
      <c r="FJ155">
        <f t="shared" si="423"/>
        <v>-50</v>
      </c>
      <c r="FL155">
        <f t="shared" si="476"/>
        <v>0.55232558139534893</v>
      </c>
    </row>
    <row r="156" spans="5:168" s="76" customFormat="1">
      <c r="E156" s="189">
        <v>46</v>
      </c>
      <c r="F156" s="329">
        <f t="shared" si="477"/>
        <v>4.6000000000000005</v>
      </c>
      <c r="G156" s="329"/>
      <c r="H156" s="329">
        <f t="shared" si="442"/>
        <v>69.000000000000014</v>
      </c>
      <c r="I156" s="541">
        <f t="shared" si="443"/>
        <v>18.581925463398125</v>
      </c>
      <c r="J156" s="172">
        <f t="shared" si="444"/>
        <v>15.650844721961125</v>
      </c>
      <c r="K156" s="172">
        <f t="shared" si="445"/>
        <v>34.23277018535925</v>
      </c>
      <c r="L156" s="535"/>
      <c r="M156" s="217">
        <f t="shared" si="446"/>
        <v>0.45717323208154637</v>
      </c>
      <c r="N156" s="172">
        <f t="shared" si="447"/>
        <v>212.58073308440967</v>
      </c>
      <c r="O156" s="172">
        <f t="shared" si="438"/>
        <v>69.000000000000014</v>
      </c>
      <c r="P156" s="329">
        <f t="shared" si="448"/>
        <v>14.172048872293978</v>
      </c>
      <c r="Q156" s="329">
        <f t="shared" si="449"/>
        <v>15</v>
      </c>
      <c r="R156" s="329"/>
      <c r="S156" s="172">
        <f t="shared" si="450"/>
        <v>82.496463178002244</v>
      </c>
      <c r="T156" s="172">
        <f t="shared" si="451"/>
        <v>15</v>
      </c>
      <c r="U156" s="217">
        <f t="shared" si="452"/>
        <v>16.948316744361573</v>
      </c>
      <c r="V156" s="329">
        <f t="shared" si="453"/>
        <v>10.94503372822949</v>
      </c>
      <c r="W156" s="329">
        <f t="shared" si="454"/>
        <v>12.99481303056813</v>
      </c>
      <c r="X156" s="537">
        <f t="shared" si="455"/>
        <v>70.79542703477523</v>
      </c>
      <c r="Y156" s="443">
        <f t="shared" si="328"/>
        <v>41.425283681038948</v>
      </c>
      <c r="AA156" s="329">
        <f t="shared" si="456"/>
        <v>10</v>
      </c>
      <c r="AB156" s="538">
        <f t="shared" si="457"/>
        <v>7.6673177794433727</v>
      </c>
      <c r="AC156" s="538">
        <f t="shared" si="458"/>
        <v>2.7140551820350907</v>
      </c>
      <c r="AD156" s="538"/>
      <c r="AE156" s="538">
        <f t="shared" si="459"/>
        <v>7.6673177794433727</v>
      </c>
      <c r="AF156" s="545">
        <f t="shared" si="460"/>
        <v>119.98980953503531</v>
      </c>
      <c r="AG156" s="579">
        <f t="shared" si="461"/>
        <v>2.7140551820350907</v>
      </c>
      <c r="AI156" s="538">
        <f t="shared" si="462"/>
        <v>5.8551518105251379</v>
      </c>
      <c r="AJ156" s="538">
        <f t="shared" si="463"/>
        <v>16.948316744361573</v>
      </c>
      <c r="AK156" s="538">
        <f t="shared" si="464"/>
        <v>6.3469012921196839</v>
      </c>
      <c r="AM156" s="563">
        <f t="shared" si="465"/>
        <v>4600.0000000000009</v>
      </c>
      <c r="AN156" s="564">
        <f t="shared" si="466"/>
        <v>41.425283681038948</v>
      </c>
      <c r="AP156" s="76">
        <f t="shared" si="467"/>
        <v>4600.0000000000009</v>
      </c>
      <c r="AQ156" s="76">
        <f t="shared" si="468"/>
        <v>41.425283681038948</v>
      </c>
      <c r="AS156" s="534">
        <f t="shared" si="439"/>
        <v>24.139846758797621</v>
      </c>
      <c r="AT156" s="5">
        <f t="shared" si="469"/>
        <v>10.94503372822949</v>
      </c>
      <c r="AU156" s="5">
        <f t="shared" si="343"/>
        <v>13.194813030568131</v>
      </c>
      <c r="AV156" s="5"/>
      <c r="AW156" s="173">
        <f t="shared" si="344"/>
        <v>0.45340112709044594</v>
      </c>
      <c r="AX156" s="173">
        <f t="shared" si="435"/>
        <v>71.395343144634182</v>
      </c>
      <c r="AY156" s="173">
        <f t="shared" si="436"/>
        <v>4.6319654150910798</v>
      </c>
      <c r="AZ156" s="173">
        <f t="shared" si="440"/>
        <v>15.413617492053383</v>
      </c>
      <c r="BA156" s="460">
        <f t="shared" si="433"/>
        <v>335.64770099903774</v>
      </c>
      <c r="BB156" s="5">
        <f t="shared" si="434"/>
        <v>13.610031080150542</v>
      </c>
      <c r="BD156" s="173">
        <f t="shared" si="441"/>
        <v>6.5888139160100527</v>
      </c>
      <c r="BE156" s="173">
        <f t="shared" si="437"/>
        <v>7.2343632294714029</v>
      </c>
      <c r="BG156" s="528">
        <f t="shared" si="347"/>
        <v>0.86824937639615463</v>
      </c>
      <c r="BH156" s="528">
        <f t="shared" si="470"/>
        <v>0.45064585377413374</v>
      </c>
      <c r="BI156" s="528">
        <f t="shared" si="471"/>
        <v>1.9244038341529709E-2</v>
      </c>
      <c r="BJ156" s="528">
        <f t="shared" si="350"/>
        <v>4.8545567263658619E-3</v>
      </c>
      <c r="BK156">
        <f t="shared" si="351"/>
        <v>8.3618664585291564E-3</v>
      </c>
      <c r="BL156" s="460">
        <f t="shared" si="427"/>
        <v>27.605904800058866</v>
      </c>
      <c r="BM156" s="528">
        <f t="shared" si="472"/>
        <v>1.9631716865206594</v>
      </c>
      <c r="BN156" s="460">
        <f t="shared" si="353"/>
        <v>1963.1716865206595</v>
      </c>
      <c r="BO156" s="528">
        <f t="shared" si="354"/>
        <v>3.22</v>
      </c>
      <c r="BR156" s="460">
        <f t="shared" si="355"/>
        <v>3220</v>
      </c>
      <c r="BS156" s="528">
        <f t="shared" si="356"/>
        <v>1.3023740645942319</v>
      </c>
      <c r="BT156" s="528">
        <f t="shared" si="357"/>
        <v>1.5700803400778371</v>
      </c>
      <c r="BU156" s="528">
        <f t="shared" si="358"/>
        <v>0.65305560597977164</v>
      </c>
      <c r="BV156" s="528"/>
      <c r="BW156" s="528">
        <f t="shared" si="359"/>
        <v>1.189922385743903E-2</v>
      </c>
      <c r="BX156" s="460">
        <f t="shared" si="360"/>
        <v>3537.4092345092799</v>
      </c>
      <c r="BY156" s="173">
        <f t="shared" si="361"/>
        <v>8.1087649262059927</v>
      </c>
      <c r="BZ156" s="5">
        <f t="shared" si="362"/>
        <v>69.000000000000014</v>
      </c>
      <c r="CA156" s="173">
        <f t="shared" si="363"/>
        <v>0.89483990654024637</v>
      </c>
      <c r="CB156" s="5">
        <f t="shared" si="364"/>
        <v>89.483990654024637</v>
      </c>
      <c r="CE156" s="562">
        <f t="shared" si="473"/>
        <v>-50</v>
      </c>
      <c r="CF156">
        <f t="shared" si="474"/>
        <v>-50</v>
      </c>
      <c r="CG156" s="173">
        <f t="shared" si="475"/>
        <v>0.55014113480684168</v>
      </c>
      <c r="CH156"/>
      <c r="CI156" s="189">
        <v>46</v>
      </c>
      <c r="CJ156" s="329">
        <f t="shared" si="428"/>
        <v>4.6000000000000005</v>
      </c>
      <c r="CK156" s="329"/>
      <c r="CL156" s="329">
        <f t="shared" si="368"/>
        <v>69.000000000000014</v>
      </c>
      <c r="CM156" s="541">
        <f t="shared" si="369"/>
        <v>19</v>
      </c>
      <c r="CN156" s="443">
        <f t="shared" si="370"/>
        <v>15.4</v>
      </c>
      <c r="CO156" s="535">
        <f t="shared" si="371"/>
        <v>34.4</v>
      </c>
      <c r="CP156" s="535"/>
      <c r="CQ156" s="329">
        <f t="shared" si="372"/>
        <v>0.44767441860465118</v>
      </c>
      <c r="CR156" s="172">
        <f t="shared" si="429"/>
        <v>212.84736191860466</v>
      </c>
      <c r="CS156" s="172">
        <f t="shared" si="373"/>
        <v>69.000000000000014</v>
      </c>
      <c r="CT156" s="329">
        <f t="shared" si="374"/>
        <v>14.189824127906977</v>
      </c>
      <c r="CU156" s="329">
        <f t="shared" si="375"/>
        <v>15</v>
      </c>
      <c r="CV156" s="329"/>
      <c r="CW156" s="172">
        <f t="shared" si="376"/>
        <v>84.350544505294323</v>
      </c>
      <c r="CX156" s="172">
        <f t="shared" si="377"/>
        <v>15</v>
      </c>
      <c r="CY156" s="217">
        <f t="shared" si="378"/>
        <v>16.224196855775805</v>
      </c>
      <c r="CZ156" s="329">
        <f t="shared" si="379"/>
        <v>10.246861172068929</v>
      </c>
      <c r="DA156" s="329">
        <f t="shared" si="380"/>
        <v>12.642231316188937</v>
      </c>
      <c r="DB156" s="537">
        <f t="shared" si="381"/>
        <v>70.881782945736433</v>
      </c>
      <c r="DC156" s="535">
        <f t="shared" si="382"/>
        <v>43.688931770143412</v>
      </c>
      <c r="DE156" s="329">
        <f t="shared" si="383"/>
        <v>10.000000000000002</v>
      </c>
      <c r="DF156" s="538">
        <f t="shared" si="384"/>
        <v>7.792207792207793</v>
      </c>
      <c r="DG156" s="538">
        <f t="shared" si="385"/>
        <v>2.7616279069767451</v>
      </c>
      <c r="DH156" s="538"/>
      <c r="DI156" s="538">
        <f t="shared" si="386"/>
        <v>7.7922077922077913</v>
      </c>
      <c r="DJ156" s="545">
        <f t="shared" si="387"/>
        <v>118.06666666666669</v>
      </c>
      <c r="DK156" s="579">
        <f t="shared" si="388"/>
        <v>2.7616279069767442</v>
      </c>
      <c r="DM156" s="538">
        <f t="shared" si="389"/>
        <v>5.8080404038998683</v>
      </c>
      <c r="DN156" s="538">
        <f t="shared" si="390"/>
        <v>16.224196855775805</v>
      </c>
      <c r="DO156" s="538">
        <f t="shared" si="391"/>
        <v>5.8105161894635593</v>
      </c>
      <c r="DQ156" s="563">
        <f t="shared" si="392"/>
        <v>4600.0000000000009</v>
      </c>
      <c r="DR156" s="564">
        <f t="shared" si="393"/>
        <v>43.688931770143412</v>
      </c>
      <c r="DT156">
        <f t="shared" si="430"/>
        <v>4600.0000000000009</v>
      </c>
      <c r="DU156">
        <f t="shared" si="431"/>
        <v>43.688931770143412</v>
      </c>
      <c r="DW156" s="534">
        <f t="shared" si="394"/>
        <v>22.889092488257866</v>
      </c>
      <c r="DX156" s="5">
        <f t="shared" si="395"/>
        <v>10.246861172068929</v>
      </c>
      <c r="DY156" s="5">
        <f t="shared" si="396"/>
        <v>12.642231316188937</v>
      </c>
      <c r="DZ156" s="5"/>
      <c r="EA156" s="173">
        <f t="shared" si="397"/>
        <v>0.44767441860465118</v>
      </c>
      <c r="EB156" s="173">
        <f t="shared" si="398"/>
        <v>69.000000000000014</v>
      </c>
      <c r="EC156" s="173">
        <f t="shared" si="399"/>
        <v>4.4805194805194812</v>
      </c>
      <c r="ED156" s="173">
        <f t="shared" si="400"/>
        <v>15.4</v>
      </c>
      <c r="EE156" s="460">
        <f t="shared" si="401"/>
        <v>314.23707594344717</v>
      </c>
      <c r="EF156" s="5">
        <f t="shared" si="402"/>
        <v>12.753128082120419</v>
      </c>
      <c r="EH156" s="173">
        <f t="shared" si="403"/>
        <v>6.2673466868309511</v>
      </c>
      <c r="EI156" s="173">
        <f t="shared" si="404"/>
        <v>6.9614572261888963</v>
      </c>
      <c r="EK156" s="528">
        <f t="shared" si="405"/>
        <v>0.78559268985861808</v>
      </c>
      <c r="EL156" s="528">
        <f t="shared" si="406"/>
        <v>0.48766666666666664</v>
      </c>
      <c r="EM156" s="528">
        <f t="shared" si="407"/>
        <v>5.461116471267926E-3</v>
      </c>
      <c r="EN156" s="528">
        <f t="shared" si="408"/>
        <v>5.1699734299516902E-3</v>
      </c>
      <c r="EO156">
        <f t="shared" si="409"/>
        <v>8.5500000000000003E-3</v>
      </c>
      <c r="EP156" s="460">
        <f t="shared" si="410"/>
        <v>14.011116471267925</v>
      </c>
      <c r="EQ156" s="460"/>
      <c r="ER156" s="460">
        <f t="shared" si="432"/>
        <v>1292.4404464265044</v>
      </c>
      <c r="ES156" s="528">
        <f t="shared" si="411"/>
        <v>3.22</v>
      </c>
      <c r="EV156" s="460">
        <f t="shared" si="412"/>
        <v>3220</v>
      </c>
      <c r="EW156" s="528">
        <f t="shared" si="413"/>
        <v>1.1783890347879271</v>
      </c>
      <c r="EX156" s="528">
        <f t="shared" si="414"/>
        <v>1.453856601361728</v>
      </c>
      <c r="EY156" s="528">
        <f t="shared" si="415"/>
        <v>0.66881589702681354</v>
      </c>
      <c r="EZ156" s="528"/>
      <c r="FA156" s="528">
        <f t="shared" si="416"/>
        <v>1.1500000000000003E-2</v>
      </c>
      <c r="FB156" s="460">
        <f t="shared" si="417"/>
        <v>3312.5615331764684</v>
      </c>
      <c r="FC156" s="173">
        <f t="shared" si="418"/>
        <v>7.8250019796029724</v>
      </c>
      <c r="FD156" s="5">
        <f t="shared" si="419"/>
        <v>69.000000000000014</v>
      </c>
      <c r="FE156" s="173">
        <f t="shared" si="420"/>
        <v>0.8981451119040581</v>
      </c>
      <c r="FF156" s="5">
        <f t="shared" si="421"/>
        <v>89.81451119040581</v>
      </c>
      <c r="FI156" s="562">
        <f t="shared" si="422"/>
        <v>-50</v>
      </c>
      <c r="FJ156">
        <f t="shared" si="423"/>
        <v>-50</v>
      </c>
      <c r="FL156">
        <f t="shared" si="476"/>
        <v>0.55232558139534882</v>
      </c>
    </row>
    <row r="157" spans="5:168">
      <c r="E157" s="170">
        <v>47</v>
      </c>
      <c r="F157" s="217">
        <f t="shared" si="477"/>
        <v>4.6999999999999993</v>
      </c>
      <c r="G157" s="217"/>
      <c r="H157" s="217">
        <f t="shared" si="442"/>
        <v>70.499999999999986</v>
      </c>
      <c r="I157" s="541">
        <f t="shared" si="443"/>
        <v>18.572872971498704</v>
      </c>
      <c r="J157" s="172">
        <f t="shared" si="444"/>
        <v>15.656276217100778</v>
      </c>
      <c r="K157" s="172">
        <f t="shared" si="445"/>
        <v>34.229149188599479</v>
      </c>
      <c r="L157" s="443"/>
      <c r="M157" s="217">
        <f t="shared" si="446"/>
        <v>0.45738028276753728</v>
      </c>
      <c r="N157" s="172">
        <f t="shared" si="447"/>
        <v>212.57340035266404</v>
      </c>
      <c r="O157" s="172">
        <f t="shared" si="438"/>
        <v>70.499999999999986</v>
      </c>
      <c r="P157" s="217">
        <f t="shared" si="448"/>
        <v>14.171560023510937</v>
      </c>
      <c r="Q157" s="217">
        <f t="shared" si="449"/>
        <v>15</v>
      </c>
      <c r="R157" s="217"/>
      <c r="S157" s="172">
        <f t="shared" si="450"/>
        <v>80.311050781895901</v>
      </c>
      <c r="T157" s="172">
        <f t="shared" si="451"/>
        <v>15</v>
      </c>
      <c r="U157" s="217">
        <f t="shared" si="452"/>
        <v>17.323366072915782</v>
      </c>
      <c r="V157" s="217">
        <f t="shared" si="453"/>
        <v>11.192689100603635</v>
      </c>
      <c r="W157" s="217">
        <f t="shared" si="454"/>
        <v>13.277767330645919</v>
      </c>
      <c r="X157" s="197">
        <f t="shared" si="455"/>
        <v>70.792983047072596</v>
      </c>
      <c r="Y157" s="443">
        <f t="shared" si="328"/>
        <v>40.534312884998791</v>
      </c>
      <c r="AA157" s="217">
        <f t="shared" si="456"/>
        <v>10</v>
      </c>
      <c r="AB157" s="173">
        <f t="shared" si="457"/>
        <v>7.6646578238654461</v>
      </c>
      <c r="AC157" s="173">
        <f t="shared" si="458"/>
        <v>2.7130199569325941</v>
      </c>
      <c r="AD157" s="173"/>
      <c r="AE157" s="173">
        <f t="shared" si="459"/>
        <v>7.6646578238654461</v>
      </c>
      <c r="AF157" s="545">
        <f t="shared" si="460"/>
        <v>122.64083036728941</v>
      </c>
      <c r="AG157" s="528">
        <f t="shared" si="461"/>
        <v>2.7130199569325946</v>
      </c>
      <c r="AI157" s="173">
        <f t="shared" si="462"/>
        <v>5.9194794743961205</v>
      </c>
      <c r="AJ157" s="173">
        <f t="shared" si="463"/>
        <v>17.323366072915782</v>
      </c>
      <c r="AK157" s="173">
        <f t="shared" si="464"/>
        <v>6.6247156095672457</v>
      </c>
      <c r="AM157" s="545">
        <f t="shared" si="465"/>
        <v>4699.9999999999991</v>
      </c>
      <c r="AN157" s="460">
        <f t="shared" si="466"/>
        <v>40.534312884998791</v>
      </c>
      <c r="AP157">
        <f t="shared" si="467"/>
        <v>4699.9999999999991</v>
      </c>
      <c r="AQ157">
        <f t="shared" si="468"/>
        <v>40.534312884998791</v>
      </c>
      <c r="AS157" s="5">
        <f t="shared" si="439"/>
        <v>24.670456431249555</v>
      </c>
      <c r="AT157" s="5">
        <f t="shared" si="469"/>
        <v>11.192689100603635</v>
      </c>
      <c r="AU157" s="5">
        <f t="shared" si="343"/>
        <v>13.47776733064592</v>
      </c>
      <c r="AV157" s="5"/>
      <c r="AW157" s="173">
        <f t="shared" si="344"/>
        <v>0.45368796202838341</v>
      </c>
      <c r="AX157" s="173">
        <f t="shared" si="435"/>
        <v>72.985843516730498</v>
      </c>
      <c r="AY157" s="173">
        <f t="shared" si="436"/>
        <v>4.7319817119114909</v>
      </c>
      <c r="AZ157" s="173">
        <f t="shared" si="440"/>
        <v>15.423948772457905</v>
      </c>
      <c r="BA157" s="460">
        <f t="shared" si="433"/>
        <v>350.70425848558051</v>
      </c>
      <c r="BB157" s="5">
        <f t="shared" si="434"/>
        <v>14.211027590086999</v>
      </c>
      <c r="BD157" s="173">
        <f t="shared" si="441"/>
        <v>6.736747711981864</v>
      </c>
      <c r="BE157" s="173">
        <f t="shared" si="437"/>
        <v>7.3925120424109094</v>
      </c>
      <c r="BG157" s="528">
        <f t="shared" si="347"/>
        <v>0.90767539469785763</v>
      </c>
      <c r="BH157" s="528">
        <f t="shared" si="470"/>
        <v>0.45066359286688784</v>
      </c>
      <c r="BI157" s="528">
        <f t="shared" si="471"/>
        <v>1.8820966105001641E-2</v>
      </c>
      <c r="BJ157" s="528">
        <f t="shared" si="350"/>
        <v>4.7491405659253038E-3</v>
      </c>
      <c r="BK157">
        <f t="shared" si="351"/>
        <v>8.3577928371744159E-3</v>
      </c>
      <c r="BL157" s="460">
        <f t="shared" si="427"/>
        <v>27.178758942176056</v>
      </c>
      <c r="BM157" s="528">
        <f t="shared" si="472"/>
        <v>2.0503455353774456</v>
      </c>
      <c r="BN157" s="460">
        <f t="shared" si="353"/>
        <v>2050.3455353774457</v>
      </c>
      <c r="BO157" s="528">
        <f t="shared" si="354"/>
        <v>3.2899999999999991</v>
      </c>
      <c r="BR157" s="460">
        <f t="shared" si="355"/>
        <v>3289.9999999999991</v>
      </c>
      <c r="BS157" s="528">
        <f t="shared" si="356"/>
        <v>1.3615130920467864</v>
      </c>
      <c r="BT157" s="528">
        <f t="shared" si="357"/>
        <v>1.6394770289157095</v>
      </c>
      <c r="BU157" s="528">
        <f t="shared" si="358"/>
        <v>0.65329261718393972</v>
      </c>
      <c r="BV157" s="528"/>
      <c r="BW157" s="528">
        <f t="shared" si="359"/>
        <v>1.2164307252788416E-2</v>
      </c>
      <c r="BX157" s="460">
        <f t="shared" si="360"/>
        <v>3666.447045399224</v>
      </c>
      <c r="BY157" s="173">
        <f t="shared" si="361"/>
        <v>8.3467139324720705</v>
      </c>
      <c r="BZ157" s="5">
        <f t="shared" si="362"/>
        <v>70.499999999999986</v>
      </c>
      <c r="CA157" s="173">
        <f t="shared" si="363"/>
        <v>0.89413998990978139</v>
      </c>
      <c r="CB157" s="5">
        <f t="shared" si="364"/>
        <v>89.413998990978143</v>
      </c>
      <c r="CE157" s="562">
        <f t="shared" si="473"/>
        <v>-50</v>
      </c>
      <c r="CF157">
        <f t="shared" si="474"/>
        <v>-50</v>
      </c>
      <c r="CG157" s="173">
        <f t="shared" si="475"/>
        <v>0.55018761239383118</v>
      </c>
      <c r="CI157" s="170">
        <v>47</v>
      </c>
      <c r="CJ157" s="217">
        <f t="shared" si="428"/>
        <v>4.6999999999999993</v>
      </c>
      <c r="CK157" s="217"/>
      <c r="CL157" s="217">
        <f t="shared" si="368"/>
        <v>70.499999999999986</v>
      </c>
      <c r="CM157" s="541">
        <f t="shared" si="369"/>
        <v>19</v>
      </c>
      <c r="CN157" s="443">
        <f t="shared" si="370"/>
        <v>15.4</v>
      </c>
      <c r="CO157" s="443">
        <f t="shared" si="371"/>
        <v>34.4</v>
      </c>
      <c r="CP157" s="443"/>
      <c r="CQ157" s="217">
        <f t="shared" si="372"/>
        <v>0.44767441860465118</v>
      </c>
      <c r="CR157" s="172">
        <f t="shared" si="429"/>
        <v>212.84736191860466</v>
      </c>
      <c r="CS157" s="172">
        <f t="shared" si="373"/>
        <v>70.499999999999986</v>
      </c>
      <c r="CT157" s="217">
        <f t="shared" si="374"/>
        <v>14.189824127906977</v>
      </c>
      <c r="CU157" s="217">
        <f t="shared" si="375"/>
        <v>15</v>
      </c>
      <c r="CV157" s="217"/>
      <c r="CW157" s="172">
        <f t="shared" si="376"/>
        <v>82.155888635193207</v>
      </c>
      <c r="CX157" s="172">
        <f t="shared" si="377"/>
        <v>15</v>
      </c>
      <c r="CY157" s="217">
        <f t="shared" si="378"/>
        <v>16.576896787423099</v>
      </c>
      <c r="CZ157" s="217">
        <f t="shared" si="379"/>
        <v>10.469619023635643</v>
      </c>
      <c r="DA157" s="217">
        <f t="shared" si="380"/>
        <v>12.917062431758259</v>
      </c>
      <c r="DB157" s="197">
        <f t="shared" si="381"/>
        <v>70.881782945736433</v>
      </c>
      <c r="DC157" s="443">
        <f t="shared" si="382"/>
        <v>42.759380030353135</v>
      </c>
      <c r="DE157" s="217">
        <f t="shared" si="383"/>
        <v>10.000000000000002</v>
      </c>
      <c r="DF157" s="173">
        <f t="shared" si="384"/>
        <v>7.792207792207793</v>
      </c>
      <c r="DG157" s="173">
        <f t="shared" si="385"/>
        <v>2.7616279069767451</v>
      </c>
      <c r="DH157" s="173"/>
      <c r="DI157" s="173">
        <f t="shared" si="386"/>
        <v>7.7922077922077913</v>
      </c>
      <c r="DJ157" s="545">
        <f t="shared" si="387"/>
        <v>120.63333333333331</v>
      </c>
      <c r="DK157" s="528">
        <f t="shared" si="388"/>
        <v>2.7616279069767442</v>
      </c>
      <c r="DM157" s="173">
        <f t="shared" si="389"/>
        <v>5.8708318547431304</v>
      </c>
      <c r="DN157" s="173">
        <f t="shared" si="390"/>
        <v>16.576896787423099</v>
      </c>
      <c r="DO157" s="173">
        <f t="shared" si="391"/>
        <v>6.0717753980911846</v>
      </c>
      <c r="DQ157" s="545">
        <f t="shared" si="392"/>
        <v>4699.9999999999991</v>
      </c>
      <c r="DR157" s="460">
        <f t="shared" si="393"/>
        <v>42.759380030353135</v>
      </c>
      <c r="DT157">
        <f t="shared" si="430"/>
        <v>4699.9999999999991</v>
      </c>
      <c r="DU157">
        <f t="shared" si="431"/>
        <v>42.759380030353135</v>
      </c>
      <c r="DW157" s="5">
        <f t="shared" si="394"/>
        <v>23.386681455393902</v>
      </c>
      <c r="DX157" s="5">
        <f t="shared" si="395"/>
        <v>10.469619023635643</v>
      </c>
      <c r="DY157" s="5">
        <f t="shared" si="396"/>
        <v>12.917062431758259</v>
      </c>
      <c r="DZ157" s="5"/>
      <c r="EA157" s="173">
        <f t="shared" si="397"/>
        <v>0.44767441860465118</v>
      </c>
      <c r="EB157" s="173">
        <f t="shared" si="398"/>
        <v>70.499999999999986</v>
      </c>
      <c r="EC157" s="173">
        <f t="shared" si="399"/>
        <v>4.5779220779220768</v>
      </c>
      <c r="ED157" s="173">
        <f t="shared" si="400"/>
        <v>15.4</v>
      </c>
      <c r="EE157" s="460">
        <f t="shared" si="401"/>
        <v>328.04806274058342</v>
      </c>
      <c r="EF157" s="5">
        <f t="shared" si="402"/>
        <v>13.313638909926272</v>
      </c>
      <c r="EH157" s="173">
        <f t="shared" si="403"/>
        <v>6.4035933539359693</v>
      </c>
      <c r="EI157" s="173">
        <f t="shared" si="404"/>
        <v>7.1127932528451741</v>
      </c>
      <c r="EK157" s="528">
        <f t="shared" si="405"/>
        <v>0.82012015685145823</v>
      </c>
      <c r="EL157" s="528">
        <f t="shared" si="406"/>
        <v>0.48766666666666664</v>
      </c>
      <c r="EM157" s="528">
        <f t="shared" si="407"/>
        <v>5.344922503794142E-3</v>
      </c>
      <c r="EN157" s="528">
        <f t="shared" si="408"/>
        <v>5.0599739952718681E-3</v>
      </c>
      <c r="EO157">
        <f t="shared" si="409"/>
        <v>8.5500000000000003E-3</v>
      </c>
      <c r="EP157" s="460">
        <f t="shared" si="410"/>
        <v>13.894922503794142</v>
      </c>
      <c r="EQ157" s="460"/>
      <c r="ER157" s="460">
        <f t="shared" si="432"/>
        <v>1326.741720017191</v>
      </c>
      <c r="ES157" s="528">
        <f t="shared" si="411"/>
        <v>3.2899999999999991</v>
      </c>
      <c r="EV157" s="460">
        <f t="shared" si="412"/>
        <v>3289.9999999999991</v>
      </c>
      <c r="EW157" s="528">
        <f t="shared" si="413"/>
        <v>1.2301802352771873</v>
      </c>
      <c r="EX157" s="528">
        <f t="shared" si="414"/>
        <v>1.5177548357315951</v>
      </c>
      <c r="EY157" s="528">
        <f t="shared" si="415"/>
        <v>0.66881589702681232</v>
      </c>
      <c r="EZ157" s="528"/>
      <c r="FA157" s="528">
        <f t="shared" si="416"/>
        <v>1.1749999999999997E-2</v>
      </c>
      <c r="FB157" s="460">
        <f t="shared" si="417"/>
        <v>3428.5009680355947</v>
      </c>
      <c r="FC157" s="173">
        <f t="shared" si="418"/>
        <v>8.0452426880527845</v>
      </c>
      <c r="FD157" s="5">
        <f t="shared" si="419"/>
        <v>70.499999999999986</v>
      </c>
      <c r="FE157" s="173">
        <f t="shared" si="420"/>
        <v>0.89757186542786616</v>
      </c>
      <c r="FF157" s="5">
        <f t="shared" si="421"/>
        <v>89.757186542786613</v>
      </c>
      <c r="FI157" s="562">
        <f t="shared" si="422"/>
        <v>-50</v>
      </c>
      <c r="FJ157">
        <f t="shared" si="423"/>
        <v>-50</v>
      </c>
      <c r="FL157">
        <f t="shared" si="476"/>
        <v>0.55232558139534882</v>
      </c>
    </row>
    <row r="158" spans="5:168">
      <c r="E158" s="170">
        <v>48</v>
      </c>
      <c r="F158" s="217">
        <f t="shared" si="477"/>
        <v>4.8</v>
      </c>
      <c r="G158" s="217"/>
      <c r="H158" s="217">
        <f t="shared" si="442"/>
        <v>72</v>
      </c>
      <c r="I158" s="541">
        <f t="shared" si="443"/>
        <v>18.563820473757161</v>
      </c>
      <c r="J158" s="172">
        <f t="shared" si="444"/>
        <v>15.661707715745704</v>
      </c>
      <c r="K158" s="172">
        <f t="shared" si="445"/>
        <v>34.225528189502867</v>
      </c>
      <c r="L158" s="443"/>
      <c r="M158" s="217">
        <f t="shared" si="446"/>
        <v>0.45758737734304339</v>
      </c>
      <c r="N158" s="172">
        <f t="shared" si="447"/>
        <v>212.56599413703708</v>
      </c>
      <c r="O158" s="172">
        <f t="shared" si="438"/>
        <v>72</v>
      </c>
      <c r="P158" s="217">
        <f t="shared" si="448"/>
        <v>14.171066275802472</v>
      </c>
      <c r="Q158" s="217">
        <f t="shared" si="449"/>
        <v>15</v>
      </c>
      <c r="R158" s="217"/>
      <c r="S158" s="172">
        <f t="shared" si="450"/>
        <v>78.217196198298822</v>
      </c>
      <c r="T158" s="172">
        <f t="shared" si="451"/>
        <v>15</v>
      </c>
      <c r="U158" s="217">
        <f t="shared" si="452"/>
        <v>17.698703162502586</v>
      </c>
      <c r="V158" s="217">
        <f t="shared" si="453"/>
        <v>11.440772024824813</v>
      </c>
      <c r="W158" s="217">
        <f t="shared" si="454"/>
        <v>13.560745852542475</v>
      </c>
      <c r="X158" s="197">
        <f t="shared" si="455"/>
        <v>70.790514597213317</v>
      </c>
      <c r="Y158" s="443">
        <f t="shared" si="328"/>
        <v>39.680149619006457</v>
      </c>
      <c r="AA158" s="217">
        <f t="shared" si="456"/>
        <v>9.9999999999999982</v>
      </c>
      <c r="AB158" s="173">
        <f t="shared" si="457"/>
        <v>7.6619997115229266</v>
      </c>
      <c r="AC158" s="173">
        <f t="shared" si="458"/>
        <v>2.7119845121120392</v>
      </c>
      <c r="AD158" s="173"/>
      <c r="AE158" s="173">
        <f t="shared" si="459"/>
        <v>7.6619997115229284</v>
      </c>
      <c r="AF158" s="545">
        <f t="shared" si="460"/>
        <v>125.29366172596562</v>
      </c>
      <c r="AG158" s="528">
        <f t="shared" si="461"/>
        <v>2.7119845121120405</v>
      </c>
      <c r="AI158" s="173">
        <f t="shared" si="462"/>
        <v>5.9831587865074756</v>
      </c>
      <c r="AJ158" s="173">
        <f t="shared" si="463"/>
        <v>17.698703162502586</v>
      </c>
      <c r="AK158" s="173">
        <f t="shared" si="464"/>
        <v>6.902743083335249</v>
      </c>
      <c r="AM158" s="545">
        <f t="shared" si="465"/>
        <v>4800</v>
      </c>
      <c r="AN158" s="460">
        <f t="shared" si="466"/>
        <v>39.680149619006457</v>
      </c>
      <c r="AP158">
        <f t="shared" si="467"/>
        <v>4800</v>
      </c>
      <c r="AQ158">
        <f t="shared" si="468"/>
        <v>39.680149619006457</v>
      </c>
      <c r="AS158" s="5">
        <f t="shared" si="439"/>
        <v>25.201517877367291</v>
      </c>
      <c r="AT158" s="5">
        <f t="shared" si="469"/>
        <v>11.440772024824813</v>
      </c>
      <c r="AU158" s="5">
        <f t="shared" si="343"/>
        <v>13.760745852542478</v>
      </c>
      <c r="AV158" s="5"/>
      <c r="AW158" s="173">
        <f t="shared" si="344"/>
        <v>0.453971545701992</v>
      </c>
      <c r="AX158" s="173">
        <f t="shared" si="435"/>
        <v>74.577435016093375</v>
      </c>
      <c r="AY158" s="173">
        <f t="shared" si="436"/>
        <v>4.8319977654502768</v>
      </c>
      <c r="AZ158" s="173">
        <f t="shared" si="440"/>
        <v>15.434078953706587</v>
      </c>
      <c r="BA158" s="460">
        <f t="shared" si="433"/>
        <v>366.10470479439402</v>
      </c>
      <c r="BB158" s="5">
        <f t="shared" si="434"/>
        <v>14.825338213106967</v>
      </c>
      <c r="BD158" s="173">
        <f t="shared" si="441"/>
        <v>6.8848603318977739</v>
      </c>
      <c r="BE158" s="173">
        <f t="shared" si="437"/>
        <v>7.5507215607772764</v>
      </c>
      <c r="BG158" s="528">
        <f t="shared" si="347"/>
        <v>0.94802603579479061</v>
      </c>
      <c r="BH158" s="528">
        <f t="shared" si="470"/>
        <v>0.45067781255787898</v>
      </c>
      <c r="BI158" s="528">
        <f t="shared" si="471"/>
        <v>1.8415379347476484E-2</v>
      </c>
      <c r="BJ158" s="528">
        <f t="shared" si="350"/>
        <v>4.6480802686192256E-3</v>
      </c>
      <c r="BK158">
        <f t="shared" si="351"/>
        <v>8.3537192131907228E-3</v>
      </c>
      <c r="BL158" s="460">
        <f t="shared" si="427"/>
        <v>26.769098560667206</v>
      </c>
      <c r="BM158" s="528">
        <f t="shared" si="472"/>
        <v>2.1417503327218537</v>
      </c>
      <c r="BN158" s="460">
        <f t="shared" si="353"/>
        <v>2141.7503327218537</v>
      </c>
      <c r="BO158" s="528">
        <f t="shared" si="354"/>
        <v>3.36</v>
      </c>
      <c r="BR158" s="460">
        <f t="shared" si="355"/>
        <v>3360</v>
      </c>
      <c r="BS158" s="528">
        <f t="shared" si="356"/>
        <v>1.4220390536921859</v>
      </c>
      <c r="BT158" s="528">
        <f t="shared" si="357"/>
        <v>1.7104018826516048</v>
      </c>
      <c r="BU158" s="528">
        <f t="shared" si="358"/>
        <v>0.65351697169713274</v>
      </c>
      <c r="BV158" s="528"/>
      <c r="BW158" s="528">
        <f t="shared" si="359"/>
        <v>1.2429572502682231E-2</v>
      </c>
      <c r="BX158" s="460">
        <f t="shared" si="360"/>
        <v>3798.3874805436058</v>
      </c>
      <c r="BY158" s="173">
        <f t="shared" si="361"/>
        <v>8.5885085077255621</v>
      </c>
      <c r="BZ158" s="5">
        <f t="shared" si="362"/>
        <v>72</v>
      </c>
      <c r="CA158" s="173">
        <f t="shared" si="363"/>
        <v>0.89342762799857212</v>
      </c>
      <c r="CB158" s="5">
        <f t="shared" si="364"/>
        <v>89.342762799857212</v>
      </c>
      <c r="CE158" s="562">
        <f t="shared" si="473"/>
        <v>-50</v>
      </c>
      <c r="CF158">
        <f t="shared" si="474"/>
        <v>-50</v>
      </c>
      <c r="CG158" s="173">
        <f t="shared" si="475"/>
        <v>0.55023215341469611</v>
      </c>
      <c r="CI158" s="170">
        <v>48</v>
      </c>
      <c r="CJ158" s="217">
        <f t="shared" si="428"/>
        <v>4.8</v>
      </c>
      <c r="CK158" s="217"/>
      <c r="CL158" s="217">
        <f t="shared" si="368"/>
        <v>72</v>
      </c>
      <c r="CM158" s="541">
        <f t="shared" si="369"/>
        <v>19</v>
      </c>
      <c r="CN158" s="443">
        <f t="shared" si="370"/>
        <v>15.4</v>
      </c>
      <c r="CO158" s="443">
        <f t="shared" si="371"/>
        <v>34.4</v>
      </c>
      <c r="CP158" s="443"/>
      <c r="CQ158" s="217">
        <f t="shared" si="372"/>
        <v>0.44767441860465118</v>
      </c>
      <c r="CR158" s="172">
        <f t="shared" si="429"/>
        <v>212.84736191860466</v>
      </c>
      <c r="CS158" s="172">
        <f t="shared" si="373"/>
        <v>72</v>
      </c>
      <c r="CT158" s="217">
        <f t="shared" si="374"/>
        <v>14.189824127906977</v>
      </c>
      <c r="CU158" s="217">
        <f t="shared" si="375"/>
        <v>15</v>
      </c>
      <c r="CV158" s="217"/>
      <c r="CW158" s="172">
        <f t="shared" si="376"/>
        <v>80.052798661158775</v>
      </c>
      <c r="CX158" s="172">
        <f t="shared" si="377"/>
        <v>15</v>
      </c>
      <c r="CY158" s="217">
        <f t="shared" si="378"/>
        <v>16.929596719070403</v>
      </c>
      <c r="CZ158" s="217">
        <f t="shared" si="379"/>
        <v>10.69237687520236</v>
      </c>
      <c r="DA158" s="217">
        <f t="shared" si="380"/>
        <v>13.191893547327586</v>
      </c>
      <c r="DB158" s="197">
        <f t="shared" si="381"/>
        <v>70.881782945736433</v>
      </c>
      <c r="DC158" s="443">
        <f t="shared" si="382"/>
        <v>41.86855961305411</v>
      </c>
      <c r="DE158" s="217">
        <f t="shared" si="383"/>
        <v>10.000000000000002</v>
      </c>
      <c r="DF158" s="173">
        <f t="shared" si="384"/>
        <v>7.792207792207793</v>
      </c>
      <c r="DG158" s="173">
        <f t="shared" si="385"/>
        <v>2.7616279069767451</v>
      </c>
      <c r="DH158" s="173"/>
      <c r="DI158" s="173">
        <f t="shared" si="386"/>
        <v>7.7922077922077913</v>
      </c>
      <c r="DJ158" s="545">
        <f t="shared" si="387"/>
        <v>123.2</v>
      </c>
      <c r="DK158" s="528">
        <f t="shared" si="388"/>
        <v>2.7616279069767442</v>
      </c>
      <c r="DM158" s="173">
        <f t="shared" si="389"/>
        <v>5.9329587896765306</v>
      </c>
      <c r="DN158" s="173">
        <f t="shared" si="390"/>
        <v>16.929596719070403</v>
      </c>
      <c r="DO158" s="173">
        <f t="shared" si="391"/>
        <v>6.333034606718817</v>
      </c>
      <c r="DQ158" s="545">
        <f t="shared" si="392"/>
        <v>4800</v>
      </c>
      <c r="DR158" s="460">
        <f t="shared" si="393"/>
        <v>41.86855961305411</v>
      </c>
      <c r="DT158">
        <f t="shared" si="430"/>
        <v>4800</v>
      </c>
      <c r="DU158">
        <f t="shared" si="431"/>
        <v>41.86855961305411</v>
      </c>
      <c r="DW158" s="5">
        <f t="shared" si="394"/>
        <v>23.884270422529944</v>
      </c>
      <c r="DX158" s="5">
        <f t="shared" si="395"/>
        <v>10.69237687520236</v>
      </c>
      <c r="DY158" s="5">
        <f t="shared" si="396"/>
        <v>13.191893547327584</v>
      </c>
      <c r="DZ158" s="5"/>
      <c r="EA158" s="173">
        <f t="shared" si="397"/>
        <v>0.44767441860465118</v>
      </c>
      <c r="EB158" s="173">
        <f t="shared" si="398"/>
        <v>72.000000000000014</v>
      </c>
      <c r="EC158" s="173">
        <f t="shared" si="399"/>
        <v>4.6753246753246751</v>
      </c>
      <c r="ED158" s="173">
        <f t="shared" si="400"/>
        <v>15.400000000000004</v>
      </c>
      <c r="EE158" s="460">
        <f t="shared" si="401"/>
        <v>342.15606000647546</v>
      </c>
      <c r="EF158" s="5">
        <f t="shared" si="402"/>
        <v>13.886203734029035</v>
      </c>
      <c r="EH158" s="173">
        <f t="shared" si="403"/>
        <v>6.5398400210409919</v>
      </c>
      <c r="EI158" s="173">
        <f t="shared" si="404"/>
        <v>7.2641292795014563</v>
      </c>
      <c r="EK158" s="528">
        <f t="shared" si="405"/>
        <v>0.85539015001618879</v>
      </c>
      <c r="EL158" s="528">
        <f t="shared" si="406"/>
        <v>0.48766666666666675</v>
      </c>
      <c r="EM158" s="528">
        <f t="shared" si="407"/>
        <v>5.2335699516317643E-3</v>
      </c>
      <c r="EN158" s="528">
        <f t="shared" si="408"/>
        <v>4.9545578703703713E-3</v>
      </c>
      <c r="EO158">
        <f t="shared" si="409"/>
        <v>8.5500000000000003E-3</v>
      </c>
      <c r="EP158" s="460">
        <f t="shared" si="410"/>
        <v>13.783569951631765</v>
      </c>
      <c r="EQ158" s="460"/>
      <c r="ER158" s="460">
        <f t="shared" si="432"/>
        <v>1361.7949445048578</v>
      </c>
      <c r="ES158" s="528">
        <f t="shared" si="411"/>
        <v>3.36</v>
      </c>
      <c r="EV158" s="460">
        <f t="shared" si="412"/>
        <v>3360</v>
      </c>
      <c r="EW158" s="528">
        <f t="shared" si="413"/>
        <v>1.2830852250242832</v>
      </c>
      <c r="EX158" s="528">
        <f t="shared" si="414"/>
        <v>1.5830272256793103</v>
      </c>
      <c r="EY158" s="528">
        <f t="shared" si="415"/>
        <v>0.66881589702681288</v>
      </c>
      <c r="EZ158" s="528"/>
      <c r="FA158" s="528">
        <f t="shared" si="416"/>
        <v>1.2000000000000004E-2</v>
      </c>
      <c r="FB158" s="460">
        <f t="shared" si="417"/>
        <v>3546.9283477304066</v>
      </c>
      <c r="FC158" s="173">
        <f t="shared" si="418"/>
        <v>8.2687232922352649</v>
      </c>
      <c r="FD158" s="5">
        <f t="shared" si="419"/>
        <v>72</v>
      </c>
      <c r="FE158" s="173">
        <f t="shared" si="420"/>
        <v>0.89698698380773756</v>
      </c>
      <c r="FF158" s="5">
        <f t="shared" si="421"/>
        <v>89.698698380773749</v>
      </c>
      <c r="FI158" s="562">
        <f t="shared" si="422"/>
        <v>-50</v>
      </c>
      <c r="FJ158">
        <f t="shared" si="423"/>
        <v>-50</v>
      </c>
      <c r="FL158">
        <f t="shared" si="476"/>
        <v>0.55232558139534882</v>
      </c>
    </row>
    <row r="159" spans="5:168">
      <c r="E159" s="170">
        <v>49</v>
      </c>
      <c r="F159" s="217">
        <f t="shared" si="477"/>
        <v>4.9000000000000004</v>
      </c>
      <c r="G159" s="217"/>
      <c r="H159" s="217">
        <f t="shared" si="442"/>
        <v>73.5</v>
      </c>
      <c r="I159" s="541">
        <f t="shared" si="443"/>
        <v>18.554767970532506</v>
      </c>
      <c r="J159" s="172">
        <f t="shared" si="444"/>
        <v>15.667139217680496</v>
      </c>
      <c r="K159" s="172">
        <f t="shared" si="445"/>
        <v>34.221907188213002</v>
      </c>
      <c r="L159" s="443"/>
      <c r="M159" s="217">
        <f t="shared" si="446"/>
        <v>0.4577945158172998</v>
      </c>
      <c r="N159" s="172">
        <f t="shared" si="447"/>
        <v>212.55851441601209</v>
      </c>
      <c r="O159" s="172">
        <f t="shared" si="438"/>
        <v>73.5</v>
      </c>
      <c r="P159" s="217">
        <f t="shared" si="448"/>
        <v>14.170567627734139</v>
      </c>
      <c r="Q159" s="217">
        <f t="shared" si="449"/>
        <v>15</v>
      </c>
      <c r="R159" s="217"/>
      <c r="S159" s="172">
        <f t="shared" si="450"/>
        <v>76.209295534798358</v>
      </c>
      <c r="T159" s="172">
        <f t="shared" si="451"/>
        <v>15</v>
      </c>
      <c r="U159" s="217">
        <f t="shared" si="452"/>
        <v>18.074328434305951</v>
      </c>
      <c r="V159" s="217">
        <f t="shared" si="453"/>
        <v>11.689283399077009</v>
      </c>
      <c r="W159" s="217">
        <f t="shared" si="454"/>
        <v>13.843748893665733</v>
      </c>
      <c r="X159" s="197">
        <f t="shared" si="455"/>
        <v>70.788021677484906</v>
      </c>
      <c r="Y159" s="443">
        <f t="shared" si="328"/>
        <v>38.860558235961221</v>
      </c>
      <c r="AA159" s="217">
        <f t="shared" si="456"/>
        <v>10</v>
      </c>
      <c r="AB159" s="173">
        <f t="shared" si="457"/>
        <v>7.6593434406058636</v>
      </c>
      <c r="AC159" s="173">
        <f t="shared" si="458"/>
        <v>2.7109488475445485</v>
      </c>
      <c r="AD159" s="173"/>
      <c r="AE159" s="173">
        <f t="shared" si="459"/>
        <v>7.6593434406058636</v>
      </c>
      <c r="AF159" s="545">
        <f t="shared" si="460"/>
        <v>127.9483036110574</v>
      </c>
      <c r="AG159" s="528">
        <f t="shared" si="461"/>
        <v>2.7109488475445489</v>
      </c>
      <c r="AI159" s="173">
        <f t="shared" si="462"/>
        <v>6.0462102324173133</v>
      </c>
      <c r="AJ159" s="173">
        <f t="shared" si="463"/>
        <v>18.074328434305951</v>
      </c>
      <c r="AK159" s="173">
        <f t="shared" si="464"/>
        <v>7.1809840254118154</v>
      </c>
      <c r="AM159" s="545">
        <f t="shared" si="465"/>
        <v>4900</v>
      </c>
      <c r="AN159" s="460">
        <f t="shared" si="466"/>
        <v>38.860558235961221</v>
      </c>
      <c r="AP159">
        <f t="shared" si="467"/>
        <v>4900</v>
      </c>
      <c r="AQ159">
        <f t="shared" si="468"/>
        <v>38.860558235961221</v>
      </c>
      <c r="AS159" s="5">
        <f t="shared" si="439"/>
        <v>25.733032292742742</v>
      </c>
      <c r="AT159" s="5">
        <f t="shared" si="469"/>
        <v>11.689283399077009</v>
      </c>
      <c r="AU159" s="5">
        <f t="shared" si="343"/>
        <v>14.043748893665732</v>
      </c>
      <c r="AV159" s="5"/>
      <c r="AW159" s="173">
        <f t="shared" si="344"/>
        <v>0.45425207826648684</v>
      </c>
      <c r="AX159" s="173">
        <f t="shared" si="435"/>
        <v>76.17011737321566</v>
      </c>
      <c r="AY159" s="173">
        <f t="shared" si="436"/>
        <v>4.9320135898757078</v>
      </c>
      <c r="AZ159" s="173">
        <f t="shared" si="440"/>
        <v>15.444020172526578</v>
      </c>
      <c r="BA159" s="460">
        <f t="shared" si="433"/>
        <v>381.84992436984896</v>
      </c>
      <c r="BB159" s="5">
        <f t="shared" si="434"/>
        <v>15.452984395585155</v>
      </c>
      <c r="BD159" s="173">
        <f t="shared" si="441"/>
        <v>7.0331520060215027</v>
      </c>
      <c r="BE159" s="173">
        <f t="shared" si="437"/>
        <v>7.7089918694934365</v>
      </c>
      <c r="BG159" s="528">
        <f t="shared" si="347"/>
        <v>0.98930454279608571</v>
      </c>
      <c r="BH159" s="528">
        <f t="shared" si="470"/>
        <v>0.45068871727653304</v>
      </c>
      <c r="BI159" s="528">
        <f t="shared" si="471"/>
        <v>1.802621603184066E-2</v>
      </c>
      <c r="BJ159" s="528">
        <f t="shared" si="350"/>
        <v>4.5511112653791319E-3</v>
      </c>
      <c r="BK159">
        <f t="shared" si="351"/>
        <v>8.3496455867396267E-3</v>
      </c>
      <c r="BL159" s="460">
        <f t="shared" si="427"/>
        <v>26.375861618580284</v>
      </c>
      <c r="BM159" s="528">
        <f t="shared" si="472"/>
        <v>2.2376314767387115</v>
      </c>
      <c r="BN159" s="460">
        <f t="shared" si="353"/>
        <v>2237.6314767387116</v>
      </c>
      <c r="BO159" s="528">
        <f t="shared" si="354"/>
        <v>3.43</v>
      </c>
      <c r="BR159" s="460">
        <f t="shared" si="355"/>
        <v>3430</v>
      </c>
      <c r="BS159" s="528">
        <f t="shared" si="356"/>
        <v>1.4839568141941284</v>
      </c>
      <c r="BT159" s="528">
        <f t="shared" si="357"/>
        <v>1.7828566693174772</v>
      </c>
      <c r="BU159" s="528">
        <f t="shared" si="358"/>
        <v>0.65372939894555937</v>
      </c>
      <c r="BV159" s="528"/>
      <c r="BW159" s="528">
        <f t="shared" si="359"/>
        <v>1.2695019562202611E-2</v>
      </c>
      <c r="BX159" s="460">
        <f t="shared" si="360"/>
        <v>3933.2379020193675</v>
      </c>
      <c r="BY159" s="173">
        <f t="shared" si="361"/>
        <v>8.8341581349759473</v>
      </c>
      <c r="BZ159" s="5">
        <f t="shared" si="362"/>
        <v>73.5</v>
      </c>
      <c r="CA159" s="173">
        <f t="shared" si="363"/>
        <v>0.89270360765098833</v>
      </c>
      <c r="CB159" s="5">
        <f t="shared" si="364"/>
        <v>89.270360765098829</v>
      </c>
      <c r="CE159" s="562">
        <f t="shared" si="473"/>
        <v>-50</v>
      </c>
      <c r="CF159">
        <f t="shared" si="474"/>
        <v>-50</v>
      </c>
      <c r="CG159" s="173">
        <f t="shared" si="475"/>
        <v>0.55027487643470929</v>
      </c>
      <c r="CI159" s="170">
        <v>49</v>
      </c>
      <c r="CJ159" s="217">
        <f t="shared" si="428"/>
        <v>4.9000000000000004</v>
      </c>
      <c r="CK159" s="217"/>
      <c r="CL159" s="217">
        <f t="shared" si="368"/>
        <v>73.5</v>
      </c>
      <c r="CM159" s="541">
        <f t="shared" si="369"/>
        <v>19</v>
      </c>
      <c r="CN159" s="443">
        <f t="shared" si="370"/>
        <v>15.4</v>
      </c>
      <c r="CO159" s="443">
        <f t="shared" si="371"/>
        <v>34.4</v>
      </c>
      <c r="CP159" s="443"/>
      <c r="CQ159" s="217">
        <f t="shared" si="372"/>
        <v>0.44767441860465118</v>
      </c>
      <c r="CR159" s="172">
        <f t="shared" si="429"/>
        <v>212.84736191860466</v>
      </c>
      <c r="CS159" s="172">
        <f t="shared" si="373"/>
        <v>73.5</v>
      </c>
      <c r="CT159" s="217">
        <f t="shared" si="374"/>
        <v>14.189824127906977</v>
      </c>
      <c r="CU159" s="217">
        <f t="shared" si="375"/>
        <v>15</v>
      </c>
      <c r="CV159" s="217"/>
      <c r="CW159" s="172">
        <f t="shared" si="376"/>
        <v>78.035670200853616</v>
      </c>
      <c r="CX159" s="172">
        <f t="shared" si="377"/>
        <v>15</v>
      </c>
      <c r="CY159" s="217">
        <f t="shared" si="378"/>
        <v>17.282296650717701</v>
      </c>
      <c r="CZ159" s="217">
        <f t="shared" si="379"/>
        <v>10.915134726769075</v>
      </c>
      <c r="DA159" s="217">
        <f t="shared" si="380"/>
        <v>13.466724662896908</v>
      </c>
      <c r="DB159" s="197">
        <f t="shared" si="381"/>
        <v>70.881782945736433</v>
      </c>
      <c r="DC159" s="443">
        <f t="shared" si="382"/>
        <v>41.014099212787706</v>
      </c>
      <c r="DE159" s="217">
        <f t="shared" si="383"/>
        <v>10.000000000000002</v>
      </c>
      <c r="DF159" s="173">
        <f t="shared" si="384"/>
        <v>7.792207792207793</v>
      </c>
      <c r="DG159" s="173">
        <f t="shared" si="385"/>
        <v>2.7616279069767451</v>
      </c>
      <c r="DH159" s="173"/>
      <c r="DI159" s="173">
        <f t="shared" si="386"/>
        <v>7.7922077922077913</v>
      </c>
      <c r="DJ159" s="545">
        <f t="shared" si="387"/>
        <v>125.76666666666668</v>
      </c>
      <c r="DK159" s="528">
        <f t="shared" si="388"/>
        <v>2.7616279069767442</v>
      </c>
      <c r="DM159" s="173">
        <f t="shared" si="389"/>
        <v>5.994441870043727</v>
      </c>
      <c r="DN159" s="173">
        <f t="shared" si="390"/>
        <v>17.282296650717701</v>
      </c>
      <c r="DO159" s="173">
        <f t="shared" si="391"/>
        <v>6.594293815346445</v>
      </c>
      <c r="DQ159" s="545">
        <f t="shared" si="392"/>
        <v>4900</v>
      </c>
      <c r="DR159" s="460">
        <f t="shared" si="393"/>
        <v>41.014099212787706</v>
      </c>
      <c r="DT159">
        <f t="shared" si="430"/>
        <v>4900</v>
      </c>
      <c r="DU159">
        <f t="shared" si="431"/>
        <v>41.014099212787706</v>
      </c>
      <c r="DW159" s="5">
        <f t="shared" si="394"/>
        <v>24.38185938966598</v>
      </c>
      <c r="DX159" s="5">
        <f t="shared" si="395"/>
        <v>10.915134726769075</v>
      </c>
      <c r="DY159" s="5">
        <f t="shared" si="396"/>
        <v>13.466724662896905</v>
      </c>
      <c r="DZ159" s="5"/>
      <c r="EA159" s="173">
        <f t="shared" si="397"/>
        <v>0.44767441860465129</v>
      </c>
      <c r="EB159" s="173">
        <f t="shared" si="398"/>
        <v>73.500000000000014</v>
      </c>
      <c r="EC159" s="173">
        <f t="shared" si="399"/>
        <v>4.7727272727272707</v>
      </c>
      <c r="ED159" s="173">
        <f t="shared" si="400"/>
        <v>15.400000000000009</v>
      </c>
      <c r="EE159" s="460">
        <f t="shared" si="401"/>
        <v>356.56106774112317</v>
      </c>
      <c r="EF159" s="5">
        <f t="shared" si="402"/>
        <v>14.47082255442869</v>
      </c>
      <c r="EH159" s="173">
        <f t="shared" si="403"/>
        <v>6.6760866881460128</v>
      </c>
      <c r="EI159" s="173">
        <f t="shared" si="404"/>
        <v>7.4154653061577349</v>
      </c>
      <c r="EK159" s="528">
        <f t="shared" si="405"/>
        <v>0.89140266935280799</v>
      </c>
      <c r="EL159" s="528">
        <f t="shared" si="406"/>
        <v>0.48766666666666675</v>
      </c>
      <c r="EM159" s="528">
        <f t="shared" si="407"/>
        <v>5.1267624015984628E-3</v>
      </c>
      <c r="EN159" s="528">
        <f t="shared" si="408"/>
        <v>4.8534444444444458E-3</v>
      </c>
      <c r="EO159">
        <f t="shared" si="409"/>
        <v>8.5500000000000003E-3</v>
      </c>
      <c r="EP159" s="460">
        <f t="shared" si="410"/>
        <v>13.676762401598463</v>
      </c>
      <c r="EQ159" s="460"/>
      <c r="ER159" s="460">
        <f t="shared" si="432"/>
        <v>1397.5995428655176</v>
      </c>
      <c r="ES159" s="528">
        <f t="shared" si="411"/>
        <v>3.43</v>
      </c>
      <c r="EV159" s="460">
        <f t="shared" si="412"/>
        <v>3430</v>
      </c>
      <c r="EW159" s="528">
        <f t="shared" si="413"/>
        <v>1.3371040040292119</v>
      </c>
      <c r="EX159" s="528">
        <f t="shared" si="414"/>
        <v>1.6496737712048708</v>
      </c>
      <c r="EY159" s="528">
        <f t="shared" si="415"/>
        <v>0.66881589702681299</v>
      </c>
      <c r="EZ159" s="528"/>
      <c r="FA159" s="528">
        <f t="shared" si="416"/>
        <v>1.225E-2</v>
      </c>
      <c r="FB159" s="460">
        <f t="shared" si="417"/>
        <v>3667.8436722608953</v>
      </c>
      <c r="FC159" s="173">
        <f t="shared" si="418"/>
        <v>8.4954432151264125</v>
      </c>
      <c r="FD159" s="5">
        <f t="shared" si="419"/>
        <v>73.5</v>
      </c>
      <c r="FE159" s="173">
        <f t="shared" si="420"/>
        <v>0.8963912763684021</v>
      </c>
      <c r="FF159" s="5">
        <f t="shared" si="421"/>
        <v>89.639127636840215</v>
      </c>
      <c r="FI159" s="562">
        <f t="shared" si="422"/>
        <v>-50</v>
      </c>
      <c r="FJ159">
        <f t="shared" si="423"/>
        <v>-50</v>
      </c>
      <c r="FL159">
        <f t="shared" si="476"/>
        <v>0.55232558139534871</v>
      </c>
    </row>
    <row r="160" spans="5:168">
      <c r="E160" s="170">
        <v>50</v>
      </c>
      <c r="F160" s="217">
        <f t="shared" si="477"/>
        <v>5</v>
      </c>
      <c r="G160" s="217"/>
      <c r="H160" s="217">
        <f t="shared" si="442"/>
        <v>75</v>
      </c>
      <c r="I160" s="541">
        <f t="shared" si="443"/>
        <v>18.545715462154931</v>
      </c>
      <c r="J160" s="172">
        <f t="shared" si="444"/>
        <v>15.672570722707041</v>
      </c>
      <c r="K160" s="172">
        <f t="shared" si="445"/>
        <v>34.218286184861974</v>
      </c>
      <c r="L160" s="443"/>
      <c r="M160" s="217">
        <f t="shared" si="446"/>
        <v>0.45800169819992281</v>
      </c>
      <c r="N160" s="172">
        <f t="shared" si="447"/>
        <v>212.5509611679181</v>
      </c>
      <c r="O160" s="172">
        <f t="shared" si="438"/>
        <v>75</v>
      </c>
      <c r="P160" s="217">
        <f t="shared" si="448"/>
        <v>14.170064077861207</v>
      </c>
      <c r="Q160" s="217">
        <f t="shared" si="449"/>
        <v>15</v>
      </c>
      <c r="R160" s="217"/>
      <c r="S160" s="172">
        <f t="shared" si="450"/>
        <v>74.282193240254102</v>
      </c>
      <c r="T160" s="172">
        <f t="shared" si="451"/>
        <v>15</v>
      </c>
      <c r="U160" s="217">
        <f t="shared" si="452"/>
        <v>18.450242310332232</v>
      </c>
      <c r="V160" s="217">
        <f t="shared" si="453"/>
        <v>11.938224123830096</v>
      </c>
      <c r="W160" s="217">
        <f t="shared" si="454"/>
        <v>14.126776751640973</v>
      </c>
      <c r="X160" s="197">
        <f t="shared" si="455"/>
        <v>70.785504280167359</v>
      </c>
      <c r="Y160" s="443">
        <f t="shared" si="328"/>
        <v>38.073480550838347</v>
      </c>
      <c r="AA160" s="217">
        <f t="shared" si="456"/>
        <v>10</v>
      </c>
      <c r="AB160" s="173">
        <f t="shared" si="457"/>
        <v>7.6566890092982165</v>
      </c>
      <c r="AC160" s="173">
        <f t="shared" si="458"/>
        <v>2.7099129631979464</v>
      </c>
      <c r="AD160" s="173"/>
      <c r="AE160" s="173">
        <f t="shared" si="459"/>
        <v>7.6566890092982165</v>
      </c>
      <c r="AF160" s="545">
        <f t="shared" si="460"/>
        <v>130.60475602255866</v>
      </c>
      <c r="AG160" s="528">
        <f t="shared" si="461"/>
        <v>2.7099129631979468</v>
      </c>
      <c r="AI160" s="173">
        <f t="shared" si="462"/>
        <v>6.1086532540220277</v>
      </c>
      <c r="AJ160" s="173">
        <f t="shared" si="463"/>
        <v>18.450242310332232</v>
      </c>
      <c r="AK160" s="173">
        <f t="shared" si="464"/>
        <v>7.4594387483942457</v>
      </c>
      <c r="AM160" s="545">
        <f t="shared" si="465"/>
        <v>5000</v>
      </c>
      <c r="AN160" s="460">
        <f t="shared" si="466"/>
        <v>38.073480550838347</v>
      </c>
      <c r="AP160">
        <f t="shared" si="467"/>
        <v>5000</v>
      </c>
      <c r="AQ160">
        <f t="shared" si="468"/>
        <v>38.073480550838347</v>
      </c>
      <c r="AS160" s="5">
        <f t="shared" si="439"/>
        <v>26.26500087547107</v>
      </c>
      <c r="AT160" s="5">
        <f t="shared" si="469"/>
        <v>11.938224123830096</v>
      </c>
      <c r="AU160" s="5">
        <f t="shared" si="343"/>
        <v>14.326776751640974</v>
      </c>
      <c r="AV160" s="5"/>
      <c r="AW160" s="173">
        <f t="shared" si="344"/>
        <v>0.45452974399019436</v>
      </c>
      <c r="AX160" s="173">
        <f t="shared" si="435"/>
        <v>77.763890339988805</v>
      </c>
      <c r="AY160" s="173">
        <f t="shared" si="436"/>
        <v>5.0320291982299361</v>
      </c>
      <c r="AZ160" s="173">
        <f t="shared" si="440"/>
        <v>15.453783608279338</v>
      </c>
      <c r="BA160" s="460">
        <f t="shared" si="433"/>
        <v>397.94080412766988</v>
      </c>
      <c r="BB160" s="5">
        <f t="shared" si="434"/>
        <v>16.093987652741955</v>
      </c>
      <c r="BD160" s="173">
        <f t="shared" si="441"/>
        <v>7.1816229658287174</v>
      </c>
      <c r="BE160" s="173">
        <f t="shared" si="437"/>
        <v>7.8673230525598363</v>
      </c>
      <c r="BG160" s="528">
        <f t="shared" si="347"/>
        <v>1.0315141684663691</v>
      </c>
      <c r="BH160" s="528">
        <f t="shared" si="470"/>
        <v>0.45069649522499355</v>
      </c>
      <c r="BI160" s="528">
        <f t="shared" si="471"/>
        <v>1.7652498423743442E-2</v>
      </c>
      <c r="BJ160" s="528">
        <f t="shared" si="350"/>
        <v>4.4579899881998985E-3</v>
      </c>
      <c r="BK160">
        <f t="shared" si="351"/>
        <v>8.3455719579697187E-3</v>
      </c>
      <c r="BL160" s="460">
        <f t="shared" si="427"/>
        <v>25.998070381713159</v>
      </c>
      <c r="BM160" s="528">
        <f t="shared" si="472"/>
        <v>2.3382552310913298</v>
      </c>
      <c r="BN160" s="460">
        <f t="shared" si="353"/>
        <v>2338.2552310913297</v>
      </c>
      <c r="BO160" s="528">
        <f t="shared" si="354"/>
        <v>3.5</v>
      </c>
      <c r="BR160" s="460">
        <f t="shared" si="355"/>
        <v>3500</v>
      </c>
      <c r="BS160" s="528">
        <f t="shared" si="356"/>
        <v>1.5472712526995538</v>
      </c>
      <c r="BT160" s="528">
        <f t="shared" si="357"/>
        <v>1.8568431604001825</v>
      </c>
      <c r="BU160" s="528">
        <f t="shared" si="358"/>
        <v>0.65393057079178896</v>
      </c>
      <c r="BV160" s="528"/>
      <c r="BW160" s="528">
        <f t="shared" si="359"/>
        <v>1.2960648389998133E-2</v>
      </c>
      <c r="BX160" s="460">
        <f t="shared" si="360"/>
        <v>4071.0056322815235</v>
      </c>
      <c r="BY160" s="173">
        <f t="shared" si="361"/>
        <v>9.0836723563427988</v>
      </c>
      <c r="BZ160" s="5">
        <f t="shared" si="362"/>
        <v>75</v>
      </c>
      <c r="CA160" s="173">
        <f t="shared" si="363"/>
        <v>0.89196865334512732</v>
      </c>
      <c r="CB160" s="5">
        <f t="shared" si="364"/>
        <v>89.196865334512736</v>
      </c>
      <c r="CE160" s="562">
        <f t="shared" si="473"/>
        <v>-50</v>
      </c>
      <c r="CF160">
        <f t="shared" si="474"/>
        <v>-50</v>
      </c>
      <c r="CG160" s="173">
        <f t="shared" si="475"/>
        <v>0.55031589053392216</v>
      </c>
      <c r="CI160" s="170">
        <v>50</v>
      </c>
      <c r="CJ160" s="217">
        <f t="shared" si="428"/>
        <v>5</v>
      </c>
      <c r="CK160" s="217"/>
      <c r="CL160" s="217">
        <f t="shared" si="368"/>
        <v>75</v>
      </c>
      <c r="CM160" s="541">
        <f t="shared" si="369"/>
        <v>19</v>
      </c>
      <c r="CN160" s="443">
        <f t="shared" si="370"/>
        <v>15.4</v>
      </c>
      <c r="CO160" s="443">
        <f t="shared" si="371"/>
        <v>34.4</v>
      </c>
      <c r="CP160" s="443"/>
      <c r="CQ160" s="217">
        <f t="shared" si="372"/>
        <v>0.44767441860465118</v>
      </c>
      <c r="CR160" s="172">
        <f t="shared" si="429"/>
        <v>212.84736191860466</v>
      </c>
      <c r="CS160" s="172">
        <f t="shared" si="373"/>
        <v>75</v>
      </c>
      <c r="CT160" s="217">
        <f t="shared" si="374"/>
        <v>14.189824127906977</v>
      </c>
      <c r="CU160" s="217">
        <f t="shared" si="375"/>
        <v>15</v>
      </c>
      <c r="CV160" s="217"/>
      <c r="CW160" s="172">
        <f t="shared" si="376"/>
        <v>76.099347252923252</v>
      </c>
      <c r="CX160" s="172">
        <f t="shared" si="377"/>
        <v>15</v>
      </c>
      <c r="CY160" s="217">
        <f t="shared" si="378"/>
        <v>17.634996582365002</v>
      </c>
      <c r="CZ160" s="217">
        <f t="shared" si="379"/>
        <v>11.137892578335791</v>
      </c>
      <c r="DA160" s="217">
        <f t="shared" si="380"/>
        <v>13.741555778466234</v>
      </c>
      <c r="DB160" s="197">
        <f t="shared" si="381"/>
        <v>70.881782945736433</v>
      </c>
      <c r="DC160" s="443">
        <f t="shared" si="382"/>
        <v>40.193817228531948</v>
      </c>
      <c r="DE160" s="217">
        <f t="shared" si="383"/>
        <v>10.000000000000002</v>
      </c>
      <c r="DF160" s="173">
        <f t="shared" si="384"/>
        <v>7.792207792207793</v>
      </c>
      <c r="DG160" s="173">
        <f t="shared" si="385"/>
        <v>2.7616279069767451</v>
      </c>
      <c r="DH160" s="173"/>
      <c r="DI160" s="173">
        <f t="shared" si="386"/>
        <v>7.7922077922077913</v>
      </c>
      <c r="DJ160" s="545">
        <f t="shared" si="387"/>
        <v>128.33333333333334</v>
      </c>
      <c r="DK160" s="528">
        <f t="shared" si="388"/>
        <v>2.7616279069767442</v>
      </c>
      <c r="DM160" s="173">
        <f t="shared" si="389"/>
        <v>6.0553007081949835</v>
      </c>
      <c r="DN160" s="173">
        <f t="shared" si="390"/>
        <v>17.634996582365002</v>
      </c>
      <c r="DO160" s="173">
        <f t="shared" si="391"/>
        <v>6.8555530239740756</v>
      </c>
      <c r="DQ160" s="545">
        <f t="shared" si="392"/>
        <v>5000</v>
      </c>
      <c r="DR160" s="460">
        <f t="shared" si="393"/>
        <v>40.193817228531948</v>
      </c>
      <c r="DT160">
        <f t="shared" si="430"/>
        <v>5000</v>
      </c>
      <c r="DU160">
        <f t="shared" si="431"/>
        <v>40.193817228531948</v>
      </c>
      <c r="DW160" s="5">
        <f t="shared" si="394"/>
        <v>24.879448356802023</v>
      </c>
      <c r="DX160" s="5">
        <f t="shared" si="395"/>
        <v>11.137892578335791</v>
      </c>
      <c r="DY160" s="5">
        <f t="shared" si="396"/>
        <v>13.741555778466232</v>
      </c>
      <c r="DZ160" s="5"/>
      <c r="EA160" s="173">
        <f t="shared" si="397"/>
        <v>0.44767441860465124</v>
      </c>
      <c r="EB160" s="173">
        <f t="shared" si="398"/>
        <v>75</v>
      </c>
      <c r="EC160" s="173">
        <f t="shared" si="399"/>
        <v>4.8701298701298681</v>
      </c>
      <c r="ED160" s="173">
        <f t="shared" si="400"/>
        <v>15.400000000000006</v>
      </c>
      <c r="EE160" s="460">
        <f t="shared" si="401"/>
        <v>371.26308594452638</v>
      </c>
      <c r="EF160" s="5">
        <f t="shared" si="402"/>
        <v>15.067495371125252</v>
      </c>
      <c r="EH160" s="173">
        <f t="shared" si="403"/>
        <v>6.8123333552510328</v>
      </c>
      <c r="EI160" s="173">
        <f t="shared" si="404"/>
        <v>7.5668013328140153</v>
      </c>
      <c r="EK160" s="528">
        <f t="shared" si="405"/>
        <v>0.92815771486131582</v>
      </c>
      <c r="EL160" s="528">
        <f t="shared" si="406"/>
        <v>0.48766666666666675</v>
      </c>
      <c r="EM160" s="528">
        <f t="shared" si="407"/>
        <v>5.0242271535664929E-3</v>
      </c>
      <c r="EN160" s="528">
        <f t="shared" si="408"/>
        <v>4.7563755555555566E-3</v>
      </c>
      <c r="EO160">
        <f t="shared" si="409"/>
        <v>8.5500000000000003E-3</v>
      </c>
      <c r="EP160" s="460">
        <f t="shared" si="410"/>
        <v>13.574227153566493</v>
      </c>
      <c r="EQ160" s="460"/>
      <c r="ER160" s="460">
        <f t="shared" si="432"/>
        <v>1434.1549842371046</v>
      </c>
      <c r="ES160" s="528">
        <f t="shared" si="411"/>
        <v>3.5</v>
      </c>
      <c r="EV160" s="460">
        <f t="shared" si="412"/>
        <v>3500</v>
      </c>
      <c r="EW160" s="528">
        <f t="shared" si="413"/>
        <v>1.3922365722919736</v>
      </c>
      <c r="EX160" s="528">
        <f t="shared" si="414"/>
        <v>1.7176944723082788</v>
      </c>
      <c r="EY160" s="528">
        <f t="shared" si="415"/>
        <v>0.66881589702681288</v>
      </c>
      <c r="EZ160" s="528"/>
      <c r="FA160" s="528">
        <f t="shared" si="416"/>
        <v>1.2500000000000001E-2</v>
      </c>
      <c r="FB160" s="460">
        <f t="shared" si="417"/>
        <v>3791.2469416270651</v>
      </c>
      <c r="FC160" s="173">
        <f t="shared" si="418"/>
        <v>8.7254019258641691</v>
      </c>
      <c r="FD160" s="5">
        <f t="shared" si="419"/>
        <v>75</v>
      </c>
      <c r="FE160" s="173">
        <f t="shared" si="420"/>
        <v>0.89578548773536859</v>
      </c>
      <c r="FF160" s="5">
        <f t="shared" si="421"/>
        <v>89.578548773536852</v>
      </c>
      <c r="FI160" s="562">
        <f t="shared" si="422"/>
        <v>-50</v>
      </c>
      <c r="FJ160">
        <f t="shared" si="423"/>
        <v>-50</v>
      </c>
      <c r="FL160">
        <f t="shared" si="476"/>
        <v>0.55232558139534871</v>
      </c>
    </row>
    <row r="161" spans="5:168">
      <c r="E161" s="170">
        <v>51</v>
      </c>
      <c r="F161" s="217">
        <f t="shared" si="477"/>
        <v>5.0999999999999996</v>
      </c>
      <c r="G161" s="217"/>
      <c r="H161" s="217">
        <f t="shared" si="442"/>
        <v>76.5</v>
      </c>
      <c r="I161" s="541">
        <f t="shared" si="443"/>
        <v>18.536662948928633</v>
      </c>
      <c r="J161" s="172">
        <f t="shared" si="444"/>
        <v>15.67800223064282</v>
      </c>
      <c r="K161" s="172">
        <f t="shared" si="445"/>
        <v>34.214665179571455</v>
      </c>
      <c r="L161" s="443"/>
      <c r="M161" s="217">
        <f t="shared" si="446"/>
        <v>0.45820892450087297</v>
      </c>
      <c r="N161" s="172">
        <f t="shared" si="447"/>
        <v>212.54333437094374</v>
      </c>
      <c r="O161" s="172">
        <f t="shared" si="438"/>
        <v>76.5</v>
      </c>
      <c r="P161" s="217">
        <f t="shared" si="448"/>
        <v>14.169555624729583</v>
      </c>
      <c r="Q161" s="217">
        <f t="shared" si="449"/>
        <v>15</v>
      </c>
      <c r="R161" s="217"/>
      <c r="S161" s="172">
        <f t="shared" si="450"/>
        <v>72.431138150425483</v>
      </c>
      <c r="T161" s="172">
        <f t="shared" si="451"/>
        <v>15</v>
      </c>
      <c r="U161" s="217">
        <f t="shared" si="452"/>
        <v>18.826445213412217</v>
      </c>
      <c r="V161" s="217">
        <f t="shared" si="453"/>
        <v>12.187595101846743</v>
      </c>
      <c r="W161" s="217">
        <f t="shared" si="454"/>
        <v>14.409829724311992</v>
      </c>
      <c r="X161" s="197">
        <f t="shared" si="455"/>
        <v>70.782962397533652</v>
      </c>
      <c r="Y161" s="443">
        <f t="shared" si="328"/>
        <v>37.31701857500255</v>
      </c>
      <c r="AA161" s="217">
        <f t="shared" si="456"/>
        <v>10</v>
      </c>
      <c r="AB161" s="173">
        <f t="shared" si="457"/>
        <v>7.6540364157787106</v>
      </c>
      <c r="AC161" s="173">
        <f t="shared" si="458"/>
        <v>2.7088768590370886</v>
      </c>
      <c r="AD161" s="173"/>
      <c r="AE161" s="173">
        <f t="shared" si="459"/>
        <v>7.6540364157787106</v>
      </c>
      <c r="AF161" s="545">
        <f t="shared" si="460"/>
        <v>133.26301896046397</v>
      </c>
      <c r="AG161" s="528">
        <f t="shared" si="461"/>
        <v>2.7088768590370886</v>
      </c>
      <c r="AI161" s="173">
        <f t="shared" si="462"/>
        <v>6.1705063223708212</v>
      </c>
      <c r="AJ161" s="173">
        <f t="shared" si="463"/>
        <v>18.826445213412217</v>
      </c>
      <c r="AK161" s="173">
        <f t="shared" si="464"/>
        <v>7.7381075654905311</v>
      </c>
      <c r="AM161" s="545">
        <f t="shared" si="465"/>
        <v>5100</v>
      </c>
      <c r="AN161" s="460">
        <f t="shared" si="466"/>
        <v>37.31701857500255</v>
      </c>
      <c r="AP161">
        <f t="shared" si="467"/>
        <v>5100</v>
      </c>
      <c r="AQ161">
        <f t="shared" si="468"/>
        <v>37.31701857500255</v>
      </c>
      <c r="AS161" s="5">
        <f t="shared" si="439"/>
        <v>26.797424826158736</v>
      </c>
      <c r="AT161" s="5">
        <f t="shared" si="469"/>
        <v>12.187595101846743</v>
      </c>
      <c r="AU161" s="5">
        <f t="shared" si="343"/>
        <v>14.609829724311993</v>
      </c>
      <c r="AV161" s="5"/>
      <c r="AW161" s="173">
        <f t="shared" si="344"/>
        <v>0.454804712800225</v>
      </c>
      <c r="AX161" s="173">
        <f t="shared" si="435"/>
        <v>79.35875368762099</v>
      </c>
      <c r="AY161" s="173">
        <f t="shared" si="436"/>
        <v>5.1320446025385511</v>
      </c>
      <c r="AZ161" s="173">
        <f t="shared" si="440"/>
        <v>15.463379575533386</v>
      </c>
      <c r="BA161" s="460">
        <f t="shared" si="433"/>
        <v>414.37823346278924</v>
      </c>
      <c r="BB161" s="5">
        <f t="shared" si="434"/>
        <v>16.74836956883728</v>
      </c>
      <c r="BD161" s="173">
        <f t="shared" si="441"/>
        <v>7.3302734439367256</v>
      </c>
      <c r="BE161" s="173">
        <f t="shared" si="437"/>
        <v>8.0257151931558894</v>
      </c>
      <c r="BG161" s="528">
        <f t="shared" si="347"/>
        <v>1.0746581752576798</v>
      </c>
      <c r="BH161" s="528">
        <f t="shared" si="470"/>
        <v>0.45070131995691093</v>
      </c>
      <c r="BI161" s="528">
        <f t="shared" si="471"/>
        <v>1.729332488959328E-2</v>
      </c>
      <c r="BJ161" s="528">
        <f t="shared" si="350"/>
        <v>4.3684918268991173E-3</v>
      </c>
      <c r="BK161">
        <f t="shared" si="351"/>
        <v>8.3414983270178843E-3</v>
      </c>
      <c r="BL161" s="460">
        <f t="shared" si="427"/>
        <v>25.634823216611164</v>
      </c>
      <c r="BM161" s="528">
        <f t="shared" si="472"/>
        <v>2.4439109375498287</v>
      </c>
      <c r="BN161" s="460">
        <f t="shared" si="353"/>
        <v>2443.9109375498288</v>
      </c>
      <c r="BO161" s="528">
        <f t="shared" si="354"/>
        <v>3.5699999999999994</v>
      </c>
      <c r="BR161" s="460">
        <f t="shared" si="355"/>
        <v>3569.9999999999995</v>
      </c>
      <c r="BS161" s="528">
        <f t="shared" si="356"/>
        <v>1.6119872628865195</v>
      </c>
      <c r="BT161" s="528">
        <f t="shared" si="357"/>
        <v>1.9323631308495983</v>
      </c>
      <c r="BU161" s="528">
        <f t="shared" si="358"/>
        <v>0.65412110710259885</v>
      </c>
      <c r="BV161" s="528"/>
      <c r="BW161" s="528">
        <f t="shared" si="359"/>
        <v>1.3226458947936833E-2</v>
      </c>
      <c r="BX161" s="460">
        <f t="shared" si="360"/>
        <v>4211.6979597866539</v>
      </c>
      <c r="BY161" s="173">
        <f t="shared" si="361"/>
        <v>9.3370607700447543</v>
      </c>
      <c r="BZ161" s="5">
        <f t="shared" si="362"/>
        <v>76.5</v>
      </c>
      <c r="CA161" s="173">
        <f t="shared" si="363"/>
        <v>0.89122343325503073</v>
      </c>
      <c r="CB161" s="5">
        <f t="shared" si="364"/>
        <v>89.122343325503067</v>
      </c>
      <c r="CE161" s="562">
        <f t="shared" si="473"/>
        <v>-50</v>
      </c>
      <c r="CF161">
        <f t="shared" si="474"/>
        <v>-50</v>
      </c>
      <c r="CG161" s="173">
        <f t="shared" si="475"/>
        <v>0.55035529623708757</v>
      </c>
      <c r="CI161" s="170">
        <v>51</v>
      </c>
      <c r="CJ161" s="217">
        <f t="shared" si="428"/>
        <v>5.0999999999999996</v>
      </c>
      <c r="CK161" s="217"/>
      <c r="CL161" s="217">
        <f t="shared" si="368"/>
        <v>76.5</v>
      </c>
      <c r="CM161" s="541">
        <f t="shared" si="369"/>
        <v>19</v>
      </c>
      <c r="CN161" s="443">
        <f t="shared" si="370"/>
        <v>15.4</v>
      </c>
      <c r="CO161" s="443">
        <f t="shared" si="371"/>
        <v>34.4</v>
      </c>
      <c r="CP161" s="443"/>
      <c r="CQ161" s="217">
        <f t="shared" si="372"/>
        <v>0.44767441860465118</v>
      </c>
      <c r="CR161" s="172">
        <f t="shared" si="429"/>
        <v>212.84736191860466</v>
      </c>
      <c r="CS161" s="172">
        <f t="shared" si="373"/>
        <v>76.5</v>
      </c>
      <c r="CT161" s="217">
        <f t="shared" si="374"/>
        <v>14.189824127906977</v>
      </c>
      <c r="CU161" s="217">
        <f t="shared" si="375"/>
        <v>15</v>
      </c>
      <c r="CV161" s="217"/>
      <c r="CW161" s="172">
        <f t="shared" si="376"/>
        <v>74.239078238734749</v>
      </c>
      <c r="CX161" s="172">
        <f t="shared" si="377"/>
        <v>15</v>
      </c>
      <c r="CY161" s="217">
        <f t="shared" si="378"/>
        <v>17.987696514012303</v>
      </c>
      <c r="CZ161" s="217">
        <f t="shared" si="379"/>
        <v>11.360650429902506</v>
      </c>
      <c r="DA161" s="217">
        <f t="shared" si="380"/>
        <v>14.016386894035561</v>
      </c>
      <c r="DB161" s="197">
        <f t="shared" si="381"/>
        <v>70.881782945736433</v>
      </c>
      <c r="DC161" s="443">
        <f t="shared" si="382"/>
        <v>39.405703165227386</v>
      </c>
      <c r="DE161" s="217">
        <f t="shared" si="383"/>
        <v>10.000000000000002</v>
      </c>
      <c r="DF161" s="173">
        <f t="shared" si="384"/>
        <v>7.792207792207793</v>
      </c>
      <c r="DG161" s="173">
        <f t="shared" si="385"/>
        <v>2.7616279069767451</v>
      </c>
      <c r="DH161" s="173"/>
      <c r="DI161" s="173">
        <f t="shared" si="386"/>
        <v>7.7922077922077913</v>
      </c>
      <c r="DJ161" s="545">
        <f t="shared" si="387"/>
        <v>130.9</v>
      </c>
      <c r="DK161" s="528">
        <f t="shared" si="388"/>
        <v>2.7616279069767442</v>
      </c>
      <c r="DM161" s="173">
        <f t="shared" si="389"/>
        <v>6.1155539405682617</v>
      </c>
      <c r="DN161" s="173">
        <f t="shared" si="390"/>
        <v>17.987696514012303</v>
      </c>
      <c r="DO161" s="173">
        <f t="shared" si="391"/>
        <v>7.1168122326017063</v>
      </c>
      <c r="DQ161" s="545">
        <f t="shared" si="392"/>
        <v>5100</v>
      </c>
      <c r="DR161" s="460">
        <f t="shared" si="393"/>
        <v>39.405703165227386</v>
      </c>
      <c r="DT161">
        <f t="shared" si="430"/>
        <v>5100</v>
      </c>
      <c r="DU161">
        <f t="shared" si="431"/>
        <v>39.405703165227386</v>
      </c>
      <c r="DW161" s="5">
        <f t="shared" si="394"/>
        <v>25.377037323938072</v>
      </c>
      <c r="DX161" s="5">
        <f t="shared" si="395"/>
        <v>11.360650429902506</v>
      </c>
      <c r="DY161" s="5">
        <f t="shared" si="396"/>
        <v>14.016386894035566</v>
      </c>
      <c r="DZ161" s="5"/>
      <c r="EA161" s="173">
        <f t="shared" si="397"/>
        <v>0.44767441860465107</v>
      </c>
      <c r="EB161" s="173">
        <f t="shared" si="398"/>
        <v>76.499999999999986</v>
      </c>
      <c r="EC161" s="173">
        <f t="shared" si="399"/>
        <v>4.9675324675324681</v>
      </c>
      <c r="ED161" s="173">
        <f t="shared" si="400"/>
        <v>15.399999999999995</v>
      </c>
      <c r="EE161" s="460">
        <f t="shared" si="401"/>
        <v>386.26211461668521</v>
      </c>
      <c r="EF161" s="5">
        <f t="shared" si="402"/>
        <v>15.676222184118725</v>
      </c>
      <c r="EH161" s="173">
        <f t="shared" si="403"/>
        <v>6.9485800223560528</v>
      </c>
      <c r="EI161" s="173">
        <f t="shared" si="404"/>
        <v>7.7181373594702976</v>
      </c>
      <c r="EK161" s="528">
        <f t="shared" si="405"/>
        <v>0.96565528654171295</v>
      </c>
      <c r="EL161" s="528">
        <f t="shared" si="406"/>
        <v>0.48766666666666658</v>
      </c>
      <c r="EM161" s="528">
        <f t="shared" si="407"/>
        <v>4.9257128956534234E-3</v>
      </c>
      <c r="EN161" s="528">
        <f t="shared" si="408"/>
        <v>4.6631132897603485E-3</v>
      </c>
      <c r="EO161">
        <f t="shared" si="409"/>
        <v>8.5500000000000003E-3</v>
      </c>
      <c r="EP161" s="460">
        <f t="shared" si="410"/>
        <v>13.475712895653423</v>
      </c>
      <c r="EQ161" s="460"/>
      <c r="ER161" s="460">
        <f t="shared" si="432"/>
        <v>1471.4607793937935</v>
      </c>
      <c r="ES161" s="528">
        <f t="shared" si="411"/>
        <v>3.5699999999999994</v>
      </c>
      <c r="EV161" s="460">
        <f t="shared" si="412"/>
        <v>3569.9999999999995</v>
      </c>
      <c r="EW161" s="528">
        <f t="shared" si="413"/>
        <v>1.4484829298125692</v>
      </c>
      <c r="EX161" s="528">
        <f t="shared" si="414"/>
        <v>1.787089328989534</v>
      </c>
      <c r="EY161" s="528">
        <f t="shared" si="415"/>
        <v>0.66881589702681166</v>
      </c>
      <c r="EZ161" s="528"/>
      <c r="FA161" s="528">
        <f t="shared" si="416"/>
        <v>1.2749999999999999E-2</v>
      </c>
      <c r="FB161" s="460">
        <f t="shared" si="417"/>
        <v>3917.1381558289149</v>
      </c>
      <c r="FC161" s="173">
        <f t="shared" si="418"/>
        <v>8.9585989352227084</v>
      </c>
      <c r="FD161" s="5">
        <f t="shared" si="419"/>
        <v>76.5</v>
      </c>
      <c r="FE161" s="173">
        <f t="shared" si="420"/>
        <v>0.89517030413740706</v>
      </c>
      <c r="FF161" s="5">
        <f t="shared" si="421"/>
        <v>89.517030413740713</v>
      </c>
      <c r="FI161" s="562">
        <f t="shared" si="422"/>
        <v>-50</v>
      </c>
      <c r="FJ161">
        <f t="shared" si="423"/>
        <v>-50</v>
      </c>
      <c r="FL161">
        <f t="shared" si="476"/>
        <v>0.55232558139534893</v>
      </c>
    </row>
    <row r="162" spans="5:168">
      <c r="E162" s="170">
        <v>52</v>
      </c>
      <c r="F162" s="217">
        <f t="shared" si="477"/>
        <v>5.2</v>
      </c>
      <c r="G162" s="217"/>
      <c r="H162" s="217">
        <f t="shared" si="442"/>
        <v>78</v>
      </c>
      <c r="I162" s="541">
        <f t="shared" si="443"/>
        <v>18.527610431134331</v>
      </c>
      <c r="J162" s="172">
        <f t="shared" si="444"/>
        <v>15.683433741319403</v>
      </c>
      <c r="K162" s="172">
        <f t="shared" si="445"/>
        <v>34.211044172453732</v>
      </c>
      <c r="L162" s="443"/>
      <c r="M162" s="217">
        <f t="shared" si="446"/>
        <v>0.45841619473042194</v>
      </c>
      <c r="N162" s="172">
        <f t="shared" si="447"/>
        <v>212.53563400314988</v>
      </c>
      <c r="O162" s="172">
        <f t="shared" si="438"/>
        <v>78</v>
      </c>
      <c r="P162" s="217">
        <f t="shared" si="448"/>
        <v>14.169042266876659</v>
      </c>
      <c r="Q162" s="217">
        <f t="shared" si="449"/>
        <v>15</v>
      </c>
      <c r="R162" s="217"/>
      <c r="S162" s="172">
        <f t="shared" si="450"/>
        <v>70.651744605271958</v>
      </c>
      <c r="T162" s="172">
        <f t="shared" si="451"/>
        <v>15</v>
      </c>
      <c r="U162" s="217">
        <f t="shared" si="452"/>
        <v>19.202937567203126</v>
      </c>
      <c r="V162" s="217">
        <f t="shared" si="453"/>
        <v>12.437397238189305</v>
      </c>
      <c r="W162" s="217">
        <f t="shared" si="454"/>
        <v>14.692908109742278</v>
      </c>
      <c r="X162" s="197">
        <f t="shared" si="455"/>
        <v>70.780396021850009</v>
      </c>
      <c r="Y162" s="443">
        <f t="shared" si="328"/>
        <v>36.589419227827328</v>
      </c>
      <c r="AA162" s="217">
        <f t="shared" si="456"/>
        <v>9.9999999999999982</v>
      </c>
      <c r="AB162" s="173">
        <f t="shared" si="457"/>
        <v>7.6513856582215967</v>
      </c>
      <c r="AC162" s="173">
        <f t="shared" si="458"/>
        <v>2.7078405350241401</v>
      </c>
      <c r="AD162" s="173"/>
      <c r="AE162" s="173">
        <f t="shared" si="459"/>
        <v>7.6513856582215984</v>
      </c>
      <c r="AF162" s="545">
        <f t="shared" si="460"/>
        <v>135.92309242476816</v>
      </c>
      <c r="AG162" s="528">
        <f t="shared" si="461"/>
        <v>2.7078405350241415</v>
      </c>
      <c r="AI162" s="173">
        <f t="shared" si="462"/>
        <v>6.2317870040799273</v>
      </c>
      <c r="AJ162" s="173">
        <f t="shared" si="463"/>
        <v>19.202937567203126</v>
      </c>
      <c r="AK162" s="173">
        <f t="shared" si="464"/>
        <v>8.0169907905208326</v>
      </c>
      <c r="AM162" s="545">
        <f t="shared" si="465"/>
        <v>5200</v>
      </c>
      <c r="AN162" s="460">
        <f t="shared" si="466"/>
        <v>36.589419227827328</v>
      </c>
      <c r="AP162">
        <f t="shared" si="467"/>
        <v>5200</v>
      </c>
      <c r="AQ162">
        <f t="shared" si="468"/>
        <v>36.589419227827328</v>
      </c>
      <c r="AS162" s="5">
        <f t="shared" si="439"/>
        <v>27.330305347931585</v>
      </c>
      <c r="AT162" s="5">
        <f t="shared" si="469"/>
        <v>12.437397238189305</v>
      </c>
      <c r="AU162" s="5">
        <f t="shared" si="343"/>
        <v>14.89290810974228</v>
      </c>
      <c r="AV162" s="5"/>
      <c r="AW162" s="173">
        <f t="shared" si="344"/>
        <v>0.45507714165113028</v>
      </c>
      <c r="AX162" s="173">
        <f t="shared" si="435"/>
        <v>80.954707204793607</v>
      </c>
      <c r="AY162" s="173">
        <f t="shared" si="436"/>
        <v>5.2320598139076084</v>
      </c>
      <c r="AZ162" s="173">
        <f t="shared" si="440"/>
        <v>15.472817606099174</v>
      </c>
      <c r="BA162" s="460">
        <f t="shared" si="433"/>
        <v>431.16310425722929</v>
      </c>
      <c r="BB162" s="5">
        <f t="shared" si="434"/>
        <v>17.416151797365217</v>
      </c>
      <c r="BD162" s="173">
        <f t="shared" si="441"/>
        <v>7.4791036740423351</v>
      </c>
      <c r="BE162" s="173">
        <f t="shared" si="437"/>
        <v>8.1841683737298645</v>
      </c>
      <c r="BG162" s="528">
        <f t="shared" si="347"/>
        <v>1.1187398353414713</v>
      </c>
      <c r="BH162" s="528">
        <f t="shared" si="470"/>
        <v>0.45070335177542448</v>
      </c>
      <c r="BI162" s="528">
        <f t="shared" si="471"/>
        <v>1.6947862633866016E-2</v>
      </c>
      <c r="BJ162" s="528">
        <f t="shared" si="350"/>
        <v>4.2824093198730344E-3</v>
      </c>
      <c r="BK162">
        <f t="shared" si="351"/>
        <v>8.3374246940104493E-3</v>
      </c>
      <c r="BL162" s="460">
        <f t="shared" si="427"/>
        <v>25.285287327876464</v>
      </c>
      <c r="BM162" s="528">
        <f t="shared" si="472"/>
        <v>2.5549135184577536</v>
      </c>
      <c r="BN162" s="460">
        <f t="shared" si="353"/>
        <v>2554.9135184577535</v>
      </c>
      <c r="BO162" s="528">
        <f t="shared" si="354"/>
        <v>3.6399999999999997</v>
      </c>
      <c r="BR162" s="460">
        <f t="shared" si="355"/>
        <v>3639.9999999999995</v>
      </c>
      <c r="BS162" s="528">
        <f t="shared" si="356"/>
        <v>1.6781097530122067</v>
      </c>
      <c r="BT162" s="528">
        <f t="shared" si="357"/>
        <v>2.009418359086804</v>
      </c>
      <c r="BU162" s="528">
        <f t="shared" si="358"/>
        <v>0.65430158068284916</v>
      </c>
      <c r="BV162" s="528"/>
      <c r="BW162" s="528">
        <f t="shared" si="359"/>
        <v>1.3492451200798936E-2</v>
      </c>
      <c r="BX162" s="460">
        <f t="shared" si="360"/>
        <v>4355.3221439826575</v>
      </c>
      <c r="BY162" s="173">
        <f t="shared" si="361"/>
        <v>9.5943330277473038</v>
      </c>
      <c r="BZ162" s="5">
        <f t="shared" si="362"/>
        <v>78</v>
      </c>
      <c r="CA162" s="173">
        <f t="shared" si="363"/>
        <v>0.89046856461926482</v>
      </c>
      <c r="CB162" s="5">
        <f t="shared" si="364"/>
        <v>89.046856461926481</v>
      </c>
      <c r="CE162" s="562">
        <f t="shared" si="473"/>
        <v>-50</v>
      </c>
      <c r="CF162">
        <f t="shared" si="474"/>
        <v>-50</v>
      </c>
      <c r="CG162" s="173">
        <f t="shared" si="475"/>
        <v>0.55039318633628487</v>
      </c>
      <c r="CI162" s="170">
        <v>52</v>
      </c>
      <c r="CJ162" s="217">
        <f t="shared" si="428"/>
        <v>5.2</v>
      </c>
      <c r="CK162" s="217"/>
      <c r="CL162" s="217">
        <f t="shared" si="368"/>
        <v>78</v>
      </c>
      <c r="CM162" s="541">
        <f t="shared" si="369"/>
        <v>19</v>
      </c>
      <c r="CN162" s="443">
        <f t="shared" si="370"/>
        <v>15.4</v>
      </c>
      <c r="CO162" s="443">
        <f t="shared" si="371"/>
        <v>34.4</v>
      </c>
      <c r="CP162" s="443"/>
      <c r="CQ162" s="217">
        <f t="shared" si="372"/>
        <v>0.44767441860465118</v>
      </c>
      <c r="CR162" s="172">
        <f t="shared" si="429"/>
        <v>212.84736191860466</v>
      </c>
      <c r="CS162" s="172">
        <f t="shared" si="373"/>
        <v>78</v>
      </c>
      <c r="CT162" s="217">
        <f t="shared" si="374"/>
        <v>14.189824127906977</v>
      </c>
      <c r="CU162" s="217">
        <f t="shared" si="375"/>
        <v>15</v>
      </c>
      <c r="CV162" s="217"/>
      <c r="CW162" s="172">
        <f t="shared" si="376"/>
        <v>72.450477116238602</v>
      </c>
      <c r="CX162" s="172">
        <f t="shared" si="377"/>
        <v>15</v>
      </c>
      <c r="CY162" s="217">
        <f t="shared" si="378"/>
        <v>18.340396445659604</v>
      </c>
      <c r="CZ162" s="217">
        <f t="shared" si="379"/>
        <v>11.583408281469225</v>
      </c>
      <c r="DA162" s="217">
        <f t="shared" si="380"/>
        <v>14.291218009604886</v>
      </c>
      <c r="DB162" s="197">
        <f t="shared" si="381"/>
        <v>70.881782945736433</v>
      </c>
      <c r="DC162" s="443">
        <f t="shared" si="382"/>
        <v>38.647901181280702</v>
      </c>
      <c r="DE162" s="217">
        <f t="shared" si="383"/>
        <v>10.000000000000002</v>
      </c>
      <c r="DF162" s="173">
        <f t="shared" si="384"/>
        <v>7.792207792207793</v>
      </c>
      <c r="DG162" s="173">
        <f t="shared" si="385"/>
        <v>2.7616279069767451</v>
      </c>
      <c r="DH162" s="173"/>
      <c r="DI162" s="173">
        <f t="shared" si="386"/>
        <v>7.7922077922077913</v>
      </c>
      <c r="DJ162" s="545">
        <f t="shared" si="387"/>
        <v>133.4666666666667</v>
      </c>
      <c r="DK162" s="528">
        <f t="shared" si="388"/>
        <v>2.7616279069767442</v>
      </c>
      <c r="DM162" s="173">
        <f t="shared" si="389"/>
        <v>6.1752192943516864</v>
      </c>
      <c r="DN162" s="173">
        <f t="shared" si="390"/>
        <v>18.340396445659604</v>
      </c>
      <c r="DO162" s="173">
        <f t="shared" si="391"/>
        <v>7.378071441229336</v>
      </c>
      <c r="DQ162" s="545">
        <f t="shared" si="392"/>
        <v>5200</v>
      </c>
      <c r="DR162" s="460">
        <f t="shared" si="393"/>
        <v>38.647901181280702</v>
      </c>
      <c r="DT162">
        <f t="shared" si="430"/>
        <v>5200</v>
      </c>
      <c r="DU162">
        <f t="shared" si="431"/>
        <v>38.647901181280702</v>
      </c>
      <c r="DW162" s="5">
        <f t="shared" si="394"/>
        <v>25.874626291074115</v>
      </c>
      <c r="DX162" s="5">
        <f t="shared" si="395"/>
        <v>11.583408281469225</v>
      </c>
      <c r="DY162" s="5">
        <f t="shared" si="396"/>
        <v>14.29121800960489</v>
      </c>
      <c r="DZ162" s="5"/>
      <c r="EA162" s="173">
        <f t="shared" si="397"/>
        <v>0.44767441860465113</v>
      </c>
      <c r="EB162" s="173">
        <f t="shared" si="398"/>
        <v>77.999999999999986</v>
      </c>
      <c r="EC162" s="173">
        <f t="shared" si="399"/>
        <v>5.0649350649350655</v>
      </c>
      <c r="ED162" s="173">
        <f t="shared" si="400"/>
        <v>15.399999999999995</v>
      </c>
      <c r="EE162" s="460">
        <f t="shared" si="401"/>
        <v>401.55815375759977</v>
      </c>
      <c r="EF162" s="5">
        <f t="shared" si="402"/>
        <v>16.297002993409087</v>
      </c>
      <c r="EH162" s="173">
        <f t="shared" si="403"/>
        <v>7.0848266894610736</v>
      </c>
      <c r="EI162" s="173">
        <f t="shared" si="404"/>
        <v>7.869473386126578</v>
      </c>
      <c r="EK162" s="528">
        <f t="shared" si="405"/>
        <v>1.0038953843939991</v>
      </c>
      <c r="EL162" s="528">
        <f t="shared" si="406"/>
        <v>0.48766666666666653</v>
      </c>
      <c r="EM162" s="528">
        <f t="shared" si="407"/>
        <v>4.8309876476600871E-3</v>
      </c>
      <c r="EN162" s="528">
        <f t="shared" si="408"/>
        <v>4.5734380341880326E-3</v>
      </c>
      <c r="EO162">
        <f t="shared" si="409"/>
        <v>8.5500000000000003E-3</v>
      </c>
      <c r="EP162" s="460">
        <f t="shared" si="410"/>
        <v>13.380987647660087</v>
      </c>
      <c r="EQ162" s="460"/>
      <c r="ER162" s="460">
        <f t="shared" si="432"/>
        <v>1509.5164767425135</v>
      </c>
      <c r="ES162" s="528">
        <f t="shared" si="411"/>
        <v>3.6399999999999997</v>
      </c>
      <c r="EV162" s="460">
        <f t="shared" si="412"/>
        <v>3639.9999999999995</v>
      </c>
      <c r="EW162" s="528">
        <f t="shared" si="413"/>
        <v>1.5058430765909987</v>
      </c>
      <c r="EX162" s="528">
        <f t="shared" si="414"/>
        <v>1.8578583412486351</v>
      </c>
      <c r="EY162" s="528">
        <f t="shared" si="415"/>
        <v>0.66881589702681232</v>
      </c>
      <c r="EZ162" s="528"/>
      <c r="FA162" s="528">
        <f t="shared" si="416"/>
        <v>1.2999999999999999E-2</v>
      </c>
      <c r="FB162" s="460">
        <f t="shared" si="417"/>
        <v>4045.5173148664462</v>
      </c>
      <c r="FC162" s="173">
        <f t="shared" si="418"/>
        <v>9.1950337916089602</v>
      </c>
      <c r="FD162" s="5">
        <f t="shared" si="419"/>
        <v>78</v>
      </c>
      <c r="FE162" s="173">
        <f t="shared" si="420"/>
        <v>0.89454635898663037</v>
      </c>
      <c r="FF162" s="5">
        <f t="shared" si="421"/>
        <v>89.454635898663042</v>
      </c>
      <c r="FI162" s="562">
        <f t="shared" si="422"/>
        <v>-50</v>
      </c>
      <c r="FJ162">
        <f t="shared" si="423"/>
        <v>-50</v>
      </c>
      <c r="FL162">
        <f t="shared" si="476"/>
        <v>0.55232558139534893</v>
      </c>
    </row>
    <row r="163" spans="5:168">
      <c r="E163" s="170">
        <v>53</v>
      </c>
      <c r="F163" s="217">
        <f t="shared" si="477"/>
        <v>5.3000000000000007</v>
      </c>
      <c r="G163" s="217"/>
      <c r="H163" s="217">
        <f t="shared" si="442"/>
        <v>79.500000000000014</v>
      </c>
      <c r="I163" s="541">
        <f t="shared" si="443"/>
        <v>18.518557909031475</v>
      </c>
      <c r="J163" s="172">
        <f t="shared" si="444"/>
        <v>15.688865254581115</v>
      </c>
      <c r="K163" s="172">
        <f t="shared" si="445"/>
        <v>34.207423163612589</v>
      </c>
      <c r="L163" s="443"/>
      <c r="M163" s="217">
        <f t="shared" si="446"/>
        <v>0.45862350889912479</v>
      </c>
      <c r="N163" s="172">
        <f t="shared" si="447"/>
        <v>212.52786004248117</v>
      </c>
      <c r="O163" s="172">
        <f t="shared" si="438"/>
        <v>79.500000000000014</v>
      </c>
      <c r="P163" s="217">
        <f t="shared" si="448"/>
        <v>14.168524002832077</v>
      </c>
      <c r="Q163" s="217">
        <f t="shared" si="449"/>
        <v>15</v>
      </c>
      <c r="R163" s="217"/>
      <c r="S163" s="172">
        <f t="shared" si="450"/>
        <v>68.93995796808241</v>
      </c>
      <c r="T163" s="172">
        <f t="shared" si="451"/>
        <v>15</v>
      </c>
      <c r="U163" s="217">
        <f t="shared" si="452"/>
        <v>19.579719796190581</v>
      </c>
      <c r="V163" s="217">
        <f t="shared" si="453"/>
        <v>12.687631440226722</v>
      </c>
      <c r="W163" s="217">
        <f t="shared" si="454"/>
        <v>14.976012206216135</v>
      </c>
      <c r="X163" s="197">
        <f t="shared" si="455"/>
        <v>70.777805145376249</v>
      </c>
      <c r="Y163" s="443">
        <f t="shared" si="328"/>
        <v>35.889060766381952</v>
      </c>
      <c r="AA163" s="217">
        <f t="shared" si="456"/>
        <v>10</v>
      </c>
      <c r="AB163" s="173">
        <f t="shared" si="457"/>
        <v>7.6487367347973283</v>
      </c>
      <c r="AC163" s="173">
        <f t="shared" si="458"/>
        <v>2.7068039911188331</v>
      </c>
      <c r="AD163" s="173"/>
      <c r="AE163" s="173">
        <f t="shared" si="459"/>
        <v>7.6487367347973283</v>
      </c>
      <c r="AF163" s="545">
        <f t="shared" si="460"/>
        <v>138.58497641546654</v>
      </c>
      <c r="AG163" s="528">
        <f t="shared" si="461"/>
        <v>2.7068039911188331</v>
      </c>
      <c r="AI163" s="173">
        <f t="shared" si="462"/>
        <v>6.2925120220207882</v>
      </c>
      <c r="AJ163" s="173">
        <f t="shared" si="463"/>
        <v>19.579719796190581</v>
      </c>
      <c r="AK163" s="173">
        <f t="shared" si="464"/>
        <v>8.2960887379189483</v>
      </c>
      <c r="AM163" s="545">
        <f t="shared" si="465"/>
        <v>5300.0000000000009</v>
      </c>
      <c r="AN163" s="460">
        <f t="shared" si="466"/>
        <v>35.889060766381952</v>
      </c>
      <c r="AP163">
        <f t="shared" si="467"/>
        <v>5300.0000000000009</v>
      </c>
      <c r="AQ163">
        <f t="shared" si="468"/>
        <v>35.889060766381952</v>
      </c>
      <c r="AS163" s="5">
        <f t="shared" si="439"/>
        <v>27.863643646442856</v>
      </c>
      <c r="AT163" s="5">
        <f t="shared" si="469"/>
        <v>12.687631440226722</v>
      </c>
      <c r="AU163" s="5">
        <f t="shared" si="343"/>
        <v>15.176012206216134</v>
      </c>
      <c r="AV163" s="5"/>
      <c r="AW163" s="173">
        <f t="shared" si="344"/>
        <v>0.45534717573975497</v>
      </c>
      <c r="AX163" s="173">
        <f t="shared" si="435"/>
        <v>82.551750696024712</v>
      </c>
      <c r="AY163" s="173">
        <f t="shared" si="436"/>
        <v>5.3320748426097149</v>
      </c>
      <c r="AZ163" s="173">
        <f t="shared" si="440"/>
        <v>15.482106521899611</v>
      </c>
      <c r="BA163" s="460">
        <f t="shared" si="433"/>
        <v>448.29631088801085</v>
      </c>
      <c r="BB163" s="5">
        <f t="shared" si="434"/>
        <v>18.097356061249268</v>
      </c>
      <c r="BD163" s="173">
        <f t="shared" si="441"/>
        <v>7.6281138908668398</v>
      </c>
      <c r="BE163" s="173">
        <f t="shared" si="437"/>
        <v>8.3426826760786899</v>
      </c>
      <c r="BG163" s="528">
        <f t="shared" si="347"/>
        <v>1.1637624306407128</v>
      </c>
      <c r="BH163" s="528">
        <f t="shared" si="470"/>
        <v>0.45070273897404373</v>
      </c>
      <c r="BI163" s="528">
        <f t="shared" si="471"/>
        <v>1.6615341252574842E-2</v>
      </c>
      <c r="BJ163" s="528">
        <f t="shared" si="350"/>
        <v>4.1995505481704776E-3</v>
      </c>
      <c r="BK163">
        <f t="shared" si="351"/>
        <v>8.3333510590641643E-3</v>
      </c>
      <c r="BL163" s="460">
        <f t="shared" si="427"/>
        <v>24.948692311639007</v>
      </c>
      <c r="BM163" s="528">
        <f t="shared" si="472"/>
        <v>2.6716063141996176</v>
      </c>
      <c r="BN163" s="460">
        <f t="shared" si="353"/>
        <v>2671.6063141996174</v>
      </c>
      <c r="BO163" s="528">
        <f t="shared" si="354"/>
        <v>3.7100000000000004</v>
      </c>
      <c r="BR163" s="460">
        <f t="shared" si="355"/>
        <v>3710.0000000000005</v>
      </c>
      <c r="BS163" s="528">
        <f t="shared" si="356"/>
        <v>1.7456436459610691</v>
      </c>
      <c r="BT163" s="528">
        <f t="shared" si="357"/>
        <v>2.0880106270123044</v>
      </c>
      <c r="BU163" s="528">
        <f t="shared" si="358"/>
        <v>0.65447252165803216</v>
      </c>
      <c r="BV163" s="528"/>
      <c r="BW163" s="528">
        <f t="shared" si="359"/>
        <v>1.3758625116004121E-2</v>
      </c>
      <c r="BX163" s="460">
        <f t="shared" si="360"/>
        <v>4501.8854197474111</v>
      </c>
      <c r="BY163" s="173">
        <f t="shared" si="361"/>
        <v>9.8554988322219774</v>
      </c>
      <c r="BZ163" s="5">
        <f t="shared" si="362"/>
        <v>79.500000000000014</v>
      </c>
      <c r="CA163" s="173">
        <f t="shared" si="363"/>
        <v>0.88970461850672311</v>
      </c>
      <c r="CB163" s="5">
        <f t="shared" si="364"/>
        <v>88.970461850672308</v>
      </c>
      <c r="CE163" s="562">
        <f t="shared" si="473"/>
        <v>-50</v>
      </c>
      <c r="CF163">
        <f t="shared" si="474"/>
        <v>-50</v>
      </c>
      <c r="CG163" s="173">
        <f t="shared" si="475"/>
        <v>0.55042964662041804</v>
      </c>
      <c r="CI163" s="170">
        <v>53</v>
      </c>
      <c r="CJ163" s="217">
        <f t="shared" si="428"/>
        <v>5.3000000000000007</v>
      </c>
      <c r="CK163" s="217"/>
      <c r="CL163" s="217">
        <f t="shared" si="368"/>
        <v>79.500000000000014</v>
      </c>
      <c r="CM163" s="541">
        <f t="shared" si="369"/>
        <v>19</v>
      </c>
      <c r="CN163" s="443">
        <f t="shared" si="370"/>
        <v>15.4</v>
      </c>
      <c r="CO163" s="443">
        <f t="shared" si="371"/>
        <v>34.4</v>
      </c>
      <c r="CP163" s="443"/>
      <c r="CQ163" s="217">
        <f t="shared" si="372"/>
        <v>0.44767441860465118</v>
      </c>
      <c r="CR163" s="172">
        <f t="shared" si="429"/>
        <v>212.84736191860466</v>
      </c>
      <c r="CS163" s="172">
        <f t="shared" si="373"/>
        <v>79.500000000000014</v>
      </c>
      <c r="CT163" s="217">
        <f t="shared" si="374"/>
        <v>14.189824127906977</v>
      </c>
      <c r="CU163" s="217">
        <f t="shared" si="375"/>
        <v>15</v>
      </c>
      <c r="CV163" s="217"/>
      <c r="CW163" s="172">
        <f t="shared" si="376"/>
        <v>70.729488896051706</v>
      </c>
      <c r="CX163" s="172">
        <f t="shared" si="377"/>
        <v>15</v>
      </c>
      <c r="CY163" s="217">
        <f t="shared" si="378"/>
        <v>18.693096377306905</v>
      </c>
      <c r="CZ163" s="217">
        <f t="shared" si="379"/>
        <v>11.806166133035939</v>
      </c>
      <c r="DA163" s="217">
        <f t="shared" si="380"/>
        <v>14.56604912517421</v>
      </c>
      <c r="DB163" s="197">
        <f t="shared" si="381"/>
        <v>70.881782945736433</v>
      </c>
      <c r="DC163" s="443">
        <f t="shared" si="382"/>
        <v>37.918695498615037</v>
      </c>
      <c r="DE163" s="217">
        <f t="shared" si="383"/>
        <v>10.000000000000002</v>
      </c>
      <c r="DF163" s="173">
        <f t="shared" si="384"/>
        <v>7.792207792207793</v>
      </c>
      <c r="DG163" s="173">
        <f t="shared" si="385"/>
        <v>2.7616279069767451</v>
      </c>
      <c r="DH163" s="173"/>
      <c r="DI163" s="173">
        <f t="shared" si="386"/>
        <v>7.7922077922077913</v>
      </c>
      <c r="DJ163" s="545">
        <f t="shared" si="387"/>
        <v>136.03333333333333</v>
      </c>
      <c r="DK163" s="528">
        <f t="shared" si="388"/>
        <v>2.7616279069767442</v>
      </c>
      <c r="DM163" s="173">
        <f t="shared" si="389"/>
        <v>6.2343136484032202</v>
      </c>
      <c r="DN163" s="173">
        <f t="shared" si="390"/>
        <v>18.693096377306905</v>
      </c>
      <c r="DO163" s="173">
        <f t="shared" si="391"/>
        <v>7.6393306498569666</v>
      </c>
      <c r="DQ163" s="545">
        <f t="shared" si="392"/>
        <v>5300.0000000000009</v>
      </c>
      <c r="DR163" s="460">
        <f t="shared" si="393"/>
        <v>37.918695498615037</v>
      </c>
      <c r="DT163">
        <f t="shared" si="430"/>
        <v>5300.0000000000009</v>
      </c>
      <c r="DU163">
        <f t="shared" si="431"/>
        <v>37.918695498615037</v>
      </c>
      <c r="DW163" s="5">
        <f t="shared" si="394"/>
        <v>26.372215258210147</v>
      </c>
      <c r="DX163" s="5">
        <f t="shared" si="395"/>
        <v>11.806166133035939</v>
      </c>
      <c r="DY163" s="5">
        <f t="shared" si="396"/>
        <v>14.566049125174208</v>
      </c>
      <c r="DZ163" s="5"/>
      <c r="EA163" s="173">
        <f t="shared" si="397"/>
        <v>0.44767441860465118</v>
      </c>
      <c r="EB163" s="173">
        <f t="shared" si="398"/>
        <v>79.5</v>
      </c>
      <c r="EC163" s="173">
        <f t="shared" si="399"/>
        <v>5.162337662337662</v>
      </c>
      <c r="ED163" s="173">
        <f t="shared" si="400"/>
        <v>15.4</v>
      </c>
      <c r="EE163" s="460">
        <f t="shared" si="401"/>
        <v>417.15120336726983</v>
      </c>
      <c r="EF163" s="5">
        <f t="shared" si="402"/>
        <v>16.929837798996342</v>
      </c>
      <c r="EH163" s="173">
        <f t="shared" si="403"/>
        <v>7.2210733565660954</v>
      </c>
      <c r="EI163" s="173">
        <f t="shared" si="404"/>
        <v>8.0208094127828584</v>
      </c>
      <c r="EK163" s="528">
        <f t="shared" si="405"/>
        <v>1.0428780084181748</v>
      </c>
      <c r="EL163" s="528">
        <f t="shared" si="406"/>
        <v>0.48766666666666664</v>
      </c>
      <c r="EM163" s="528">
        <f t="shared" si="407"/>
        <v>4.7398369373268801E-3</v>
      </c>
      <c r="EN163" s="528">
        <f t="shared" si="408"/>
        <v>4.4871467505241082E-3</v>
      </c>
      <c r="EO163">
        <f t="shared" si="409"/>
        <v>8.5500000000000003E-3</v>
      </c>
      <c r="EP163" s="460">
        <f t="shared" si="410"/>
        <v>13.28983693732688</v>
      </c>
      <c r="EQ163" s="460"/>
      <c r="ER163" s="460">
        <f t="shared" si="432"/>
        <v>1548.3216587726924</v>
      </c>
      <c r="ES163" s="528">
        <f t="shared" si="411"/>
        <v>3.7100000000000004</v>
      </c>
      <c r="EV163" s="460">
        <f t="shared" si="412"/>
        <v>3710.0000000000005</v>
      </c>
      <c r="EW163" s="528">
        <f t="shared" si="413"/>
        <v>1.5643170126272621</v>
      </c>
      <c r="EX163" s="528">
        <f t="shared" si="414"/>
        <v>1.9300015090855829</v>
      </c>
      <c r="EY163" s="528">
        <f t="shared" si="415"/>
        <v>0.66881589702681232</v>
      </c>
      <c r="EZ163" s="528"/>
      <c r="FA163" s="528">
        <f t="shared" si="416"/>
        <v>1.3250000000000001E-2</v>
      </c>
      <c r="FB163" s="460">
        <f t="shared" si="417"/>
        <v>4176.384418739658</v>
      </c>
      <c r="FC163" s="173">
        <f t="shared" si="418"/>
        <v>9.4347060775123488</v>
      </c>
      <c r="FD163" s="5">
        <f t="shared" si="419"/>
        <v>79.500000000000014</v>
      </c>
      <c r="FE163" s="173">
        <f t="shared" si="420"/>
        <v>0.89391423783096124</v>
      </c>
      <c r="FF163" s="5">
        <f t="shared" si="421"/>
        <v>89.39142378309613</v>
      </c>
      <c r="FI163" s="562">
        <f t="shared" si="422"/>
        <v>-50</v>
      </c>
      <c r="FJ163">
        <f t="shared" si="423"/>
        <v>-50</v>
      </c>
      <c r="FL163">
        <f t="shared" si="476"/>
        <v>0.55232558139534882</v>
      </c>
    </row>
    <row r="164" spans="5:168">
      <c r="E164" s="170">
        <v>54</v>
      </c>
      <c r="F164" s="217">
        <f t="shared" si="477"/>
        <v>5.4</v>
      </c>
      <c r="G164" s="217"/>
      <c r="H164" s="217">
        <f t="shared" si="442"/>
        <v>81</v>
      </c>
      <c r="I164" s="541">
        <f t="shared" si="443"/>
        <v>18.509505382860244</v>
      </c>
      <c r="J164" s="172">
        <f t="shared" si="444"/>
        <v>15.694296770283854</v>
      </c>
      <c r="K164" s="172">
        <f t="shared" si="445"/>
        <v>34.203802153144096</v>
      </c>
      <c r="L164" s="443"/>
      <c r="M164" s="217">
        <f t="shared" si="446"/>
        <v>0.45883086701779274</v>
      </c>
      <c r="N164" s="172">
        <f t="shared" si="447"/>
        <v>212.52001246677526</v>
      </c>
      <c r="O164" s="172">
        <f t="shared" si="438"/>
        <v>81</v>
      </c>
      <c r="P164" s="217">
        <f t="shared" si="448"/>
        <v>14.16800083111835</v>
      </c>
      <c r="Q164" s="217">
        <f t="shared" si="449"/>
        <v>15</v>
      </c>
      <c r="R164" s="217"/>
      <c r="S164" s="172">
        <f t="shared" si="450"/>
        <v>67.29202397582722</v>
      </c>
      <c r="T164" s="172">
        <f t="shared" si="451"/>
        <v>15</v>
      </c>
      <c r="U164" s="217">
        <f t="shared" si="452"/>
        <v>19.956792325690696</v>
      </c>
      <c r="V164" s="217">
        <f t="shared" si="453"/>
        <v>12.938298617641488</v>
      </c>
      <c r="W164" s="217">
        <f t="shared" si="454"/>
        <v>15.2591423122399</v>
      </c>
      <c r="X164" s="197">
        <f t="shared" si="455"/>
        <v>70.775189760366118</v>
      </c>
      <c r="Y164" s="443">
        <f t="shared" si="328"/>
        <v>35.214440712076403</v>
      </c>
      <c r="AA164" s="217">
        <f t="shared" si="456"/>
        <v>10</v>
      </c>
      <c r="AB164" s="173">
        <f t="shared" si="457"/>
        <v>7.646089643673128</v>
      </c>
      <c r="AC164" s="173">
        <f t="shared" si="458"/>
        <v>2.7057672272786784</v>
      </c>
      <c r="AD164" s="173"/>
      <c r="AE164" s="173">
        <f t="shared" si="459"/>
        <v>7.646089643673128</v>
      </c>
      <c r="AF164" s="545">
        <f t="shared" si="460"/>
        <v>141.24867093255469</v>
      </c>
      <c r="AG164" s="528">
        <f t="shared" si="461"/>
        <v>2.7057672272786788</v>
      </c>
      <c r="AI164" s="173">
        <f t="shared" si="462"/>
        <v>6.3526973108741025</v>
      </c>
      <c r="AJ164" s="173">
        <f t="shared" si="463"/>
        <v>19.956792325690696</v>
      </c>
      <c r="AK164" s="173">
        <f t="shared" si="464"/>
        <v>8.5754017227338473</v>
      </c>
      <c r="AM164" s="545">
        <f t="shared" si="465"/>
        <v>5400</v>
      </c>
      <c r="AN164" s="460">
        <f t="shared" si="466"/>
        <v>35.214440712076403</v>
      </c>
      <c r="AP164">
        <f t="shared" si="467"/>
        <v>5400</v>
      </c>
      <c r="AQ164">
        <f t="shared" si="468"/>
        <v>35.214440712076403</v>
      </c>
      <c r="AS164" s="5">
        <f t="shared" si="439"/>
        <v>28.397440929881391</v>
      </c>
      <c r="AT164" s="5">
        <f t="shared" si="469"/>
        <v>12.938298617641488</v>
      </c>
      <c r="AU164" s="5">
        <f t="shared" si="343"/>
        <v>15.459142312239903</v>
      </c>
      <c r="AV164" s="5"/>
      <c r="AW164" s="173">
        <f t="shared" si="344"/>
        <v>0.45561494958607623</v>
      </c>
      <c r="AX164" s="173">
        <f t="shared" si="435"/>
        <v>84.149883980213403</v>
      </c>
      <c r="AY164" s="173">
        <f t="shared" si="436"/>
        <v>5.4320896981606683</v>
      </c>
      <c r="AZ164" s="173">
        <f t="shared" si="440"/>
        <v>15.491254499848734</v>
      </c>
      <c r="BA164" s="460">
        <f t="shared" si="433"/>
        <v>465.77875023509353</v>
      </c>
      <c r="BB164" s="5">
        <f t="shared" si="434"/>
        <v>18.79200415303848</v>
      </c>
      <c r="BD164" s="173">
        <f t="shared" si="441"/>
        <v>7.7773043301072384</v>
      </c>
      <c r="BE164" s="173">
        <f t="shared" si="437"/>
        <v>8.5012581814190433</v>
      </c>
      <c r="BG164" s="528">
        <f t="shared" si="347"/>
        <v>1.209729252862096</v>
      </c>
      <c r="BH164" s="528">
        <f t="shared" si="470"/>
        <v>0.45069961894064586</v>
      </c>
      <c r="BI164" s="528">
        <f t="shared" si="471"/>
        <v>1.6295046997864777E-2</v>
      </c>
      <c r="BJ164" s="528">
        <f t="shared" si="350"/>
        <v>4.119737706718459E-3</v>
      </c>
      <c r="BK164">
        <f t="shared" si="351"/>
        <v>8.3292774222871093E-3</v>
      </c>
      <c r="BL164" s="460">
        <f t="shared" si="427"/>
        <v>24.62432442015189</v>
      </c>
      <c r="BM164" s="528">
        <f t="shared" si="472"/>
        <v>2.7943643090671966</v>
      </c>
      <c r="BN164" s="460">
        <f t="shared" si="353"/>
        <v>2794.3643090671967</v>
      </c>
      <c r="BO164" s="528">
        <f t="shared" si="354"/>
        <v>3.78</v>
      </c>
      <c r="BR164" s="460">
        <f t="shared" si="355"/>
        <v>3780</v>
      </c>
      <c r="BS164" s="528">
        <f t="shared" si="356"/>
        <v>1.814593879293144</v>
      </c>
      <c r="BT164" s="528">
        <f t="shared" si="357"/>
        <v>2.1681417200143263</v>
      </c>
      <c r="BU164" s="528">
        <f t="shared" si="358"/>
        <v>0.65463442137607031</v>
      </c>
      <c r="BV164" s="528"/>
      <c r="BW164" s="528">
        <f t="shared" si="359"/>
        <v>1.4024980663368901E-2</v>
      </c>
      <c r="BX164" s="460">
        <f t="shared" si="360"/>
        <v>4651.3950013469102</v>
      </c>
      <c r="BY164" s="173">
        <f t="shared" si="361"/>
        <v>10.120567935276521</v>
      </c>
      <c r="BZ164" s="5">
        <f t="shared" si="362"/>
        <v>81</v>
      </c>
      <c r="CA164" s="173">
        <f t="shared" si="363"/>
        <v>0.88893212405715882</v>
      </c>
      <c r="CB164" s="5">
        <f t="shared" si="364"/>
        <v>88.893212405715886</v>
      </c>
      <c r="CE164" s="562">
        <f t="shared" si="473"/>
        <v>-50</v>
      </c>
      <c r="CF164">
        <f t="shared" si="474"/>
        <v>-50</v>
      </c>
      <c r="CG164" s="173">
        <f t="shared" si="475"/>
        <v>0.55046475652365767</v>
      </c>
      <c r="CI164" s="170">
        <v>54</v>
      </c>
      <c r="CJ164" s="217">
        <f t="shared" si="428"/>
        <v>5.4</v>
      </c>
      <c r="CK164" s="217"/>
      <c r="CL164" s="217">
        <f t="shared" si="368"/>
        <v>81</v>
      </c>
      <c r="CM164" s="541">
        <f t="shared" si="369"/>
        <v>19</v>
      </c>
      <c r="CN164" s="443">
        <f t="shared" si="370"/>
        <v>15.4</v>
      </c>
      <c r="CO164" s="443">
        <f t="shared" si="371"/>
        <v>34.4</v>
      </c>
      <c r="CP164" s="443"/>
      <c r="CQ164" s="217">
        <f t="shared" si="372"/>
        <v>0.44767441860465118</v>
      </c>
      <c r="CR164" s="172">
        <f t="shared" si="429"/>
        <v>212.84736191860466</v>
      </c>
      <c r="CS164" s="172">
        <f t="shared" si="373"/>
        <v>81</v>
      </c>
      <c r="CT164" s="217">
        <f t="shared" si="374"/>
        <v>14.189824127906977</v>
      </c>
      <c r="CU164" s="217">
        <f t="shared" si="375"/>
        <v>15</v>
      </c>
      <c r="CV164" s="217"/>
      <c r="CW164" s="172">
        <f t="shared" si="376"/>
        <v>69.07235898910325</v>
      </c>
      <c r="CX164" s="172">
        <f t="shared" si="377"/>
        <v>15</v>
      </c>
      <c r="CY164" s="217">
        <f t="shared" si="378"/>
        <v>19.045796308954202</v>
      </c>
      <c r="CZ164" s="217">
        <f t="shared" si="379"/>
        <v>12.028923984602654</v>
      </c>
      <c r="DA164" s="217">
        <f t="shared" si="380"/>
        <v>14.840880240743534</v>
      </c>
      <c r="DB164" s="197">
        <f t="shared" si="381"/>
        <v>70.881782945736433</v>
      </c>
      <c r="DC164" s="443">
        <f t="shared" si="382"/>
        <v>37.216497433825872</v>
      </c>
      <c r="DE164" s="217">
        <f t="shared" si="383"/>
        <v>10.000000000000002</v>
      </c>
      <c r="DF164" s="173">
        <f t="shared" si="384"/>
        <v>7.792207792207793</v>
      </c>
      <c r="DG164" s="173">
        <f t="shared" si="385"/>
        <v>2.7616279069767451</v>
      </c>
      <c r="DH164" s="173"/>
      <c r="DI164" s="173">
        <f t="shared" si="386"/>
        <v>7.7922077922077913</v>
      </c>
      <c r="DJ164" s="545">
        <f t="shared" si="387"/>
        <v>138.6</v>
      </c>
      <c r="DK164" s="528">
        <f t="shared" si="388"/>
        <v>2.7616279069767442</v>
      </c>
      <c r="DM164" s="173">
        <f t="shared" si="389"/>
        <v>6.2928530890209098</v>
      </c>
      <c r="DN164" s="173">
        <f t="shared" si="390"/>
        <v>19.045796308954202</v>
      </c>
      <c r="DO164" s="173">
        <f t="shared" si="391"/>
        <v>7.9005898584845946</v>
      </c>
      <c r="DQ164" s="545">
        <f t="shared" si="392"/>
        <v>5400</v>
      </c>
      <c r="DR164" s="460">
        <f t="shared" si="393"/>
        <v>37.216497433825872</v>
      </c>
      <c r="DT164">
        <f t="shared" si="430"/>
        <v>5400</v>
      </c>
      <c r="DU164">
        <f t="shared" si="431"/>
        <v>37.216497433825872</v>
      </c>
      <c r="DW164" s="5">
        <f t="shared" si="394"/>
        <v>26.86980422534619</v>
      </c>
      <c r="DX164" s="5">
        <f t="shared" si="395"/>
        <v>12.028923984602654</v>
      </c>
      <c r="DY164" s="5">
        <f t="shared" si="396"/>
        <v>14.840880240743536</v>
      </c>
      <c r="DZ164" s="5"/>
      <c r="EA164" s="173">
        <f t="shared" si="397"/>
        <v>0.44767441860465113</v>
      </c>
      <c r="EB164" s="173">
        <f t="shared" si="398"/>
        <v>81</v>
      </c>
      <c r="EC164" s="173">
        <f t="shared" si="399"/>
        <v>5.2597402597402603</v>
      </c>
      <c r="ED164" s="173">
        <f t="shared" si="400"/>
        <v>15.399999999999999</v>
      </c>
      <c r="EE164" s="460">
        <f t="shared" si="401"/>
        <v>433.04126344569562</v>
      </c>
      <c r="EF164" s="5">
        <f t="shared" si="402"/>
        <v>17.574726600880506</v>
      </c>
      <c r="EH164" s="173">
        <f t="shared" si="403"/>
        <v>7.3573200236711145</v>
      </c>
      <c r="EI164" s="173">
        <f t="shared" si="404"/>
        <v>8.172145439439138</v>
      </c>
      <c r="EK164" s="528">
        <f t="shared" si="405"/>
        <v>1.0826031586142386</v>
      </c>
      <c r="EL164" s="528">
        <f t="shared" si="406"/>
        <v>0.48766666666666658</v>
      </c>
      <c r="EM164" s="528">
        <f t="shared" si="407"/>
        <v>4.652062179228234E-3</v>
      </c>
      <c r="EN164" s="528">
        <f t="shared" si="408"/>
        <v>4.4040514403292175E-3</v>
      </c>
      <c r="EO164">
        <f t="shared" si="409"/>
        <v>8.5500000000000003E-3</v>
      </c>
      <c r="EP164" s="460">
        <f t="shared" si="410"/>
        <v>13.202062179228234</v>
      </c>
      <c r="EQ164" s="460"/>
      <c r="ER164" s="460">
        <f t="shared" si="432"/>
        <v>1587.8759389004626</v>
      </c>
      <c r="ES164" s="528">
        <f t="shared" si="411"/>
        <v>3.78</v>
      </c>
      <c r="EV164" s="460">
        <f t="shared" si="412"/>
        <v>3780</v>
      </c>
      <c r="EW164" s="528">
        <f t="shared" si="413"/>
        <v>1.6239047379213578</v>
      </c>
      <c r="EX164" s="528">
        <f t="shared" si="414"/>
        <v>2.0035188325003768</v>
      </c>
      <c r="EY164" s="528">
        <f t="shared" si="415"/>
        <v>0.66881589702681343</v>
      </c>
      <c r="EZ164" s="528"/>
      <c r="FA164" s="528">
        <f t="shared" si="416"/>
        <v>1.3500000000000002E-2</v>
      </c>
      <c r="FB164" s="460">
        <f t="shared" si="417"/>
        <v>4309.7394674485477</v>
      </c>
      <c r="FC164" s="173">
        <f t="shared" si="418"/>
        <v>9.6776154063490125</v>
      </c>
      <c r="FD164" s="5">
        <f t="shared" si="419"/>
        <v>81</v>
      </c>
      <c r="FE164" s="173">
        <f t="shared" si="420"/>
        <v>0.89327448275981658</v>
      </c>
      <c r="FF164" s="5">
        <f t="shared" si="421"/>
        <v>89.327448275981652</v>
      </c>
      <c r="FI164" s="562">
        <f t="shared" si="422"/>
        <v>-50</v>
      </c>
      <c r="FJ164">
        <f t="shared" si="423"/>
        <v>-50</v>
      </c>
      <c r="FL164">
        <f t="shared" si="476"/>
        <v>0.55232558139534893</v>
      </c>
    </row>
    <row r="165" spans="5:168">
      <c r="E165" s="170">
        <v>55</v>
      </c>
      <c r="F165" s="217">
        <f t="shared" si="477"/>
        <v>5.5</v>
      </c>
      <c r="G165" s="217"/>
      <c r="H165" s="217">
        <f t="shared" si="442"/>
        <v>82.5</v>
      </c>
      <c r="I165" s="541">
        <f t="shared" si="443"/>
        <v>18.500452852843285</v>
      </c>
      <c r="J165" s="172">
        <f t="shared" si="444"/>
        <v>15.699728288294029</v>
      </c>
      <c r="K165" s="172">
        <f t="shared" si="445"/>
        <v>34.200181141137314</v>
      </c>
      <c r="L165" s="443"/>
      <c r="M165" s="217">
        <f t="shared" si="446"/>
        <v>0.45903826909747142</v>
      </c>
      <c r="N165" s="172">
        <f t="shared" si="447"/>
        <v>212.51209125377233</v>
      </c>
      <c r="O165" s="172">
        <f t="shared" si="438"/>
        <v>82.5</v>
      </c>
      <c r="P165" s="217">
        <f t="shared" si="448"/>
        <v>14.167472750251488</v>
      </c>
      <c r="Q165" s="217">
        <f t="shared" si="449"/>
        <v>15</v>
      </c>
      <c r="R165" s="217"/>
      <c r="S165" s="172">
        <f t="shared" si="450"/>
        <v>65.704461433123029</v>
      </c>
      <c r="T165" s="172">
        <f t="shared" si="451"/>
        <v>15</v>
      </c>
      <c r="U165" s="217">
        <f t="shared" si="452"/>
        <v>20.334155581852055</v>
      </c>
      <c r="V165" s="217">
        <f t="shared" si="453"/>
        <v>13.189399682436608</v>
      </c>
      <c r="W165" s="217">
        <f t="shared" si="454"/>
        <v>15.542298726543079</v>
      </c>
      <c r="X165" s="197">
        <f t="shared" si="455"/>
        <v>70.772549859067496</v>
      </c>
      <c r="Y165" s="443">
        <f t="shared" si="328"/>
        <v>34.564165085089662</v>
      </c>
      <c r="AA165" s="217">
        <f t="shared" si="456"/>
        <v>10</v>
      </c>
      <c r="AB165" s="173">
        <f t="shared" si="457"/>
        <v>7.6434443830135548</v>
      </c>
      <c r="AC165" s="173">
        <f t="shared" si="458"/>
        <v>2.7047302434591809</v>
      </c>
      <c r="AD165" s="173"/>
      <c r="AE165" s="173">
        <f t="shared" si="459"/>
        <v>7.6434443830135548</v>
      </c>
      <c r="AF165" s="545">
        <f t="shared" si="460"/>
        <v>143.91417597602859</v>
      </c>
      <c r="AG165" s="528">
        <f t="shared" si="461"/>
        <v>2.7047302434591809</v>
      </c>
      <c r="AI165" s="173">
        <f t="shared" si="462"/>
        <v>6.4123580680706702</v>
      </c>
      <c r="AJ165" s="173">
        <f t="shared" si="463"/>
        <v>20.334155581852055</v>
      </c>
      <c r="AK165" s="173">
        <f t="shared" si="464"/>
        <v>8.8549300606311512</v>
      </c>
      <c r="AM165" s="545">
        <f t="shared" si="465"/>
        <v>5500</v>
      </c>
      <c r="AN165" s="460">
        <f t="shared" si="466"/>
        <v>34.564165085089662</v>
      </c>
      <c r="AP165">
        <f t="shared" si="467"/>
        <v>5500</v>
      </c>
      <c r="AQ165">
        <f t="shared" si="468"/>
        <v>34.564165085089662</v>
      </c>
      <c r="AS165" s="5">
        <f t="shared" si="439"/>
        <v>28.931698408979692</v>
      </c>
      <c r="AT165" s="5">
        <f t="shared" si="469"/>
        <v>13.189399682436608</v>
      </c>
      <c r="AU165" s="5">
        <f t="shared" si="343"/>
        <v>15.742298726543083</v>
      </c>
      <c r="AV165" s="5"/>
      <c r="AW165" s="173">
        <f t="shared" si="344"/>
        <v>0.45588058799696812</v>
      </c>
      <c r="AX165" s="173">
        <f t="shared" si="435"/>
        <v>85.749106889341491</v>
      </c>
      <c r="AY165" s="173">
        <f t="shared" si="436"/>
        <v>5.5321043893877553</v>
      </c>
      <c r="AZ165" s="173">
        <f t="shared" si="440"/>
        <v>15.500269129742769</v>
      </c>
      <c r="BA165" s="460">
        <f t="shared" si="433"/>
        <v>483.61132168934233</v>
      </c>
      <c r="BB165" s="5">
        <f t="shared" si="434"/>
        <v>19.5001179351042</v>
      </c>
      <c r="BD165" s="173">
        <f t="shared" si="441"/>
        <v>7.9266752283928508</v>
      </c>
      <c r="BE165" s="173">
        <f t="shared" si="437"/>
        <v>8.6598949704507504</v>
      </c>
      <c r="BG165" s="528">
        <f t="shared" si="347"/>
        <v>1.256643603528337</v>
      </c>
      <c r="BH165" s="528">
        <f t="shared" si="470"/>
        <v>0.45069411914188967</v>
      </c>
      <c r="BI165" s="528">
        <f t="shared" si="471"/>
        <v>1.5986317663864831E-2</v>
      </c>
      <c r="BJ165" s="528">
        <f t="shared" si="350"/>
        <v>4.0428058303123085E-3</v>
      </c>
      <c r="BK165">
        <f t="shared" si="351"/>
        <v>8.3252037837794786E-3</v>
      </c>
      <c r="BL165" s="460">
        <f t="shared" si="427"/>
        <v>24.31152144764431</v>
      </c>
      <c r="BM165" s="528">
        <f t="shared" si="472"/>
        <v>2.9235978088852308</v>
      </c>
      <c r="BN165" s="460">
        <f t="shared" si="353"/>
        <v>2923.5978088852307</v>
      </c>
      <c r="BO165" s="528">
        <f t="shared" si="354"/>
        <v>3.8499999999999996</v>
      </c>
      <c r="BR165" s="460">
        <f t="shared" si="355"/>
        <v>3849.9999999999995</v>
      </c>
      <c r="BS165" s="528">
        <f t="shared" si="356"/>
        <v>1.8849654052925056</v>
      </c>
      <c r="BT165" s="528">
        <f t="shared" si="357"/>
        <v>2.2498134269771461</v>
      </c>
      <c r="BU165" s="528">
        <f t="shared" si="358"/>
        <v>0.65478773588874684</v>
      </c>
      <c r="BV165" s="528"/>
      <c r="BW165" s="528">
        <f t="shared" si="359"/>
        <v>1.4291517814890249E-2</v>
      </c>
      <c r="BX165" s="460">
        <f t="shared" si="360"/>
        <v>4803.8580859732892</v>
      </c>
      <c r="BY165" s="173">
        <f t="shared" si="361"/>
        <v>10.389550135921471</v>
      </c>
      <c r="BZ165" s="5">
        <f t="shared" si="362"/>
        <v>82.5</v>
      </c>
      <c r="CA165" s="173">
        <f t="shared" si="363"/>
        <v>0.88815157226276942</v>
      </c>
      <c r="CB165" s="5">
        <f t="shared" si="364"/>
        <v>88.815157226276938</v>
      </c>
      <c r="CE165" s="562">
        <f t="shared" si="473"/>
        <v>-50</v>
      </c>
      <c r="CF165">
        <f t="shared" si="474"/>
        <v>-50</v>
      </c>
      <c r="CG165" s="173">
        <f t="shared" si="475"/>
        <v>0.5504985897031428</v>
      </c>
      <c r="CI165" s="170">
        <v>55</v>
      </c>
      <c r="CJ165" s="217">
        <f t="shared" si="428"/>
        <v>5.5</v>
      </c>
      <c r="CK165" s="217"/>
      <c r="CL165" s="217">
        <f t="shared" si="368"/>
        <v>82.5</v>
      </c>
      <c r="CM165" s="541">
        <f t="shared" si="369"/>
        <v>19</v>
      </c>
      <c r="CN165" s="443">
        <f t="shared" si="370"/>
        <v>15.4</v>
      </c>
      <c r="CO165" s="443">
        <f t="shared" si="371"/>
        <v>34.4</v>
      </c>
      <c r="CP165" s="443"/>
      <c r="CQ165" s="217">
        <f t="shared" si="372"/>
        <v>0.44767441860465118</v>
      </c>
      <c r="CR165" s="172">
        <f t="shared" si="429"/>
        <v>212.84736191860466</v>
      </c>
      <c r="CS165" s="172">
        <f t="shared" si="373"/>
        <v>82.5</v>
      </c>
      <c r="CT165" s="217">
        <f t="shared" si="374"/>
        <v>14.189824127906977</v>
      </c>
      <c r="CU165" s="217">
        <f t="shared" si="375"/>
        <v>15</v>
      </c>
      <c r="CV165" s="217"/>
      <c r="CW165" s="172">
        <f t="shared" si="376"/>
        <v>67.475605898190494</v>
      </c>
      <c r="CX165" s="172">
        <f t="shared" si="377"/>
        <v>15</v>
      </c>
      <c r="CY165" s="217">
        <f t="shared" si="378"/>
        <v>19.398496240601503</v>
      </c>
      <c r="CZ165" s="217">
        <f t="shared" si="379"/>
        <v>12.25168183616937</v>
      </c>
      <c r="DA165" s="217">
        <f t="shared" si="380"/>
        <v>15.115711356312859</v>
      </c>
      <c r="DB165" s="197">
        <f t="shared" si="381"/>
        <v>70.881782945736433</v>
      </c>
      <c r="DC165" s="443">
        <f t="shared" si="382"/>
        <v>36.539833844119947</v>
      </c>
      <c r="DE165" s="217">
        <f t="shared" si="383"/>
        <v>10.000000000000002</v>
      </c>
      <c r="DF165" s="173">
        <f t="shared" si="384"/>
        <v>7.792207792207793</v>
      </c>
      <c r="DG165" s="173">
        <f t="shared" si="385"/>
        <v>2.7616279069767451</v>
      </c>
      <c r="DH165" s="173"/>
      <c r="DI165" s="173">
        <f t="shared" si="386"/>
        <v>7.7922077922077913</v>
      </c>
      <c r="DJ165" s="545">
        <f t="shared" si="387"/>
        <v>141.16666666666669</v>
      </c>
      <c r="DK165" s="528">
        <f t="shared" si="388"/>
        <v>2.7616279069767442</v>
      </c>
      <c r="DM165" s="173">
        <f t="shared" si="389"/>
        <v>6.3508529610858835</v>
      </c>
      <c r="DN165" s="173">
        <f t="shared" si="390"/>
        <v>19.398496240601503</v>
      </c>
      <c r="DO165" s="173">
        <f t="shared" si="391"/>
        <v>8.1618490671122252</v>
      </c>
      <c r="DQ165" s="545">
        <f t="shared" si="392"/>
        <v>5500</v>
      </c>
      <c r="DR165" s="460">
        <f t="shared" si="393"/>
        <v>36.539833844119947</v>
      </c>
      <c r="DT165">
        <f t="shared" si="430"/>
        <v>5500</v>
      </c>
      <c r="DU165">
        <f t="shared" si="431"/>
        <v>36.539833844119947</v>
      </c>
      <c r="DW165" s="5">
        <f t="shared" si="394"/>
        <v>27.367393192482229</v>
      </c>
      <c r="DX165" s="5">
        <f t="shared" si="395"/>
        <v>12.25168183616937</v>
      </c>
      <c r="DY165" s="5">
        <f t="shared" si="396"/>
        <v>15.115711356312859</v>
      </c>
      <c r="DZ165" s="5"/>
      <c r="EA165" s="173">
        <f t="shared" si="397"/>
        <v>0.44767441860465118</v>
      </c>
      <c r="EB165" s="173">
        <f t="shared" si="398"/>
        <v>82.5</v>
      </c>
      <c r="EC165" s="173">
        <f t="shared" si="399"/>
        <v>5.3571428571428568</v>
      </c>
      <c r="ED165" s="173">
        <f t="shared" si="400"/>
        <v>15.4</v>
      </c>
      <c r="EE165" s="460">
        <f t="shared" si="401"/>
        <v>449.22833399287686</v>
      </c>
      <c r="EF165" s="5">
        <f t="shared" si="402"/>
        <v>18.231669399061563</v>
      </c>
      <c r="EH165" s="173">
        <f t="shared" si="403"/>
        <v>7.4935666907761362</v>
      </c>
      <c r="EI165" s="173">
        <f t="shared" si="404"/>
        <v>8.3234814660954193</v>
      </c>
      <c r="EK165" s="528">
        <f t="shared" si="405"/>
        <v>1.1230708349821923</v>
      </c>
      <c r="EL165" s="528">
        <f t="shared" si="406"/>
        <v>0.48766666666666664</v>
      </c>
      <c r="EM165" s="528">
        <f t="shared" si="407"/>
        <v>4.5674792305149927E-3</v>
      </c>
      <c r="EN165" s="528">
        <f t="shared" si="408"/>
        <v>4.3239777777777776E-3</v>
      </c>
      <c r="EO165">
        <f t="shared" si="409"/>
        <v>8.5500000000000003E-3</v>
      </c>
      <c r="EP165" s="460">
        <f t="shared" si="410"/>
        <v>13.117479230514993</v>
      </c>
      <c r="EQ165" s="460"/>
      <c r="ER165" s="460">
        <f t="shared" si="432"/>
        <v>1628.1789586571517</v>
      </c>
      <c r="ES165" s="528">
        <f t="shared" si="411"/>
        <v>3.8499999999999996</v>
      </c>
      <c r="EV165" s="460">
        <f t="shared" si="412"/>
        <v>3849.9999999999995</v>
      </c>
      <c r="EW165" s="528">
        <f t="shared" si="413"/>
        <v>1.6846062524732883</v>
      </c>
      <c r="EX165" s="528">
        <f t="shared" si="414"/>
        <v>2.0784103114930184</v>
      </c>
      <c r="EY165" s="528">
        <f t="shared" si="415"/>
        <v>0.66881589702681166</v>
      </c>
      <c r="EZ165" s="528"/>
      <c r="FA165" s="528">
        <f t="shared" si="416"/>
        <v>1.375E-2</v>
      </c>
      <c r="FB165" s="460">
        <f t="shared" si="417"/>
        <v>4445.5824609931178</v>
      </c>
      <c r="FC165" s="173">
        <f t="shared" si="418"/>
        <v>9.9237614196502708</v>
      </c>
      <c r="FD165" s="5">
        <f t="shared" si="419"/>
        <v>82.5</v>
      </c>
      <c r="FE165" s="173">
        <f t="shared" si="420"/>
        <v>0.89262759633216593</v>
      </c>
      <c r="FF165" s="5">
        <f t="shared" si="421"/>
        <v>89.262759633216589</v>
      </c>
      <c r="FI165" s="562">
        <f t="shared" si="422"/>
        <v>-50</v>
      </c>
      <c r="FJ165">
        <f t="shared" si="423"/>
        <v>-50</v>
      </c>
      <c r="FL165">
        <f t="shared" si="476"/>
        <v>0.55232558139534882</v>
      </c>
    </row>
    <row r="166" spans="5:168">
      <c r="E166" s="170">
        <v>56</v>
      </c>
      <c r="F166" s="217">
        <f t="shared" si="477"/>
        <v>5.6000000000000005</v>
      </c>
      <c r="G166" s="217"/>
      <c r="H166" s="217">
        <f t="shared" si="442"/>
        <v>84.000000000000014</v>
      </c>
      <c r="I166" s="541">
        <f t="shared" si="443"/>
        <v>18.491400319187289</v>
      </c>
      <c r="J166" s="172">
        <f t="shared" si="444"/>
        <v>15.705159808487627</v>
      </c>
      <c r="K166" s="172">
        <f t="shared" si="445"/>
        <v>34.196560127674914</v>
      </c>
      <c r="L166" s="443"/>
      <c r="M166" s="217">
        <f t="shared" si="446"/>
        <v>0.45924571514941998</v>
      </c>
      <c r="N166" s="172">
        <f t="shared" si="447"/>
        <v>212.50409638112237</v>
      </c>
      <c r="O166" s="172">
        <f t="shared" si="438"/>
        <v>84.000000000000014</v>
      </c>
      <c r="P166" s="217">
        <f t="shared" si="448"/>
        <v>14.16693975874149</v>
      </c>
      <c r="Q166" s="217">
        <f t="shared" si="449"/>
        <v>15</v>
      </c>
      <c r="R166" s="217"/>
      <c r="S166" s="172">
        <f t="shared" si="450"/>
        <v>64.174037831859494</v>
      </c>
      <c r="T166" s="172">
        <f t="shared" si="451"/>
        <v>15</v>
      </c>
      <c r="U166" s="217">
        <f t="shared" si="452"/>
        <v>20.711809991657777</v>
      </c>
      <c r="V166" s="217">
        <f t="shared" si="453"/>
        <v>13.440935548942621</v>
      </c>
      <c r="W166" s="217">
        <f t="shared" si="454"/>
        <v>15.825481748079543</v>
      </c>
      <c r="X166" s="197">
        <f t="shared" si="455"/>
        <v>70.769885433722663</v>
      </c>
      <c r="Y166" s="443">
        <f t="shared" si="328"/>
        <v>33.93693878424299</v>
      </c>
      <c r="AA166" s="217">
        <f t="shared" si="456"/>
        <v>10</v>
      </c>
      <c r="AB166" s="173">
        <f t="shared" si="457"/>
        <v>7.6408009509809469</v>
      </c>
      <c r="AC166" s="173">
        <f t="shared" si="458"/>
        <v>2.703693039614004</v>
      </c>
      <c r="AD166" s="173"/>
      <c r="AE166" s="173">
        <f t="shared" si="459"/>
        <v>7.6408009509809469</v>
      </c>
      <c r="AF166" s="545">
        <f t="shared" si="460"/>
        <v>146.58149154588452</v>
      </c>
      <c r="AG166" s="528">
        <f t="shared" si="461"/>
        <v>2.703693039614004</v>
      </c>
      <c r="AI166" s="173">
        <f t="shared" si="462"/>
        <v>6.4715088005786567</v>
      </c>
      <c r="AJ166" s="173">
        <f t="shared" si="463"/>
        <v>20.711809991657777</v>
      </c>
      <c r="AK166" s="173">
        <f t="shared" si="464"/>
        <v>9.1346740678946485</v>
      </c>
      <c r="AM166" s="545">
        <f t="shared" si="465"/>
        <v>5600.0000000000009</v>
      </c>
      <c r="AN166" s="460">
        <f t="shared" si="466"/>
        <v>33.93693878424299</v>
      </c>
      <c r="AP166">
        <f t="shared" si="467"/>
        <v>5600.0000000000009</v>
      </c>
      <c r="AQ166">
        <f t="shared" si="468"/>
        <v>33.93693878424299</v>
      </c>
      <c r="AS166" s="5">
        <f t="shared" si="439"/>
        <v>29.466417297022165</v>
      </c>
      <c r="AT166" s="5">
        <f t="shared" si="469"/>
        <v>13.440935548942621</v>
      </c>
      <c r="AU166" s="5">
        <f t="shared" si="343"/>
        <v>16.025481748079542</v>
      </c>
      <c r="AV166" s="5"/>
      <c r="AW166" s="173">
        <f t="shared" si="344"/>
        <v>0.45614420692742119</v>
      </c>
      <c r="AX166" s="173">
        <f t="shared" si="435"/>
        <v>87.349419267313579</v>
      </c>
      <c r="AY166" s="173">
        <f t="shared" si="436"/>
        <v>5.6321189244908014</v>
      </c>
      <c r="AZ166" s="173">
        <f t="shared" si="440"/>
        <v>15.509157466026132</v>
      </c>
      <c r="BA166" s="460">
        <f t="shared" si="433"/>
        <v>501.79492716052454</v>
      </c>
      <c r="BB166" s="5">
        <f t="shared" si="434"/>
        <v>20.221719339837634</v>
      </c>
      <c r="BD166" s="173">
        <f t="shared" si="441"/>
        <v>8.0762268232466923</v>
      </c>
      <c r="BE166" s="173">
        <f t="shared" si="437"/>
        <v>8.8185931234134856</v>
      </c>
      <c r="BG166" s="528">
        <f t="shared" si="347"/>
        <v>1.3045087940105873</v>
      </c>
      <c r="BH166" s="528">
        <f t="shared" si="470"/>
        <v>0.45068635800288676</v>
      </c>
      <c r="BI166" s="528">
        <f t="shared" si="471"/>
        <v>1.5688538016679757E-2</v>
      </c>
      <c r="BJ166" s="528">
        <f t="shared" si="350"/>
        <v>3.9686016551590212E-3</v>
      </c>
      <c r="BK166">
        <f t="shared" si="351"/>
        <v>8.3211301436342793E-3</v>
      </c>
      <c r="BL166" s="460">
        <f t="shared" si="427"/>
        <v>24.009668160314039</v>
      </c>
      <c r="BM166" s="528">
        <f t="shared" si="472"/>
        <v>3.0597566458602388</v>
      </c>
      <c r="BN166" s="460">
        <f t="shared" si="353"/>
        <v>3059.7566458602387</v>
      </c>
      <c r="BO166" s="528">
        <f t="shared" si="354"/>
        <v>3.92</v>
      </c>
      <c r="BR166" s="460">
        <f t="shared" si="355"/>
        <v>3920</v>
      </c>
      <c r="BS166" s="528">
        <f t="shared" si="356"/>
        <v>1.9567631910158809</v>
      </c>
      <c r="BT166" s="528">
        <f t="shared" si="357"/>
        <v>2.3330275402894687</v>
      </c>
      <c r="BU166" s="528">
        <f t="shared" si="358"/>
        <v>0.65493288906471969</v>
      </c>
      <c r="BV166" s="528"/>
      <c r="BW166" s="528">
        <f t="shared" si="359"/>
        <v>1.455823654455226E-2</v>
      </c>
      <c r="BX166" s="460">
        <f t="shared" si="360"/>
        <v>4959.281856914622</v>
      </c>
      <c r="BY166" s="173">
        <f t="shared" si="361"/>
        <v>10.662455278743568</v>
      </c>
      <c r="BZ166" s="5">
        <f t="shared" si="362"/>
        <v>84.000000000000014</v>
      </c>
      <c r="CA166" s="173">
        <f t="shared" si="363"/>
        <v>0.88736341934775687</v>
      </c>
      <c r="CB166" s="5">
        <f t="shared" si="364"/>
        <v>88.73634193477568</v>
      </c>
      <c r="CE166" s="562">
        <f t="shared" si="473"/>
        <v>-50</v>
      </c>
      <c r="CF166">
        <f t="shared" si="474"/>
        <v>-50</v>
      </c>
      <c r="CG166" s="173">
        <f t="shared" si="475"/>
        <v>0.55053121455478926</v>
      </c>
      <c r="CI166" s="170">
        <v>56</v>
      </c>
      <c r="CJ166" s="217">
        <f t="shared" si="428"/>
        <v>5.6000000000000005</v>
      </c>
      <c r="CK166" s="217"/>
      <c r="CL166" s="217">
        <f t="shared" si="368"/>
        <v>84.000000000000014</v>
      </c>
      <c r="CM166" s="541">
        <f t="shared" si="369"/>
        <v>19</v>
      </c>
      <c r="CN166" s="443">
        <f t="shared" si="370"/>
        <v>15.4</v>
      </c>
      <c r="CO166" s="443">
        <f t="shared" si="371"/>
        <v>34.4</v>
      </c>
      <c r="CP166" s="443"/>
      <c r="CQ166" s="217">
        <f t="shared" si="372"/>
        <v>0.44767441860465118</v>
      </c>
      <c r="CR166" s="172">
        <f t="shared" si="429"/>
        <v>212.84736191860466</v>
      </c>
      <c r="CS166" s="172">
        <f t="shared" si="373"/>
        <v>84.000000000000014</v>
      </c>
      <c r="CT166" s="217">
        <f t="shared" si="374"/>
        <v>14.189824127906977</v>
      </c>
      <c r="CU166" s="217">
        <f t="shared" si="375"/>
        <v>15</v>
      </c>
      <c r="CV166" s="217"/>
      <c r="CW166" s="172">
        <f t="shared" si="376"/>
        <v>65.935996835456478</v>
      </c>
      <c r="CX166" s="172">
        <f t="shared" si="377"/>
        <v>15</v>
      </c>
      <c r="CY166" s="217">
        <f t="shared" si="378"/>
        <v>19.751196172248807</v>
      </c>
      <c r="CZ166" s="217">
        <f t="shared" si="379"/>
        <v>12.474439687736087</v>
      </c>
      <c r="DA166" s="217">
        <f t="shared" si="380"/>
        <v>15.390542471882187</v>
      </c>
      <c r="DB166" s="197">
        <f t="shared" si="381"/>
        <v>70.881782945736433</v>
      </c>
      <c r="DC166" s="443">
        <f t="shared" si="382"/>
        <v>35.887336811189236</v>
      </c>
      <c r="DE166" s="217">
        <f t="shared" si="383"/>
        <v>10.000000000000002</v>
      </c>
      <c r="DF166" s="173">
        <f t="shared" si="384"/>
        <v>7.792207792207793</v>
      </c>
      <c r="DG166" s="173">
        <f t="shared" si="385"/>
        <v>2.7616279069767451</v>
      </c>
      <c r="DH166" s="173"/>
      <c r="DI166" s="173">
        <f t="shared" si="386"/>
        <v>7.7922077922077913</v>
      </c>
      <c r="DJ166" s="545">
        <f t="shared" si="387"/>
        <v>143.73333333333335</v>
      </c>
      <c r="DK166" s="528">
        <f t="shared" si="388"/>
        <v>2.7616279069767442</v>
      </c>
      <c r="DM166" s="173">
        <f t="shared" si="389"/>
        <v>6.408327915038889</v>
      </c>
      <c r="DN166" s="173">
        <f t="shared" si="390"/>
        <v>19.751196172248807</v>
      </c>
      <c r="DO166" s="173">
        <f t="shared" si="391"/>
        <v>8.4231082757398568</v>
      </c>
      <c r="DQ166" s="545">
        <f t="shared" si="392"/>
        <v>5600.0000000000009</v>
      </c>
      <c r="DR166" s="460">
        <f t="shared" si="393"/>
        <v>35.887336811189236</v>
      </c>
      <c r="DT166">
        <f t="shared" si="430"/>
        <v>5600.0000000000009</v>
      </c>
      <c r="DU166">
        <f t="shared" si="431"/>
        <v>35.887336811189236</v>
      </c>
      <c r="DW166" s="5">
        <f t="shared" si="394"/>
        <v>27.864982159618265</v>
      </c>
      <c r="DX166" s="5">
        <f t="shared" si="395"/>
        <v>12.474439687736087</v>
      </c>
      <c r="DY166" s="5">
        <f t="shared" si="396"/>
        <v>15.390542471882178</v>
      </c>
      <c r="DZ166" s="5"/>
      <c r="EA166" s="173">
        <f t="shared" si="397"/>
        <v>0.44767441860465129</v>
      </c>
      <c r="EB166" s="173">
        <f t="shared" si="398"/>
        <v>84.000000000000043</v>
      </c>
      <c r="EC166" s="173">
        <f t="shared" si="399"/>
        <v>5.4545454545454541</v>
      </c>
      <c r="ED166" s="173">
        <f t="shared" si="400"/>
        <v>15.400000000000009</v>
      </c>
      <c r="EE166" s="460">
        <f t="shared" si="401"/>
        <v>465.71241500881399</v>
      </c>
      <c r="EF166" s="5">
        <f t="shared" si="402"/>
        <v>18.900666193539518</v>
      </c>
      <c r="EH166" s="173">
        <f t="shared" si="403"/>
        <v>7.6298133578811598</v>
      </c>
      <c r="EI166" s="173">
        <f t="shared" si="404"/>
        <v>8.4748174927517006</v>
      </c>
      <c r="EK166" s="528">
        <f t="shared" si="405"/>
        <v>1.1642810375220356</v>
      </c>
      <c r="EL166" s="528">
        <f t="shared" si="406"/>
        <v>0.48766666666666686</v>
      </c>
      <c r="EM166" s="528">
        <f t="shared" si="407"/>
        <v>4.4859171013986541E-3</v>
      </c>
      <c r="EN166" s="528">
        <f t="shared" si="408"/>
        <v>4.2467638888888893E-3</v>
      </c>
      <c r="EO166">
        <f t="shared" si="409"/>
        <v>8.5500000000000003E-3</v>
      </c>
      <c r="EP166" s="460">
        <f t="shared" si="410"/>
        <v>13.035917101398654</v>
      </c>
      <c r="EQ166" s="460"/>
      <c r="ER166" s="460">
        <f t="shared" si="432"/>
        <v>1669.23038517899</v>
      </c>
      <c r="ES166" s="528">
        <f t="shared" si="411"/>
        <v>3.92</v>
      </c>
      <c r="EV166" s="460">
        <f t="shared" si="412"/>
        <v>3920</v>
      </c>
      <c r="EW166" s="528">
        <f t="shared" si="413"/>
        <v>1.7464215562830532</v>
      </c>
      <c r="EX166" s="528">
        <f t="shared" si="414"/>
        <v>2.1546759460635068</v>
      </c>
      <c r="EY166" s="528">
        <f t="shared" si="415"/>
        <v>0.66881589702681343</v>
      </c>
      <c r="EZ166" s="528"/>
      <c r="FA166" s="528">
        <f t="shared" si="416"/>
        <v>1.4000000000000011E-2</v>
      </c>
      <c r="FB166" s="460">
        <f t="shared" si="417"/>
        <v>4583.9133993733731</v>
      </c>
      <c r="FC166" s="173">
        <f t="shared" si="418"/>
        <v>10.173143784552362</v>
      </c>
      <c r="FD166" s="5">
        <f t="shared" si="419"/>
        <v>84.000000000000014</v>
      </c>
      <c r="FE166" s="173">
        <f t="shared" si="420"/>
        <v>0.89197404508629019</v>
      </c>
      <c r="FF166" s="5">
        <f t="shared" si="421"/>
        <v>89.19740450862902</v>
      </c>
      <c r="FI166" s="562">
        <f t="shared" si="422"/>
        <v>-50</v>
      </c>
      <c r="FJ166">
        <f t="shared" si="423"/>
        <v>-50</v>
      </c>
      <c r="FL166">
        <f t="shared" si="476"/>
        <v>0.55232558139534871</v>
      </c>
    </row>
    <row r="167" spans="5:168">
      <c r="E167" s="170">
        <v>57</v>
      </c>
      <c r="F167" s="217">
        <f t="shared" si="477"/>
        <v>5.6999999999999993</v>
      </c>
      <c r="G167" s="217"/>
      <c r="H167" s="217">
        <f t="shared" si="442"/>
        <v>85.499999999999986</v>
      </c>
      <c r="I167" s="541">
        <f t="shared" si="443"/>
        <v>18.4823477820844</v>
      </c>
      <c r="J167" s="172">
        <f t="shared" si="444"/>
        <v>15.710591330749361</v>
      </c>
      <c r="K167" s="172">
        <f t="shared" si="445"/>
        <v>34.192939112833763</v>
      </c>
      <c r="L167" s="443"/>
      <c r="M167" s="217">
        <f t="shared" si="446"/>
        <v>0.45945320518509275</v>
      </c>
      <c r="N167" s="172">
        <f t="shared" si="447"/>
        <v>212.49602782639252</v>
      </c>
      <c r="O167" s="172">
        <f t="shared" si="438"/>
        <v>85.499999999999986</v>
      </c>
      <c r="P167" s="217">
        <f t="shared" si="448"/>
        <v>14.166401855092834</v>
      </c>
      <c r="Q167" s="217">
        <f t="shared" si="449"/>
        <v>15</v>
      </c>
      <c r="R167" s="217"/>
      <c r="S167" s="172">
        <f t="shared" si="450"/>
        <v>62.697747537196612</v>
      </c>
      <c r="T167" s="172">
        <f t="shared" si="451"/>
        <v>15</v>
      </c>
      <c r="U167" s="217">
        <f t="shared" si="452"/>
        <v>21.089755982927542</v>
      </c>
      <c r="V167" s="217">
        <f t="shared" si="453"/>
        <v>13.692907133824589</v>
      </c>
      <c r="W167" s="217">
        <f t="shared" si="454"/>
        <v>16.108691676028677</v>
      </c>
      <c r="X167" s="197">
        <f t="shared" si="455"/>
        <v>70.767196476568444</v>
      </c>
      <c r="Y167" s="443">
        <f t="shared" si="328"/>
        <v>33.331556972609583</v>
      </c>
      <c r="AA167" s="217">
        <f t="shared" si="456"/>
        <v>10</v>
      </c>
      <c r="AB167" s="173">
        <f t="shared" si="457"/>
        <v>7.6381593457358594</v>
      </c>
      <c r="AC167" s="173">
        <f t="shared" si="458"/>
        <v>2.7026556156951349</v>
      </c>
      <c r="AD167" s="173"/>
      <c r="AE167" s="173">
        <f t="shared" si="459"/>
        <v>7.6381593457358594</v>
      </c>
      <c r="AF167" s="545">
        <f t="shared" si="460"/>
        <v>149.2506176421189</v>
      </c>
      <c r="AG167" s="528">
        <f t="shared" si="461"/>
        <v>2.7026556156951353</v>
      </c>
      <c r="AI167" s="173">
        <f t="shared" si="462"/>
        <v>6.5301633679437128</v>
      </c>
      <c r="AJ167" s="173">
        <f t="shared" si="463"/>
        <v>21.089755982927542</v>
      </c>
      <c r="AK167" s="173">
        <f t="shared" si="464"/>
        <v>9.4146340614278081</v>
      </c>
      <c r="AM167" s="545">
        <f t="shared" si="465"/>
        <v>5699.9999999999991</v>
      </c>
      <c r="AN167" s="460">
        <f t="shared" si="466"/>
        <v>33.331556972609583</v>
      </c>
      <c r="AP167">
        <f t="shared" si="467"/>
        <v>5699.9999999999991</v>
      </c>
      <c r="AQ167">
        <f t="shared" si="468"/>
        <v>33.331556972609583</v>
      </c>
      <c r="AS167" s="5">
        <f t="shared" si="439"/>
        <v>30.001598809853267</v>
      </c>
      <c r="AT167" s="5">
        <f t="shared" si="469"/>
        <v>13.692907133824589</v>
      </c>
      <c r="AU167" s="5">
        <f t="shared" si="343"/>
        <v>16.30869167602868</v>
      </c>
      <c r="AV167" s="5"/>
      <c r="AW167" s="173">
        <f t="shared" si="344"/>
        <v>0.45640591425172644</v>
      </c>
      <c r="AX167" s="173">
        <f t="shared" si="435"/>
        <v>88.950820968918251</v>
      </c>
      <c r="AY167" s="173">
        <f t="shared" si="436"/>
        <v>5.7321333110968391</v>
      </c>
      <c r="AZ167" s="173">
        <f t="shared" si="440"/>
        <v>15.517926074175268</v>
      </c>
      <c r="BA167" s="460">
        <f t="shared" si="433"/>
        <v>520.33047108533435</v>
      </c>
      <c r="BB167" s="5">
        <f t="shared" si="434"/>
        <v>20.956830369848102</v>
      </c>
      <c r="BD167" s="173">
        <f t="shared" si="441"/>
        <v>8.2259593530510156</v>
      </c>
      <c r="BE167" s="173">
        <f t="shared" si="437"/>
        <v>8.9773527201375956</v>
      </c>
      <c r="BG167" s="528">
        <f t="shared" si="347"/>
        <v>1.3533281455609498</v>
      </c>
      <c r="BH167" s="528">
        <f t="shared" si="470"/>
        <v>0.45067644569490978</v>
      </c>
      <c r="BI167" s="528">
        <f t="shared" si="471"/>
        <v>1.5401135702153264E-2</v>
      </c>
      <c r="BJ167" s="528">
        <f t="shared" si="350"/>
        <v>3.8969825994405911E-3</v>
      </c>
      <c r="BK167">
        <f t="shared" si="351"/>
        <v>8.3170565019379805E-3</v>
      </c>
      <c r="BL167" s="460">
        <f t="shared" si="427"/>
        <v>23.718192204091242</v>
      </c>
      <c r="BM167" s="528">
        <f t="shared" si="472"/>
        <v>3.2033350008827308</v>
      </c>
      <c r="BN167" s="460">
        <f t="shared" si="353"/>
        <v>3203.335000882731</v>
      </c>
      <c r="BO167" s="528">
        <f t="shared" si="354"/>
        <v>3.9899999999999993</v>
      </c>
      <c r="BR167" s="460">
        <f t="shared" si="355"/>
        <v>3989.9999999999995</v>
      </c>
      <c r="BS167" s="528">
        <f t="shared" si="356"/>
        <v>2.0299922183414245</v>
      </c>
      <c r="BT167" s="528">
        <f t="shared" si="357"/>
        <v>2.4177858558528564</v>
      </c>
      <c r="BU167" s="528">
        <f t="shared" si="358"/>
        <v>0.65507027537877005</v>
      </c>
      <c r="BV167" s="528"/>
      <c r="BW167" s="528">
        <f t="shared" si="359"/>
        <v>1.4825136828153042E-2</v>
      </c>
      <c r="BX167" s="460">
        <f t="shared" si="360"/>
        <v>5117.6734864012033</v>
      </c>
      <c r="BY167" s="173">
        <f t="shared" si="361"/>
        <v>10.939293252460594</v>
      </c>
      <c r="BZ167" s="5">
        <f t="shared" si="362"/>
        <v>85.499999999999986</v>
      </c>
      <c r="CA167" s="173">
        <f t="shared" si="363"/>
        <v>0.88656808979485668</v>
      </c>
      <c r="CB167" s="5">
        <f t="shared" si="364"/>
        <v>88.656808979485675</v>
      </c>
      <c r="CE167" s="562">
        <f t="shared" si="473"/>
        <v>-50</v>
      </c>
      <c r="CF167">
        <f t="shared" si="474"/>
        <v>-50</v>
      </c>
      <c r="CG167" s="173">
        <f t="shared" si="475"/>
        <v>0.55056269467479912</v>
      </c>
      <c r="CI167" s="170">
        <v>57</v>
      </c>
      <c r="CJ167" s="217">
        <f t="shared" si="428"/>
        <v>5.6999999999999993</v>
      </c>
      <c r="CK167" s="217"/>
      <c r="CL167" s="217">
        <f t="shared" si="368"/>
        <v>85.499999999999986</v>
      </c>
      <c r="CM167" s="541">
        <f t="shared" si="369"/>
        <v>19</v>
      </c>
      <c r="CN167" s="443">
        <f t="shared" si="370"/>
        <v>15.4</v>
      </c>
      <c r="CO167" s="443">
        <f t="shared" si="371"/>
        <v>34.4</v>
      </c>
      <c r="CP167" s="443"/>
      <c r="CQ167" s="217">
        <f t="shared" si="372"/>
        <v>0.44767441860465118</v>
      </c>
      <c r="CR167" s="172">
        <f t="shared" si="429"/>
        <v>212.84736191860466</v>
      </c>
      <c r="CS167" s="172">
        <f t="shared" si="373"/>
        <v>85.499999999999986</v>
      </c>
      <c r="CT167" s="217">
        <f t="shared" si="374"/>
        <v>14.189824127906977</v>
      </c>
      <c r="CU167" s="217">
        <f t="shared" si="375"/>
        <v>15</v>
      </c>
      <c r="CV167" s="217"/>
      <c r="CW167" s="172">
        <f t="shared" si="376"/>
        <v>64.45052590646624</v>
      </c>
      <c r="CX167" s="172">
        <f t="shared" si="377"/>
        <v>15</v>
      </c>
      <c r="CY167" s="217">
        <f t="shared" si="378"/>
        <v>20.103896103896098</v>
      </c>
      <c r="CZ167" s="217">
        <f t="shared" si="379"/>
        <v>12.697197539302799</v>
      </c>
      <c r="DA167" s="217">
        <f t="shared" si="380"/>
        <v>15.665373587451505</v>
      </c>
      <c r="DB167" s="197">
        <f t="shared" si="381"/>
        <v>70.881782945736433</v>
      </c>
      <c r="DC167" s="443">
        <f t="shared" si="382"/>
        <v>35.257734410992938</v>
      </c>
      <c r="DE167" s="217">
        <f t="shared" si="383"/>
        <v>10.000000000000002</v>
      </c>
      <c r="DF167" s="173">
        <f t="shared" si="384"/>
        <v>7.792207792207793</v>
      </c>
      <c r="DG167" s="173">
        <f t="shared" si="385"/>
        <v>2.7616279069767451</v>
      </c>
      <c r="DH167" s="173"/>
      <c r="DI167" s="173">
        <f t="shared" si="386"/>
        <v>7.7922077922077913</v>
      </c>
      <c r="DJ167" s="545">
        <f t="shared" si="387"/>
        <v>146.30000000000001</v>
      </c>
      <c r="DK167" s="528">
        <f t="shared" si="388"/>
        <v>2.7616279069767442</v>
      </c>
      <c r="DM167" s="173">
        <f t="shared" si="389"/>
        <v>6.4652919500978454</v>
      </c>
      <c r="DN167" s="173">
        <f t="shared" si="390"/>
        <v>20.103896103896098</v>
      </c>
      <c r="DO167" s="173">
        <f t="shared" si="391"/>
        <v>8.6843674843674794</v>
      </c>
      <c r="DQ167" s="545">
        <f t="shared" si="392"/>
        <v>5699.9999999999991</v>
      </c>
      <c r="DR167" s="460">
        <f t="shared" si="393"/>
        <v>35.257734410992938</v>
      </c>
      <c r="DT167">
        <f t="shared" si="430"/>
        <v>5699.9999999999991</v>
      </c>
      <c r="DU167">
        <f t="shared" si="431"/>
        <v>35.257734410992938</v>
      </c>
      <c r="DW167" s="5">
        <f t="shared" si="394"/>
        <v>28.362571126754304</v>
      </c>
      <c r="DX167" s="5">
        <f t="shared" si="395"/>
        <v>12.697197539302799</v>
      </c>
      <c r="DY167" s="5">
        <f t="shared" si="396"/>
        <v>15.665373587451505</v>
      </c>
      <c r="DZ167" s="5"/>
      <c r="EA167" s="173">
        <f t="shared" si="397"/>
        <v>0.44767441860465118</v>
      </c>
      <c r="EB167" s="173">
        <f t="shared" si="398"/>
        <v>85.499999999999972</v>
      </c>
      <c r="EC167" s="173">
        <f t="shared" si="399"/>
        <v>5.5519480519480497</v>
      </c>
      <c r="ED167" s="173">
        <f t="shared" si="400"/>
        <v>15.4</v>
      </c>
      <c r="EE167" s="460">
        <f t="shared" si="401"/>
        <v>482.49350649350623</v>
      </c>
      <c r="EF167" s="5">
        <f t="shared" si="402"/>
        <v>19.581716984314379</v>
      </c>
      <c r="EH167" s="173">
        <f t="shared" si="403"/>
        <v>7.7660600249861753</v>
      </c>
      <c r="EI167" s="173">
        <f t="shared" si="404"/>
        <v>8.6261535194079766</v>
      </c>
      <c r="EK167" s="528">
        <f t="shared" si="405"/>
        <v>1.2062337662337654</v>
      </c>
      <c r="EL167" s="528">
        <f t="shared" si="406"/>
        <v>0.48766666666666664</v>
      </c>
      <c r="EM167" s="528">
        <f t="shared" si="407"/>
        <v>4.4072168013741166E-3</v>
      </c>
      <c r="EN167" s="528">
        <f t="shared" si="408"/>
        <v>4.1722592592592601E-3</v>
      </c>
      <c r="EO167">
        <f t="shared" si="409"/>
        <v>8.5500000000000003E-3</v>
      </c>
      <c r="EP167" s="460">
        <f t="shared" si="410"/>
        <v>12.957216801374116</v>
      </c>
      <c r="EQ167" s="460"/>
      <c r="ER167" s="460">
        <f t="shared" si="432"/>
        <v>1711.0299089610655</v>
      </c>
      <c r="ES167" s="528">
        <f t="shared" si="411"/>
        <v>3.9899999999999993</v>
      </c>
      <c r="EV167" s="460">
        <f t="shared" si="412"/>
        <v>3989.9999999999995</v>
      </c>
      <c r="EW167" s="528">
        <f t="shared" si="413"/>
        <v>1.8093506493506482</v>
      </c>
      <c r="EX167" s="528">
        <f t="shared" si="414"/>
        <v>2.2323157362118384</v>
      </c>
      <c r="EY167" s="528">
        <f t="shared" si="415"/>
        <v>0.66881589702681232</v>
      </c>
      <c r="EZ167" s="528"/>
      <c r="FA167" s="528">
        <f t="shared" si="416"/>
        <v>1.4249999999999995E-2</v>
      </c>
      <c r="FB167" s="460">
        <f t="shared" si="417"/>
        <v>4724.7322825892979</v>
      </c>
      <c r="FC167" s="173">
        <f t="shared" si="418"/>
        <v>10.425762191550364</v>
      </c>
      <c r="FD167" s="5">
        <f t="shared" si="419"/>
        <v>85.499999999999986</v>
      </c>
      <c r="FE167" s="173">
        <f t="shared" si="420"/>
        <v>0.89131426268230662</v>
      </c>
      <c r="FF167" s="5">
        <f t="shared" si="421"/>
        <v>89.131426268230669</v>
      </c>
      <c r="FI167" s="562">
        <f t="shared" si="422"/>
        <v>-50</v>
      </c>
      <c r="FJ167">
        <f t="shared" si="423"/>
        <v>-50</v>
      </c>
      <c r="FL167">
        <f t="shared" si="476"/>
        <v>0.55232558139534882</v>
      </c>
    </row>
    <row r="168" spans="5:168">
      <c r="E168" s="170">
        <v>58</v>
      </c>
      <c r="F168" s="217">
        <f t="shared" si="477"/>
        <v>5.8</v>
      </c>
      <c r="G168" s="217"/>
      <c r="H168" s="217">
        <f t="shared" si="442"/>
        <v>87</v>
      </c>
      <c r="I168" s="541">
        <f t="shared" si="443"/>
        <v>18.473295241713462</v>
      </c>
      <c r="J168" s="172">
        <f t="shared" si="444"/>
        <v>15.716022854971923</v>
      </c>
      <c r="K168" s="172">
        <f t="shared" si="445"/>
        <v>34.189318096685383</v>
      </c>
      <c r="L168" s="443"/>
      <c r="M168" s="217">
        <f t="shared" si="446"/>
        <v>0.45966073921612316</v>
      </c>
      <c r="N168" s="172">
        <f t="shared" si="447"/>
        <v>212.48788556707342</v>
      </c>
      <c r="O168" s="172">
        <f t="shared" si="438"/>
        <v>87</v>
      </c>
      <c r="P168" s="217">
        <f t="shared" si="448"/>
        <v>14.165859037804895</v>
      </c>
      <c r="Q168" s="217">
        <f t="shared" si="449"/>
        <v>15</v>
      </c>
      <c r="R168" s="217"/>
      <c r="S168" s="172">
        <f t="shared" si="450"/>
        <v>61.272792230198547</v>
      </c>
      <c r="T168" s="172">
        <f t="shared" si="451"/>
        <v>15</v>
      </c>
      <c r="U168" s="217">
        <f t="shared" si="452"/>
        <v>21.467993984319662</v>
      </c>
      <c r="V168" s="217">
        <f t="shared" si="453"/>
        <v>13.945315356089182</v>
      </c>
      <c r="W168" s="217">
        <f t="shared" si="454"/>
        <v>16.391928809796593</v>
      </c>
      <c r="X168" s="197">
        <f t="shared" si="455"/>
        <v>70.764482979836444</v>
      </c>
      <c r="Y168" s="443">
        <f t="shared" si="328"/>
        <v>32.746897348292322</v>
      </c>
      <c r="AA168" s="217">
        <f t="shared" si="456"/>
        <v>10</v>
      </c>
      <c r="AB168" s="173">
        <f t="shared" si="457"/>
        <v>7.6355195654374342</v>
      </c>
      <c r="AC168" s="173">
        <f t="shared" si="458"/>
        <v>2.7016179716530275</v>
      </c>
      <c r="AD168" s="173"/>
      <c r="AE168" s="173">
        <f t="shared" si="459"/>
        <v>7.6355195654374342</v>
      </c>
      <c r="AF168" s="545">
        <f t="shared" si="460"/>
        <v>151.9215542647286</v>
      </c>
      <c r="AG168" s="528">
        <f t="shared" si="461"/>
        <v>2.7016179716530271</v>
      </c>
      <c r="AI168" s="173">
        <f t="shared" si="462"/>
        <v>6.5883350219422674</v>
      </c>
      <c r="AJ168" s="173">
        <f t="shared" si="463"/>
        <v>21.467993984319662</v>
      </c>
      <c r="AK168" s="173">
        <f t="shared" si="464"/>
        <v>9.6948103587553049</v>
      </c>
      <c r="AM168" s="545">
        <f t="shared" si="465"/>
        <v>5800</v>
      </c>
      <c r="AN168" s="460">
        <f t="shared" si="466"/>
        <v>32.746897348292322</v>
      </c>
      <c r="AP168">
        <f t="shared" si="467"/>
        <v>5800</v>
      </c>
      <c r="AQ168">
        <f t="shared" si="468"/>
        <v>32.746897348292322</v>
      </c>
      <c r="AS168" s="5">
        <f t="shared" si="439"/>
        <v>30.53724416588577</v>
      </c>
      <c r="AT168" s="5">
        <f t="shared" si="469"/>
        <v>13.945315356089182</v>
      </c>
      <c r="AU168" s="5">
        <f t="shared" si="343"/>
        <v>16.591928809796588</v>
      </c>
      <c r="AV168" s="5"/>
      <c r="AW168" s="173">
        <f t="shared" si="344"/>
        <v>0.4566658104554171</v>
      </c>
      <c r="AX168" s="173">
        <f t="shared" si="435"/>
        <v>90.553311858896151</v>
      </c>
      <c r="AY168" s="173">
        <f t="shared" si="436"/>
        <v>5.8321475563091525</v>
      </c>
      <c r="AZ168" s="173">
        <f t="shared" si="440"/>
        <v>15.52658107234214</v>
      </c>
      <c r="BA168" s="460">
        <f t="shared" si="433"/>
        <v>539.21886043544828</v>
      </c>
      <c r="BB168" s="5">
        <f t="shared" si="434"/>
        <v>21.705473098162106</v>
      </c>
      <c r="BD168" s="173">
        <f t="shared" si="441"/>
        <v>8.3758730570165287</v>
      </c>
      <c r="BE168" s="173">
        <f t="shared" si="437"/>
        <v>9.1361738400897163</v>
      </c>
      <c r="BG168" s="528">
        <f t="shared" si="347"/>
        <v>1.4031049893451084</v>
      </c>
      <c r="BH168" s="528">
        <f t="shared" si="470"/>
        <v>0.45066448484215849</v>
      </c>
      <c r="BI168" s="528">
        <f t="shared" si="471"/>
        <v>1.5123577574127193E-2</v>
      </c>
      <c r="BJ168" s="528">
        <f t="shared" si="350"/>
        <v>3.8278158486290928E-3</v>
      </c>
      <c r="BK168">
        <f t="shared" si="351"/>
        <v>8.3129828587710577E-3</v>
      </c>
      <c r="BL168" s="460">
        <f t="shared" si="427"/>
        <v>23.436560432898251</v>
      </c>
      <c r="BM168" s="528">
        <f t="shared" si="472"/>
        <v>3.3548769516110624</v>
      </c>
      <c r="BN168" s="460">
        <f t="shared" si="353"/>
        <v>3354.8769516110624</v>
      </c>
      <c r="BO168" s="528">
        <f t="shared" si="354"/>
        <v>4.0599999999999996</v>
      </c>
      <c r="BR168" s="460">
        <f t="shared" si="355"/>
        <v>4059.9999999999995</v>
      </c>
      <c r="BS168" s="528">
        <f t="shared" si="356"/>
        <v>2.1046574840176624</v>
      </c>
      <c r="BT168" s="528">
        <f t="shared" si="357"/>
        <v>2.5040901730901903</v>
      </c>
      <c r="BU168" s="528">
        <f t="shared" si="358"/>
        <v>0.65520026241593743</v>
      </c>
      <c r="BV168" s="528"/>
      <c r="BW168" s="528">
        <f t="shared" si="359"/>
        <v>1.5092218643149358E-2</v>
      </c>
      <c r="BX168" s="460">
        <f t="shared" si="360"/>
        <v>5279.040138166939</v>
      </c>
      <c r="BY168" s="173">
        <f t="shared" si="361"/>
        <v>11.220073988635733</v>
      </c>
      <c r="BZ168" s="5">
        <f t="shared" si="362"/>
        <v>87</v>
      </c>
      <c r="CA168" s="173">
        <f t="shared" si="363"/>
        <v>0.88576597906112431</v>
      </c>
      <c r="CB168" s="5">
        <f t="shared" si="364"/>
        <v>88.576597906112426</v>
      </c>
      <c r="CE168" s="562">
        <f t="shared" si="473"/>
        <v>-50</v>
      </c>
      <c r="CF168">
        <f t="shared" si="474"/>
        <v>-50</v>
      </c>
      <c r="CG168" s="173">
        <f t="shared" si="475"/>
        <v>0.55059308927342931</v>
      </c>
      <c r="CI168" s="170">
        <v>58</v>
      </c>
      <c r="CJ168" s="217">
        <f t="shared" si="428"/>
        <v>5.8</v>
      </c>
      <c r="CK168" s="217"/>
      <c r="CL168" s="217">
        <f t="shared" si="368"/>
        <v>87</v>
      </c>
      <c r="CM168" s="541">
        <f t="shared" si="369"/>
        <v>19</v>
      </c>
      <c r="CN168" s="443">
        <f t="shared" si="370"/>
        <v>15.4</v>
      </c>
      <c r="CO168" s="443">
        <f t="shared" si="371"/>
        <v>34.4</v>
      </c>
      <c r="CP168" s="443"/>
      <c r="CQ168" s="217">
        <f t="shared" si="372"/>
        <v>0.44767441860465118</v>
      </c>
      <c r="CR168" s="172">
        <f t="shared" si="429"/>
        <v>212.84736191860466</v>
      </c>
      <c r="CS168" s="172">
        <f t="shared" si="373"/>
        <v>87</v>
      </c>
      <c r="CT168" s="217">
        <f t="shared" si="374"/>
        <v>14.189824127906977</v>
      </c>
      <c r="CU168" s="217">
        <f t="shared" si="375"/>
        <v>15</v>
      </c>
      <c r="CV168" s="217"/>
      <c r="CW168" s="172">
        <f t="shared" si="376"/>
        <v>63.016394551119745</v>
      </c>
      <c r="CX168" s="172">
        <f t="shared" si="377"/>
        <v>15</v>
      </c>
      <c r="CY168" s="217">
        <f t="shared" si="378"/>
        <v>20.456596035543402</v>
      </c>
      <c r="CZ168" s="217">
        <f t="shared" si="379"/>
        <v>12.919955390869518</v>
      </c>
      <c r="DA168" s="217">
        <f t="shared" si="380"/>
        <v>15.940204703020834</v>
      </c>
      <c r="DB168" s="197">
        <f t="shared" si="381"/>
        <v>70.881782945736433</v>
      </c>
      <c r="DC168" s="443">
        <f t="shared" si="382"/>
        <v>34.649842438389605</v>
      </c>
      <c r="DE168" s="217">
        <f t="shared" si="383"/>
        <v>10.000000000000002</v>
      </c>
      <c r="DF168" s="173">
        <f t="shared" si="384"/>
        <v>7.792207792207793</v>
      </c>
      <c r="DG168" s="173">
        <f t="shared" si="385"/>
        <v>2.7616279069767451</v>
      </c>
      <c r="DH168" s="173"/>
      <c r="DI168" s="173">
        <f t="shared" si="386"/>
        <v>7.7922077922077913</v>
      </c>
      <c r="DJ168" s="545">
        <f t="shared" si="387"/>
        <v>148.86666666666665</v>
      </c>
      <c r="DK168" s="528">
        <f t="shared" si="388"/>
        <v>2.7616279069767442</v>
      </c>
      <c r="DM168" s="173">
        <f t="shared" si="389"/>
        <v>6.521758454077653</v>
      </c>
      <c r="DN168" s="173">
        <f t="shared" si="390"/>
        <v>20.456596035543402</v>
      </c>
      <c r="DO168" s="173">
        <f t="shared" si="391"/>
        <v>8.9456266929951127</v>
      </c>
      <c r="DQ168" s="545">
        <f t="shared" si="392"/>
        <v>5800</v>
      </c>
      <c r="DR168" s="460">
        <f t="shared" si="393"/>
        <v>34.649842438389605</v>
      </c>
      <c r="DT168">
        <f t="shared" si="430"/>
        <v>5800</v>
      </c>
      <c r="DU168">
        <f t="shared" si="431"/>
        <v>34.649842438389605</v>
      </c>
      <c r="DW168" s="5">
        <f t="shared" si="394"/>
        <v>28.86016009389035</v>
      </c>
      <c r="DX168" s="5">
        <f t="shared" si="395"/>
        <v>12.919955390869518</v>
      </c>
      <c r="DY168" s="5">
        <f t="shared" si="396"/>
        <v>15.940204703020832</v>
      </c>
      <c r="DZ168" s="5"/>
      <c r="EA168" s="173">
        <f t="shared" si="397"/>
        <v>0.44767441860465118</v>
      </c>
      <c r="EB168" s="173">
        <f t="shared" si="398"/>
        <v>87</v>
      </c>
      <c r="EC168" s="173">
        <f t="shared" si="399"/>
        <v>5.6493506493506489</v>
      </c>
      <c r="ED168" s="173">
        <f t="shared" si="400"/>
        <v>15.4</v>
      </c>
      <c r="EE168" s="460">
        <f t="shared" si="401"/>
        <v>499.57160844695466</v>
      </c>
      <c r="EF168" s="5">
        <f t="shared" si="402"/>
        <v>20.274821771386147</v>
      </c>
      <c r="EH168" s="173">
        <f t="shared" si="403"/>
        <v>7.902306692091198</v>
      </c>
      <c r="EI168" s="173">
        <f t="shared" si="404"/>
        <v>8.7774895460642597</v>
      </c>
      <c r="EK168" s="528">
        <f t="shared" si="405"/>
        <v>1.2489290211173867</v>
      </c>
      <c r="EL168" s="528">
        <f t="shared" si="406"/>
        <v>0.48766666666666664</v>
      </c>
      <c r="EM168" s="528">
        <f t="shared" si="407"/>
        <v>4.3312303047987003E-3</v>
      </c>
      <c r="EN168" s="528">
        <f t="shared" si="408"/>
        <v>4.1003237547892722E-3</v>
      </c>
      <c r="EO168">
        <f t="shared" si="409"/>
        <v>8.5500000000000003E-3</v>
      </c>
      <c r="EP168" s="460">
        <f t="shared" si="410"/>
        <v>12.8812303047987</v>
      </c>
      <c r="EQ168" s="460"/>
      <c r="ER168" s="460">
        <f t="shared" si="432"/>
        <v>1753.5772418436413</v>
      </c>
      <c r="ES168" s="528">
        <f t="shared" si="411"/>
        <v>4.0599999999999996</v>
      </c>
      <c r="EV168" s="460">
        <f t="shared" si="412"/>
        <v>4059.9999999999995</v>
      </c>
      <c r="EW168" s="528">
        <f t="shared" si="413"/>
        <v>1.8733935316760799</v>
      </c>
      <c r="EX168" s="528">
        <f t="shared" si="414"/>
        <v>2.3113296819380205</v>
      </c>
      <c r="EY168" s="528">
        <f t="shared" si="415"/>
        <v>0.66881589702681221</v>
      </c>
      <c r="EZ168" s="528"/>
      <c r="FA168" s="528">
        <f t="shared" si="416"/>
        <v>1.4500000000000001E-2</v>
      </c>
      <c r="FB168" s="460">
        <f t="shared" si="417"/>
        <v>4868.0391106409124</v>
      </c>
      <c r="FC168" s="173">
        <f t="shared" si="418"/>
        <v>10.681616352484554</v>
      </c>
      <c r="FD168" s="5">
        <f t="shared" si="419"/>
        <v>87</v>
      </c>
      <c r="FE168" s="173">
        <f t="shared" si="420"/>
        <v>0.89064865272151217</v>
      </c>
      <c r="FF168" s="5">
        <f t="shared" si="421"/>
        <v>89.064865272151224</v>
      </c>
      <c r="FI168" s="562">
        <f t="shared" si="422"/>
        <v>-50</v>
      </c>
      <c r="FJ168">
        <f t="shared" si="423"/>
        <v>-50</v>
      </c>
      <c r="FL168">
        <f t="shared" si="476"/>
        <v>0.55232558139534882</v>
      </c>
    </row>
    <row r="169" spans="5:168">
      <c r="E169" s="170">
        <v>59</v>
      </c>
      <c r="F169" s="217">
        <f t="shared" si="477"/>
        <v>5.8999999999999995</v>
      </c>
      <c r="G169" s="217"/>
      <c r="H169" s="217">
        <f t="shared" si="442"/>
        <v>88.499999999999986</v>
      </c>
      <c r="I169" s="541">
        <f t="shared" si="443"/>
        <v>18.464242698241165</v>
      </c>
      <c r="J169" s="172">
        <f t="shared" si="444"/>
        <v>15.721454381055301</v>
      </c>
      <c r="K169" s="172">
        <f t="shared" si="445"/>
        <v>34.185697079296467</v>
      </c>
      <c r="L169" s="443"/>
      <c r="M169" s="217">
        <f t="shared" si="446"/>
        <v>0.45986831725430888</v>
      </c>
      <c r="N169" s="172">
        <f t="shared" si="447"/>
        <v>212.4796695805847</v>
      </c>
      <c r="O169" s="172">
        <f t="shared" si="438"/>
        <v>88.499999999999986</v>
      </c>
      <c r="P169" s="217">
        <f t="shared" si="448"/>
        <v>14.165311305372313</v>
      </c>
      <c r="Q169" s="217">
        <f t="shared" si="449"/>
        <v>15</v>
      </c>
      <c r="R169" s="217"/>
      <c r="S169" s="172">
        <f t="shared" si="450"/>
        <v>59.896563339368456</v>
      </c>
      <c r="T169" s="172">
        <f t="shared" si="451"/>
        <v>15</v>
      </c>
      <c r="U169" s="217">
        <f t="shared" si="452"/>
        <v>21.846524425333087</v>
      </c>
      <c r="V169" s="217">
        <f t="shared" si="453"/>
        <v>14.198161137091708</v>
      </c>
      <c r="W169" s="217">
        <f t="shared" si="454"/>
        <v>16.675193449017257</v>
      </c>
      <c r="X169" s="197">
        <f t="shared" si="455"/>
        <v>70.761744935753185</v>
      </c>
      <c r="Y169" s="443">
        <f t="shared" si="328"/>
        <v>32.181913196042245</v>
      </c>
      <c r="AA169" s="217">
        <f t="shared" si="456"/>
        <v>10</v>
      </c>
      <c r="AB169" s="173">
        <f t="shared" si="457"/>
        <v>7.6328816082437418</v>
      </c>
      <c r="AC169" s="173">
        <f t="shared" si="458"/>
        <v>2.7005801074367257</v>
      </c>
      <c r="AD169" s="173"/>
      <c r="AE169" s="173">
        <f t="shared" si="459"/>
        <v>7.6328816082437418</v>
      </c>
      <c r="AF169" s="545">
        <f t="shared" si="460"/>
        <v>154.59430141371044</v>
      </c>
      <c r="AG169" s="528">
        <f t="shared" si="461"/>
        <v>2.7005801074367257</v>
      </c>
      <c r="AI169" s="173">
        <f t="shared" si="462"/>
        <v>6.6460364431680077</v>
      </c>
      <c r="AJ169" s="173">
        <f t="shared" si="463"/>
        <v>21.846524425333087</v>
      </c>
      <c r="AK169" s="173">
        <f t="shared" si="464"/>
        <v>9.975203278024507</v>
      </c>
      <c r="AM169" s="545">
        <f t="shared" si="465"/>
        <v>5899.9999999999991</v>
      </c>
      <c r="AN169" s="460">
        <f t="shared" si="466"/>
        <v>32.181913196042245</v>
      </c>
      <c r="AP169">
        <f t="shared" si="467"/>
        <v>5899.9999999999991</v>
      </c>
      <c r="AQ169">
        <f t="shared" si="468"/>
        <v>32.181913196042245</v>
      </c>
      <c r="AS169" s="5">
        <f t="shared" si="439"/>
        <v>31.073354586108969</v>
      </c>
      <c r="AT169" s="5">
        <f t="shared" si="469"/>
        <v>14.198161137091708</v>
      </c>
      <c r="AU169" s="5">
        <f t="shared" si="343"/>
        <v>16.87519344901726</v>
      </c>
      <c r="AV169" s="5"/>
      <c r="AW169" s="173">
        <f t="shared" si="344"/>
        <v>0.45692398925730576</v>
      </c>
      <c r="AX169" s="173">
        <f t="shared" si="435"/>
        <v>92.1568918111019</v>
      </c>
      <c r="AY169" s="173">
        <f t="shared" si="436"/>
        <v>5.9321616667513615</v>
      </c>
      <c r="AZ169" s="173">
        <f t="shared" si="440"/>
        <v>15.535128168813024</v>
      </c>
      <c r="BA169" s="460">
        <f t="shared" si="433"/>
        <v>558.46100472560715</v>
      </c>
      <c r="BB169" s="5">
        <f t="shared" si="434"/>
        <v>22.467669668423017</v>
      </c>
      <c r="BD169" s="173">
        <f t="shared" si="441"/>
        <v>8.5259681751548246</v>
      </c>
      <c r="BE169" s="173">
        <f t="shared" si="437"/>
        <v>9.2950565624138175</v>
      </c>
      <c r="BG169" s="528">
        <f t="shared" si="347"/>
        <v>1.4538426664750577</v>
      </c>
      <c r="BH169" s="528">
        <f t="shared" si="470"/>
        <v>0.45065057115712592</v>
      </c>
      <c r="BI169" s="528">
        <f t="shared" si="471"/>
        <v>1.4855366393636348E-2</v>
      </c>
      <c r="BJ169" s="528">
        <f t="shared" si="350"/>
        <v>3.7609775332073667E-3</v>
      </c>
      <c r="BK169">
        <f t="shared" si="351"/>
        <v>8.3089092142085239E-3</v>
      </c>
      <c r="BL169" s="460">
        <f t="shared" si="427"/>
        <v>23.164275607844871</v>
      </c>
      <c r="BM169" s="528">
        <f t="shared" si="472"/>
        <v>3.5149828769512221</v>
      </c>
      <c r="BN169" s="460">
        <f t="shared" si="353"/>
        <v>3514.9828769512224</v>
      </c>
      <c r="BO169" s="528">
        <f t="shared" si="354"/>
        <v>4.129999999999999</v>
      </c>
      <c r="BR169" s="460">
        <f t="shared" si="355"/>
        <v>4129.9999999999991</v>
      </c>
      <c r="BS169" s="528">
        <f t="shared" si="356"/>
        <v>2.1807639997125863</v>
      </c>
      <c r="BT169" s="528">
        <f t="shared" si="357"/>
        <v>2.5919422949541651</v>
      </c>
      <c r="BU169" s="528">
        <f t="shared" si="358"/>
        <v>0.65532319312394682</v>
      </c>
      <c r="BV169" s="528"/>
      <c r="BW169" s="528">
        <f t="shared" si="359"/>
        <v>1.5359481968516983E-2</v>
      </c>
      <c r="BX169" s="460">
        <f t="shared" si="360"/>
        <v>5443.3889697592149</v>
      </c>
      <c r="BY169" s="173">
        <f t="shared" si="361"/>
        <v>11.504807460532449</v>
      </c>
      <c r="BZ169" s="5">
        <f t="shared" si="362"/>
        <v>88.499999999999986</v>
      </c>
      <c r="CA169" s="173">
        <f t="shared" si="363"/>
        <v>0.88495745601957287</v>
      </c>
      <c r="CB169" s="5">
        <f t="shared" si="364"/>
        <v>88.495745601957282</v>
      </c>
      <c r="CE169" s="562">
        <f t="shared" si="473"/>
        <v>-50</v>
      </c>
      <c r="CF169">
        <f t="shared" si="474"/>
        <v>-50</v>
      </c>
      <c r="CG169" s="173">
        <f t="shared" si="475"/>
        <v>0.55062245354668238</v>
      </c>
      <c r="CI169" s="170">
        <v>59</v>
      </c>
      <c r="CJ169" s="217">
        <f t="shared" si="428"/>
        <v>5.8999999999999995</v>
      </c>
      <c r="CK169" s="217"/>
      <c r="CL169" s="217">
        <f t="shared" si="368"/>
        <v>88.499999999999986</v>
      </c>
      <c r="CM169" s="541">
        <f t="shared" si="369"/>
        <v>19</v>
      </c>
      <c r="CN169" s="443">
        <f t="shared" si="370"/>
        <v>15.4</v>
      </c>
      <c r="CO169" s="443">
        <f t="shared" si="371"/>
        <v>34.4</v>
      </c>
      <c r="CP169" s="443"/>
      <c r="CQ169" s="217">
        <f t="shared" si="372"/>
        <v>0.44767441860465118</v>
      </c>
      <c r="CR169" s="172">
        <f t="shared" si="429"/>
        <v>212.84736191860466</v>
      </c>
      <c r="CS169" s="172">
        <f t="shared" si="373"/>
        <v>88.499999999999986</v>
      </c>
      <c r="CT169" s="217">
        <f t="shared" si="374"/>
        <v>14.189824127906977</v>
      </c>
      <c r="CU169" s="217">
        <f t="shared" si="375"/>
        <v>15</v>
      </c>
      <c r="CV169" s="217"/>
      <c r="CW169" s="172">
        <f t="shared" si="376"/>
        <v>61.630993973642589</v>
      </c>
      <c r="CX169" s="172">
        <f t="shared" si="377"/>
        <v>15</v>
      </c>
      <c r="CY169" s="217">
        <f t="shared" si="378"/>
        <v>20.8092959671907</v>
      </c>
      <c r="CZ169" s="217">
        <f t="shared" si="379"/>
        <v>13.142713242436232</v>
      </c>
      <c r="DA169" s="217">
        <f t="shared" si="380"/>
        <v>16.215035818590156</v>
      </c>
      <c r="DB169" s="197">
        <f t="shared" si="381"/>
        <v>70.881782945736433</v>
      </c>
      <c r="DC169" s="443">
        <f t="shared" si="382"/>
        <v>34.062556973332157</v>
      </c>
      <c r="DE169" s="217">
        <f t="shared" si="383"/>
        <v>10.000000000000002</v>
      </c>
      <c r="DF169" s="173">
        <f t="shared" si="384"/>
        <v>7.792207792207793</v>
      </c>
      <c r="DG169" s="173">
        <f t="shared" si="385"/>
        <v>2.7616279069767451</v>
      </c>
      <c r="DH169" s="173"/>
      <c r="DI169" s="173">
        <f t="shared" si="386"/>
        <v>7.7922077922077913</v>
      </c>
      <c r="DJ169" s="545">
        <f t="shared" si="387"/>
        <v>151.43333333333331</v>
      </c>
      <c r="DK169" s="528">
        <f t="shared" si="388"/>
        <v>2.7616279069767442</v>
      </c>
      <c r="DM169" s="173">
        <f t="shared" si="389"/>
        <v>6.5777402401331315</v>
      </c>
      <c r="DN169" s="173">
        <f t="shared" si="390"/>
        <v>20.8092959671907</v>
      </c>
      <c r="DO169" s="173">
        <f t="shared" si="391"/>
        <v>9.2068859016227389</v>
      </c>
      <c r="DQ169" s="545">
        <f t="shared" si="392"/>
        <v>5899.9999999999991</v>
      </c>
      <c r="DR169" s="460">
        <f t="shared" si="393"/>
        <v>34.062556973332157</v>
      </c>
      <c r="DT169">
        <f t="shared" si="430"/>
        <v>5899.9999999999991</v>
      </c>
      <c r="DU169">
        <f t="shared" si="431"/>
        <v>34.062556973332157</v>
      </c>
      <c r="DW169" s="5">
        <f t="shared" si="394"/>
        <v>29.357749061026389</v>
      </c>
      <c r="DX169" s="5">
        <f t="shared" si="395"/>
        <v>13.142713242436232</v>
      </c>
      <c r="DY169" s="5">
        <f t="shared" si="396"/>
        <v>16.21503581859016</v>
      </c>
      <c r="DZ169" s="5"/>
      <c r="EA169" s="173">
        <f t="shared" si="397"/>
        <v>0.44767441860465113</v>
      </c>
      <c r="EB169" s="173">
        <f t="shared" si="398"/>
        <v>88.499999999999986</v>
      </c>
      <c r="EC169" s="173">
        <f t="shared" si="399"/>
        <v>5.7467532467532463</v>
      </c>
      <c r="ED169" s="173">
        <f t="shared" si="400"/>
        <v>15.399999999999999</v>
      </c>
      <c r="EE169" s="460">
        <f t="shared" si="401"/>
        <v>516.94672086915841</v>
      </c>
      <c r="EF169" s="5">
        <f t="shared" si="402"/>
        <v>20.979980554754807</v>
      </c>
      <c r="EH169" s="173">
        <f t="shared" si="403"/>
        <v>8.0385533591962162</v>
      </c>
      <c r="EI169" s="173">
        <f t="shared" si="404"/>
        <v>8.9288255727205392</v>
      </c>
      <c r="EK169" s="528">
        <f t="shared" si="405"/>
        <v>1.2923668021728956</v>
      </c>
      <c r="EL169" s="528">
        <f t="shared" si="406"/>
        <v>0.48766666666666664</v>
      </c>
      <c r="EM169" s="528">
        <f t="shared" si="407"/>
        <v>4.257819621666519E-3</v>
      </c>
      <c r="EN169" s="528">
        <f t="shared" si="408"/>
        <v>4.0308267419962339E-3</v>
      </c>
      <c r="EO169">
        <f t="shared" si="409"/>
        <v>8.5500000000000003E-3</v>
      </c>
      <c r="EP169" s="460">
        <f t="shared" si="410"/>
        <v>12.807819621666518</v>
      </c>
      <c r="EQ169" s="460"/>
      <c r="ER169" s="460">
        <f t="shared" si="432"/>
        <v>1796.8721152032249</v>
      </c>
      <c r="ES169" s="528">
        <f t="shared" si="411"/>
        <v>4.129999999999999</v>
      </c>
      <c r="EV169" s="460">
        <f t="shared" si="412"/>
        <v>4129.9999999999991</v>
      </c>
      <c r="EW169" s="528">
        <f t="shared" si="413"/>
        <v>1.9385502032593431</v>
      </c>
      <c r="EX169" s="528">
        <f t="shared" si="414"/>
        <v>2.391717783242048</v>
      </c>
      <c r="EY169" s="528">
        <f t="shared" si="415"/>
        <v>0.66881589702681221</v>
      </c>
      <c r="EZ169" s="528"/>
      <c r="FA169" s="528">
        <f t="shared" si="416"/>
        <v>1.4749999999999997E-2</v>
      </c>
      <c r="FB169" s="460">
        <f t="shared" si="417"/>
        <v>5013.8338835282038</v>
      </c>
      <c r="FC169" s="173">
        <f t="shared" si="418"/>
        <v>10.940705998731426</v>
      </c>
      <c r="FD169" s="5">
        <f t="shared" si="419"/>
        <v>88.499999999999986</v>
      </c>
      <c r="FE169" s="173">
        <f t="shared" si="420"/>
        <v>0.88997759128066722</v>
      </c>
      <c r="FF169" s="5">
        <f t="shared" si="421"/>
        <v>88.997759128066718</v>
      </c>
      <c r="FI169" s="562">
        <f t="shared" si="422"/>
        <v>-50</v>
      </c>
      <c r="FJ169">
        <f t="shared" si="423"/>
        <v>-50</v>
      </c>
      <c r="FL169">
        <f t="shared" si="476"/>
        <v>0.55232558139534893</v>
      </c>
    </row>
    <row r="170" spans="5:168">
      <c r="E170" s="170">
        <v>60</v>
      </c>
      <c r="F170" s="217">
        <f t="shared" si="477"/>
        <v>6</v>
      </c>
      <c r="G170" s="217"/>
      <c r="H170" s="217">
        <f t="shared" si="442"/>
        <v>90</v>
      </c>
      <c r="I170" s="541">
        <f t="shared" si="443"/>
        <v>18.455190151823047</v>
      </c>
      <c r="J170" s="172">
        <f t="shared" si="444"/>
        <v>15.726885908906173</v>
      </c>
      <c r="K170" s="172">
        <f t="shared" si="445"/>
        <v>34.182076060729216</v>
      </c>
      <c r="L170" s="443"/>
      <c r="M170" s="217">
        <f t="shared" si="446"/>
        <v>0.46007593931159851</v>
      </c>
      <c r="N170" s="172">
        <f t="shared" si="447"/>
        <v>212.47137984428028</v>
      </c>
      <c r="O170" s="172">
        <f t="shared" si="438"/>
        <v>90</v>
      </c>
      <c r="P170" s="217">
        <f t="shared" si="448"/>
        <v>14.164758656285352</v>
      </c>
      <c r="Q170" s="217">
        <f t="shared" si="449"/>
        <v>15</v>
      </c>
      <c r="R170" s="217"/>
      <c r="S170" s="172">
        <f t="shared" si="450"/>
        <v>58.566626229045653</v>
      </c>
      <c r="T170" s="172">
        <f t="shared" si="451"/>
        <v>15</v>
      </c>
      <c r="U170" s="217">
        <f t="shared" si="452"/>
        <v>22.225347736309505</v>
      </c>
      <c r="V170" s="217">
        <f t="shared" si="453"/>
        <v>14.451445400543239</v>
      </c>
      <c r="W170" s="217">
        <f t="shared" si="454"/>
        <v>16.958485893553718</v>
      </c>
      <c r="X170" s="197">
        <f t="shared" si="455"/>
        <v>70.758982336540285</v>
      </c>
      <c r="Y170" s="443">
        <f t="shared" si="328"/>
        <v>31.635627129210064</v>
      </c>
      <c r="AA170" s="217">
        <f t="shared" si="456"/>
        <v>10</v>
      </c>
      <c r="AB170" s="173">
        <f t="shared" si="457"/>
        <v>7.6302454723120814</v>
      </c>
      <c r="AC170" s="173">
        <f t="shared" si="458"/>
        <v>2.6995420229939855</v>
      </c>
      <c r="AD170" s="173"/>
      <c r="AE170" s="173">
        <f t="shared" si="459"/>
        <v>7.6302454723120814</v>
      </c>
      <c r="AF170" s="545">
        <f t="shared" si="460"/>
        <v>157.26885908906172</v>
      </c>
      <c r="AG170" s="528">
        <f t="shared" si="461"/>
        <v>2.6995420229939855</v>
      </c>
      <c r="AI170" s="173">
        <f t="shared" si="462"/>
        <v>6.7032797748364876</v>
      </c>
      <c r="AJ170" s="173">
        <f t="shared" si="463"/>
        <v>22.225347736309505</v>
      </c>
      <c r="AK170" s="173">
        <f t="shared" si="464"/>
        <v>10.25581313800704</v>
      </c>
      <c r="AM170" s="545">
        <f t="shared" si="465"/>
        <v>6000</v>
      </c>
      <c r="AN170" s="460">
        <f t="shared" si="466"/>
        <v>31.635627129210064</v>
      </c>
      <c r="AP170">
        <f t="shared" si="467"/>
        <v>6000</v>
      </c>
      <c r="AQ170">
        <f t="shared" si="468"/>
        <v>31.635627129210064</v>
      </c>
      <c r="AS170" s="5">
        <f t="shared" si="439"/>
        <v>31.609931294096963</v>
      </c>
      <c r="AT170" s="5">
        <f t="shared" si="469"/>
        <v>14.451445400543239</v>
      </c>
      <c r="AU170" s="5">
        <f t="shared" ref="AU170:AU233" si="478">AS170-AT170</f>
        <v>17.158485893553724</v>
      </c>
      <c r="AV170" s="5"/>
      <c r="AW170" s="173">
        <f t="shared" ref="AW170:AW233" si="479">AT170/AS170</f>
        <v>0.45718053816972365</v>
      </c>
      <c r="AX170" s="173">
        <f t="shared" si="435"/>
        <v>93.761560707749666</v>
      </c>
      <c r="AY170" s="173">
        <f t="shared" si="436"/>
        <v>6.0321756486071392</v>
      </c>
      <c r="AZ170" s="173">
        <f t="shared" si="440"/>
        <v>15.543572695765201</v>
      </c>
      <c r="BA170" s="460">
        <f t="shared" si="433"/>
        <v>578.05781602172954</v>
      </c>
      <c r="BB170" s="5">
        <f t="shared" si="434"/>
        <v>23.243442295091668</v>
      </c>
      <c r="BD170" s="173">
        <f t="shared" si="441"/>
        <v>8.6762449482537107</v>
      </c>
      <c r="BE170" s="173">
        <f t="shared" si="437"/>
        <v>9.454000965968218</v>
      </c>
      <c r="BG170" s="528">
        <f t="shared" ref="BG170:BG210" si="480">Rdson*BD170^2</f>
        <v>1.5055445280419608</v>
      </c>
      <c r="BH170" s="528">
        <f t="shared" si="470"/>
        <v>0.45063479401283935</v>
      </c>
      <c r="BI170" s="528">
        <f t="shared" si="471"/>
        <v>1.4596037856043589E-2</v>
      </c>
      <c r="BJ170" s="528">
        <f t="shared" ref="BJ170:BJ210" si="481">0.5*(Coss+Csw)*K170^2*AN170*1000</f>
        <v>3.6963519880844364E-3</v>
      </c>
      <c r="BK170">
        <f t="shared" ref="BK170:BK210" si="482">I170*IQ</f>
        <v>8.3048355683203699E-3</v>
      </c>
      <c r="BL170" s="460">
        <f t="shared" si="427"/>
        <v>22.900873424363958</v>
      </c>
      <c r="BM170" s="528">
        <f t="shared" si="472"/>
        <v>3.684316876126299</v>
      </c>
      <c r="BN170" s="460">
        <f t="shared" si="353"/>
        <v>3684.3168761262991</v>
      </c>
      <c r="BO170" s="528">
        <f t="shared" ref="BO170:BO210" si="483">Vfwd2*F170</f>
        <v>4.1999999999999993</v>
      </c>
      <c r="BR170" s="460">
        <f t="shared" ref="BR170:BR210" si="484">SUM(BO170:BQ170)*1000</f>
        <v>4199.9999999999991</v>
      </c>
      <c r="BS170" s="528">
        <f t="shared" ref="BS170:BS210" si="485">Rdcr_pri*BD170^2</f>
        <v>2.2583167920629412</v>
      </c>
      <c r="BT170" s="528">
        <f t="shared" ref="BT170:BT210" si="486">Rdcr_sec*BE170^2</f>
        <v>2.68134402793584</v>
      </c>
      <c r="BU170" s="528">
        <f t="shared" ref="BU170:BU210" si="487">AJ170^2.5*AN170^2.5*k_core</f>
        <v>0.65543938784296596</v>
      </c>
      <c r="BV170" s="528"/>
      <c r="BW170" s="528">
        <f t="shared" ref="BW170:BW210" si="488">0.5*Lleak*0.000000001*AJ170^2*AN170*1000</f>
        <v>1.5626926784624948E-2</v>
      </c>
      <c r="BX170" s="460">
        <f t="shared" ref="BX170:BX210" si="489">SUM(BS170:BW170)*1000</f>
        <v>5610.7271346263733</v>
      </c>
      <c r="BY170" s="173">
        <f t="shared" ref="BY170:BY210" si="490">SUM(BG170:BK170,BO170:BQ170,BS170:BW170)</f>
        <v>11.79350368209362</v>
      </c>
      <c r="BZ170" s="5">
        <f t="shared" ref="BZ170:BZ210" si="491">MIN(H170,O170)</f>
        <v>90</v>
      </c>
      <c r="CA170" s="173">
        <f t="shared" ref="CA170:CA210" si="492">BZ170/(BZ170+BY170)</f>
        <v>0.88414286515841578</v>
      </c>
      <c r="CB170" s="5">
        <f t="shared" ref="CB170:CB210" si="493">CA170*100</f>
        <v>88.414286515841582</v>
      </c>
      <c r="CE170" s="562">
        <f t="shared" si="473"/>
        <v>-50</v>
      </c>
      <c r="CF170">
        <f t="shared" si="474"/>
        <v>-50</v>
      </c>
      <c r="CG170" s="173">
        <f t="shared" si="475"/>
        <v>0.55065083901082668</v>
      </c>
      <c r="CI170" s="170">
        <v>60</v>
      </c>
      <c r="CJ170" s="217">
        <f t="shared" si="428"/>
        <v>6</v>
      </c>
      <c r="CK170" s="217"/>
      <c r="CL170" s="217">
        <f t="shared" si="368"/>
        <v>90</v>
      </c>
      <c r="CM170" s="541">
        <f t="shared" si="369"/>
        <v>19</v>
      </c>
      <c r="CN170" s="443">
        <f t="shared" si="370"/>
        <v>15.4</v>
      </c>
      <c r="CO170" s="443">
        <f t="shared" si="371"/>
        <v>34.4</v>
      </c>
      <c r="CP170" s="443"/>
      <c r="CQ170" s="217">
        <f t="shared" si="372"/>
        <v>0.44767441860465118</v>
      </c>
      <c r="CR170" s="172">
        <f t="shared" si="429"/>
        <v>212.84736191860466</v>
      </c>
      <c r="CS170" s="172">
        <f t="shared" si="373"/>
        <v>90</v>
      </c>
      <c r="CT170" s="217">
        <f t="shared" si="374"/>
        <v>14.189824127906977</v>
      </c>
      <c r="CU170" s="217">
        <f t="shared" si="375"/>
        <v>15</v>
      </c>
      <c r="CV170" s="217"/>
      <c r="CW170" s="172">
        <f t="shared" si="376"/>
        <v>60.291889329594937</v>
      </c>
      <c r="CX170" s="172">
        <f t="shared" si="377"/>
        <v>15</v>
      </c>
      <c r="CY170" s="217">
        <f t="shared" si="378"/>
        <v>21.161995898838004</v>
      </c>
      <c r="CZ170" s="217">
        <f t="shared" si="379"/>
        <v>13.365471094002951</v>
      </c>
      <c r="DA170" s="217">
        <f t="shared" si="380"/>
        <v>16.489866934159483</v>
      </c>
      <c r="DB170" s="197">
        <f t="shared" si="381"/>
        <v>70.881782945736433</v>
      </c>
      <c r="DC170" s="443">
        <f t="shared" si="382"/>
        <v>33.494847690443279</v>
      </c>
      <c r="DE170" s="217">
        <f t="shared" si="383"/>
        <v>10.000000000000002</v>
      </c>
      <c r="DF170" s="173">
        <f t="shared" si="384"/>
        <v>7.792207792207793</v>
      </c>
      <c r="DG170" s="173">
        <f t="shared" si="385"/>
        <v>2.7616279069767451</v>
      </c>
      <c r="DH170" s="173"/>
      <c r="DI170" s="173">
        <f t="shared" si="386"/>
        <v>7.7922077922077913</v>
      </c>
      <c r="DJ170" s="545">
        <f t="shared" si="387"/>
        <v>154</v>
      </c>
      <c r="DK170" s="528">
        <f t="shared" si="388"/>
        <v>2.7616279069767442</v>
      </c>
      <c r="DM170" s="173">
        <f t="shared" si="389"/>
        <v>6.6332495807107996</v>
      </c>
      <c r="DN170" s="173">
        <f t="shared" si="390"/>
        <v>21.161995898838004</v>
      </c>
      <c r="DO170" s="173">
        <f t="shared" si="391"/>
        <v>9.4681451102503722</v>
      </c>
      <c r="DQ170" s="545">
        <f t="shared" si="392"/>
        <v>6000</v>
      </c>
      <c r="DR170" s="460">
        <f t="shared" si="393"/>
        <v>33.494847690443279</v>
      </c>
      <c r="DT170">
        <f t="shared" si="430"/>
        <v>6000</v>
      </c>
      <c r="DU170">
        <f t="shared" si="431"/>
        <v>33.494847690443279</v>
      </c>
      <c r="DW170" s="5">
        <f t="shared" si="394"/>
        <v>29.855338028162436</v>
      </c>
      <c r="DX170" s="5">
        <f t="shared" si="395"/>
        <v>13.365471094002951</v>
      </c>
      <c r="DY170" s="5">
        <f t="shared" si="396"/>
        <v>16.489866934159487</v>
      </c>
      <c r="DZ170" s="5"/>
      <c r="EA170" s="173">
        <f t="shared" si="397"/>
        <v>0.44767441860465118</v>
      </c>
      <c r="EB170" s="173">
        <f t="shared" si="398"/>
        <v>90</v>
      </c>
      <c r="EC170" s="173">
        <f t="shared" si="399"/>
        <v>5.8441558441558437</v>
      </c>
      <c r="ED170" s="173">
        <f t="shared" si="400"/>
        <v>15.400000000000002</v>
      </c>
      <c r="EE170" s="460">
        <f t="shared" si="401"/>
        <v>534.61884376011801</v>
      </c>
      <c r="EF170" s="5">
        <f t="shared" si="402"/>
        <v>21.697193334420373</v>
      </c>
      <c r="EH170" s="173">
        <f t="shared" si="403"/>
        <v>8.1748000263012397</v>
      </c>
      <c r="EI170" s="173">
        <f t="shared" si="404"/>
        <v>9.0801615993768205</v>
      </c>
      <c r="EK170" s="528">
        <f t="shared" si="405"/>
        <v>1.336547109400295</v>
      </c>
      <c r="EL170" s="528">
        <f t="shared" si="406"/>
        <v>0.48766666666666664</v>
      </c>
      <c r="EM170" s="528">
        <f t="shared" si="407"/>
        <v>4.18685596130541E-3</v>
      </c>
      <c r="EN170" s="528">
        <f t="shared" si="408"/>
        <v>3.9636462962962951E-3</v>
      </c>
      <c r="EO170">
        <f t="shared" si="409"/>
        <v>8.5500000000000003E-3</v>
      </c>
      <c r="EP170" s="460">
        <f t="shared" si="410"/>
        <v>12.736855961305411</v>
      </c>
      <c r="EQ170" s="460"/>
      <c r="ER170" s="460">
        <f t="shared" si="432"/>
        <v>1840.9142783245634</v>
      </c>
      <c r="ES170" s="528">
        <f t="shared" si="411"/>
        <v>4.1999999999999993</v>
      </c>
      <c r="EV170" s="460">
        <f t="shared" ref="EV170:EV210" si="494">SUM(ES170:EU170)*1000</f>
        <v>4199.9999999999991</v>
      </c>
      <c r="EW170" s="528">
        <f t="shared" si="413"/>
        <v>2.0048206641004427</v>
      </c>
      <c r="EX170" s="528">
        <f t="shared" si="414"/>
        <v>2.4734800401239223</v>
      </c>
      <c r="EY170" s="528">
        <f t="shared" si="415"/>
        <v>0.66881589702681299</v>
      </c>
      <c r="EZ170" s="528"/>
      <c r="FA170" s="528">
        <f t="shared" si="416"/>
        <v>1.5000000000000001E-2</v>
      </c>
      <c r="FB170" s="460">
        <f t="shared" si="417"/>
        <v>5162.1166012511776</v>
      </c>
      <c r="FC170" s="173">
        <f t="shared" si="418"/>
        <v>11.20303087957574</v>
      </c>
      <c r="FD170" s="5">
        <f t="shared" si="419"/>
        <v>90</v>
      </c>
      <c r="FE170" s="173">
        <f t="shared" si="420"/>
        <v>0.88930142919428445</v>
      </c>
      <c r="FF170" s="5">
        <f t="shared" si="421"/>
        <v>88.930142919428448</v>
      </c>
      <c r="FI170" s="562">
        <f t="shared" si="422"/>
        <v>-50</v>
      </c>
      <c r="FJ170">
        <f t="shared" si="423"/>
        <v>-50</v>
      </c>
      <c r="FL170">
        <f t="shared" si="476"/>
        <v>0.55232558139534882</v>
      </c>
    </row>
    <row r="171" spans="5:168">
      <c r="E171" s="170">
        <v>61</v>
      </c>
      <c r="F171" s="217">
        <f t="shared" si="477"/>
        <v>6.1</v>
      </c>
      <c r="G171" s="217"/>
      <c r="H171" s="217">
        <f t="shared" si="442"/>
        <v>91.5</v>
      </c>
      <c r="I171" s="541">
        <f t="shared" si="443"/>
        <v>18.44613760260442</v>
      </c>
      <c r="J171" s="172">
        <f t="shared" si="444"/>
        <v>15.732317438437349</v>
      </c>
      <c r="K171" s="172">
        <f t="shared" si="445"/>
        <v>34.178455041041772</v>
      </c>
      <c r="L171" s="443"/>
      <c r="M171" s="217">
        <f t="shared" si="446"/>
        <v>0.46028360540007957</v>
      </c>
      <c r="N171" s="172">
        <f t="shared" si="447"/>
        <v>212.46301633545258</v>
      </c>
      <c r="O171" s="172">
        <f t="shared" si="438"/>
        <v>91.5</v>
      </c>
      <c r="P171" s="217">
        <f t="shared" si="448"/>
        <v>14.164201089030172</v>
      </c>
      <c r="Q171" s="217">
        <f t="shared" si="449"/>
        <v>15</v>
      </c>
      <c r="R171" s="217"/>
      <c r="S171" s="172">
        <f t="shared" si="450"/>
        <v>57.280705943059147</v>
      </c>
      <c r="T171" s="172">
        <f t="shared" si="451"/>
        <v>15</v>
      </c>
      <c r="U171" s="217">
        <f t="shared" si="452"/>
        <v>22.604464348435414</v>
      </c>
      <c r="V171" s="217">
        <f t="shared" si="453"/>
        <v>14.705169072517736</v>
      </c>
      <c r="W171" s="217">
        <f t="shared" si="454"/>
        <v>17.241806443499268</v>
      </c>
      <c r="X171" s="197">
        <f t="shared" si="455"/>
        <v>70.756195174414529</v>
      </c>
      <c r="Y171" s="443">
        <f t="shared" si="328"/>
        <v>31.107125443317582</v>
      </c>
      <c r="AA171" s="217">
        <f t="shared" si="456"/>
        <v>10</v>
      </c>
      <c r="AB171" s="173">
        <f t="shared" si="457"/>
        <v>7.6276111557992632</v>
      </c>
      <c r="AC171" s="173">
        <f t="shared" si="458"/>
        <v>2.6985037182713714</v>
      </c>
      <c r="AD171" s="173"/>
      <c r="AE171" s="173">
        <f t="shared" si="459"/>
        <v>7.6276111557992632</v>
      </c>
      <c r="AF171" s="545">
        <f t="shared" si="460"/>
        <v>159.94522729077968</v>
      </c>
      <c r="AG171" s="528">
        <f t="shared" si="461"/>
        <v>2.6985037182713714</v>
      </c>
      <c r="AI171" s="173">
        <f t="shared" si="462"/>
        <v>6.7600766540620079</v>
      </c>
      <c r="AJ171" s="173">
        <f t="shared" si="463"/>
        <v>22.604464348435414</v>
      </c>
      <c r="AK171" s="173">
        <f t="shared" si="464"/>
        <v>10.536640258100306</v>
      </c>
      <c r="AM171" s="545">
        <f t="shared" si="465"/>
        <v>6100</v>
      </c>
      <c r="AN171" s="460">
        <f t="shared" si="466"/>
        <v>31.107125443317582</v>
      </c>
      <c r="AP171">
        <f t="shared" si="467"/>
        <v>6100</v>
      </c>
      <c r="AQ171">
        <f t="shared" si="468"/>
        <v>31.107125443317582</v>
      </c>
      <c r="AS171" s="5">
        <f t="shared" si="439"/>
        <v>32.146975516017008</v>
      </c>
      <c r="AT171" s="5">
        <f t="shared" si="469"/>
        <v>14.705169072517736</v>
      </c>
      <c r="AU171" s="5">
        <f t="shared" si="478"/>
        <v>17.441806443499274</v>
      </c>
      <c r="AV171" s="5"/>
      <c r="AW171" s="173">
        <f t="shared" si="479"/>
        <v>0.45743553900400324</v>
      </c>
      <c r="AX171" s="173">
        <f t="shared" si="435"/>
        <v>95.367318438732354</v>
      </c>
      <c r="AY171" s="173">
        <f t="shared" si="436"/>
        <v>6.1321895076560429</v>
      </c>
      <c r="AZ171" s="173">
        <f t="shared" si="440"/>
        <v>15.551919639741431</v>
      </c>
      <c r="BA171" s="460">
        <f t="shared" si="433"/>
        <v>598.01020894905457</v>
      </c>
      <c r="BB171" s="5">
        <f t="shared" si="434"/>
        <v>24.032813263647576</v>
      </c>
      <c r="BD171" s="173">
        <f t="shared" si="441"/>
        <v>8.8267036178550473</v>
      </c>
      <c r="BE171" s="173">
        <f t="shared" si="437"/>
        <v>9.6130071293590102</v>
      </c>
      <c r="BG171" s="528">
        <f t="shared" si="480"/>
        <v>1.5582139351491078</v>
      </c>
      <c r="BH171" s="528">
        <f t="shared" si="470"/>
        <v>0.45061723695917516</v>
      </c>
      <c r="BI171" s="528">
        <f t="shared" si="471"/>
        <v>1.4345157908722829E-2</v>
      </c>
      <c r="BJ171" s="528">
        <f t="shared" si="481"/>
        <v>3.6338310843907627E-3</v>
      </c>
      <c r="BK171">
        <f t="shared" si="482"/>
        <v>8.3007619211719879E-3</v>
      </c>
      <c r="BL171" s="460">
        <f t="shared" si="427"/>
        <v>22.645919829894815</v>
      </c>
      <c r="BM171" s="528">
        <f t="shared" si="472"/>
        <v>3.8636153948370406</v>
      </c>
      <c r="BN171" s="460">
        <f t="shared" si="353"/>
        <v>3863.6153948370406</v>
      </c>
      <c r="BO171" s="528">
        <f t="shared" si="483"/>
        <v>4.2699999999999996</v>
      </c>
      <c r="BR171" s="460">
        <f t="shared" si="484"/>
        <v>4270</v>
      </c>
      <c r="BS171" s="528">
        <f t="shared" si="485"/>
        <v>2.3373209027236612</v>
      </c>
      <c r="BT171" s="528">
        <f t="shared" si="486"/>
        <v>2.7722971820732147</v>
      </c>
      <c r="BU171" s="528">
        <f t="shared" si="487"/>
        <v>0.65554914613796922</v>
      </c>
      <c r="BV171" s="528"/>
      <c r="BW171" s="528">
        <f t="shared" si="488"/>
        <v>1.5894553073122056E-2</v>
      </c>
      <c r="BX171" s="460">
        <f t="shared" si="489"/>
        <v>5781.0617840079676</v>
      </c>
      <c r="BY171" s="173">
        <f t="shared" si="490"/>
        <v>12.086172707030537</v>
      </c>
      <c r="BZ171" s="5">
        <f t="shared" si="491"/>
        <v>91.5</v>
      </c>
      <c r="CA171" s="173">
        <f t="shared" si="492"/>
        <v>0.88332252856553084</v>
      </c>
      <c r="CB171" s="5">
        <f t="shared" si="493"/>
        <v>88.332252856553083</v>
      </c>
      <c r="CE171" s="562">
        <f t="shared" si="473"/>
        <v>-50</v>
      </c>
      <c r="CF171">
        <f t="shared" si="474"/>
        <v>-50</v>
      </c>
      <c r="CG171" s="173">
        <f t="shared" si="475"/>
        <v>0.55067829380401556</v>
      </c>
      <c r="CI171" s="170">
        <v>61</v>
      </c>
      <c r="CJ171" s="217">
        <f t="shared" si="428"/>
        <v>6.1</v>
      </c>
      <c r="CK171" s="217"/>
      <c r="CL171" s="217">
        <f t="shared" si="368"/>
        <v>91.5</v>
      </c>
      <c r="CM171" s="541">
        <f t="shared" si="369"/>
        <v>19</v>
      </c>
      <c r="CN171" s="443">
        <f t="shared" si="370"/>
        <v>15.4</v>
      </c>
      <c r="CO171" s="443">
        <f t="shared" si="371"/>
        <v>34.4</v>
      </c>
      <c r="CP171" s="443"/>
      <c r="CQ171" s="217">
        <f t="shared" si="372"/>
        <v>0.44767441860465118</v>
      </c>
      <c r="CR171" s="172">
        <f t="shared" si="429"/>
        <v>212.84736191860466</v>
      </c>
      <c r="CS171" s="172">
        <f t="shared" si="373"/>
        <v>91.5</v>
      </c>
      <c r="CT171" s="217">
        <f t="shared" si="374"/>
        <v>14.189824127906977</v>
      </c>
      <c r="CU171" s="217">
        <f t="shared" si="375"/>
        <v>15</v>
      </c>
      <c r="CV171" s="217"/>
      <c r="CW171" s="172">
        <f t="shared" si="376"/>
        <v>58.996805468274765</v>
      </c>
      <c r="CX171" s="172">
        <f t="shared" si="377"/>
        <v>15</v>
      </c>
      <c r="CY171" s="217">
        <f t="shared" si="378"/>
        <v>21.514695830485302</v>
      </c>
      <c r="CZ171" s="217">
        <f t="shared" si="379"/>
        <v>13.588228945569664</v>
      </c>
      <c r="DA171" s="217">
        <f t="shared" si="380"/>
        <v>16.764698049728807</v>
      </c>
      <c r="DB171" s="197">
        <f t="shared" si="381"/>
        <v>70.881782945736433</v>
      </c>
      <c r="DC171" s="443">
        <f t="shared" si="382"/>
        <v>32.945751826665528</v>
      </c>
      <c r="DE171" s="217">
        <f t="shared" si="383"/>
        <v>10.000000000000002</v>
      </c>
      <c r="DF171" s="173">
        <f t="shared" si="384"/>
        <v>7.792207792207793</v>
      </c>
      <c r="DG171" s="173">
        <f t="shared" si="385"/>
        <v>2.7616279069767451</v>
      </c>
      <c r="DH171" s="173"/>
      <c r="DI171" s="173">
        <f t="shared" si="386"/>
        <v>7.7922077922077913</v>
      </c>
      <c r="DJ171" s="545">
        <f t="shared" si="387"/>
        <v>156.56666666666666</v>
      </c>
      <c r="DK171" s="528">
        <f t="shared" si="388"/>
        <v>2.7616279069767442</v>
      </c>
      <c r="DM171" s="173">
        <f t="shared" si="389"/>
        <v>6.688298238964328</v>
      </c>
      <c r="DN171" s="173">
        <f t="shared" si="390"/>
        <v>21.514695830485302</v>
      </c>
      <c r="DO171" s="173">
        <f t="shared" si="391"/>
        <v>9.7294043188780002</v>
      </c>
      <c r="DQ171" s="545">
        <f t="shared" si="392"/>
        <v>6100</v>
      </c>
      <c r="DR171" s="460">
        <f t="shared" si="393"/>
        <v>32.945751826665528</v>
      </c>
      <c r="DT171">
        <f t="shared" si="430"/>
        <v>6100</v>
      </c>
      <c r="DU171">
        <f t="shared" si="431"/>
        <v>32.945751826665528</v>
      </c>
      <c r="DW171" s="5">
        <f t="shared" si="394"/>
        <v>30.352926995298471</v>
      </c>
      <c r="DX171" s="5">
        <f t="shared" si="395"/>
        <v>13.588228945569664</v>
      </c>
      <c r="DY171" s="5">
        <f t="shared" si="396"/>
        <v>16.764698049728807</v>
      </c>
      <c r="DZ171" s="5"/>
      <c r="EA171" s="173">
        <f t="shared" si="397"/>
        <v>0.44767441860465118</v>
      </c>
      <c r="EB171" s="173">
        <f t="shared" si="398"/>
        <v>91.499999999999986</v>
      </c>
      <c r="EC171" s="173">
        <f t="shared" si="399"/>
        <v>5.941558441558441</v>
      </c>
      <c r="ED171" s="173">
        <f t="shared" si="400"/>
        <v>15.399999999999999</v>
      </c>
      <c r="EE171" s="460">
        <f t="shared" si="401"/>
        <v>552.587977119833</v>
      </c>
      <c r="EF171" s="5">
        <f t="shared" si="402"/>
        <v>22.426460110382834</v>
      </c>
      <c r="EH171" s="173">
        <f t="shared" si="403"/>
        <v>8.3110466934062597</v>
      </c>
      <c r="EI171" s="173">
        <f t="shared" si="404"/>
        <v>9.2314976260331001</v>
      </c>
      <c r="EK171" s="528">
        <f t="shared" si="405"/>
        <v>1.3814699427995825</v>
      </c>
      <c r="EL171" s="528">
        <f t="shared" si="406"/>
        <v>0.48766666666666664</v>
      </c>
      <c r="EM171" s="528">
        <f t="shared" si="407"/>
        <v>4.1182189783331912E-3</v>
      </c>
      <c r="EN171" s="528">
        <f t="shared" si="408"/>
        <v>3.8986684881602922E-3</v>
      </c>
      <c r="EO171">
        <f t="shared" si="409"/>
        <v>8.5500000000000003E-3</v>
      </c>
      <c r="EP171" s="460">
        <f t="shared" si="410"/>
        <v>12.66821897833319</v>
      </c>
      <c r="EQ171" s="460"/>
      <c r="ER171" s="460">
        <f t="shared" si="432"/>
        <v>1885.7034969327426</v>
      </c>
      <c r="ES171" s="528">
        <f t="shared" si="411"/>
        <v>4.2699999999999996</v>
      </c>
      <c r="EV171" s="460">
        <f t="shared" si="494"/>
        <v>4270</v>
      </c>
      <c r="EW171" s="528">
        <f t="shared" si="413"/>
        <v>2.0722049141993737</v>
      </c>
      <c r="EX171" s="528">
        <f t="shared" si="414"/>
        <v>2.5566164525836426</v>
      </c>
      <c r="EY171" s="528">
        <f t="shared" si="415"/>
        <v>0.66881589702681288</v>
      </c>
      <c r="EZ171" s="528"/>
      <c r="FA171" s="528">
        <f t="shared" si="416"/>
        <v>1.525E-2</v>
      </c>
      <c r="FB171" s="460">
        <f t="shared" si="417"/>
        <v>5312.8872638098301</v>
      </c>
      <c r="FC171" s="173">
        <f t="shared" si="418"/>
        <v>11.468590760742572</v>
      </c>
      <c r="FD171" s="5">
        <f t="shared" si="419"/>
        <v>91.5</v>
      </c>
      <c r="FE171" s="173">
        <f t="shared" si="420"/>
        <v>0.88862049411367638</v>
      </c>
      <c r="FF171" s="5">
        <f t="shared" si="421"/>
        <v>88.862049411367636</v>
      </c>
      <c r="FI171" s="562">
        <f t="shared" si="422"/>
        <v>-50</v>
      </c>
      <c r="FJ171">
        <f t="shared" si="423"/>
        <v>-50</v>
      </c>
      <c r="FL171">
        <f t="shared" si="476"/>
        <v>0.55232558139534882</v>
      </c>
    </row>
    <row r="172" spans="5:168">
      <c r="E172" s="170">
        <v>62</v>
      </c>
      <c r="F172" s="217">
        <f t="shared" si="477"/>
        <v>6.2</v>
      </c>
      <c r="G172" s="217"/>
      <c r="H172" s="217">
        <f t="shared" si="442"/>
        <v>93</v>
      </c>
      <c r="I172" s="541">
        <f t="shared" si="443"/>
        <v>18.437085050721187</v>
      </c>
      <c r="J172" s="172">
        <f t="shared" si="444"/>
        <v>15.737748969567289</v>
      </c>
      <c r="K172" s="172">
        <f t="shared" si="445"/>
        <v>34.174834020288472</v>
      </c>
      <c r="L172" s="443"/>
      <c r="M172" s="217">
        <f t="shared" si="446"/>
        <v>0.46049131553196831</v>
      </c>
      <c r="N172" s="172">
        <f t="shared" si="447"/>
        <v>212.4545790313372</v>
      </c>
      <c r="O172" s="172">
        <f t="shared" si="438"/>
        <v>93</v>
      </c>
      <c r="P172" s="217">
        <f t="shared" si="448"/>
        <v>14.163638602089147</v>
      </c>
      <c r="Q172" s="217">
        <f t="shared" si="449"/>
        <v>15</v>
      </c>
      <c r="R172" s="217"/>
      <c r="S172" s="172">
        <f t="shared" si="450"/>
        <v>56.036674328043986</v>
      </c>
      <c r="T172" s="172">
        <f t="shared" si="451"/>
        <v>15</v>
      </c>
      <c r="U172" s="217">
        <f t="shared" si="452"/>
        <v>22.983874693744163</v>
      </c>
      <c r="V172" s="217">
        <f t="shared" si="453"/>
        <v>14.95933308145918</v>
      </c>
      <c r="W172" s="217">
        <f t="shared" si="454"/>
        <v>17.525155399178622</v>
      </c>
      <c r="X172" s="197">
        <f t="shared" si="455"/>
        <v>70.753383441588042</v>
      </c>
      <c r="Y172" s="443">
        <f t="shared" si="328"/>
        <v>30.595553012628518</v>
      </c>
      <c r="AA172" s="217">
        <f t="shared" si="456"/>
        <v>10</v>
      </c>
      <c r="AB172" s="173">
        <f t="shared" si="457"/>
        <v>7.624978656861841</v>
      </c>
      <c r="AC172" s="173">
        <f t="shared" si="458"/>
        <v>2.6974651932143536</v>
      </c>
      <c r="AD172" s="173"/>
      <c r="AE172" s="173">
        <f t="shared" si="459"/>
        <v>7.624978656861841</v>
      </c>
      <c r="AF172" s="545">
        <f t="shared" si="460"/>
        <v>162.62340601886197</v>
      </c>
      <c r="AG172" s="528">
        <f t="shared" si="461"/>
        <v>2.6974651932143536</v>
      </c>
      <c r="AI172" s="173">
        <f t="shared" si="462"/>
        <v>6.816438240833949</v>
      </c>
      <c r="AJ172" s="173">
        <f t="shared" si="463"/>
        <v>22.983874693744163</v>
      </c>
      <c r="AK172" s="173">
        <f t="shared" si="464"/>
        <v>10.817684958329009</v>
      </c>
      <c r="AM172" s="545">
        <f t="shared" si="465"/>
        <v>6200</v>
      </c>
      <c r="AN172" s="460">
        <f t="shared" si="466"/>
        <v>30.595553012628518</v>
      </c>
      <c r="AP172">
        <f t="shared" si="467"/>
        <v>6200</v>
      </c>
      <c r="AQ172">
        <f t="shared" si="468"/>
        <v>30.595553012628518</v>
      </c>
      <c r="AS172" s="5">
        <f t="shared" si="439"/>
        <v>32.684488480637803</v>
      </c>
      <c r="AT172" s="5">
        <f t="shared" si="469"/>
        <v>14.95933308145918</v>
      </c>
      <c r="AU172" s="5">
        <f t="shared" si="478"/>
        <v>17.725155399178625</v>
      </c>
      <c r="AV172" s="5"/>
      <c r="AW172" s="173">
        <f t="shared" si="479"/>
        <v>0.45768906832735184</v>
      </c>
      <c r="AX172" s="173">
        <f t="shared" si="435"/>
        <v>96.974164901005949</v>
      </c>
      <c r="AY172" s="173">
        <f t="shared" si="436"/>
        <v>6.2322032493058996</v>
      </c>
      <c r="AZ172" s="173">
        <f t="shared" si="440"/>
        <v>15.560173669208602</v>
      </c>
      <c r="BA172" s="460">
        <f t="shared" si="433"/>
        <v>618.31910070031267</v>
      </c>
      <c r="BB172" s="5">
        <f t="shared" si="434"/>
        <v>24.83580493079101</v>
      </c>
      <c r="BD172" s="173">
        <f t="shared" si="441"/>
        <v>8.9773444262348416</v>
      </c>
      <c r="BE172" s="173">
        <f t="shared" si="437"/>
        <v>9.7720751309702898</v>
      </c>
      <c r="BG172" s="528">
        <f t="shared" si="480"/>
        <v>1.6118542589449956</v>
      </c>
      <c r="BH172" s="528">
        <f t="shared" si="470"/>
        <v>0.45059797818951958</v>
      </c>
      <c r="BI172" s="528">
        <f t="shared" si="471"/>
        <v>1.4102320326692019E-2</v>
      </c>
      <c r="BJ172" s="528">
        <f t="shared" si="481"/>
        <v>3.5733136255326086E-3</v>
      </c>
      <c r="BK172">
        <f t="shared" si="482"/>
        <v>8.2966882728245338E-3</v>
      </c>
      <c r="BL172" s="460">
        <f t="shared" si="427"/>
        <v>22.399008599516552</v>
      </c>
      <c r="BM172" s="528">
        <f t="shared" si="472"/>
        <v>4.0536972939259455</v>
      </c>
      <c r="BN172" s="460">
        <f t="shared" si="353"/>
        <v>4053.6972939259454</v>
      </c>
      <c r="BO172" s="528">
        <f t="shared" si="483"/>
        <v>4.34</v>
      </c>
      <c r="BR172" s="460">
        <f t="shared" si="484"/>
        <v>4340</v>
      </c>
      <c r="BS172" s="528">
        <f t="shared" si="485"/>
        <v>2.4177813884174935</v>
      </c>
      <c r="BT172" s="528">
        <f t="shared" si="486"/>
        <v>2.8648035709598401</v>
      </c>
      <c r="BU172" s="528">
        <f t="shared" si="487"/>
        <v>0.65565274845572352</v>
      </c>
      <c r="BV172" s="528"/>
      <c r="BW172" s="528">
        <f t="shared" si="488"/>
        <v>1.6162360816834326E-2</v>
      </c>
      <c r="BX172" s="460">
        <f t="shared" si="489"/>
        <v>5954.4000686498921</v>
      </c>
      <c r="BY172" s="173">
        <f t="shared" si="490"/>
        <v>12.382824628009455</v>
      </c>
      <c r="BZ172" s="5">
        <f t="shared" si="491"/>
        <v>93</v>
      </c>
      <c r="CA172" s="173">
        <f t="shared" si="492"/>
        <v>0.88249674772222553</v>
      </c>
      <c r="CB172" s="5">
        <f t="shared" si="493"/>
        <v>88.249674772222548</v>
      </c>
      <c r="CE172" s="562">
        <f t="shared" si="473"/>
        <v>-50</v>
      </c>
      <c r="CF172">
        <f t="shared" si="474"/>
        <v>-50</v>
      </c>
      <c r="CG172" s="173">
        <f t="shared" si="475"/>
        <v>0.55070486295871435</v>
      </c>
      <c r="CI172" s="170">
        <v>62</v>
      </c>
      <c r="CJ172" s="217">
        <f t="shared" si="428"/>
        <v>6.2</v>
      </c>
      <c r="CK172" s="217"/>
      <c r="CL172" s="217">
        <f t="shared" si="368"/>
        <v>93</v>
      </c>
      <c r="CM172" s="541">
        <f t="shared" si="369"/>
        <v>19</v>
      </c>
      <c r="CN172" s="443">
        <f t="shared" si="370"/>
        <v>15.4</v>
      </c>
      <c r="CO172" s="443">
        <f t="shared" si="371"/>
        <v>34.4</v>
      </c>
      <c r="CP172" s="443"/>
      <c r="CQ172" s="217">
        <f t="shared" si="372"/>
        <v>0.44767441860465118</v>
      </c>
      <c r="CR172" s="172">
        <f t="shared" si="429"/>
        <v>212.84736191860466</v>
      </c>
      <c r="CS172" s="172">
        <f t="shared" si="373"/>
        <v>93</v>
      </c>
      <c r="CT172" s="217">
        <f t="shared" si="374"/>
        <v>14.189824127906977</v>
      </c>
      <c r="CU172" s="217">
        <f t="shared" si="375"/>
        <v>15</v>
      </c>
      <c r="CV172" s="217"/>
      <c r="CW172" s="172">
        <f t="shared" si="376"/>
        <v>57.743614054906672</v>
      </c>
      <c r="CX172" s="172">
        <f t="shared" si="377"/>
        <v>15</v>
      </c>
      <c r="CY172" s="217">
        <f t="shared" si="378"/>
        <v>21.867395762132602</v>
      </c>
      <c r="CZ172" s="217">
        <f t="shared" si="379"/>
        <v>13.810986797136382</v>
      </c>
      <c r="DA172" s="217">
        <f t="shared" si="380"/>
        <v>17.039529165298134</v>
      </c>
      <c r="DB172" s="197">
        <f t="shared" si="381"/>
        <v>70.881782945736433</v>
      </c>
      <c r="DC172" s="443">
        <f t="shared" si="382"/>
        <v>32.414368732687052</v>
      </c>
      <c r="DE172" s="217">
        <f t="shared" si="383"/>
        <v>10.000000000000002</v>
      </c>
      <c r="DF172" s="173">
        <f t="shared" si="384"/>
        <v>7.792207792207793</v>
      </c>
      <c r="DG172" s="173">
        <f t="shared" si="385"/>
        <v>2.7616279069767451</v>
      </c>
      <c r="DH172" s="173"/>
      <c r="DI172" s="173">
        <f t="shared" si="386"/>
        <v>7.7922077922077913</v>
      </c>
      <c r="DJ172" s="545">
        <f t="shared" si="387"/>
        <v>159.13333333333335</v>
      </c>
      <c r="DK172" s="528">
        <f t="shared" si="388"/>
        <v>2.7616279069767442</v>
      </c>
      <c r="DM172" s="173">
        <f t="shared" si="389"/>
        <v>6.7428974978614846</v>
      </c>
      <c r="DN172" s="173">
        <f t="shared" si="390"/>
        <v>21.867395762132602</v>
      </c>
      <c r="DO172" s="173">
        <f t="shared" si="391"/>
        <v>9.9906635275056299</v>
      </c>
      <c r="DQ172" s="545">
        <f t="shared" si="392"/>
        <v>6200</v>
      </c>
      <c r="DR172" s="460">
        <f t="shared" si="393"/>
        <v>32.414368732687052</v>
      </c>
      <c r="DT172">
        <f t="shared" si="430"/>
        <v>6200</v>
      </c>
      <c r="DU172">
        <f t="shared" si="431"/>
        <v>32.414368732687052</v>
      </c>
      <c r="DW172" s="5">
        <f t="shared" si="394"/>
        <v>30.85051596243451</v>
      </c>
      <c r="DX172" s="5">
        <f t="shared" si="395"/>
        <v>13.810986797136382</v>
      </c>
      <c r="DY172" s="5">
        <f t="shared" si="396"/>
        <v>17.039529165298127</v>
      </c>
      <c r="DZ172" s="5"/>
      <c r="EA172" s="173">
        <f t="shared" si="397"/>
        <v>0.44767441860465124</v>
      </c>
      <c r="EB172" s="173">
        <f t="shared" si="398"/>
        <v>92.999999999999986</v>
      </c>
      <c r="EC172" s="173">
        <f t="shared" si="399"/>
        <v>6.0389610389610366</v>
      </c>
      <c r="ED172" s="173">
        <f t="shared" si="400"/>
        <v>15.400000000000004</v>
      </c>
      <c r="EE172" s="460">
        <f t="shared" si="401"/>
        <v>570.85412094830383</v>
      </c>
      <c r="EF172" s="5">
        <f t="shared" si="402"/>
        <v>23.167780882642187</v>
      </c>
      <c r="EH172" s="173">
        <f t="shared" si="403"/>
        <v>8.4472933605112814</v>
      </c>
      <c r="EI172" s="173">
        <f t="shared" si="404"/>
        <v>9.3828336526893796</v>
      </c>
      <c r="EK172" s="528">
        <f t="shared" si="405"/>
        <v>1.4271353023707596</v>
      </c>
      <c r="EL172" s="528">
        <f t="shared" si="406"/>
        <v>0.48766666666666675</v>
      </c>
      <c r="EM172" s="528">
        <f t="shared" si="407"/>
        <v>4.0517960915858811E-3</v>
      </c>
      <c r="EN172" s="528">
        <f t="shared" si="408"/>
        <v>3.835786738351255E-3</v>
      </c>
      <c r="EO172">
        <f t="shared" si="409"/>
        <v>8.5500000000000003E-3</v>
      </c>
      <c r="EP172" s="460">
        <f t="shared" si="410"/>
        <v>12.601796091585882</v>
      </c>
      <c r="EQ172" s="460"/>
      <c r="ER172" s="460">
        <f t="shared" si="432"/>
        <v>1931.2395518673634</v>
      </c>
      <c r="ES172" s="528">
        <f t="shared" si="411"/>
        <v>4.34</v>
      </c>
      <c r="EV172" s="460">
        <f t="shared" si="494"/>
        <v>4340</v>
      </c>
      <c r="EW172" s="528">
        <f t="shared" si="413"/>
        <v>2.1407029535561395</v>
      </c>
      <c r="EX172" s="528">
        <f t="shared" si="414"/>
        <v>2.6411270206212096</v>
      </c>
      <c r="EY172" s="528">
        <f t="shared" si="415"/>
        <v>0.66881589702681232</v>
      </c>
      <c r="EZ172" s="528"/>
      <c r="FA172" s="528">
        <f t="shared" si="416"/>
        <v>1.55E-2</v>
      </c>
      <c r="FB172" s="460">
        <f t="shared" si="417"/>
        <v>5466.1458712041613</v>
      </c>
      <c r="FC172" s="173">
        <f t="shared" si="418"/>
        <v>11.737385423071524</v>
      </c>
      <c r="FD172" s="5">
        <f t="shared" si="419"/>
        <v>93</v>
      </c>
      <c r="FE172" s="173">
        <f t="shared" si="420"/>
        <v>0.88793509236782975</v>
      </c>
      <c r="FF172" s="5">
        <f t="shared" si="421"/>
        <v>88.793509236782981</v>
      </c>
      <c r="FI172" s="562">
        <f t="shared" si="422"/>
        <v>-50</v>
      </c>
      <c r="FJ172">
        <f t="shared" si="423"/>
        <v>-50</v>
      </c>
      <c r="FL172">
        <f t="shared" si="476"/>
        <v>0.55232558139534871</v>
      </c>
    </row>
    <row r="173" spans="5:168">
      <c r="E173" s="170">
        <v>63</v>
      </c>
      <c r="F173" s="217">
        <f t="shared" si="477"/>
        <v>6.3</v>
      </c>
      <c r="G173" s="217"/>
      <c r="H173" s="217">
        <f t="shared" si="442"/>
        <v>94.5</v>
      </c>
      <c r="I173" s="541">
        <f t="shared" si="443"/>
        <v>18.428032496300606</v>
      </c>
      <c r="J173" s="172">
        <f t="shared" si="444"/>
        <v>15.743180502219637</v>
      </c>
      <c r="K173" s="172">
        <f t="shared" si="445"/>
        <v>34.171212998520247</v>
      </c>
      <c r="L173" s="443"/>
      <c r="M173" s="217">
        <f t="shared" si="446"/>
        <v>0.46069906971959912</v>
      </c>
      <c r="N173" s="172">
        <f t="shared" si="447"/>
        <v>212.44606790911624</v>
      </c>
      <c r="O173" s="172">
        <f t="shared" si="438"/>
        <v>94.5</v>
      </c>
      <c r="P173" s="217">
        <f>N173/Vout</f>
        <v>14.163071193941082</v>
      </c>
      <c r="Q173" s="217">
        <f t="shared" si="449"/>
        <v>15</v>
      </c>
      <c r="R173" s="217"/>
      <c r="S173" s="172">
        <f t="shared" si="450"/>
        <v>54.832538383125645</v>
      </c>
      <c r="T173" s="172">
        <f t="shared" si="451"/>
        <v>15</v>
      </c>
      <c r="U173" s="217">
        <f t="shared" si="452"/>
        <v>23.363579205118057</v>
      </c>
      <c r="V173" s="217">
        <f t="shared" si="453"/>
        <v>15.213938358188758</v>
      </c>
      <c r="W173" s="217">
        <f t="shared" si="454"/>
        <v>17.808533061149124</v>
      </c>
      <c r="X173" s="197">
        <f t="shared" si="455"/>
        <v>70.750547130268387</v>
      </c>
      <c r="Y173" s="443">
        <f t="shared" si="328"/>
        <v>30.100108669758011</v>
      </c>
      <c r="AA173" s="217">
        <f t="shared" si="456"/>
        <v>10</v>
      </c>
      <c r="AB173" s="173">
        <f t="shared" si="457"/>
        <v>7.6223479736563498</v>
      </c>
      <c r="AC173" s="173">
        <f t="shared" si="458"/>
        <v>2.6964264477673963</v>
      </c>
      <c r="AD173" s="173"/>
      <c r="AE173" s="173">
        <f t="shared" si="459"/>
        <v>7.6223479736563498</v>
      </c>
      <c r="AF173" s="545">
        <f t="shared" si="460"/>
        <v>165.30339527330617</v>
      </c>
      <c r="AG173" s="528">
        <f t="shared" si="461"/>
        <v>2.6964264477673967</v>
      </c>
      <c r="AI173" s="173">
        <f t="shared" si="462"/>
        <v>6.8723752448959674</v>
      </c>
      <c r="AJ173" s="173">
        <f t="shared" si="463"/>
        <v>23.363579205118057</v>
      </c>
      <c r="AK173" s="173">
        <f t="shared" si="464"/>
        <v>11.098947559346708</v>
      </c>
      <c r="AM173" s="545">
        <f t="shared" si="465"/>
        <v>6300</v>
      </c>
      <c r="AN173" s="460">
        <f t="shared" si="466"/>
        <v>30.100108669758011</v>
      </c>
      <c r="AP173">
        <f t="shared" si="467"/>
        <v>6300</v>
      </c>
      <c r="AQ173">
        <f t="shared" si="468"/>
        <v>30.100108669758011</v>
      </c>
      <c r="AS173" s="5">
        <f t="shared" si="439"/>
        <v>33.222471419337886</v>
      </c>
      <c r="AT173" s="5">
        <f t="shared" si="469"/>
        <v>15.213938358188758</v>
      </c>
      <c r="AU173" s="5">
        <f t="shared" si="478"/>
        <v>18.00853306114913</v>
      </c>
      <c r="AV173" s="5"/>
      <c r="AW173" s="173">
        <f t="shared" si="479"/>
        <v>0.45794119787648135</v>
      </c>
      <c r="AX173" s="173">
        <f t="shared" si="435"/>
        <v>98.582099998032675</v>
      </c>
      <c r="AY173" s="173">
        <f t="shared" si="436"/>
        <v>6.3322168786221225</v>
      </c>
      <c r="AZ173" s="173">
        <f t="shared" si="440"/>
        <v>15.568339159521008</v>
      </c>
      <c r="BA173" s="460">
        <f t="shared" si="433"/>
        <v>638.9854110439278</v>
      </c>
      <c r="BB173" s="5">
        <f t="shared" si="434"/>
        <v>25.65243972464576</v>
      </c>
      <c r="BD173" s="173">
        <f t="shared" si="441"/>
        <v>9.1281676163853422</v>
      </c>
      <c r="BE173" s="173">
        <f t="shared" si="437"/>
        <v>9.9312050489915666</v>
      </c>
      <c r="BG173" s="528">
        <f t="shared" si="480"/>
        <v>1.6664688806565213</v>
      </c>
      <c r="BH173" s="528">
        <f t="shared" si="470"/>
        <v>0.45057709096326237</v>
      </c>
      <c r="BI173" s="528">
        <f t="shared" si="471"/>
        <v>1.3867144517712007E-2</v>
      </c>
      <c r="BJ173" s="528">
        <f t="shared" si="481"/>
        <v>3.5147048004097901E-3</v>
      </c>
      <c r="BK173">
        <f t="shared" si="482"/>
        <v>8.2926146233352725E-3</v>
      </c>
      <c r="BL173" s="460">
        <f t="shared" si="427"/>
        <v>22.159759141047278</v>
      </c>
      <c r="BM173" s="528">
        <f t="shared" si="472"/>
        <v>4.2554756499370159</v>
      </c>
      <c r="BN173" s="460">
        <f t="shared" si="353"/>
        <v>4255.475649937016</v>
      </c>
      <c r="BO173" s="528">
        <f t="shared" si="483"/>
        <v>4.4099999999999993</v>
      </c>
      <c r="BR173" s="460">
        <f t="shared" si="484"/>
        <v>4409.9999999999991</v>
      </c>
      <c r="BS173" s="528">
        <f t="shared" si="485"/>
        <v>2.4997033209847817</v>
      </c>
      <c r="BT173" s="528">
        <f t="shared" si="486"/>
        <v>2.9588650117534674</v>
      </c>
      <c r="BU173" s="528">
        <f t="shared" si="487"/>
        <v>0.65575045762569606</v>
      </c>
      <c r="BV173" s="528"/>
      <c r="BW173" s="528">
        <f t="shared" si="488"/>
        <v>1.6430349999672113E-2</v>
      </c>
      <c r="BX173" s="460">
        <f t="shared" si="489"/>
        <v>6130.7491403636177</v>
      </c>
      <c r="BY173" s="173">
        <f t="shared" si="490"/>
        <v>12.683469575924857</v>
      </c>
      <c r="BZ173" s="5">
        <f t="shared" si="491"/>
        <v>94.5</v>
      </c>
      <c r="CA173" s="173">
        <f t="shared" si="492"/>
        <v>0.88166580512734427</v>
      </c>
      <c r="CB173" s="5">
        <f t="shared" si="493"/>
        <v>88.166580512734427</v>
      </c>
      <c r="CE173" s="562">
        <f t="shared" si="473"/>
        <v>-50</v>
      </c>
      <c r="CF173">
        <f t="shared" si="474"/>
        <v>-50</v>
      </c>
      <c r="CG173" s="173">
        <f t="shared" si="475"/>
        <v>0.55073058864818469</v>
      </c>
      <c r="CI173" s="170">
        <v>63</v>
      </c>
      <c r="CJ173" s="217">
        <f t="shared" si="428"/>
        <v>6.3</v>
      </c>
      <c r="CK173" s="217"/>
      <c r="CL173" s="217">
        <f t="shared" si="368"/>
        <v>94.5</v>
      </c>
      <c r="CM173" s="541">
        <f t="shared" si="369"/>
        <v>19</v>
      </c>
      <c r="CN173" s="443">
        <f t="shared" si="370"/>
        <v>15.4</v>
      </c>
      <c r="CO173" s="443">
        <f t="shared" si="371"/>
        <v>34.4</v>
      </c>
      <c r="CP173" s="443"/>
      <c r="CQ173" s="217">
        <f t="shared" si="372"/>
        <v>0.44767441860465118</v>
      </c>
      <c r="CR173" s="172">
        <f t="shared" si="429"/>
        <v>212.84736191860466</v>
      </c>
      <c r="CS173" s="172">
        <f t="shared" si="373"/>
        <v>94.5</v>
      </c>
      <c r="CT173" s="217">
        <f t="shared" si="374"/>
        <v>14.189824127906977</v>
      </c>
      <c r="CU173" s="217">
        <f t="shared" si="375"/>
        <v>15</v>
      </c>
      <c r="CV173" s="217"/>
      <c r="CW173" s="172">
        <f t="shared" si="376"/>
        <v>56.530321919307255</v>
      </c>
      <c r="CX173" s="172">
        <f t="shared" si="377"/>
        <v>15</v>
      </c>
      <c r="CY173" s="217">
        <f t="shared" si="378"/>
        <v>22.220095693779903</v>
      </c>
      <c r="CZ173" s="217">
        <f t="shared" si="379"/>
        <v>14.033744648703097</v>
      </c>
      <c r="DA173" s="217">
        <f t="shared" si="380"/>
        <v>17.314360280867458</v>
      </c>
      <c r="DB173" s="197">
        <f t="shared" si="381"/>
        <v>70.881782945736433</v>
      </c>
      <c r="DC173" s="443">
        <f t="shared" si="382"/>
        <v>31.899854943279323</v>
      </c>
      <c r="DE173" s="217">
        <f t="shared" si="383"/>
        <v>10.000000000000002</v>
      </c>
      <c r="DF173" s="173">
        <f t="shared" si="384"/>
        <v>7.792207792207793</v>
      </c>
      <c r="DG173" s="173">
        <f t="shared" si="385"/>
        <v>2.7616279069767451</v>
      </c>
      <c r="DH173" s="173"/>
      <c r="DI173" s="173">
        <f t="shared" si="386"/>
        <v>7.7922077922077913</v>
      </c>
      <c r="DJ173" s="545">
        <f t="shared" si="387"/>
        <v>161.69999999999999</v>
      </c>
      <c r="DK173" s="528">
        <f t="shared" si="388"/>
        <v>2.7616279069767442</v>
      </c>
      <c r="DM173" s="173">
        <f t="shared" si="389"/>
        <v>6.7970581871865718</v>
      </c>
      <c r="DN173" s="173">
        <f t="shared" si="390"/>
        <v>22.220095693779903</v>
      </c>
      <c r="DO173" s="173">
        <f t="shared" si="391"/>
        <v>10.251922736133261</v>
      </c>
      <c r="DQ173" s="545">
        <f t="shared" si="392"/>
        <v>6300</v>
      </c>
      <c r="DR173" s="460">
        <f t="shared" si="393"/>
        <v>31.899854943279323</v>
      </c>
      <c r="DT173">
        <f t="shared" si="430"/>
        <v>6300</v>
      </c>
      <c r="DU173">
        <f t="shared" si="431"/>
        <v>31.899854943279323</v>
      </c>
      <c r="DW173" s="5">
        <f t="shared" si="394"/>
        <v>31.348104929570546</v>
      </c>
      <c r="DX173" s="5">
        <f t="shared" si="395"/>
        <v>14.033744648703097</v>
      </c>
      <c r="DY173" s="5">
        <f t="shared" si="396"/>
        <v>17.314360280867447</v>
      </c>
      <c r="DZ173" s="5"/>
      <c r="EA173" s="173">
        <f t="shared" si="397"/>
        <v>0.44767441860465129</v>
      </c>
      <c r="EB173" s="173">
        <f t="shared" si="398"/>
        <v>94.500000000000014</v>
      </c>
      <c r="EC173" s="173">
        <f t="shared" si="399"/>
        <v>6.1363636363636349</v>
      </c>
      <c r="ED173" s="173">
        <f t="shared" si="400"/>
        <v>15.400000000000006</v>
      </c>
      <c r="EE173" s="460">
        <f t="shared" si="401"/>
        <v>589.41727524553016</v>
      </c>
      <c r="EF173" s="5">
        <f t="shared" si="402"/>
        <v>23.921155651198447</v>
      </c>
      <c r="EH173" s="173">
        <f t="shared" si="403"/>
        <v>8.5835400276163032</v>
      </c>
      <c r="EI173" s="173">
        <f t="shared" si="404"/>
        <v>9.534169679345661</v>
      </c>
      <c r="EK173" s="528">
        <f t="shared" si="405"/>
        <v>1.4735431881138257</v>
      </c>
      <c r="EL173" s="528">
        <f t="shared" si="406"/>
        <v>0.48766666666666675</v>
      </c>
      <c r="EM173" s="528">
        <f t="shared" si="407"/>
        <v>3.9874818679099151E-3</v>
      </c>
      <c r="EN173" s="528">
        <f t="shared" si="408"/>
        <v>3.7749012345679018E-3</v>
      </c>
      <c r="EO173">
        <f t="shared" si="409"/>
        <v>8.5500000000000003E-3</v>
      </c>
      <c r="EP173" s="460">
        <f t="shared" si="410"/>
        <v>12.537481867909916</v>
      </c>
      <c r="EQ173" s="460"/>
      <c r="ER173" s="460">
        <f t="shared" si="432"/>
        <v>1977.5222378829701</v>
      </c>
      <c r="ES173" s="528">
        <f t="shared" si="411"/>
        <v>4.4099999999999993</v>
      </c>
      <c r="EV173" s="460">
        <f t="shared" si="494"/>
        <v>4409.9999999999991</v>
      </c>
      <c r="EW173" s="528">
        <f t="shared" si="413"/>
        <v>2.2103147821707383</v>
      </c>
      <c r="EX173" s="528">
        <f t="shared" si="414"/>
        <v>2.727011744236624</v>
      </c>
      <c r="EY173" s="528">
        <f t="shared" si="415"/>
        <v>0.66881589702681221</v>
      </c>
      <c r="EZ173" s="528"/>
      <c r="FA173" s="528">
        <f t="shared" si="416"/>
        <v>1.5750000000000004E-2</v>
      </c>
      <c r="FB173" s="460">
        <f t="shared" si="417"/>
        <v>5621.8924234341748</v>
      </c>
      <c r="FC173" s="173">
        <f t="shared" si="418"/>
        <v>12.009414661317143</v>
      </c>
      <c r="FD173" s="5">
        <f t="shared" si="419"/>
        <v>94.5</v>
      </c>
      <c r="FE173" s="173">
        <f t="shared" si="420"/>
        <v>0.88724551064800095</v>
      </c>
      <c r="FF173" s="5">
        <f t="shared" si="421"/>
        <v>88.724551064800096</v>
      </c>
      <c r="FI173" s="562">
        <f t="shared" si="422"/>
        <v>-50</v>
      </c>
      <c r="FJ173">
        <f t="shared" si="423"/>
        <v>-50</v>
      </c>
      <c r="FL173">
        <f t="shared" si="476"/>
        <v>0.55232558139534871</v>
      </c>
    </row>
    <row r="174" spans="5:168">
      <c r="E174" s="170">
        <v>64</v>
      </c>
      <c r="F174" s="217">
        <f t="shared" si="477"/>
        <v>6.4</v>
      </c>
      <c r="G174" s="217"/>
      <c r="H174" s="217">
        <f t="shared" ref="H174:H205" si="495">F174*Vout</f>
        <v>96</v>
      </c>
      <c r="I174" s="541">
        <f t="shared" ref="I174:I210" si="496">VIN_min-F174*(Rdcr_pri+RON/1000)/CG174/Nps</f>
        <v>18.418979939461952</v>
      </c>
      <c r="J174" s="172">
        <f t="shared" ref="J174:J210" si="497">(T174+Vfwd1+F174/CG174*Rdcr_sec)*Nps</f>
        <v>15.748612036322829</v>
      </c>
      <c r="K174" s="172">
        <f t="shared" ref="K174:K210" si="498">(Vout+Vfwd1+F174/CG174*Rdcr_sec)*Nps++I174</f>
        <v>34.167591975784781</v>
      </c>
      <c r="L174" s="443"/>
      <c r="M174" s="217">
        <f t="shared" ref="M174:M209" si="499">(Vout+Vfwd1+F174/FL174*Rdcr_sec)*Nps/((Vout+Vfwd1+F174/FL174*Rdcr_sec)*Nps+I174)</f>
        <v>0.46090686797541619</v>
      </c>
      <c r="N174" s="172">
        <f t="shared" ref="N174:N205" si="500">M174*I174*(Isw_max+VIN_min/Lmag*ILIM_delay)*0.5*Efficiency</f>
        <v>212.43748294592174</v>
      </c>
      <c r="O174" s="172">
        <f t="shared" si="438"/>
        <v>96</v>
      </c>
      <c r="P174" s="217">
        <f t="shared" ref="P174:P205" si="501">N174/Vout</f>
        <v>14.162498863061449</v>
      </c>
      <c r="Q174" s="217">
        <f t="shared" ref="Q174:Q210" si="502">MIN(Vout,N174/F174)</f>
        <v>15</v>
      </c>
      <c r="R174" s="217"/>
      <c r="S174" s="172">
        <f t="shared" ref="S174:S210" si="503">(SQRT(Isw_max^2*Nps^2*I174^2+4*Isw_max*F174/Efficiency*(Nps^2*Vfwd1*I174-Nps*I174^2)+4*(F174/Efficiency)^2*Nps^2*Vfwd1^2+8*(F174/Efficiency)^2*Nps*Vfwd1*I174+4*(F174/Efficiency)^2*I174^2)-2*F174/Efficiency*I174-2*F174/Efficiency*Nps*Vfwd1+Isw_max*Nps*I174)/(4*F174/Efficiency*Nps)</f>
        <v>53.666429701838197</v>
      </c>
      <c r="T174" s="172">
        <f t="shared" ref="T174:T205" si="504">MIN(Vout, S174)</f>
        <v>15</v>
      </c>
      <c r="U174" s="217">
        <f t="shared" ref="U174:U209" si="505">MIN(2*(Vout+Vfwd1+F174/FL174*Rdcr_sec)*F174/(I174*M174), Isw_max)</f>
        <v>23.743578316290431</v>
      </c>
      <c r="V174" s="217">
        <f t="shared" ref="V174:V205" si="506">L*U174/I174*1000000</f>
        <v>15.468985835912054</v>
      </c>
      <c r="W174" s="217">
        <f t="shared" ref="W174:W210" si="507">L*U174/J174*1000000</f>
        <v>18.091939730201922</v>
      </c>
      <c r="X174" s="197">
        <f t="shared" ref="X174:X210" si="508">IF(1/((350000*L)*(1/I174+1/J174))&gt;Isw_min, 350, 0.001/((Isw_min*L)*(1/I174+1/J174)))</f>
        <v>70.747686232658637</v>
      </c>
      <c r="Y174" s="443">
        <f t="shared" ref="Y174:Y209" si="509">MIN(1/(V174+W174+0.2)*1000, 350)</f>
        <v>29.620041015809864</v>
      </c>
      <c r="AA174" s="217">
        <f t="shared" ref="AA174:AA210" si="510">1/((X174*1000*L)*(1/I174+1/J174))</f>
        <v>10</v>
      </c>
      <c r="AB174" s="173">
        <f t="shared" ref="AB174:AB205" si="511">L*AA174/J174*1000000</f>
        <v>7.619719104339497</v>
      </c>
      <c r="AC174" s="173">
        <f t="shared" ref="AC174:AC205" si="512">0.5*AB174*AA174*Nps*X174/1000</f>
        <v>2.6953874818740271</v>
      </c>
      <c r="AD174" s="173"/>
      <c r="AE174" s="173">
        <f t="shared" ref="AE174:AE210" si="513">L*Isw_min/J174*1000000</f>
        <v>7.619719104339497</v>
      </c>
      <c r="AF174" s="545">
        <f t="shared" ref="AF174:AF205" si="514">MAX(12000,F174/(0.5*AE174/1000000*Isw_min*Nps))/1000</f>
        <v>167.98519505411019</v>
      </c>
      <c r="AG174" s="528">
        <f t="shared" ref="AG174:AG210" si="515">0.5*AE174/1000000*Isw_min*Nps*X174*1000</f>
        <v>2.6953874818740267</v>
      </c>
      <c r="AI174" s="173">
        <f t="shared" ref="AI174:AI210" si="516">SQRT(F174/(0.5*L/J174*Fsw_DCM*Nps))</f>
        <v>6.9278979507105944</v>
      </c>
      <c r="AJ174" s="173">
        <f t="shared" ref="AJ174:AJ205" si="517">MAX(IF(F174&gt;AC174,U174,AI174),Isw_min)</f>
        <v>23.743578316290431</v>
      </c>
      <c r="AK174" s="173">
        <f t="shared" ref="AK174:AK205" si="518">IF(F174&gt;AG174, (AJ174-Isw_min)/1.08*0.8+1.2, AF174*0.2/350+1)</f>
        <v>11.380428382437355</v>
      </c>
      <c r="AM174" s="545">
        <f t="shared" ref="AM174:AM210" si="519">F174*1000</f>
        <v>6400</v>
      </c>
      <c r="AN174" s="460">
        <f t="shared" ref="AN174:AN210" si="520">IF(F174&gt;AG174, Y174, AF174)</f>
        <v>29.620041015809864</v>
      </c>
      <c r="AP174">
        <f t="shared" ref="AP174:AP210" si="521">IF(H174&gt;N174, "",AM174)</f>
        <v>6400</v>
      </c>
      <c r="AQ174">
        <f t="shared" ref="AQ174:AQ210" si="522">IF(H174&gt;N174, "",AN174)</f>
        <v>29.620041015809864</v>
      </c>
      <c r="AS174" s="5">
        <f t="shared" si="439"/>
        <v>33.760925566113983</v>
      </c>
      <c r="AT174" s="5">
        <f t="shared" ref="AT174:AT210" si="523">L*AJ174/I174*1000000</f>
        <v>15.468985835912054</v>
      </c>
      <c r="AU174" s="5">
        <f t="shared" si="478"/>
        <v>18.291939730201928</v>
      </c>
      <c r="AV174" s="5"/>
      <c r="AW174" s="173">
        <f t="shared" si="479"/>
        <v>0.45819199493269686</v>
      </c>
      <c r="AX174" s="173">
        <f t="shared" si="435"/>
        <v>100.1911236392755</v>
      </c>
      <c r="AY174" s="173">
        <f t="shared" si="436"/>
        <v>6.4322304003542969</v>
      </c>
      <c r="AZ174" s="173">
        <f t="shared" si="440"/>
        <v>15.576420215568898</v>
      </c>
      <c r="BA174" s="460">
        <f t="shared" si="433"/>
        <v>660.01006233224768</v>
      </c>
      <c r="BB174" s="5">
        <f t="shared" si="434"/>
        <v>26.482740144962683</v>
      </c>
      <c r="BD174" s="173">
        <f t="shared" si="441"/>
        <v>9.2791734319989292</v>
      </c>
      <c r="BE174" s="173">
        <f t="shared" si="437"/>
        <v>10.090396961442643</v>
      </c>
      <c r="BG174" s="528">
        <f t="shared" si="480"/>
        <v>1.7220611916222959</v>
      </c>
      <c r="BH174" s="528">
        <f t="shared" ref="BH174:BH210" si="524">0.5*K174*AJ174*AN174*1000*Tfall</f>
        <v>0.4505546439889202</v>
      </c>
      <c r="BI174" s="528">
        <f t="shared" ref="BI174:BI210" si="525">Qg*Vdd*AN174*1000*0+Qg*I174*AN174*1000</f>
        <v>1.3639273531906053E-2</v>
      </c>
      <c r="BJ174" s="528">
        <f t="shared" si="481"/>
        <v>3.4579156875825185E-3</v>
      </c>
      <c r="BK174">
        <f t="shared" si="482"/>
        <v>8.2885409727578782E-3</v>
      </c>
      <c r="BL174" s="460">
        <f t="shared" si="427"/>
        <v>21.927814504663932</v>
      </c>
      <c r="BM174" s="528">
        <f t="shared" ref="BM174:BM210" si="526">(BH174+BI174*0+BJ174+BK174*0+BG174*(1+RdsonTC*(Ta-25)))/(1-BG174*RdsonTC*ThetaJA)</f>
        <v>4.4699716452782159</v>
      </c>
      <c r="BN174" s="460">
        <f t="shared" ref="BN174:BN210" si="527">BM174*1000</f>
        <v>4469.9716452782159</v>
      </c>
      <c r="BO174" s="528">
        <f t="shared" si="483"/>
        <v>4.4799999999999995</v>
      </c>
      <c r="BR174" s="460">
        <f t="shared" si="484"/>
        <v>4479.9999999999991</v>
      </c>
      <c r="BS174" s="528">
        <f t="shared" si="485"/>
        <v>2.5830917874334438</v>
      </c>
      <c r="BT174" s="528">
        <f t="shared" si="486"/>
        <v>3.0544833251847274</v>
      </c>
      <c r="BU174" s="528">
        <f t="shared" si="487"/>
        <v>0.6558425202217476</v>
      </c>
      <c r="BV174" s="528"/>
      <c r="BW174" s="528">
        <f t="shared" si="488"/>
        <v>1.6698520606545916E-2</v>
      </c>
      <c r="BX174" s="460">
        <f t="shared" si="489"/>
        <v>6310.1161534464645</v>
      </c>
      <c r="BY174" s="173">
        <f t="shared" si="490"/>
        <v>12.98811771924993</v>
      </c>
      <c r="BZ174" s="5">
        <f t="shared" si="491"/>
        <v>96</v>
      </c>
      <c r="CA174" s="173">
        <f t="shared" si="492"/>
        <v>0.88082996577015005</v>
      </c>
      <c r="CB174" s="5">
        <f t="shared" si="493"/>
        <v>88.08299657701501</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0.55075551040985915</v>
      </c>
      <c r="CI174" s="170">
        <v>64</v>
      </c>
      <c r="CJ174" s="217">
        <f t="shared" si="428"/>
        <v>6.4</v>
      </c>
      <c r="CK174" s="217"/>
      <c r="CL174" s="217">
        <f t="shared" ref="CL174:CL210" si="531">CJ174*Vout</f>
        <v>96</v>
      </c>
      <c r="CM174" s="541">
        <f t="shared" ref="CM174:CM212" si="532">VIN_min</f>
        <v>19</v>
      </c>
      <c r="CN174" s="443">
        <f t="shared" ref="CN174:CN210" si="533">(CX174+Vfwd1)*Nps</f>
        <v>15.4</v>
      </c>
      <c r="CO174" s="443">
        <f t="shared" ref="CO174:CO210" si="534">(Vout+Vfwd1)*Nps+CM174</f>
        <v>34.4</v>
      </c>
      <c r="CP174" s="443"/>
      <c r="CQ174" s="217">
        <f t="shared" ref="CQ174:CQ210" si="535">(Vout+Vfwd1)*Nps/((Vout+Vfwd1)*Nps+CM174)</f>
        <v>0.44767441860465118</v>
      </c>
      <c r="CR174" s="172">
        <f t="shared" si="429"/>
        <v>212.84736191860466</v>
      </c>
      <c r="CS174" s="172">
        <f t="shared" ref="CS174:CS210" si="536">CX174*CJ174</f>
        <v>96</v>
      </c>
      <c r="CT174" s="217">
        <f t="shared" ref="CT174:CT210" si="537">CR174/Vout</f>
        <v>14.189824127906977</v>
      </c>
      <c r="CU174" s="217">
        <f t="shared" ref="CU174:CU210" si="538">MIN(Vout,CR174/CJ174)</f>
        <v>15</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55.355060496881713</v>
      </c>
      <c r="CX174" s="172">
        <f t="shared" ref="CX174:CX210" si="540">MIN(Vout, CW174)</f>
        <v>15</v>
      </c>
      <c r="CY174" s="217">
        <f t="shared" ref="CY174:CY210" si="541">MIN(2*Vout*CJ174/(Efficiency*CM174*CQ174), Isw_max)</f>
        <v>22.572795625427204</v>
      </c>
      <c r="CZ174" s="217">
        <f t="shared" ref="CZ174:CZ210" si="542">L*CY174/CM174*1000000</f>
        <v>14.256502500269814</v>
      </c>
      <c r="DA174" s="217">
        <f t="shared" ref="DA174:DA210" si="543">L*CY174/CN174*1000000</f>
        <v>17.589191396436782</v>
      </c>
      <c r="DB174" s="197">
        <f t="shared" ref="DB174:DB210" si="544">IF(1/((350000*L)*(1/CM174+1/CN174))&gt;Isw_min, 350, 0.001/((Isw_min*L)*(1/CM174+1/CN174)))</f>
        <v>70.881782945736433</v>
      </c>
      <c r="DC174" s="443">
        <f t="shared" ref="DC174:DC210" si="545">MIN(1/(CZ174+DA174)*1000, 350)</f>
        <v>31.401419709790581</v>
      </c>
      <c r="DE174" s="217">
        <f t="shared" ref="DE174:DE210" si="546">1/((DB174*1000*L)*(1/CM174+1/CN174))</f>
        <v>10.000000000000002</v>
      </c>
      <c r="DF174" s="173">
        <f t="shared" ref="DF174:DF210" si="547">L*DE174/CN174*1000000</f>
        <v>7.792207792207793</v>
      </c>
      <c r="DG174" s="173">
        <f t="shared" ref="DG174:DG210" si="548">0.5*DF174*DE174*Nps*DB174/1000</f>
        <v>2.7616279069767451</v>
      </c>
      <c r="DH174" s="173"/>
      <c r="DI174" s="173">
        <f t="shared" ref="DI174:DI210" si="549">L*Isw_min/CN174*1000000</f>
        <v>7.7922077922077913</v>
      </c>
      <c r="DJ174" s="545">
        <f t="shared" ref="DJ174:DJ210" si="550">MAX(12000,CJ174/(0.5*DI174/1000000*Isw_min*Nps))/1000</f>
        <v>164.26666666666668</v>
      </c>
      <c r="DK174" s="528">
        <f t="shared" ref="DK174:DK210" si="551">0.5*DI174/1000000*Isw_min*Nps*DB174*1000</f>
        <v>2.7616279069767442</v>
      </c>
      <c r="DM174" s="173">
        <f t="shared" ref="DM174:DM210" si="552">SQRT(CJ174/(0.5*L/CN174*Fsw_DCM*Nps))</f>
        <v>6.8507907086214024</v>
      </c>
      <c r="DN174" s="173">
        <f t="shared" ref="DN174:DN210" si="553">MAX(IF(CJ174&gt;DG174,CY174,DM174),Isw_min)</f>
        <v>22.572795625427204</v>
      </c>
      <c r="DO174" s="173">
        <f t="shared" ref="DO174:DO210" si="554">IF(CJ174&gt;DK174, (DN174-Isw_min)/1.08*0.8+1.2, DJ174*0.2/350+1)</f>
        <v>10.513181944760891</v>
      </c>
      <c r="DQ174" s="545">
        <f t="shared" ref="DQ174:DQ210" si="555">CJ174*1000</f>
        <v>6400</v>
      </c>
      <c r="DR174" s="460">
        <f t="shared" ref="DR174:DR210" si="556">IF(CJ174&gt;DK174, DC174, DJ174)</f>
        <v>31.401419709790581</v>
      </c>
      <c r="DT174">
        <f t="shared" si="430"/>
        <v>6400</v>
      </c>
      <c r="DU174">
        <f t="shared" si="431"/>
        <v>31.401419709790581</v>
      </c>
      <c r="DW174" s="5">
        <f t="shared" ref="DW174:DW210" si="557">1/DR174*1000</f>
        <v>31.845693896706592</v>
      </c>
      <c r="DX174" s="5">
        <f t="shared" ref="DX174:DX210" si="558">L*DN174/CM174*1000000</f>
        <v>14.256502500269814</v>
      </c>
      <c r="DY174" s="5">
        <f t="shared" ref="DY174:DY210" si="559">DW174-DX174</f>
        <v>17.589191396436778</v>
      </c>
      <c r="DZ174" s="5"/>
      <c r="EA174" s="173">
        <f t="shared" ref="EA174:EA210" si="560">DX174/DW174</f>
        <v>0.44767441860465124</v>
      </c>
      <c r="EB174" s="173">
        <f t="shared" ref="EB174:EB210" si="561">0.5*L*DN174^2*DR174*1000</f>
        <v>96.000000000000014</v>
      </c>
      <c r="EC174" s="173">
        <f t="shared" ref="EC174:EC210" si="562">DN174*Nps/2*(1-EA174)</f>
        <v>6.2337662337662323</v>
      </c>
      <c r="ED174" s="173">
        <f t="shared" ref="ED174:ED210" si="563">EB174/EC174</f>
        <v>15.400000000000006</v>
      </c>
      <c r="EE174" s="460">
        <f t="shared" ref="EE174:EE210" si="564">CJ174*DX174/Vout_ripple*1000</f>
        <v>608.27744001151211</v>
      </c>
      <c r="EF174" s="5">
        <f t="shared" ref="EF174:EF210" si="565">CL174/Efficiency/CM174*DY174/Vinripple1</f>
        <v>24.686584416051616</v>
      </c>
      <c r="EH174" s="173">
        <f t="shared" ref="EH174:EH210" si="566">DN174*SQRT(EA174/3)</f>
        <v>8.7197866947213232</v>
      </c>
      <c r="EI174" s="173">
        <f t="shared" ref="EI174:EI210" si="567">DN174*Nps*SQRT((1-EA174)/3)</f>
        <v>9.6855057060019405</v>
      </c>
      <c r="EK174" s="528">
        <f t="shared" ref="EK174:EK210" si="568">Rdson*EH174^2</f>
        <v>1.5206936000287803</v>
      </c>
      <c r="EL174" s="528">
        <f t="shared" ref="EL174:EL210" si="569">0.5*CO174*DN174*DR174*1000*Trise</f>
        <v>0.48766666666666675</v>
      </c>
      <c r="EM174" s="528">
        <f t="shared" ref="EM174:EM210" si="570">Qg*Vdd*DR174*1000</f>
        <v>3.9251774637238217E-3</v>
      </c>
      <c r="EN174" s="528">
        <f t="shared" ref="EN174:EN210" si="571">0.5*(Coss+Csw)*CO174^2*DR174*1000</f>
        <v>3.7159184027777781E-3</v>
      </c>
      <c r="EO174">
        <f t="shared" ref="EO174:EO210" si="572">CM174*IQ</f>
        <v>8.5500000000000003E-3</v>
      </c>
      <c r="EP174" s="460">
        <f t="shared" ref="EP174:EP210" si="573">(EO174+EM174)*1000</f>
        <v>12.475177463723822</v>
      </c>
      <c r="EQ174" s="460"/>
      <c r="ER174" s="460">
        <f t="shared" si="432"/>
        <v>2024.5513625619492</v>
      </c>
      <c r="ES174" s="528">
        <f t="shared" ref="ES174:ES210" si="574">Vfwd2*CJ174</f>
        <v>4.4799999999999995</v>
      </c>
      <c r="EV174" s="460">
        <f t="shared" si="494"/>
        <v>4479.9999999999991</v>
      </c>
      <c r="EW174" s="528">
        <f t="shared" ref="EW174:EW210" si="575">Rdcr_pri*EH174^2</f>
        <v>2.2810404000431705</v>
      </c>
      <c r="EX174" s="528">
        <f t="shared" ref="EX174:EX210" si="576">Rdcr_sec*EI174^2</f>
        <v>2.8142706234298842</v>
      </c>
      <c r="EY174" s="528">
        <f t="shared" ref="EY174:EY210" si="577">DN174^2.5*DR174^2.5*k_core</f>
        <v>0.66881589702681288</v>
      </c>
      <c r="EZ174" s="528"/>
      <c r="FA174" s="528">
        <f t="shared" ref="FA174:FA210" si="578">0.5*Lleak*0.000000001*DN174^2*DR174*1000</f>
        <v>1.6000000000000004E-2</v>
      </c>
      <c r="FB174" s="460">
        <f t="shared" ref="FB174:FB210" si="579">SUM(EW174:FA174)*1000</f>
        <v>5780.126920499868</v>
      </c>
      <c r="FC174" s="173">
        <f t="shared" ref="FC174:FC210" si="580">SUM(EK174:EO174,ES174:EU174,EW174:FA174)</f>
        <v>12.284678283061815</v>
      </c>
      <c r="FD174" s="5">
        <f t="shared" ref="FD174:FD210" si="581">MIN(CL174,CS174)</f>
        <v>96</v>
      </c>
      <c r="FE174" s="173">
        <f t="shared" ref="FE174:FE210" si="582">FD174/(FD174+FC174)</f>
        <v>0.88655201753521373</v>
      </c>
      <c r="FF174" s="5">
        <f t="shared" ref="FF174:FF210" si="583">FE174*100</f>
        <v>88.655201753521368</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0.55232558139534871</v>
      </c>
    </row>
    <row r="175" spans="5:168">
      <c r="E175" s="170">
        <v>65</v>
      </c>
      <c r="F175" s="217">
        <f t="shared" ref="F175:F206" si="587">IF(PLOT_TYPE=1, E175/100*Iout_max, min_I*EXP(N175*rr/100))</f>
        <v>6.5</v>
      </c>
      <c r="G175" s="217"/>
      <c r="H175" s="217">
        <f t="shared" si="495"/>
        <v>97.5</v>
      </c>
      <c r="I175" s="541">
        <f t="shared" si="496"/>
        <v>18.409927380317143</v>
      </c>
      <c r="J175" s="172">
        <f t="shared" si="497"/>
        <v>15.754043571809715</v>
      </c>
      <c r="K175" s="172">
        <f t="shared" si="498"/>
        <v>34.16397095212686</v>
      </c>
      <c r="L175" s="443"/>
      <c r="M175" s="217">
        <f t="shared" si="499"/>
        <v>0.46111471031196594</v>
      </c>
      <c r="N175" s="172">
        <f t="shared" si="500"/>
        <v>212.42882411883917</v>
      </c>
      <c r="O175" s="172">
        <f t="shared" si="438"/>
        <v>97.5</v>
      </c>
      <c r="P175" s="217">
        <f t="shared" si="501"/>
        <v>14.161921607922611</v>
      </c>
      <c r="Q175" s="217">
        <f t="shared" si="502"/>
        <v>15</v>
      </c>
      <c r="R175" s="217"/>
      <c r="S175" s="172">
        <f t="shared" si="503"/>
        <v>52.536594888652417</v>
      </c>
      <c r="T175" s="172">
        <f t="shared" si="504"/>
        <v>15</v>
      </c>
      <c r="U175" s="217">
        <f t="shared" si="505"/>
        <v>24.123872461847725</v>
      </c>
      <c r="V175" s="217">
        <f t="shared" si="506"/>
        <v>15.724476450226268</v>
      </c>
      <c r="W175" s="217">
        <f t="shared" si="507"/>
        <v>18.375375707363141</v>
      </c>
      <c r="X175" s="197">
        <f t="shared" si="508"/>
        <v>70.744800740957501</v>
      </c>
      <c r="Y175" s="443">
        <f t="shared" si="509"/>
        <v>29.15464461495451</v>
      </c>
      <c r="AA175" s="217">
        <f t="shared" si="510"/>
        <v>10</v>
      </c>
      <c r="AB175" s="173">
        <f t="shared" si="511"/>
        <v>7.617092047068347</v>
      </c>
      <c r="AC175" s="173">
        <f t="shared" si="512"/>
        <v>2.6943482954769116</v>
      </c>
      <c r="AD175" s="173"/>
      <c r="AE175" s="173">
        <f t="shared" si="513"/>
        <v>7.617092047068347</v>
      </c>
      <c r="AF175" s="545">
        <f t="shared" si="514"/>
        <v>170.66880536127189</v>
      </c>
      <c r="AG175" s="528">
        <f t="shared" si="515"/>
        <v>2.6943482954769116</v>
      </c>
      <c r="AI175" s="173">
        <f t="shared" si="516"/>
        <v>6.9830162406732423</v>
      </c>
      <c r="AJ175" s="173">
        <f t="shared" si="517"/>
        <v>24.123872461847725</v>
      </c>
      <c r="AK175" s="173">
        <f t="shared" si="518"/>
        <v>11.662127749516833</v>
      </c>
      <c r="AM175" s="545">
        <f t="shared" si="519"/>
        <v>6500</v>
      </c>
      <c r="AN175" s="460">
        <f t="shared" si="520"/>
        <v>29.15464461495451</v>
      </c>
      <c r="AP175">
        <f t="shared" si="521"/>
        <v>6500</v>
      </c>
      <c r="AQ175">
        <f t="shared" si="522"/>
        <v>29.15464461495451</v>
      </c>
      <c r="AS175" s="5">
        <f t="shared" si="439"/>
        <v>34.299852157589413</v>
      </c>
      <c r="AT175" s="5">
        <f t="shared" si="523"/>
        <v>15.724476450226268</v>
      </c>
      <c r="AU175" s="5">
        <f t="shared" si="478"/>
        <v>18.575375707363143</v>
      </c>
      <c r="AV175" s="5"/>
      <c r="AW175" s="173">
        <f t="shared" si="479"/>
        <v>0.45844152266256827</v>
      </c>
      <c r="AX175" s="173">
        <f t="shared" si="435"/>
        <v>101.80123573973944</v>
      </c>
      <c r="AY175" s="173">
        <f t="shared" si="436"/>
        <v>6.5322438189603282</v>
      </c>
      <c r="AZ175" s="173">
        <f t="shared" si="440"/>
        <v>15.584420692358988</v>
      </c>
      <c r="BA175" s="460">
        <f t="shared" si="433"/>
        <v>681.39397950980481</v>
      </c>
      <c r="BB175" s="5">
        <f t="shared" si="434"/>
        <v>27.326728763323995</v>
      </c>
      <c r="BD175" s="173">
        <f t="shared" si="441"/>
        <v>9.4303621174535834</v>
      </c>
      <c r="BE175" s="173">
        <f t="shared" si="437"/>
        <v>10.249650946196235</v>
      </c>
      <c r="BG175" s="528">
        <f t="shared" si="480"/>
        <v>1.7786345933260728</v>
      </c>
      <c r="BH175" s="528">
        <f t="shared" si="524"/>
        <v>0.45053070177210913</v>
      </c>
      <c r="BI175" s="528">
        <f t="shared" si="525"/>
        <v>1.3418372254006668E-2</v>
      </c>
      <c r="BJ175" s="528">
        <f t="shared" si="481"/>
        <v>3.4028628049334337E-3</v>
      </c>
      <c r="BK175">
        <f t="shared" si="482"/>
        <v>8.2844673211427133E-3</v>
      </c>
      <c r="BL175" s="460">
        <f t="shared" ref="BL175:BL210" si="588">(BK175+BI175)*1000</f>
        <v>21.70283957514938</v>
      </c>
      <c r="BM175" s="528">
        <f t="shared" si="526"/>
        <v>4.698330992702191</v>
      </c>
      <c r="BN175" s="460">
        <f t="shared" si="527"/>
        <v>4698.330992702191</v>
      </c>
      <c r="BO175" s="528">
        <f t="shared" si="483"/>
        <v>4.55</v>
      </c>
      <c r="BR175" s="460">
        <f t="shared" si="484"/>
        <v>4550</v>
      </c>
      <c r="BS175" s="528">
        <f t="shared" si="485"/>
        <v>2.667951889989109</v>
      </c>
      <c r="BT175" s="528">
        <f t="shared" si="486"/>
        <v>3.151660335565841</v>
      </c>
      <c r="BU175" s="528">
        <f t="shared" si="487"/>
        <v>0.6559291677994703</v>
      </c>
      <c r="BV175" s="528"/>
      <c r="BW175" s="528">
        <f t="shared" si="488"/>
        <v>1.6966872623289907E-2</v>
      </c>
      <c r="BX175" s="460">
        <f t="shared" si="489"/>
        <v>6492.5082659777108</v>
      </c>
      <c r="BY175" s="173">
        <f t="shared" si="490"/>
        <v>13.296779263455976</v>
      </c>
      <c r="BZ175" s="5">
        <f t="shared" si="491"/>
        <v>97.5</v>
      </c>
      <c r="CA175" s="173">
        <f t="shared" si="492"/>
        <v>0.87998947846815578</v>
      </c>
      <c r="CB175" s="5">
        <f t="shared" si="493"/>
        <v>87.998947846815582</v>
      </c>
      <c r="CE175" s="562">
        <f t="shared" si="528"/>
        <v>-50</v>
      </c>
      <c r="CF175">
        <f t="shared" si="529"/>
        <v>-50</v>
      </c>
      <c r="CG175" s="173">
        <f t="shared" si="530"/>
        <v>0.55077966534809764</v>
      </c>
      <c r="CI175" s="170">
        <v>65</v>
      </c>
      <c r="CJ175" s="217">
        <f t="shared" ref="CJ175:CJ210" si="589">IF(PLOT_TYPE=1, CI175/100*Iout_max, min_I*EXP(CR175*rr/100))</f>
        <v>6.5</v>
      </c>
      <c r="CK175" s="217"/>
      <c r="CL175" s="217">
        <f t="shared" si="531"/>
        <v>97.5</v>
      </c>
      <c r="CM175" s="541">
        <f t="shared" si="532"/>
        <v>19</v>
      </c>
      <c r="CN175" s="443">
        <f t="shared" si="533"/>
        <v>15.4</v>
      </c>
      <c r="CO175" s="443">
        <f t="shared" si="534"/>
        <v>34.4</v>
      </c>
      <c r="CP175" s="443"/>
      <c r="CQ175" s="217">
        <f t="shared" si="535"/>
        <v>0.44767441860465118</v>
      </c>
      <c r="CR175" s="172">
        <f t="shared" ref="CR175:CR210" si="590">CQ175*CM175*(Isw_max+VIN_min/Lmag*ILIM_delay)*0.5*Efficiency</f>
        <v>212.84736191860466</v>
      </c>
      <c r="CS175" s="172">
        <f t="shared" si="536"/>
        <v>97.5</v>
      </c>
      <c r="CT175" s="217">
        <f t="shared" si="537"/>
        <v>14.189824127906977</v>
      </c>
      <c r="CU175" s="217">
        <f t="shared" si="538"/>
        <v>15</v>
      </c>
      <c r="CV175" s="217"/>
      <c r="CW175" s="172">
        <f t="shared" si="539"/>
        <v>54.216076244316547</v>
      </c>
      <c r="CX175" s="172">
        <f t="shared" si="540"/>
        <v>15</v>
      </c>
      <c r="CY175" s="217">
        <f t="shared" si="541"/>
        <v>22.925495557074502</v>
      </c>
      <c r="CZ175" s="217">
        <f t="shared" si="542"/>
        <v>14.479260351836528</v>
      </c>
      <c r="DA175" s="217">
        <f t="shared" si="543"/>
        <v>17.864022512006105</v>
      </c>
      <c r="DB175" s="197">
        <f t="shared" si="544"/>
        <v>70.881782945736433</v>
      </c>
      <c r="DC175" s="443">
        <f t="shared" si="545"/>
        <v>30.918320945024572</v>
      </c>
      <c r="DE175" s="217">
        <f t="shared" si="546"/>
        <v>10.000000000000002</v>
      </c>
      <c r="DF175" s="173">
        <f t="shared" si="547"/>
        <v>7.792207792207793</v>
      </c>
      <c r="DG175" s="173">
        <f t="shared" si="548"/>
        <v>2.7616279069767451</v>
      </c>
      <c r="DH175" s="173"/>
      <c r="DI175" s="173">
        <f t="shared" si="549"/>
        <v>7.7922077922077913</v>
      </c>
      <c r="DJ175" s="545">
        <f t="shared" si="550"/>
        <v>166.83333333333334</v>
      </c>
      <c r="DK175" s="528">
        <f t="shared" si="551"/>
        <v>2.7616279069767442</v>
      </c>
      <c r="DM175" s="173">
        <f t="shared" si="552"/>
        <v>6.9041050590693267</v>
      </c>
      <c r="DN175" s="173">
        <f t="shared" si="553"/>
        <v>22.925495557074502</v>
      </c>
      <c r="DO175" s="173">
        <f t="shared" si="554"/>
        <v>10.774441153388519</v>
      </c>
      <c r="DQ175" s="545">
        <f t="shared" si="555"/>
        <v>6500</v>
      </c>
      <c r="DR175" s="460">
        <f t="shared" si="556"/>
        <v>30.918320945024572</v>
      </c>
      <c r="DT175">
        <f t="shared" ref="DT175:DT209" si="591">IF(CL175&gt;CR175, " ",DQ175)</f>
        <v>6500</v>
      </c>
      <c r="DU175">
        <f t="shared" ref="DU175:DU209" si="592">IF(CL175&gt;CR175, " ",DR175)</f>
        <v>30.918320945024572</v>
      </c>
      <c r="DW175" s="5">
        <f t="shared" si="557"/>
        <v>32.343282863842632</v>
      </c>
      <c r="DX175" s="5">
        <f t="shared" si="558"/>
        <v>14.479260351836528</v>
      </c>
      <c r="DY175" s="5">
        <f t="shared" si="559"/>
        <v>17.864022512006102</v>
      </c>
      <c r="DZ175" s="5"/>
      <c r="EA175" s="173">
        <f t="shared" si="560"/>
        <v>0.44767441860465118</v>
      </c>
      <c r="EB175" s="173">
        <f t="shared" si="561"/>
        <v>97.499999999999972</v>
      </c>
      <c r="EC175" s="173">
        <f t="shared" si="562"/>
        <v>6.3311688311688306</v>
      </c>
      <c r="ED175" s="173">
        <f t="shared" si="563"/>
        <v>15.399999999999997</v>
      </c>
      <c r="EE175" s="460">
        <f t="shared" si="564"/>
        <v>627.43461524624956</v>
      </c>
      <c r="EF175" s="5">
        <f t="shared" si="565"/>
        <v>25.464067177201681</v>
      </c>
      <c r="EH175" s="173">
        <f t="shared" si="566"/>
        <v>8.8560333618263432</v>
      </c>
      <c r="EI175" s="173">
        <f t="shared" si="567"/>
        <v>9.8368417326582218</v>
      </c>
      <c r="EK175" s="528">
        <f t="shared" si="568"/>
        <v>1.5685865381156239</v>
      </c>
      <c r="EL175" s="528">
        <f t="shared" si="569"/>
        <v>0.48766666666666664</v>
      </c>
      <c r="EM175" s="528">
        <f t="shared" si="570"/>
        <v>3.864790118128071E-3</v>
      </c>
      <c r="EN175" s="528">
        <f t="shared" si="571"/>
        <v>3.6587504273504277E-3</v>
      </c>
      <c r="EO175">
        <f t="shared" si="572"/>
        <v>8.5500000000000003E-3</v>
      </c>
      <c r="EP175" s="460">
        <f t="shared" si="573"/>
        <v>12.414790118128071</v>
      </c>
      <c r="EQ175" s="460"/>
      <c r="ER175" s="460">
        <f t="shared" ref="ER175:ER210" si="593">SUM(EK175:EO175)*1000</f>
        <v>2072.326745327769</v>
      </c>
      <c r="ES175" s="528">
        <f t="shared" si="574"/>
        <v>4.55</v>
      </c>
      <c r="EV175" s="460">
        <f t="shared" si="494"/>
        <v>4550</v>
      </c>
      <c r="EW175" s="528">
        <f t="shared" si="575"/>
        <v>2.3528798071734358</v>
      </c>
      <c r="EX175" s="528">
        <f t="shared" si="576"/>
        <v>2.9029036582009922</v>
      </c>
      <c r="EY175" s="528">
        <f t="shared" si="577"/>
        <v>0.66881589702681221</v>
      </c>
      <c r="EZ175" s="528"/>
      <c r="FA175" s="528">
        <f t="shared" si="578"/>
        <v>1.6249999999999997E-2</v>
      </c>
      <c r="FB175" s="460">
        <f t="shared" si="579"/>
        <v>5940.8493624012408</v>
      </c>
      <c r="FC175" s="173">
        <f t="shared" si="580"/>
        <v>12.563176107729008</v>
      </c>
      <c r="FD175" s="5">
        <f t="shared" si="581"/>
        <v>97.5</v>
      </c>
      <c r="FE175" s="173">
        <f t="shared" si="582"/>
        <v>0.88585486488748733</v>
      </c>
      <c r="FF175" s="5">
        <f t="shared" si="583"/>
        <v>88.585486488748728</v>
      </c>
      <c r="FI175" s="562">
        <f t="shared" si="584"/>
        <v>-50</v>
      </c>
      <c r="FJ175">
        <f t="shared" si="585"/>
        <v>-50</v>
      </c>
      <c r="FL175">
        <f t="shared" si="586"/>
        <v>0.55232558139534882</v>
      </c>
    </row>
    <row r="176" spans="5:168">
      <c r="E176" s="170">
        <v>66</v>
      </c>
      <c r="F176" s="217">
        <f t="shared" si="587"/>
        <v>6.6000000000000005</v>
      </c>
      <c r="G176" s="217"/>
      <c r="H176" s="217">
        <f t="shared" si="495"/>
        <v>99.000000000000014</v>
      </c>
      <c r="I176" s="541">
        <f t="shared" si="496"/>
        <v>18.400874818971289</v>
      </c>
      <c r="J176" s="172">
        <f t="shared" si="497"/>
        <v>15.759475108617226</v>
      </c>
      <c r="K176" s="172">
        <f t="shared" si="498"/>
        <v>34.160349927588513</v>
      </c>
      <c r="L176" s="443"/>
      <c r="M176" s="217">
        <f t="shared" si="499"/>
        <v>0.46132259674188858</v>
      </c>
      <c r="N176" s="172">
        <f t="shared" si="500"/>
        <v>212.42009140490958</v>
      </c>
      <c r="O176" s="172">
        <f t="shared" si="438"/>
        <v>99.000000000000014</v>
      </c>
      <c r="P176" s="217">
        <f t="shared" si="501"/>
        <v>14.161339426993973</v>
      </c>
      <c r="Q176" s="217">
        <f t="shared" si="502"/>
        <v>15</v>
      </c>
      <c r="R176" s="217"/>
      <c r="S176" s="172">
        <f t="shared" si="503"/>
        <v>51.441386846745743</v>
      </c>
      <c r="T176" s="536">
        <f t="shared" si="504"/>
        <v>15</v>
      </c>
      <c r="U176" s="217">
        <f t="shared" si="505"/>
        <v>24.504462077231633</v>
      </c>
      <c r="V176" s="217">
        <f t="shared" si="506"/>
        <v>15.980411139127506</v>
      </c>
      <c r="W176" s="217">
        <f t="shared" si="507"/>
        <v>18.658841293895133</v>
      </c>
      <c r="X176" s="197">
        <f t="shared" si="508"/>
        <v>70.741890647359341</v>
      </c>
      <c r="Y176" s="443">
        <f t="shared" si="509"/>
        <v>28.703256532914082</v>
      </c>
      <c r="AA176" s="217">
        <f t="shared" si="510"/>
        <v>9.9999999999999982</v>
      </c>
      <c r="AB176" s="173">
        <f t="shared" si="511"/>
        <v>7.61446680000049</v>
      </c>
      <c r="AC176" s="173">
        <f t="shared" si="512"/>
        <v>2.6933088885179135</v>
      </c>
      <c r="AD176" s="173"/>
      <c r="AE176" s="173">
        <f t="shared" si="513"/>
        <v>7.6144668000004918</v>
      </c>
      <c r="AF176" s="545">
        <f t="shared" si="514"/>
        <v>173.35422619478948</v>
      </c>
      <c r="AG176" s="528">
        <f t="shared" si="515"/>
        <v>2.6933088885179148</v>
      </c>
      <c r="AI176" s="173">
        <f t="shared" si="516"/>
        <v>7.0377396167233259</v>
      </c>
      <c r="AJ176" s="173">
        <f t="shared" si="517"/>
        <v>24.504462077231633</v>
      </c>
      <c r="AK176" s="173">
        <f t="shared" si="518"/>
        <v>11.944045983134542</v>
      </c>
      <c r="AM176" s="545">
        <f t="shared" si="519"/>
        <v>6600.0000000000009</v>
      </c>
      <c r="AN176" s="460">
        <f t="shared" si="520"/>
        <v>28.703256532914082</v>
      </c>
      <c r="AP176">
        <f t="shared" si="521"/>
        <v>6600.0000000000009</v>
      </c>
      <c r="AQ176">
        <f t="shared" si="522"/>
        <v>28.703256532914082</v>
      </c>
      <c r="AS176" s="5">
        <f t="shared" si="439"/>
        <v>34.839252433022637</v>
      </c>
      <c r="AT176" s="5">
        <f t="shared" si="523"/>
        <v>15.980411139127506</v>
      </c>
      <c r="AU176" s="5">
        <f t="shared" si="478"/>
        <v>18.858841293895132</v>
      </c>
      <c r="AV176" s="5"/>
      <c r="AW176" s="173">
        <f t="shared" si="479"/>
        <v>0.45868984042781463</v>
      </c>
      <c r="AX176" s="173">
        <f t="shared" si="435"/>
        <v>103.41243621955412</v>
      </c>
      <c r="AY176" s="173">
        <f t="shared" si="436"/>
        <v>6.632257138628411</v>
      </c>
      <c r="AZ176" s="173">
        <f t="shared" si="440"/>
        <v>15.592344213743861</v>
      </c>
      <c r="BA176" s="460">
        <f t="shared" si="433"/>
        <v>703.13809012161028</v>
      </c>
      <c r="BB176" s="5">
        <f t="shared" si="434"/>
        <v>28.184428223348451</v>
      </c>
      <c r="BD176" s="173">
        <f t="shared" si="441"/>
        <v>9.5817339177998111</v>
      </c>
      <c r="BE176" s="173">
        <f t="shared" si="437"/>
        <v>10.408967080998597</v>
      </c>
      <c r="BG176" s="528">
        <f t="shared" si="480"/>
        <v>1.8361924974303063</v>
      </c>
      <c r="BH176" s="528">
        <f t="shared" si="524"/>
        <v>0.45050532493206658</v>
      </c>
      <c r="BI176" s="528">
        <f t="shared" si="525"/>
        <v>1.3204125758974295E-2</v>
      </c>
      <c r="BJ176" s="528">
        <f t="shared" si="481"/>
        <v>3.3494677000279541E-3</v>
      </c>
      <c r="BK176">
        <f t="shared" si="482"/>
        <v>8.2803936685370803E-3</v>
      </c>
      <c r="BL176" s="460">
        <f t="shared" si="588"/>
        <v>21.484519427511373</v>
      </c>
      <c r="BM176" s="528">
        <f t="shared" si="526"/>
        <v>4.9418434503848205</v>
      </c>
      <c r="BN176" s="460">
        <f t="shared" si="527"/>
        <v>4941.8434503848202</v>
      </c>
      <c r="BO176" s="528">
        <f t="shared" si="483"/>
        <v>4.62</v>
      </c>
      <c r="BR176" s="460">
        <f t="shared" si="484"/>
        <v>4620</v>
      </c>
      <c r="BS176" s="528">
        <f t="shared" si="485"/>
        <v>2.754288746145459</v>
      </c>
      <c r="BT176" s="528">
        <f t="shared" si="486"/>
        <v>3.2503978707993735</v>
      </c>
      <c r="BU176" s="528">
        <f t="shared" si="487"/>
        <v>0.65601061802219784</v>
      </c>
      <c r="BV176" s="528"/>
      <c r="BW176" s="528">
        <f t="shared" si="488"/>
        <v>1.7235406036592352E-2</v>
      </c>
      <c r="BX176" s="460">
        <f t="shared" si="489"/>
        <v>6677.9326410036228</v>
      </c>
      <c r="BY176" s="173">
        <f t="shared" si="490"/>
        <v>13.609464450493535</v>
      </c>
      <c r="BZ176" s="5">
        <f t="shared" si="491"/>
        <v>99.000000000000014</v>
      </c>
      <c r="CA176" s="173">
        <f t="shared" si="492"/>
        <v>0.8791445770841344</v>
      </c>
      <c r="CB176" s="5">
        <f t="shared" si="493"/>
        <v>87.914457708413437</v>
      </c>
      <c r="CE176" s="562">
        <f t="shared" si="528"/>
        <v>-50</v>
      </c>
      <c r="CF176">
        <f t="shared" si="529"/>
        <v>-50</v>
      </c>
      <c r="CG176" s="173">
        <f t="shared" si="530"/>
        <v>0.55080308831851033</v>
      </c>
      <c r="CI176" s="170">
        <v>66</v>
      </c>
      <c r="CJ176" s="217">
        <f t="shared" si="589"/>
        <v>6.6000000000000005</v>
      </c>
      <c r="CK176" s="217"/>
      <c r="CL176" s="217">
        <f t="shared" si="531"/>
        <v>99.000000000000014</v>
      </c>
      <c r="CM176" s="541">
        <f t="shared" si="532"/>
        <v>19</v>
      </c>
      <c r="CN176" s="443">
        <f t="shared" si="533"/>
        <v>15.4</v>
      </c>
      <c r="CO176" s="443">
        <f t="shared" si="534"/>
        <v>34.4</v>
      </c>
      <c r="CP176" s="443"/>
      <c r="CQ176" s="217">
        <f t="shared" si="535"/>
        <v>0.44767441860465118</v>
      </c>
      <c r="CR176" s="172">
        <f t="shared" si="590"/>
        <v>212.84736191860466</v>
      </c>
      <c r="CS176" s="172">
        <f t="shared" si="536"/>
        <v>99.000000000000014</v>
      </c>
      <c r="CT176" s="217">
        <f t="shared" si="537"/>
        <v>14.189824127906977</v>
      </c>
      <c r="CU176" s="217">
        <f t="shared" si="538"/>
        <v>15</v>
      </c>
      <c r="CV176" s="217"/>
      <c r="CW176" s="172">
        <f t="shared" si="539"/>
        <v>53.111721926591933</v>
      </c>
      <c r="CX176" s="536">
        <f t="shared" si="540"/>
        <v>15</v>
      </c>
      <c r="CY176" s="217">
        <f t="shared" si="541"/>
        <v>23.278195488721806</v>
      </c>
      <c r="CZ176" s="217">
        <f t="shared" si="542"/>
        <v>14.702018203403247</v>
      </c>
      <c r="DA176" s="217">
        <f t="shared" si="543"/>
        <v>18.138853627575433</v>
      </c>
      <c r="DB176" s="197">
        <f t="shared" si="544"/>
        <v>70.881782945736433</v>
      </c>
      <c r="DC176" s="443">
        <f t="shared" si="545"/>
        <v>30.449861536766619</v>
      </c>
      <c r="DE176" s="217">
        <f t="shared" si="546"/>
        <v>10.000000000000002</v>
      </c>
      <c r="DF176" s="173">
        <f t="shared" si="547"/>
        <v>7.792207792207793</v>
      </c>
      <c r="DG176" s="173">
        <f t="shared" si="548"/>
        <v>2.7616279069767451</v>
      </c>
      <c r="DH176" s="173"/>
      <c r="DI176" s="173">
        <f t="shared" si="549"/>
        <v>7.7922077922077913</v>
      </c>
      <c r="DJ176" s="545">
        <f t="shared" si="550"/>
        <v>169.40000000000003</v>
      </c>
      <c r="DK176" s="528">
        <f t="shared" si="551"/>
        <v>2.7616279069767442</v>
      </c>
      <c r="DM176" s="173">
        <f t="shared" si="552"/>
        <v>6.957010852370435</v>
      </c>
      <c r="DN176" s="173">
        <f t="shared" si="553"/>
        <v>23.278195488721806</v>
      </c>
      <c r="DO176" s="173">
        <f t="shared" si="554"/>
        <v>11.035700362016152</v>
      </c>
      <c r="DQ176" s="545">
        <f t="shared" si="555"/>
        <v>6600.0000000000009</v>
      </c>
      <c r="DR176" s="460">
        <f t="shared" si="556"/>
        <v>30.449861536766619</v>
      </c>
      <c r="DT176">
        <f t="shared" si="591"/>
        <v>6600.0000000000009</v>
      </c>
      <c r="DU176">
        <f t="shared" si="592"/>
        <v>30.449861536766619</v>
      </c>
      <c r="DW176" s="5">
        <f t="shared" si="557"/>
        <v>32.840871830978678</v>
      </c>
      <c r="DX176" s="5">
        <f t="shared" si="558"/>
        <v>14.702018203403247</v>
      </c>
      <c r="DY176" s="5">
        <f t="shared" si="559"/>
        <v>18.138853627575429</v>
      </c>
      <c r="DZ176" s="5"/>
      <c r="EA176" s="173">
        <f t="shared" si="560"/>
        <v>0.44767441860465124</v>
      </c>
      <c r="EB176" s="173">
        <f t="shared" si="561"/>
        <v>99.000000000000014</v>
      </c>
      <c r="EC176" s="173">
        <f t="shared" si="562"/>
        <v>6.4285714285714279</v>
      </c>
      <c r="ED176" s="173">
        <f t="shared" si="563"/>
        <v>15.400000000000004</v>
      </c>
      <c r="EE176" s="460">
        <f t="shared" si="564"/>
        <v>646.88880094974286</v>
      </c>
      <c r="EF176" s="5">
        <f t="shared" si="565"/>
        <v>26.253603934648648</v>
      </c>
      <c r="EH176" s="173">
        <f t="shared" si="566"/>
        <v>8.9922800289313649</v>
      </c>
      <c r="EI176" s="173">
        <f t="shared" si="567"/>
        <v>9.9881777593145031</v>
      </c>
      <c r="EK176" s="528">
        <f t="shared" si="568"/>
        <v>1.6172220023743575</v>
      </c>
      <c r="EL176" s="528">
        <f t="shared" si="569"/>
        <v>0.48766666666666664</v>
      </c>
      <c r="EM176" s="528">
        <f t="shared" si="570"/>
        <v>3.8062326920958269E-3</v>
      </c>
      <c r="EN176" s="528">
        <f t="shared" si="571"/>
        <v>3.6033148148148144E-3</v>
      </c>
      <c r="EO176">
        <f t="shared" si="572"/>
        <v>8.5500000000000003E-3</v>
      </c>
      <c r="EP176" s="460">
        <f t="shared" si="573"/>
        <v>12.356232692095826</v>
      </c>
      <c r="EQ176" s="460"/>
      <c r="ER176" s="460">
        <f t="shared" si="593"/>
        <v>2120.848216547935</v>
      </c>
      <c r="ES176" s="528">
        <f t="shared" si="574"/>
        <v>4.62</v>
      </c>
      <c r="EV176" s="460">
        <f t="shared" si="494"/>
        <v>4620</v>
      </c>
      <c r="EW176" s="528">
        <f t="shared" si="575"/>
        <v>2.4258330035615359</v>
      </c>
      <c r="EX176" s="528">
        <f t="shared" si="576"/>
        <v>2.9929108485499465</v>
      </c>
      <c r="EY176" s="528">
        <f t="shared" si="577"/>
        <v>0.66881589702681288</v>
      </c>
      <c r="EZ176" s="528"/>
      <c r="FA176" s="528">
        <f t="shared" si="578"/>
        <v>1.6500000000000001E-2</v>
      </c>
      <c r="FB176" s="460">
        <f t="shared" si="579"/>
        <v>6104.059749138296</v>
      </c>
      <c r="FC176" s="173">
        <f t="shared" si="580"/>
        <v>12.844907965686231</v>
      </c>
      <c r="FD176" s="5">
        <f t="shared" si="581"/>
        <v>99.000000000000014</v>
      </c>
      <c r="FE176" s="173">
        <f t="shared" si="582"/>
        <v>0.88515428910159222</v>
      </c>
      <c r="FF176" s="5">
        <f t="shared" si="583"/>
        <v>88.515428910159216</v>
      </c>
      <c r="FI176" s="562">
        <f t="shared" si="584"/>
        <v>-50</v>
      </c>
      <c r="FJ176">
        <f t="shared" si="585"/>
        <v>-50</v>
      </c>
      <c r="FL176">
        <f t="shared" si="586"/>
        <v>0.55232558139534871</v>
      </c>
    </row>
    <row r="177" spans="5:168">
      <c r="E177" s="170">
        <v>67</v>
      </c>
      <c r="F177" s="217">
        <f t="shared" si="587"/>
        <v>6.7</v>
      </c>
      <c r="G177" s="217"/>
      <c r="H177" s="217">
        <f t="shared" si="495"/>
        <v>100.5</v>
      </c>
      <c r="I177" s="541">
        <f t="shared" si="496"/>
        <v>18.39182225552322</v>
      </c>
      <c r="J177" s="172">
        <f t="shared" si="497"/>
        <v>15.764906646686068</v>
      </c>
      <c r="K177" s="172">
        <f t="shared" si="498"/>
        <v>34.156728902209288</v>
      </c>
      <c r="L177" s="443"/>
      <c r="M177" s="217">
        <f t="shared" si="499"/>
        <v>0.46153052727791266</v>
      </c>
      <c r="N177" s="172">
        <f t="shared" si="500"/>
        <v>212.41128478113285</v>
      </c>
      <c r="O177" s="172">
        <f t="shared" si="438"/>
        <v>100.5</v>
      </c>
      <c r="P177" s="217">
        <f t="shared" si="501"/>
        <v>14.16075231874219</v>
      </c>
      <c r="Q177" s="217">
        <f t="shared" si="502"/>
        <v>15</v>
      </c>
      <c r="R177" s="217"/>
      <c r="S177" s="172">
        <f t="shared" si="503"/>
        <v>50.379256845990191</v>
      </c>
      <c r="T177" s="536">
        <f t="shared" si="504"/>
        <v>15</v>
      </c>
      <c r="U177" s="217">
        <f t="shared" si="505"/>
        <v>24.885347598741141</v>
      </c>
      <c r="V177" s="217">
        <f t="shared" si="506"/>
        <v>16.236790843017982</v>
      </c>
      <c r="W177" s="217">
        <f t="shared" si="507"/>
        <v>18.94233679129761</v>
      </c>
      <c r="X177" s="197">
        <f t="shared" si="508"/>
        <v>70.738955944054325</v>
      </c>
      <c r="Y177" s="443">
        <f t="shared" si="509"/>
        <v>28.265253183633082</v>
      </c>
      <c r="AA177" s="217">
        <f t="shared" si="510"/>
        <v>10</v>
      </c>
      <c r="AB177" s="173">
        <f t="shared" si="511"/>
        <v>7.6118433612941905</v>
      </c>
      <c r="AC177" s="173">
        <f t="shared" si="512"/>
        <v>2.6922692609381604</v>
      </c>
      <c r="AD177" s="173"/>
      <c r="AE177" s="173">
        <f t="shared" si="513"/>
        <v>7.6118433612941905</v>
      </c>
      <c r="AF177" s="545">
        <f t="shared" si="514"/>
        <v>176.04145755466109</v>
      </c>
      <c r="AG177" s="528">
        <f t="shared" si="515"/>
        <v>2.6922692609381604</v>
      </c>
      <c r="AI177" s="173">
        <f t="shared" si="516"/>
        <v>7.0920772204856695</v>
      </c>
      <c r="AJ177" s="173">
        <f t="shared" si="517"/>
        <v>24.885347598741141</v>
      </c>
      <c r="AK177" s="173">
        <f t="shared" si="518"/>
        <v>12.22618340647492</v>
      </c>
      <c r="AM177" s="545">
        <f t="shared" si="519"/>
        <v>6700</v>
      </c>
      <c r="AN177" s="460">
        <f t="shared" si="520"/>
        <v>28.265253183633082</v>
      </c>
      <c r="AP177">
        <f t="shared" si="521"/>
        <v>6700</v>
      </c>
      <c r="AQ177">
        <f t="shared" si="522"/>
        <v>28.265253183633082</v>
      </c>
      <c r="AS177" s="5">
        <f t="shared" si="439"/>
        <v>35.379127634315594</v>
      </c>
      <c r="AT177" s="5">
        <f t="shared" si="523"/>
        <v>16.236790843017982</v>
      </c>
      <c r="AU177" s="5">
        <f t="shared" si="478"/>
        <v>19.142336791297613</v>
      </c>
      <c r="AV177" s="5"/>
      <c r="AW177" s="173">
        <f t="shared" si="479"/>
        <v>0.45893700406759846</v>
      </c>
      <c r="AX177" s="173">
        <f t="shared" si="435"/>
        <v>105.02472500359346</v>
      </c>
      <c r="AY177" s="173">
        <f t="shared" si="436"/>
        <v>6.7322703632970393</v>
      </c>
      <c r="AZ177" s="173">
        <f t="shared" si="440"/>
        <v>15.600194189491672</v>
      </c>
      <c r="BA177" s="460">
        <f t="shared" si="433"/>
        <v>725.24332432146991</v>
      </c>
      <c r="BB177" s="5">
        <f t="shared" si="434"/>
        <v>29.055861240897055</v>
      </c>
      <c r="BD177" s="173">
        <f t="shared" si="441"/>
        <v>9.7332890787487862</v>
      </c>
      <c r="BE177" s="173">
        <f t="shared" si="437"/>
        <v>10.568345443488308</v>
      </c>
      <c r="BG177" s="528">
        <f t="shared" si="480"/>
        <v>1.8947383258098081</v>
      </c>
      <c r="BH177" s="528">
        <f t="shared" si="524"/>
        <v>0.45047857048999629</v>
      </c>
      <c r="BI177" s="528">
        <f t="shared" si="525"/>
        <v>1.2996237814018536E-2</v>
      </c>
      <c r="BJ177" s="528">
        <f t="shared" si="481"/>
        <v>3.297656576945693E-3</v>
      </c>
      <c r="BK177">
        <f t="shared" si="482"/>
        <v>8.2763200149854489E-3</v>
      </c>
      <c r="BL177" s="460">
        <f t="shared" si="588"/>
        <v>21.272557829003983</v>
      </c>
      <c r="BM177" s="528">
        <f t="shared" si="526"/>
        <v>5.2019661279500973</v>
      </c>
      <c r="BN177" s="460">
        <f t="shared" si="527"/>
        <v>5201.966127950097</v>
      </c>
      <c r="BO177" s="528">
        <f t="shared" si="483"/>
        <v>4.6899999999999995</v>
      </c>
      <c r="BR177" s="460">
        <f t="shared" si="484"/>
        <v>4689.9999999999991</v>
      </c>
      <c r="BS177" s="528">
        <f t="shared" si="485"/>
        <v>2.8421074887147117</v>
      </c>
      <c r="BT177" s="528">
        <f t="shared" si="486"/>
        <v>3.3506977623870022</v>
      </c>
      <c r="BU177" s="528">
        <f t="shared" si="487"/>
        <v>0.65608707568721236</v>
      </c>
      <c r="BV177" s="528"/>
      <c r="BW177" s="528">
        <f t="shared" si="488"/>
        <v>1.7504120833932244E-2</v>
      </c>
      <c r="BX177" s="460">
        <f t="shared" si="489"/>
        <v>6866.3964476228575</v>
      </c>
      <c r="BY177" s="173">
        <f t="shared" si="490"/>
        <v>13.926183558328612</v>
      </c>
      <c r="BZ177" s="5">
        <f t="shared" si="491"/>
        <v>100.5</v>
      </c>
      <c r="CA177" s="173">
        <f t="shared" si="492"/>
        <v>0.87829548163485016</v>
      </c>
      <c r="CB177" s="5">
        <f t="shared" si="493"/>
        <v>87.829548163485015</v>
      </c>
      <c r="CE177" s="562">
        <f t="shared" si="528"/>
        <v>-50</v>
      </c>
      <c r="CF177">
        <f t="shared" si="529"/>
        <v>-50</v>
      </c>
      <c r="CG177" s="173">
        <f t="shared" si="530"/>
        <v>0.55082581209577663</v>
      </c>
      <c r="CI177" s="170">
        <v>67</v>
      </c>
      <c r="CJ177" s="217">
        <f t="shared" si="589"/>
        <v>6.7</v>
      </c>
      <c r="CK177" s="217"/>
      <c r="CL177" s="217">
        <f t="shared" si="531"/>
        <v>100.5</v>
      </c>
      <c r="CM177" s="541">
        <f t="shared" si="532"/>
        <v>19</v>
      </c>
      <c r="CN177" s="443">
        <f t="shared" si="533"/>
        <v>15.4</v>
      </c>
      <c r="CO177" s="443">
        <f t="shared" si="534"/>
        <v>34.4</v>
      </c>
      <c r="CP177" s="443"/>
      <c r="CQ177" s="217">
        <f t="shared" si="535"/>
        <v>0.44767441860465118</v>
      </c>
      <c r="CR177" s="172">
        <f t="shared" si="590"/>
        <v>212.84736191860466</v>
      </c>
      <c r="CS177" s="172">
        <f t="shared" si="536"/>
        <v>100.5</v>
      </c>
      <c r="CT177" s="217">
        <f t="shared" si="537"/>
        <v>14.189824127906977</v>
      </c>
      <c r="CU177" s="217">
        <f t="shared" si="538"/>
        <v>15</v>
      </c>
      <c r="CV177" s="217"/>
      <c r="CW177" s="172">
        <f t="shared" si="539"/>
        <v>52.040448684281074</v>
      </c>
      <c r="CX177" s="536">
        <f t="shared" si="540"/>
        <v>15</v>
      </c>
      <c r="CY177" s="217">
        <f t="shared" si="541"/>
        <v>23.630895420369104</v>
      </c>
      <c r="CZ177" s="217">
        <f t="shared" si="542"/>
        <v>14.924776054969962</v>
      </c>
      <c r="DA177" s="217">
        <f t="shared" si="543"/>
        <v>18.41368474314476</v>
      </c>
      <c r="DB177" s="197">
        <f t="shared" si="544"/>
        <v>70.881782945736433</v>
      </c>
      <c r="DC177" s="443">
        <f t="shared" si="545"/>
        <v>29.99538599144174</v>
      </c>
      <c r="DE177" s="217">
        <f t="shared" si="546"/>
        <v>10.000000000000002</v>
      </c>
      <c r="DF177" s="173">
        <f t="shared" si="547"/>
        <v>7.792207792207793</v>
      </c>
      <c r="DG177" s="173">
        <f t="shared" si="548"/>
        <v>2.7616279069767451</v>
      </c>
      <c r="DH177" s="173"/>
      <c r="DI177" s="173">
        <f t="shared" si="549"/>
        <v>7.7922077922077913</v>
      </c>
      <c r="DJ177" s="545">
        <f t="shared" si="550"/>
        <v>171.9666666666667</v>
      </c>
      <c r="DK177" s="528">
        <f t="shared" si="551"/>
        <v>2.7616279069767442</v>
      </c>
      <c r="DM177" s="173">
        <f t="shared" si="552"/>
        <v>7.009517339541528</v>
      </c>
      <c r="DN177" s="173">
        <f t="shared" si="553"/>
        <v>23.630895420369104</v>
      </c>
      <c r="DO177" s="173">
        <f t="shared" si="554"/>
        <v>11.29695957064378</v>
      </c>
      <c r="DQ177" s="545">
        <f t="shared" si="555"/>
        <v>6700</v>
      </c>
      <c r="DR177" s="460">
        <f t="shared" si="556"/>
        <v>29.99538599144174</v>
      </c>
      <c r="DT177">
        <f t="shared" si="591"/>
        <v>6700</v>
      </c>
      <c r="DU177">
        <f t="shared" si="592"/>
        <v>29.99538599144174</v>
      </c>
      <c r="DW177" s="5">
        <f t="shared" si="557"/>
        <v>33.338460798114717</v>
      </c>
      <c r="DX177" s="5">
        <f t="shared" si="558"/>
        <v>14.924776054969962</v>
      </c>
      <c r="DY177" s="5">
        <f t="shared" si="559"/>
        <v>18.413684743144756</v>
      </c>
      <c r="DZ177" s="5"/>
      <c r="EA177" s="173">
        <f t="shared" si="560"/>
        <v>0.44767441860465124</v>
      </c>
      <c r="EB177" s="173">
        <f t="shared" si="561"/>
        <v>100.49999999999997</v>
      </c>
      <c r="EC177" s="173">
        <f t="shared" si="562"/>
        <v>6.5259740259740244</v>
      </c>
      <c r="ED177" s="173">
        <f t="shared" si="563"/>
        <v>15.399999999999999</v>
      </c>
      <c r="EE177" s="460">
        <f t="shared" si="564"/>
        <v>666.63999712199177</v>
      </c>
      <c r="EF177" s="5">
        <f t="shared" si="565"/>
        <v>27.055194688392518</v>
      </c>
      <c r="EH177" s="173">
        <f t="shared" si="566"/>
        <v>9.1285266960363849</v>
      </c>
      <c r="EI177" s="173">
        <f t="shared" si="567"/>
        <v>10.139513785970781</v>
      </c>
      <c r="EK177" s="528">
        <f t="shared" si="568"/>
        <v>1.6665999928049793</v>
      </c>
      <c r="EL177" s="528">
        <f t="shared" si="569"/>
        <v>0.48766666666666653</v>
      </c>
      <c r="EM177" s="528">
        <f t="shared" si="570"/>
        <v>3.7494232489302171E-3</v>
      </c>
      <c r="EN177" s="528">
        <f t="shared" si="571"/>
        <v>3.5495339966832495E-3</v>
      </c>
      <c r="EO177">
        <f t="shared" si="572"/>
        <v>8.5500000000000003E-3</v>
      </c>
      <c r="EP177" s="460">
        <f t="shared" si="573"/>
        <v>12.299423248930218</v>
      </c>
      <c r="EQ177" s="460"/>
      <c r="ER177" s="460">
        <f t="shared" si="593"/>
        <v>2170.1156167172594</v>
      </c>
      <c r="ES177" s="528">
        <f t="shared" si="574"/>
        <v>4.6899999999999995</v>
      </c>
      <c r="EV177" s="460">
        <f t="shared" si="494"/>
        <v>4689.9999999999991</v>
      </c>
      <c r="EW177" s="528">
        <f t="shared" si="575"/>
        <v>2.4998999892074685</v>
      </c>
      <c r="EX177" s="528">
        <f t="shared" si="576"/>
        <v>3.0842921944767454</v>
      </c>
      <c r="EY177" s="528">
        <f t="shared" si="577"/>
        <v>0.66881589702681221</v>
      </c>
      <c r="EZ177" s="528"/>
      <c r="FA177" s="528">
        <f t="shared" si="578"/>
        <v>1.6750000000000001E-2</v>
      </c>
      <c r="FB177" s="460">
        <f t="shared" si="579"/>
        <v>6269.7580807110271</v>
      </c>
      <c r="FC177" s="173">
        <f t="shared" si="580"/>
        <v>13.129873697428286</v>
      </c>
      <c r="FD177" s="5">
        <f t="shared" si="581"/>
        <v>100.5</v>
      </c>
      <c r="FE177" s="173">
        <f t="shared" si="582"/>
        <v>0.88445051226238014</v>
      </c>
      <c r="FF177" s="5">
        <f t="shared" si="583"/>
        <v>88.445051226238007</v>
      </c>
      <c r="FI177" s="562">
        <f t="shared" si="584"/>
        <v>-50</v>
      </c>
      <c r="FJ177">
        <f t="shared" si="585"/>
        <v>-50</v>
      </c>
      <c r="FL177">
        <f t="shared" si="586"/>
        <v>0.55232558139534871</v>
      </c>
    </row>
    <row r="178" spans="5:168">
      <c r="E178" s="170">
        <v>68</v>
      </c>
      <c r="F178" s="217">
        <f t="shared" si="587"/>
        <v>6.8000000000000007</v>
      </c>
      <c r="G178" s="217"/>
      <c r="H178" s="217">
        <f t="shared" si="495"/>
        <v>102.00000000000001</v>
      </c>
      <c r="I178" s="541">
        <f t="shared" si="496"/>
        <v>18.382769690065924</v>
      </c>
      <c r="J178" s="172">
        <f t="shared" si="497"/>
        <v>15.770338185960446</v>
      </c>
      <c r="K178" s="172">
        <f t="shared" si="498"/>
        <v>34.153107876026368</v>
      </c>
      <c r="L178" s="443"/>
      <c r="M178" s="217">
        <f t="shared" si="499"/>
        <v>0.46173850193284838</v>
      </c>
      <c r="N178" s="172">
        <f t="shared" si="500"/>
        <v>212.40240422446936</v>
      </c>
      <c r="O178" s="172">
        <f t="shared" si="438"/>
        <v>102.00000000000001</v>
      </c>
      <c r="P178" s="217">
        <f t="shared" si="501"/>
        <v>14.16016028163129</v>
      </c>
      <c r="Q178" s="217">
        <f t="shared" si="502"/>
        <v>15</v>
      </c>
      <c r="R178" s="217"/>
      <c r="S178" s="172">
        <f t="shared" si="503"/>
        <v>49.348747290841253</v>
      </c>
      <c r="T178" s="536">
        <f t="shared" si="504"/>
        <v>15</v>
      </c>
      <c r="U178" s="217">
        <f t="shared" si="505"/>
        <v>25.266529463534685</v>
      </c>
      <c r="V178" s="217">
        <f t="shared" si="506"/>
        <v>16.493616504713383</v>
      </c>
      <c r="W178" s="217">
        <f t="shared" si="507"/>
        <v>19.225862501308868</v>
      </c>
      <c r="X178" s="197">
        <f t="shared" si="508"/>
        <v>70.735996623228431</v>
      </c>
      <c r="Y178" s="443">
        <f t="shared" si="509"/>
        <v>27.840047452590834</v>
      </c>
      <c r="AA178" s="217">
        <f t="shared" si="510"/>
        <v>10</v>
      </c>
      <c r="AB178" s="173">
        <f t="shared" si="511"/>
        <v>7.6092217291085165</v>
      </c>
      <c r="AC178" s="173">
        <f t="shared" si="512"/>
        <v>2.6912294126780822</v>
      </c>
      <c r="AD178" s="173"/>
      <c r="AE178" s="173">
        <f t="shared" si="513"/>
        <v>7.6092217291085165</v>
      </c>
      <c r="AF178" s="545">
        <f t="shared" si="514"/>
        <v>178.73049944088507</v>
      </c>
      <c r="AG178" s="528">
        <f t="shared" si="515"/>
        <v>2.6912294126780822</v>
      </c>
      <c r="AI178" s="173">
        <f t="shared" si="516"/>
        <v>7.1460378520624994</v>
      </c>
      <c r="AJ178" s="173">
        <f t="shared" si="517"/>
        <v>25.266529463534685</v>
      </c>
      <c r="AK178" s="173">
        <f t="shared" si="518"/>
        <v>12.508540343359025</v>
      </c>
      <c r="AM178" s="545">
        <f t="shared" si="519"/>
        <v>6800.0000000000009</v>
      </c>
      <c r="AN178" s="460">
        <f t="shared" si="520"/>
        <v>27.840047452590834</v>
      </c>
      <c r="AP178">
        <f t="shared" si="521"/>
        <v>6800.0000000000009</v>
      </c>
      <c r="AQ178">
        <f t="shared" si="522"/>
        <v>27.840047452590834</v>
      </c>
      <c r="AS178" s="5">
        <f t="shared" si="439"/>
        <v>35.919479006022264</v>
      </c>
      <c r="AT178" s="5">
        <f t="shared" si="523"/>
        <v>16.493616504713383</v>
      </c>
      <c r="AU178" s="5">
        <f t="shared" si="478"/>
        <v>19.425862501308881</v>
      </c>
      <c r="AV178" s="5"/>
      <c r="AW178" s="173">
        <f t="shared" si="479"/>
        <v>0.45918306615605592</v>
      </c>
      <c r="AX178" s="173">
        <f t="shared" si="435"/>
        <v>106.63810202112886</v>
      </c>
      <c r="AY178" s="173">
        <f t="shared" si="436"/>
        <v>6.8322834966732513</v>
      </c>
      <c r="AZ178" s="173">
        <f t="shared" si="440"/>
        <v>15.607973830865284</v>
      </c>
      <c r="BA178" s="460">
        <f t="shared" si="433"/>
        <v>747.71061488034013</v>
      </c>
      <c r="BB178" s="5">
        <f t="shared" si="434"/>
        <v>29.941050604279816</v>
      </c>
      <c r="BD178" s="173">
        <f t="shared" si="441"/>
        <v>9.8850278466617283</v>
      </c>
      <c r="BE178" s="173">
        <f t="shared" si="437"/>
        <v>10.727786111213456</v>
      </c>
      <c r="BG178" s="528">
        <f t="shared" si="480"/>
        <v>1.9542755105855563</v>
      </c>
      <c r="BH178" s="528">
        <f t="shared" si="524"/>
        <v>0.45045049213211358</v>
      </c>
      <c r="BI178" s="528">
        <f t="shared" si="525"/>
        <v>1.2794429512037095E-2</v>
      </c>
      <c r="BJ178" s="528">
        <f t="shared" si="481"/>
        <v>3.2473599558499443E-3</v>
      </c>
      <c r="BK178">
        <f t="shared" si="482"/>
        <v>8.2722463605296656E-3</v>
      </c>
      <c r="BL178" s="460">
        <f t="shared" si="588"/>
        <v>21.066675872566762</v>
      </c>
      <c r="BM178" s="528">
        <f t="shared" si="526"/>
        <v>5.4803514712390191</v>
      </c>
      <c r="BN178" s="460">
        <f t="shared" si="527"/>
        <v>5480.3514712390188</v>
      </c>
      <c r="BO178" s="528">
        <f t="shared" si="483"/>
        <v>4.76</v>
      </c>
      <c r="BR178" s="460">
        <f t="shared" si="484"/>
        <v>4760</v>
      </c>
      <c r="BS178" s="528">
        <f t="shared" si="485"/>
        <v>2.9314132658783341</v>
      </c>
      <c r="BT178" s="528">
        <f t="shared" si="486"/>
        <v>3.4525618454383298</v>
      </c>
      <c r="BU178" s="528">
        <f t="shared" si="487"/>
        <v>0.65615873366232369</v>
      </c>
      <c r="BV178" s="528"/>
      <c r="BW178" s="528">
        <f t="shared" si="488"/>
        <v>1.7773017003521477E-2</v>
      </c>
      <c r="BX178" s="460">
        <f t="shared" si="489"/>
        <v>7057.9068619825084</v>
      </c>
      <c r="BY178" s="173">
        <f t="shared" si="490"/>
        <v>14.246946900528595</v>
      </c>
      <c r="BZ178" s="5">
        <f t="shared" si="491"/>
        <v>102.00000000000001</v>
      </c>
      <c r="CA178" s="173">
        <f t="shared" si="492"/>
        <v>0.87744239930258494</v>
      </c>
      <c r="CB178" s="5">
        <f t="shared" si="493"/>
        <v>87.744239930258487</v>
      </c>
      <c r="CE178" s="562">
        <f t="shared" si="528"/>
        <v>-50</v>
      </c>
      <c r="CF178">
        <f t="shared" si="529"/>
        <v>-50</v>
      </c>
      <c r="CG178" s="173">
        <f t="shared" si="530"/>
        <v>0.55084786752665271</v>
      </c>
      <c r="CI178" s="170">
        <v>68</v>
      </c>
      <c r="CJ178" s="217">
        <f t="shared" si="589"/>
        <v>6.8000000000000007</v>
      </c>
      <c r="CK178" s="217"/>
      <c r="CL178" s="217">
        <f t="shared" si="531"/>
        <v>102.00000000000001</v>
      </c>
      <c r="CM178" s="541">
        <f t="shared" si="532"/>
        <v>19</v>
      </c>
      <c r="CN178" s="443">
        <f t="shared" si="533"/>
        <v>15.4</v>
      </c>
      <c r="CO178" s="443">
        <f t="shared" si="534"/>
        <v>34.4</v>
      </c>
      <c r="CP178" s="443"/>
      <c r="CQ178" s="217">
        <f t="shared" si="535"/>
        <v>0.44767441860465118</v>
      </c>
      <c r="CR178" s="172">
        <f t="shared" si="590"/>
        <v>212.84736191860466</v>
      </c>
      <c r="CS178" s="172">
        <f t="shared" si="536"/>
        <v>102.00000000000001</v>
      </c>
      <c r="CT178" s="217">
        <f t="shared" si="537"/>
        <v>14.189824127906977</v>
      </c>
      <c r="CU178" s="217">
        <f t="shared" si="538"/>
        <v>15</v>
      </c>
      <c r="CV178" s="217"/>
      <c r="CW178" s="172">
        <f t="shared" si="539"/>
        <v>51.000798800813172</v>
      </c>
      <c r="CX178" s="536">
        <f t="shared" si="540"/>
        <v>15</v>
      </c>
      <c r="CY178" s="217">
        <f t="shared" si="541"/>
        <v>23.983595352016408</v>
      </c>
      <c r="CZ178" s="217">
        <f t="shared" si="542"/>
        <v>15.14753390653668</v>
      </c>
      <c r="DA178" s="217">
        <f t="shared" si="543"/>
        <v>18.688515858714084</v>
      </c>
      <c r="DB178" s="197">
        <f t="shared" si="544"/>
        <v>70.881782945736433</v>
      </c>
      <c r="DC178" s="443">
        <f t="shared" si="545"/>
        <v>29.554277373920542</v>
      </c>
      <c r="DE178" s="217">
        <f t="shared" si="546"/>
        <v>10.000000000000002</v>
      </c>
      <c r="DF178" s="173">
        <f t="shared" si="547"/>
        <v>7.792207792207793</v>
      </c>
      <c r="DG178" s="173">
        <f t="shared" si="548"/>
        <v>2.7616279069767451</v>
      </c>
      <c r="DH178" s="173"/>
      <c r="DI178" s="173">
        <f t="shared" si="549"/>
        <v>7.7922077922077913</v>
      </c>
      <c r="DJ178" s="545">
        <f t="shared" si="550"/>
        <v>174.53333333333336</v>
      </c>
      <c r="DK178" s="528">
        <f t="shared" si="551"/>
        <v>2.7616279069767442</v>
      </c>
      <c r="DM178" s="173">
        <f t="shared" si="552"/>
        <v>7.0616334276615262</v>
      </c>
      <c r="DN178" s="173">
        <f t="shared" si="553"/>
        <v>23.983595352016408</v>
      </c>
      <c r="DO178" s="173">
        <f t="shared" si="554"/>
        <v>11.558218779271412</v>
      </c>
      <c r="DQ178" s="545">
        <f t="shared" si="555"/>
        <v>6800.0000000000009</v>
      </c>
      <c r="DR178" s="460">
        <f t="shared" si="556"/>
        <v>29.554277373920542</v>
      </c>
      <c r="DT178">
        <f t="shared" si="591"/>
        <v>6800.0000000000009</v>
      </c>
      <c r="DU178">
        <f t="shared" si="592"/>
        <v>29.554277373920542</v>
      </c>
      <c r="DW178" s="5">
        <f t="shared" si="557"/>
        <v>33.836049765250756</v>
      </c>
      <c r="DX178" s="5">
        <f t="shared" si="558"/>
        <v>15.14753390653668</v>
      </c>
      <c r="DY178" s="5">
        <f t="shared" si="559"/>
        <v>18.688515858714077</v>
      </c>
      <c r="DZ178" s="5"/>
      <c r="EA178" s="173">
        <f t="shared" si="560"/>
        <v>0.44767441860465129</v>
      </c>
      <c r="EB178" s="173">
        <f t="shared" si="561"/>
        <v>102.00000000000001</v>
      </c>
      <c r="EC178" s="173">
        <f t="shared" si="562"/>
        <v>6.6233766233766227</v>
      </c>
      <c r="ED178" s="173">
        <f t="shared" si="563"/>
        <v>15.400000000000004</v>
      </c>
      <c r="EE178" s="460">
        <f t="shared" si="564"/>
        <v>686.68820376299618</v>
      </c>
      <c r="EF178" s="5">
        <f t="shared" si="565"/>
        <v>27.868839438433277</v>
      </c>
      <c r="EH178" s="173">
        <f t="shared" si="566"/>
        <v>9.2647733631414084</v>
      </c>
      <c r="EI178" s="173">
        <f t="shared" si="567"/>
        <v>10.290849812627064</v>
      </c>
      <c r="EK178" s="528">
        <f t="shared" si="568"/>
        <v>1.7167205094074913</v>
      </c>
      <c r="EL178" s="528">
        <f t="shared" si="569"/>
        <v>0.48766666666666675</v>
      </c>
      <c r="EM178" s="528">
        <f t="shared" si="570"/>
        <v>3.6942846717400676E-3</v>
      </c>
      <c r="EN178" s="528">
        <f t="shared" si="571"/>
        <v>3.4973349673202607E-3</v>
      </c>
      <c r="EO178">
        <f t="shared" si="572"/>
        <v>8.5500000000000003E-3</v>
      </c>
      <c r="EP178" s="460">
        <f t="shared" si="573"/>
        <v>12.244284671740067</v>
      </c>
      <c r="EQ178" s="460"/>
      <c r="ER178" s="460">
        <f t="shared" si="593"/>
        <v>2220.1287957132186</v>
      </c>
      <c r="ES178" s="528">
        <f t="shared" si="574"/>
        <v>4.76</v>
      </c>
      <c r="EV178" s="460">
        <f t="shared" si="494"/>
        <v>4760</v>
      </c>
      <c r="EW178" s="528">
        <f t="shared" si="575"/>
        <v>2.5750807641112368</v>
      </c>
      <c r="EX178" s="528">
        <f t="shared" si="576"/>
        <v>3.1770476959813942</v>
      </c>
      <c r="EY178" s="528">
        <f t="shared" si="577"/>
        <v>0.66881589702681288</v>
      </c>
      <c r="EZ178" s="528"/>
      <c r="FA178" s="528">
        <f t="shared" si="578"/>
        <v>1.7000000000000008E-2</v>
      </c>
      <c r="FB178" s="460">
        <f t="shared" si="579"/>
        <v>6437.9443571194452</v>
      </c>
      <c r="FC178" s="173">
        <f t="shared" si="580"/>
        <v>13.41807315283266</v>
      </c>
      <c r="FD178" s="5">
        <f t="shared" si="581"/>
        <v>102.00000000000001</v>
      </c>
      <c r="FE178" s="173">
        <f t="shared" si="582"/>
        <v>0.8837437431911993</v>
      </c>
      <c r="FF178" s="5">
        <f t="shared" si="583"/>
        <v>88.374374319119937</v>
      </c>
      <c r="FI178" s="562">
        <f t="shared" si="584"/>
        <v>-50</v>
      </c>
      <c r="FJ178">
        <f t="shared" si="585"/>
        <v>-50</v>
      </c>
      <c r="FL178">
        <f t="shared" si="586"/>
        <v>0.55232558139534871</v>
      </c>
    </row>
    <row r="179" spans="5:168">
      <c r="E179" s="170">
        <v>69</v>
      </c>
      <c r="F179" s="217">
        <f t="shared" si="587"/>
        <v>6.8999999999999995</v>
      </c>
      <c r="G179" s="217"/>
      <c r="H179" s="217">
        <f t="shared" si="495"/>
        <v>103.49999999999999</v>
      </c>
      <c r="I179" s="541">
        <f t="shared" si="496"/>
        <v>18.373717122686994</v>
      </c>
      <c r="J179" s="172">
        <f t="shared" si="497"/>
        <v>15.775769726387804</v>
      </c>
      <c r="K179" s="172">
        <f t="shared" si="498"/>
        <v>34.149486849074798</v>
      </c>
      <c r="L179" s="443"/>
      <c r="M179" s="217">
        <f t="shared" si="499"/>
        <v>0.46194652071958209</v>
      </c>
      <c r="N179" s="172">
        <f t="shared" si="500"/>
        <v>212.39344971184258</v>
      </c>
      <c r="O179" s="172">
        <f t="shared" si="438"/>
        <v>103.49999999999999</v>
      </c>
      <c r="P179" s="217">
        <f t="shared" si="501"/>
        <v>14.159563314122838</v>
      </c>
      <c r="Q179" s="217">
        <f t="shared" si="502"/>
        <v>15</v>
      </c>
      <c r="R179" s="217"/>
      <c r="S179" s="172">
        <f t="shared" si="503"/>
        <v>48.348485117124653</v>
      </c>
      <c r="T179" s="536">
        <f t="shared" si="504"/>
        <v>15</v>
      </c>
      <c r="U179" s="217">
        <f t="shared" si="505"/>
        <v>25.648008109632233</v>
      </c>
      <c r="V179" s="217">
        <f t="shared" si="506"/>
        <v>16.750889069450157</v>
      </c>
      <c r="W179" s="217">
        <f t="shared" si="507"/>
        <v>19.50941872590699</v>
      </c>
      <c r="X179" s="197">
        <f t="shared" si="508"/>
        <v>70.733012677063542</v>
      </c>
      <c r="Y179" s="443">
        <f t="shared" si="509"/>
        <v>27.427086068849363</v>
      </c>
      <c r="AA179" s="217">
        <f t="shared" si="510"/>
        <v>10</v>
      </c>
      <c r="AB179" s="173">
        <f t="shared" si="511"/>
        <v>7.6066019016034758</v>
      </c>
      <c r="AC179" s="173">
        <f t="shared" si="512"/>
        <v>2.6901893436774715</v>
      </c>
      <c r="AD179" s="173"/>
      <c r="AE179" s="173">
        <f t="shared" si="513"/>
        <v>7.6066019016034758</v>
      </c>
      <c r="AF179" s="545">
        <f t="shared" si="514"/>
        <v>181.4213518534597</v>
      </c>
      <c r="AG179" s="528">
        <f t="shared" si="515"/>
        <v>2.6901893436774715</v>
      </c>
      <c r="AI179" s="173">
        <f t="shared" si="516"/>
        <v>7.1996299875848724</v>
      </c>
      <c r="AJ179" s="173">
        <f t="shared" si="517"/>
        <v>25.648008109632233</v>
      </c>
      <c r="AK179" s="173">
        <f t="shared" si="518"/>
        <v>12.791117118246097</v>
      </c>
      <c r="AM179" s="545">
        <f t="shared" si="519"/>
        <v>6899.9999999999991</v>
      </c>
      <c r="AN179" s="460">
        <f t="shared" si="520"/>
        <v>27.427086068849363</v>
      </c>
      <c r="AP179">
        <f t="shared" si="521"/>
        <v>6899.9999999999991</v>
      </c>
      <c r="AQ179">
        <f t="shared" si="522"/>
        <v>27.427086068849363</v>
      </c>
      <c r="AS179" s="5">
        <f t="shared" si="439"/>
        <v>36.460307795357153</v>
      </c>
      <c r="AT179" s="5">
        <f t="shared" si="523"/>
        <v>16.750889069450157</v>
      </c>
      <c r="AU179" s="5">
        <f t="shared" si="478"/>
        <v>19.709418725906996</v>
      </c>
      <c r="AV179" s="5"/>
      <c r="AW179" s="173">
        <f t="shared" si="479"/>
        <v>0.45942807623755744</v>
      </c>
      <c r="AX179" s="173">
        <f t="shared" si="435"/>
        <v>108.25256720551232</v>
      </c>
      <c r="AY179" s="173">
        <f t="shared" si="436"/>
        <v>6.9322965422493121</v>
      </c>
      <c r="AZ179" s="173">
        <f t="shared" si="440"/>
        <v>15.615686164860421</v>
      </c>
      <c r="BA179" s="460">
        <f t="shared" si="433"/>
        <v>770.5408971947071</v>
      </c>
      <c r="BB179" s="5">
        <f t="shared" si="434"/>
        <v>30.840019174463002</v>
      </c>
      <c r="BD179" s="173">
        <f t="shared" si="441"/>
        <v>10.036950468540219</v>
      </c>
      <c r="BE179" s="173">
        <f t="shared" si="437"/>
        <v>10.887289161647352</v>
      </c>
      <c r="BG179" s="528">
        <f t="shared" si="480"/>
        <v>2.0148074941585943</v>
      </c>
      <c r="BH179" s="528">
        <f t="shared" si="524"/>
        <v>0.45042114044994896</v>
      </c>
      <c r="BI179" s="528">
        <f t="shared" si="525"/>
        <v>1.2598438023215686E-2</v>
      </c>
      <c r="BJ179" s="528">
        <f t="shared" si="481"/>
        <v>3.198512361992826E-3</v>
      </c>
      <c r="BK179">
        <f t="shared" si="482"/>
        <v>8.268172705209147E-3</v>
      </c>
      <c r="BL179" s="460">
        <f t="shared" si="588"/>
        <v>20.866610728424835</v>
      </c>
      <c r="BM179" s="528">
        <f t="shared" si="526"/>
        <v>5.7788810594641289</v>
      </c>
      <c r="BN179" s="460">
        <f t="shared" si="527"/>
        <v>5778.8810594641291</v>
      </c>
      <c r="BO179" s="528">
        <f t="shared" si="483"/>
        <v>4.8299999999999992</v>
      </c>
      <c r="BR179" s="460">
        <f t="shared" si="484"/>
        <v>4829.9999999999991</v>
      </c>
      <c r="BS179" s="528">
        <f t="shared" si="485"/>
        <v>3.0222112412378914</v>
      </c>
      <c r="BT179" s="528">
        <f t="shared" si="486"/>
        <v>3.5559919586797175</v>
      </c>
      <c r="BU179" s="528">
        <f t="shared" si="487"/>
        <v>0.65622577374181101</v>
      </c>
      <c r="BV179" s="528"/>
      <c r="BW179" s="528">
        <f t="shared" si="488"/>
        <v>1.8042094534252057E-2</v>
      </c>
      <c r="BX179" s="460">
        <f t="shared" si="489"/>
        <v>7252.4710681936722</v>
      </c>
      <c r="BY179" s="173">
        <f t="shared" si="490"/>
        <v>14.571764825892632</v>
      </c>
      <c r="BZ179" s="5">
        <f t="shared" si="491"/>
        <v>103.49999999999999</v>
      </c>
      <c r="CA179" s="173">
        <f t="shared" si="492"/>
        <v>0.87658552535925927</v>
      </c>
      <c r="CB179" s="5">
        <f t="shared" si="493"/>
        <v>87.658552535925921</v>
      </c>
      <c r="CE179" s="562">
        <f t="shared" si="528"/>
        <v>-50</v>
      </c>
      <c r="CF179">
        <f t="shared" si="529"/>
        <v>-50</v>
      </c>
      <c r="CG179" s="173">
        <f t="shared" si="530"/>
        <v>0.55086928366967736</v>
      </c>
      <c r="CI179" s="170">
        <v>69</v>
      </c>
      <c r="CJ179" s="217">
        <f t="shared" si="589"/>
        <v>6.8999999999999995</v>
      </c>
      <c r="CK179" s="217"/>
      <c r="CL179" s="217">
        <f t="shared" si="531"/>
        <v>103.49999999999999</v>
      </c>
      <c r="CM179" s="541">
        <f t="shared" si="532"/>
        <v>19</v>
      </c>
      <c r="CN179" s="443">
        <f t="shared" si="533"/>
        <v>15.4</v>
      </c>
      <c r="CO179" s="443">
        <f t="shared" si="534"/>
        <v>34.4</v>
      </c>
      <c r="CP179" s="443"/>
      <c r="CQ179" s="217">
        <f t="shared" si="535"/>
        <v>0.44767441860465118</v>
      </c>
      <c r="CR179" s="172">
        <f t="shared" si="590"/>
        <v>212.84736191860466</v>
      </c>
      <c r="CS179" s="172">
        <f t="shared" si="536"/>
        <v>103.49999999999999</v>
      </c>
      <c r="CT179" s="217">
        <f t="shared" si="537"/>
        <v>14.189824127906977</v>
      </c>
      <c r="CU179" s="217">
        <f t="shared" si="538"/>
        <v>15</v>
      </c>
      <c r="CV179" s="217"/>
      <c r="CW179" s="172">
        <f t="shared" si="539"/>
        <v>49.991399098690103</v>
      </c>
      <c r="CX179" s="536">
        <f t="shared" si="540"/>
        <v>15</v>
      </c>
      <c r="CY179" s="217">
        <f t="shared" si="541"/>
        <v>24.336295283663699</v>
      </c>
      <c r="CZ179" s="217">
        <f t="shared" si="542"/>
        <v>15.370291758103392</v>
      </c>
      <c r="DA179" s="217">
        <f t="shared" si="543"/>
        <v>18.963346974283404</v>
      </c>
      <c r="DB179" s="197">
        <f t="shared" si="544"/>
        <v>70.881782945736433</v>
      </c>
      <c r="DC179" s="443">
        <f t="shared" si="545"/>
        <v>29.125954513428944</v>
      </c>
      <c r="DE179" s="217">
        <f t="shared" si="546"/>
        <v>10.000000000000002</v>
      </c>
      <c r="DF179" s="173">
        <f t="shared" si="547"/>
        <v>7.792207792207793</v>
      </c>
      <c r="DG179" s="173">
        <f t="shared" si="548"/>
        <v>2.7616279069767451</v>
      </c>
      <c r="DH179" s="173"/>
      <c r="DI179" s="173">
        <f t="shared" si="549"/>
        <v>7.7922077922077913</v>
      </c>
      <c r="DJ179" s="545">
        <f t="shared" si="550"/>
        <v>177.1</v>
      </c>
      <c r="DK179" s="528">
        <f t="shared" si="551"/>
        <v>2.7616279069767442</v>
      </c>
      <c r="DM179" s="173">
        <f t="shared" si="552"/>
        <v>7.1133676975114959</v>
      </c>
      <c r="DN179" s="173">
        <f t="shared" si="553"/>
        <v>24.336295283663699</v>
      </c>
      <c r="DO179" s="173">
        <f t="shared" si="554"/>
        <v>11.819477987899035</v>
      </c>
      <c r="DQ179" s="545">
        <f t="shared" si="555"/>
        <v>6899.9999999999991</v>
      </c>
      <c r="DR179" s="460">
        <f t="shared" si="556"/>
        <v>29.125954513428944</v>
      </c>
      <c r="DT179">
        <f t="shared" si="591"/>
        <v>6899.9999999999991</v>
      </c>
      <c r="DU179">
        <f t="shared" si="592"/>
        <v>29.125954513428944</v>
      </c>
      <c r="DW179" s="5">
        <f t="shared" si="557"/>
        <v>34.333638732386795</v>
      </c>
      <c r="DX179" s="5">
        <f t="shared" si="558"/>
        <v>15.370291758103392</v>
      </c>
      <c r="DY179" s="5">
        <f t="shared" si="559"/>
        <v>18.963346974283404</v>
      </c>
      <c r="DZ179" s="5"/>
      <c r="EA179" s="173">
        <f t="shared" si="560"/>
        <v>0.44767441860465118</v>
      </c>
      <c r="EB179" s="173">
        <f t="shared" si="561"/>
        <v>103.49999999999996</v>
      </c>
      <c r="EC179" s="173">
        <f t="shared" si="562"/>
        <v>6.7207792207792192</v>
      </c>
      <c r="ED179" s="173">
        <f t="shared" si="563"/>
        <v>15.399999999999997</v>
      </c>
      <c r="EE179" s="460">
        <f t="shared" si="564"/>
        <v>707.03342087275598</v>
      </c>
      <c r="EF179" s="5">
        <f t="shared" si="565"/>
        <v>28.694538184770938</v>
      </c>
      <c r="EH179" s="173">
        <f t="shared" si="566"/>
        <v>9.4010200302464231</v>
      </c>
      <c r="EI179" s="173">
        <f t="shared" si="567"/>
        <v>10.442185839283342</v>
      </c>
      <c r="EK179" s="528">
        <f t="shared" si="568"/>
        <v>1.7675835521818892</v>
      </c>
      <c r="EL179" s="528">
        <f t="shared" si="569"/>
        <v>0.48766666666666658</v>
      </c>
      <c r="EM179" s="528">
        <f t="shared" si="570"/>
        <v>3.640744314178618E-3</v>
      </c>
      <c r="EN179" s="528">
        <f t="shared" si="571"/>
        <v>3.4466489533011273E-3</v>
      </c>
      <c r="EO179">
        <f t="shared" si="572"/>
        <v>8.5500000000000003E-3</v>
      </c>
      <c r="EP179" s="460">
        <f t="shared" si="573"/>
        <v>12.19074431417862</v>
      </c>
      <c r="EQ179" s="460"/>
      <c r="ER179" s="460">
        <f t="shared" si="593"/>
        <v>2270.8876121160356</v>
      </c>
      <c r="ES179" s="528">
        <f t="shared" si="574"/>
        <v>4.8299999999999992</v>
      </c>
      <c r="EV179" s="460">
        <f t="shared" si="494"/>
        <v>4829.9999999999991</v>
      </c>
      <c r="EW179" s="528">
        <f t="shared" si="575"/>
        <v>2.6513753282728336</v>
      </c>
      <c r="EX179" s="528">
        <f t="shared" si="576"/>
        <v>3.2711773530638864</v>
      </c>
      <c r="EY179" s="528">
        <f t="shared" si="577"/>
        <v>0.66881589702681166</v>
      </c>
      <c r="EZ179" s="528"/>
      <c r="FA179" s="528">
        <f t="shared" si="578"/>
        <v>1.7249999999999995E-2</v>
      </c>
      <c r="FB179" s="460">
        <f t="shared" si="579"/>
        <v>6608.618578363531</v>
      </c>
      <c r="FC179" s="173">
        <f t="shared" si="580"/>
        <v>13.709506190479567</v>
      </c>
      <c r="FD179" s="5">
        <f t="shared" si="581"/>
        <v>103.49999999999999</v>
      </c>
      <c r="FE179" s="173">
        <f t="shared" si="582"/>
        <v>0.88303417840358467</v>
      </c>
      <c r="FF179" s="5">
        <f t="shared" si="583"/>
        <v>88.303417840358463</v>
      </c>
      <c r="FI179" s="562">
        <f t="shared" si="584"/>
        <v>-50</v>
      </c>
      <c r="FJ179">
        <f t="shared" si="585"/>
        <v>-50</v>
      </c>
      <c r="FL179">
        <f t="shared" si="586"/>
        <v>0.55232558139534882</v>
      </c>
    </row>
    <row r="180" spans="5:168">
      <c r="E180" s="170">
        <v>70</v>
      </c>
      <c r="F180" s="217">
        <f t="shared" si="587"/>
        <v>7</v>
      </c>
      <c r="G180" s="217"/>
      <c r="H180" s="217">
        <f t="shared" si="495"/>
        <v>105</v>
      </c>
      <c r="I180" s="541">
        <f t="shared" si="496"/>
        <v>18.364664553468998</v>
      </c>
      <c r="J180" s="172">
        <f t="shared" si="497"/>
        <v>15.781201267918602</v>
      </c>
      <c r="K180" s="172">
        <f t="shared" si="498"/>
        <v>34.145865821387602</v>
      </c>
      <c r="L180" s="443"/>
      <c r="M180" s="217">
        <f t="shared" si="499"/>
        <v>0.46215458365107159</v>
      </c>
      <c r="N180" s="172">
        <f t="shared" si="500"/>
        <v>212.38442122014067</v>
      </c>
      <c r="O180" s="172">
        <f t="shared" si="438"/>
        <v>105</v>
      </c>
      <c r="P180" s="217">
        <f t="shared" si="501"/>
        <v>14.158961414676044</v>
      </c>
      <c r="Q180" s="217">
        <f t="shared" si="502"/>
        <v>15</v>
      </c>
      <c r="R180" s="217"/>
      <c r="S180" s="172">
        <f t="shared" si="503"/>
        <v>47.377175754831057</v>
      </c>
      <c r="T180" s="536">
        <f t="shared" si="504"/>
        <v>15</v>
      </c>
      <c r="U180" s="217">
        <f t="shared" si="505"/>
        <v>26.029783975917482</v>
      </c>
      <c r="V180" s="217">
        <f t="shared" si="506"/>
        <v>17.008609484892933</v>
      </c>
      <c r="W180" s="217">
        <f t="shared" si="507"/>
        <v>19.79300576731108</v>
      </c>
      <c r="X180" s="197">
        <f t="shared" si="508"/>
        <v>70.730004097737492</v>
      </c>
      <c r="Y180" s="443">
        <f t="shared" si="509"/>
        <v>27.025847201101161</v>
      </c>
      <c r="AA180" s="217">
        <f t="shared" si="510"/>
        <v>10.000000000000002</v>
      </c>
      <c r="AB180" s="173">
        <f t="shared" si="511"/>
        <v>7.60398387694012</v>
      </c>
      <c r="AC180" s="173">
        <f t="shared" si="512"/>
        <v>2.6891490538755227</v>
      </c>
      <c r="AD180" s="173"/>
      <c r="AE180" s="173">
        <f t="shared" si="513"/>
        <v>7.6039838769401182</v>
      </c>
      <c r="AF180" s="545">
        <f t="shared" si="514"/>
        <v>184.1140147923837</v>
      </c>
      <c r="AG180" s="528">
        <f t="shared" si="515"/>
        <v>2.6891490538755218</v>
      </c>
      <c r="AI180" s="173">
        <f t="shared" si="516"/>
        <v>7.2528617956221479</v>
      </c>
      <c r="AJ180" s="173">
        <f t="shared" si="517"/>
        <v>26.029783975917482</v>
      </c>
      <c r="AK180" s="173">
        <f t="shared" si="518"/>
        <v>13.073914056235171</v>
      </c>
      <c r="AM180" s="545">
        <f t="shared" si="519"/>
        <v>7000</v>
      </c>
      <c r="AN180" s="460">
        <f t="shared" si="520"/>
        <v>27.025847201101161</v>
      </c>
      <c r="AP180">
        <f t="shared" si="521"/>
        <v>7000</v>
      </c>
      <c r="AQ180">
        <f t="shared" si="522"/>
        <v>27.025847201101161</v>
      </c>
      <c r="AS180" s="5">
        <f t="shared" si="439"/>
        <v>37.001615252204019</v>
      </c>
      <c r="AT180" s="5">
        <f t="shared" si="523"/>
        <v>17.008609484892933</v>
      </c>
      <c r="AU180" s="5">
        <f t="shared" si="478"/>
        <v>19.993005767311086</v>
      </c>
      <c r="AV180" s="5"/>
      <c r="AW180" s="173">
        <f t="shared" si="479"/>
        <v>0.45967208104191631</v>
      </c>
      <c r="AX180" s="173">
        <f t="shared" si="435"/>
        <v>109.86812049388661</v>
      </c>
      <c r="AY180" s="173">
        <f t="shared" si="436"/>
        <v>7.0323095033179825</v>
      </c>
      <c r="AZ180" s="173">
        <f t="shared" si="440"/>
        <v>15.623334047235643</v>
      </c>
      <c r="BA180" s="460">
        <f t="shared" si="433"/>
        <v>793.73510929500355</v>
      </c>
      <c r="BB180" s="5">
        <f t="shared" si="434"/>
        <v>31.752789885277611</v>
      </c>
      <c r="BD180" s="173">
        <f t="shared" si="441"/>
        <v>10.189057192017541</v>
      </c>
      <c r="BE180" s="173">
        <f t="shared" si="437"/>
        <v>11.046854672202963</v>
      </c>
      <c r="BG180" s="528">
        <f t="shared" si="480"/>
        <v>2.0763377292440874</v>
      </c>
      <c r="BH180" s="528">
        <f t="shared" si="524"/>
        <v>0.45039056316016551</v>
      </c>
      <c r="BI180" s="528">
        <f t="shared" si="525"/>
        <v>1.2408015453038294E-2</v>
      </c>
      <c r="BJ180" s="528">
        <f t="shared" si="481"/>
        <v>3.1510520412288121E-3</v>
      </c>
      <c r="BK180">
        <f t="shared" si="482"/>
        <v>8.2640990490610491E-3</v>
      </c>
      <c r="BL180" s="460">
        <f t="shared" si="588"/>
        <v>20.672114502099344</v>
      </c>
      <c r="BM180" s="528">
        <f t="shared" si="526"/>
        <v>6.0997066735697905</v>
      </c>
      <c r="BN180" s="460">
        <f t="shared" si="527"/>
        <v>6099.7066735697908</v>
      </c>
      <c r="BO180" s="528">
        <f t="shared" si="483"/>
        <v>4.8999999999999995</v>
      </c>
      <c r="BR180" s="460">
        <f t="shared" si="484"/>
        <v>4899.9999999999991</v>
      </c>
      <c r="BS180" s="528">
        <f t="shared" si="485"/>
        <v>3.1145065938661314</v>
      </c>
      <c r="BT180" s="528">
        <f t="shared" si="486"/>
        <v>3.6609899444631728</v>
      </c>
      <c r="BU180" s="528">
        <f t="shared" si="487"/>
        <v>0.65628836742971253</v>
      </c>
      <c r="BV180" s="528"/>
      <c r="BW180" s="528">
        <f t="shared" si="488"/>
        <v>1.8311353415647769E-2</v>
      </c>
      <c r="BX180" s="460">
        <f t="shared" si="489"/>
        <v>7450.0962591746638</v>
      </c>
      <c r="BY180" s="173">
        <f t="shared" si="490"/>
        <v>14.900647718122247</v>
      </c>
      <c r="BZ180" s="5">
        <f t="shared" si="491"/>
        <v>105</v>
      </c>
      <c r="CA180" s="173">
        <f t="shared" si="492"/>
        <v>0.87572504401183393</v>
      </c>
      <c r="CB180" s="5">
        <f t="shared" si="493"/>
        <v>87.572504401183394</v>
      </c>
      <c r="CE180" s="562">
        <f t="shared" si="528"/>
        <v>-50</v>
      </c>
      <c r="CF180">
        <f t="shared" si="529"/>
        <v>-50</v>
      </c>
      <c r="CG180" s="173">
        <f t="shared" si="530"/>
        <v>0.55089008792290139</v>
      </c>
      <c r="CI180" s="170">
        <v>70</v>
      </c>
      <c r="CJ180" s="217">
        <f t="shared" si="589"/>
        <v>7</v>
      </c>
      <c r="CK180" s="217"/>
      <c r="CL180" s="217">
        <f t="shared" si="531"/>
        <v>105</v>
      </c>
      <c r="CM180" s="541">
        <f t="shared" si="532"/>
        <v>19</v>
      </c>
      <c r="CN180" s="443">
        <f t="shared" si="533"/>
        <v>15.4</v>
      </c>
      <c r="CO180" s="443">
        <f t="shared" si="534"/>
        <v>34.4</v>
      </c>
      <c r="CP180" s="443"/>
      <c r="CQ180" s="217">
        <f t="shared" si="535"/>
        <v>0.44767441860465118</v>
      </c>
      <c r="CR180" s="172">
        <f t="shared" si="590"/>
        <v>212.84736191860466</v>
      </c>
      <c r="CS180" s="172">
        <f t="shared" si="536"/>
        <v>105</v>
      </c>
      <c r="CT180" s="217">
        <f t="shared" si="537"/>
        <v>14.189824127906977</v>
      </c>
      <c r="CU180" s="217">
        <f t="shared" si="538"/>
        <v>15</v>
      </c>
      <c r="CV180" s="217"/>
      <c r="CW180" s="172">
        <f t="shared" si="539"/>
        <v>49.010954901761515</v>
      </c>
      <c r="CX180" s="536">
        <f t="shared" si="540"/>
        <v>15</v>
      </c>
      <c r="CY180" s="217">
        <f t="shared" si="541"/>
        <v>24.688995215311003</v>
      </c>
      <c r="CZ180" s="217">
        <f t="shared" si="542"/>
        <v>15.593049609670109</v>
      </c>
      <c r="DA180" s="217">
        <f t="shared" si="543"/>
        <v>19.238178089852731</v>
      </c>
      <c r="DB180" s="197">
        <f t="shared" si="544"/>
        <v>70.881782945736433</v>
      </c>
      <c r="DC180" s="443">
        <f t="shared" si="545"/>
        <v>28.70986944895138</v>
      </c>
      <c r="DE180" s="217">
        <f t="shared" si="546"/>
        <v>10.000000000000002</v>
      </c>
      <c r="DF180" s="173">
        <f t="shared" si="547"/>
        <v>7.792207792207793</v>
      </c>
      <c r="DG180" s="173">
        <f t="shared" si="548"/>
        <v>2.7616279069767451</v>
      </c>
      <c r="DH180" s="173"/>
      <c r="DI180" s="173">
        <f t="shared" si="549"/>
        <v>7.7922077922077913</v>
      </c>
      <c r="DJ180" s="545">
        <f t="shared" si="550"/>
        <v>179.66666666666669</v>
      </c>
      <c r="DK180" s="528">
        <f t="shared" si="551"/>
        <v>2.7616279069767442</v>
      </c>
      <c r="DM180" s="173">
        <f t="shared" si="552"/>
        <v>7.1647284200682257</v>
      </c>
      <c r="DN180" s="173">
        <f t="shared" si="553"/>
        <v>24.688995215311003</v>
      </c>
      <c r="DO180" s="173">
        <f t="shared" si="554"/>
        <v>12.080737196526668</v>
      </c>
      <c r="DQ180" s="545">
        <f t="shared" si="555"/>
        <v>7000</v>
      </c>
      <c r="DR180" s="460">
        <f t="shared" si="556"/>
        <v>28.70986944895138</v>
      </c>
      <c r="DT180">
        <f t="shared" si="591"/>
        <v>7000</v>
      </c>
      <c r="DU180">
        <f t="shared" si="592"/>
        <v>28.70986944895138</v>
      </c>
      <c r="DW180" s="5">
        <f t="shared" si="557"/>
        <v>34.831227699522842</v>
      </c>
      <c r="DX180" s="5">
        <f t="shared" si="558"/>
        <v>15.593049609670109</v>
      </c>
      <c r="DY180" s="5">
        <f t="shared" si="559"/>
        <v>19.238178089852731</v>
      </c>
      <c r="DZ180" s="5"/>
      <c r="EA180" s="173">
        <f t="shared" si="560"/>
        <v>0.44767441860465113</v>
      </c>
      <c r="EB180" s="173">
        <f t="shared" si="561"/>
        <v>104.99999999999997</v>
      </c>
      <c r="EC180" s="173">
        <f t="shared" si="562"/>
        <v>6.8181818181818192</v>
      </c>
      <c r="ED180" s="173">
        <f t="shared" si="563"/>
        <v>15.399999999999993</v>
      </c>
      <c r="EE180" s="460">
        <f t="shared" si="564"/>
        <v>727.67564845127174</v>
      </c>
      <c r="EF180" s="5">
        <f t="shared" si="565"/>
        <v>29.532290927405505</v>
      </c>
      <c r="EH180" s="173">
        <f t="shared" si="566"/>
        <v>9.5372666973514448</v>
      </c>
      <c r="EI180" s="173">
        <f t="shared" si="567"/>
        <v>10.593521865939623</v>
      </c>
      <c r="EK180" s="528">
        <f t="shared" si="568"/>
        <v>1.8191891211281788</v>
      </c>
      <c r="EL180" s="528">
        <f t="shared" si="569"/>
        <v>0.48766666666666658</v>
      </c>
      <c r="EM180" s="528">
        <f t="shared" si="570"/>
        <v>3.5887336811189223E-3</v>
      </c>
      <c r="EN180" s="528">
        <f t="shared" si="571"/>
        <v>3.3974111111111103E-3</v>
      </c>
      <c r="EO180">
        <f t="shared" si="572"/>
        <v>8.5500000000000003E-3</v>
      </c>
      <c r="EP180" s="460">
        <f t="shared" si="573"/>
        <v>12.138733681118921</v>
      </c>
      <c r="EQ180" s="460"/>
      <c r="ER180" s="460">
        <f t="shared" si="593"/>
        <v>2322.3919325870756</v>
      </c>
      <c r="ES180" s="528">
        <f t="shared" si="574"/>
        <v>4.8999999999999995</v>
      </c>
      <c r="EV180" s="460">
        <f t="shared" si="494"/>
        <v>4899.9999999999991</v>
      </c>
      <c r="EW180" s="528">
        <f t="shared" si="575"/>
        <v>2.7287836816922679</v>
      </c>
      <c r="EX180" s="528">
        <f t="shared" si="576"/>
        <v>3.3666811657242275</v>
      </c>
      <c r="EY180" s="528">
        <f t="shared" si="577"/>
        <v>0.66881589702681232</v>
      </c>
      <c r="EZ180" s="528"/>
      <c r="FA180" s="528">
        <f t="shared" si="578"/>
        <v>1.7499999999999995E-2</v>
      </c>
      <c r="FB180" s="460">
        <f t="shared" si="579"/>
        <v>6781.7807444433083</v>
      </c>
      <c r="FC180" s="173">
        <f t="shared" si="580"/>
        <v>14.004172677030382</v>
      </c>
      <c r="FD180" s="5">
        <f t="shared" si="581"/>
        <v>105</v>
      </c>
      <c r="FE180" s="173">
        <f t="shared" si="582"/>
        <v>0.88232200298524999</v>
      </c>
      <c r="FF180" s="5">
        <f t="shared" si="583"/>
        <v>88.232200298525001</v>
      </c>
      <c r="FI180" s="562">
        <f t="shared" si="584"/>
        <v>-50</v>
      </c>
      <c r="FJ180">
        <f t="shared" si="585"/>
        <v>-50</v>
      </c>
      <c r="FL180">
        <f t="shared" si="586"/>
        <v>0.55232558139534893</v>
      </c>
    </row>
    <row r="181" spans="5:168">
      <c r="E181" s="170">
        <v>71</v>
      </c>
      <c r="F181" s="217">
        <f t="shared" si="587"/>
        <v>7.1</v>
      </c>
      <c r="G181" s="217"/>
      <c r="H181" s="217">
        <f t="shared" si="495"/>
        <v>106.5</v>
      </c>
      <c r="I181" s="541">
        <f t="shared" si="496"/>
        <v>18.35561198248984</v>
      </c>
      <c r="J181" s="172">
        <f t="shared" si="497"/>
        <v>15.786632810506095</v>
      </c>
      <c r="K181" s="172">
        <f t="shared" si="498"/>
        <v>34.142244792995939</v>
      </c>
      <c r="L181" s="443"/>
      <c r="M181" s="217">
        <f t="shared" si="499"/>
        <v>0.46236269074034142</v>
      </c>
      <c r="N181" s="172">
        <f t="shared" si="500"/>
        <v>212.37531872621864</v>
      </c>
      <c r="O181" s="172">
        <f t="shared" si="438"/>
        <v>106.5</v>
      </c>
      <c r="P181" s="217">
        <f t="shared" si="501"/>
        <v>14.15835458174791</v>
      </c>
      <c r="Q181" s="217">
        <f t="shared" si="502"/>
        <v>15</v>
      </c>
      <c r="R181" s="217"/>
      <c r="S181" s="172">
        <f t="shared" si="503"/>
        <v>46.433597601116098</v>
      </c>
      <c r="T181" s="536">
        <f t="shared" si="504"/>
        <v>15</v>
      </c>
      <c r="U181" s="217">
        <f t="shared" si="505"/>
        <v>26.411857502139856</v>
      </c>
      <c r="V181" s="217">
        <f t="shared" si="506"/>
        <v>17.266778701141774</v>
      </c>
      <c r="W181" s="217">
        <f t="shared" si="507"/>
        <v>20.076623927982375</v>
      </c>
      <c r="X181" s="197">
        <f t="shared" si="508"/>
        <v>70.726970877424094</v>
      </c>
      <c r="Y181" s="443">
        <f t="shared" si="509"/>
        <v>26.635838255753988</v>
      </c>
      <c r="AA181" s="217">
        <f t="shared" si="510"/>
        <v>9.9999999999999982</v>
      </c>
      <c r="AB181" s="173">
        <f t="shared" si="511"/>
        <v>7.6013676532806462</v>
      </c>
      <c r="AC181" s="173">
        <f t="shared" si="512"/>
        <v>2.6881085432108685</v>
      </c>
      <c r="AD181" s="173"/>
      <c r="AE181" s="173">
        <f t="shared" si="513"/>
        <v>7.601367653280648</v>
      </c>
      <c r="AF181" s="545">
        <f t="shared" si="514"/>
        <v>186.80848825765545</v>
      </c>
      <c r="AG181" s="528">
        <f t="shared" si="515"/>
        <v>2.6881085432108698</v>
      </c>
      <c r="AI181" s="173">
        <f t="shared" si="516"/>
        <v>7.3057411525389782</v>
      </c>
      <c r="AJ181" s="173">
        <f t="shared" si="517"/>
        <v>26.411857502139856</v>
      </c>
      <c r="AK181" s="173">
        <f t="shared" si="518"/>
        <v>13.356931483066559</v>
      </c>
      <c r="AM181" s="545">
        <f t="shared" si="519"/>
        <v>7100</v>
      </c>
      <c r="AN181" s="460">
        <f t="shared" si="520"/>
        <v>26.635838255753988</v>
      </c>
      <c r="AP181">
        <f t="shared" si="521"/>
        <v>7100</v>
      </c>
      <c r="AQ181">
        <f t="shared" si="522"/>
        <v>26.635838255753988</v>
      </c>
      <c r="AS181" s="5">
        <f t="shared" si="439"/>
        <v>37.543402629124152</v>
      </c>
      <c r="AT181" s="5">
        <f t="shared" si="523"/>
        <v>17.266778701141774</v>
      </c>
      <c r="AU181" s="5">
        <f t="shared" si="478"/>
        <v>20.276623927982378</v>
      </c>
      <c r="AV181" s="5"/>
      <c r="AW181" s="173">
        <f t="shared" si="479"/>
        <v>0.45991512468151025</v>
      </c>
      <c r="AX181" s="173">
        <f t="shared" si="435"/>
        <v>111.48476182691948</v>
      </c>
      <c r="AY181" s="173">
        <f t="shared" si="436"/>
        <v>7.1323223829864606</v>
      </c>
      <c r="AZ181" s="173">
        <f t="shared" si="440"/>
        <v>15.63092017445212</v>
      </c>
      <c r="BA181" s="460">
        <f t="shared" ref="BA181:BA244" si="594">F181*AT181/Vout_ripple*1000</f>
        <v>817.2941918540439</v>
      </c>
      <c r="BB181" s="5">
        <f t="shared" ref="BB181:BB244" si="595">H181/Efficiency/I181*AU181/Vinripple1</f>
        <v>32.679385743627975</v>
      </c>
      <c r="BD181" s="173">
        <f t="shared" si="441"/>
        <v>10.34134826535076</v>
      </c>
      <c r="BE181" s="173">
        <f t="shared" si="437"/>
        <v>11.206482720246079</v>
      </c>
      <c r="BG181" s="528">
        <f t="shared" si="480"/>
        <v>2.1388696789054635</v>
      </c>
      <c r="BH181" s="528">
        <f t="shared" si="524"/>
        <v>0.45035880530590616</v>
      </c>
      <c r="BI181" s="528">
        <f t="shared" si="525"/>
        <v>1.2222927796274478E-2</v>
      </c>
      <c r="BJ181" s="528">
        <f t="shared" si="481"/>
        <v>3.1049206994375536E-3</v>
      </c>
      <c r="BK181">
        <f t="shared" si="482"/>
        <v>8.2600253921204271E-3</v>
      </c>
      <c r="BL181" s="460">
        <f t="shared" si="588"/>
        <v>20.482953188394905</v>
      </c>
      <c r="BM181" s="528">
        <f t="shared" si="526"/>
        <v>6.4453005286320515</v>
      </c>
      <c r="BN181" s="460">
        <f t="shared" si="527"/>
        <v>6445.3005286320513</v>
      </c>
      <c r="BO181" s="528">
        <f t="shared" si="483"/>
        <v>4.97</v>
      </c>
      <c r="BR181" s="460">
        <f t="shared" si="484"/>
        <v>4970</v>
      </c>
      <c r="BS181" s="528">
        <f t="shared" si="485"/>
        <v>3.2083045183581951</v>
      </c>
      <c r="BT181" s="528">
        <f t="shared" si="486"/>
        <v>3.7675576487752189</v>
      </c>
      <c r="BU181" s="528">
        <f t="shared" si="487"/>
        <v>0.65634667665756929</v>
      </c>
      <c r="BV181" s="528"/>
      <c r="BW181" s="528">
        <f t="shared" si="488"/>
        <v>1.8580793637819913E-2</v>
      </c>
      <c r="BX181" s="460">
        <f t="shared" si="489"/>
        <v>7650.789637428803</v>
      </c>
      <c r="BY181" s="173">
        <f t="shared" si="490"/>
        <v>15.233605995528006</v>
      </c>
      <c r="BZ181" s="5">
        <f t="shared" si="491"/>
        <v>106.5</v>
      </c>
      <c r="CA181" s="173">
        <f t="shared" si="492"/>
        <v>0.87486112917670711</v>
      </c>
      <c r="CB181" s="5">
        <f t="shared" si="493"/>
        <v>87.48611291767071</v>
      </c>
      <c r="CE181" s="562">
        <f t="shared" si="528"/>
        <v>-50</v>
      </c>
      <c r="CF181">
        <f t="shared" si="529"/>
        <v>-50</v>
      </c>
      <c r="CG181" s="173">
        <f t="shared" si="530"/>
        <v>0.55091030614082304</v>
      </c>
      <c r="CI181" s="170">
        <v>71</v>
      </c>
      <c r="CJ181" s="217">
        <f t="shared" si="589"/>
        <v>7.1</v>
      </c>
      <c r="CK181" s="217"/>
      <c r="CL181" s="217">
        <f t="shared" si="531"/>
        <v>106.5</v>
      </c>
      <c r="CM181" s="541">
        <f t="shared" si="532"/>
        <v>19</v>
      </c>
      <c r="CN181" s="443">
        <f t="shared" si="533"/>
        <v>15.4</v>
      </c>
      <c r="CO181" s="443">
        <f t="shared" si="534"/>
        <v>34.4</v>
      </c>
      <c r="CP181" s="443"/>
      <c r="CQ181" s="217">
        <f t="shared" si="535"/>
        <v>0.44767441860465118</v>
      </c>
      <c r="CR181" s="172">
        <f t="shared" si="590"/>
        <v>212.84736191860466</v>
      </c>
      <c r="CS181" s="172">
        <f t="shared" si="536"/>
        <v>106.5</v>
      </c>
      <c r="CT181" s="217">
        <f t="shared" si="537"/>
        <v>14.189824127906977</v>
      </c>
      <c r="CU181" s="217">
        <f t="shared" si="538"/>
        <v>15</v>
      </c>
      <c r="CV181" s="217"/>
      <c r="CW181" s="172">
        <f t="shared" si="539"/>
        <v>48.058244507750921</v>
      </c>
      <c r="CX181" s="536">
        <f t="shared" si="540"/>
        <v>15</v>
      </c>
      <c r="CY181" s="217">
        <f t="shared" si="541"/>
        <v>25.041695146958304</v>
      </c>
      <c r="CZ181" s="217">
        <f t="shared" si="542"/>
        <v>15.815807461236824</v>
      </c>
      <c r="DA181" s="217">
        <f t="shared" si="543"/>
        <v>19.513009205422055</v>
      </c>
      <c r="DB181" s="197">
        <f t="shared" si="544"/>
        <v>70.881782945736433</v>
      </c>
      <c r="DC181" s="443">
        <f t="shared" si="545"/>
        <v>28.305505090515449</v>
      </c>
      <c r="DE181" s="217">
        <f t="shared" si="546"/>
        <v>10.000000000000002</v>
      </c>
      <c r="DF181" s="173">
        <f t="shared" si="547"/>
        <v>7.792207792207793</v>
      </c>
      <c r="DG181" s="173">
        <f t="shared" si="548"/>
        <v>2.7616279069767451</v>
      </c>
      <c r="DH181" s="173"/>
      <c r="DI181" s="173">
        <f t="shared" si="549"/>
        <v>7.7922077922077913</v>
      </c>
      <c r="DJ181" s="545">
        <f t="shared" si="550"/>
        <v>182.23333333333335</v>
      </c>
      <c r="DK181" s="528">
        <f t="shared" si="551"/>
        <v>2.7616279069767442</v>
      </c>
      <c r="DM181" s="173">
        <f t="shared" si="552"/>
        <v>7.2157235719411172</v>
      </c>
      <c r="DN181" s="173">
        <f t="shared" si="553"/>
        <v>25.041695146958304</v>
      </c>
      <c r="DO181" s="173">
        <f t="shared" si="554"/>
        <v>12.341996405154299</v>
      </c>
      <c r="DQ181" s="545">
        <f t="shared" si="555"/>
        <v>7100</v>
      </c>
      <c r="DR181" s="460">
        <f t="shared" si="556"/>
        <v>28.305505090515449</v>
      </c>
      <c r="DT181">
        <f t="shared" si="591"/>
        <v>7100</v>
      </c>
      <c r="DU181">
        <f t="shared" si="592"/>
        <v>28.305505090515449</v>
      </c>
      <c r="DW181" s="5">
        <f t="shared" si="557"/>
        <v>35.328816666658881</v>
      </c>
      <c r="DX181" s="5">
        <f t="shared" si="558"/>
        <v>15.815807461236824</v>
      </c>
      <c r="DY181" s="5">
        <f t="shared" si="559"/>
        <v>19.513009205422058</v>
      </c>
      <c r="DZ181" s="5"/>
      <c r="EA181" s="173">
        <f t="shared" si="560"/>
        <v>0.44767441860465118</v>
      </c>
      <c r="EB181" s="173">
        <f t="shared" si="561"/>
        <v>106.49999999999999</v>
      </c>
      <c r="EC181" s="173">
        <f t="shared" si="562"/>
        <v>6.9155844155844148</v>
      </c>
      <c r="ED181" s="173">
        <f t="shared" si="563"/>
        <v>15.4</v>
      </c>
      <c r="EE181" s="460">
        <f t="shared" si="564"/>
        <v>748.61488649854289</v>
      </c>
      <c r="EF181" s="5">
        <f t="shared" si="565"/>
        <v>30.382097666336975</v>
      </c>
      <c r="EH181" s="173">
        <f t="shared" si="566"/>
        <v>9.6735133644564666</v>
      </c>
      <c r="EI181" s="173">
        <f t="shared" si="567"/>
        <v>10.744857892595904</v>
      </c>
      <c r="EK181" s="528">
        <f t="shared" si="568"/>
        <v>1.8715372162463573</v>
      </c>
      <c r="EL181" s="528">
        <f t="shared" si="569"/>
        <v>0.48766666666666658</v>
      </c>
      <c r="EM181" s="528">
        <f t="shared" si="570"/>
        <v>3.5381881363144309E-3</v>
      </c>
      <c r="EN181" s="528">
        <f t="shared" si="571"/>
        <v>3.3495602503912361E-3</v>
      </c>
      <c r="EO181">
        <f t="shared" si="572"/>
        <v>8.5500000000000003E-3</v>
      </c>
      <c r="EP181" s="460">
        <f t="shared" si="573"/>
        <v>12.088188136314432</v>
      </c>
      <c r="EQ181" s="460"/>
      <c r="ER181" s="460">
        <f t="shared" si="593"/>
        <v>2374.6416312997294</v>
      </c>
      <c r="ES181" s="528">
        <f t="shared" si="574"/>
        <v>4.97</v>
      </c>
      <c r="EV181" s="460">
        <f t="shared" si="494"/>
        <v>4970</v>
      </c>
      <c r="EW181" s="528">
        <f t="shared" si="575"/>
        <v>2.8073058243695357</v>
      </c>
      <c r="EX181" s="528">
        <f t="shared" si="576"/>
        <v>3.463559133962415</v>
      </c>
      <c r="EY181" s="528">
        <f t="shared" si="577"/>
        <v>0.66881589702681354</v>
      </c>
      <c r="EZ181" s="528"/>
      <c r="FA181" s="528">
        <f t="shared" si="578"/>
        <v>1.7749999999999998E-2</v>
      </c>
      <c r="FB181" s="460">
        <f t="shared" si="579"/>
        <v>6957.4308553587634</v>
      </c>
      <c r="FC181" s="173">
        <f t="shared" si="580"/>
        <v>14.302072486658494</v>
      </c>
      <c r="FD181" s="5">
        <f t="shared" si="581"/>
        <v>106.5</v>
      </c>
      <c r="FE181" s="173">
        <f t="shared" si="582"/>
        <v>0.88160739139439825</v>
      </c>
      <c r="FF181" s="5">
        <f t="shared" si="583"/>
        <v>88.160739139439826</v>
      </c>
      <c r="FI181" s="562">
        <f t="shared" si="584"/>
        <v>-50</v>
      </c>
      <c r="FJ181">
        <f t="shared" si="585"/>
        <v>-50</v>
      </c>
      <c r="FL181">
        <f t="shared" si="586"/>
        <v>0.55232558139534882</v>
      </c>
    </row>
    <row r="182" spans="5:168">
      <c r="E182" s="170">
        <v>72</v>
      </c>
      <c r="F182" s="217">
        <f t="shared" si="587"/>
        <v>7.1999999999999993</v>
      </c>
      <c r="G182" s="217"/>
      <c r="H182" s="217">
        <f t="shared" si="495"/>
        <v>107.99999999999999</v>
      </c>
      <c r="I182" s="541">
        <f t="shared" si="496"/>
        <v>18.346559409823094</v>
      </c>
      <c r="J182" s="172">
        <f t="shared" si="497"/>
        <v>15.792064354106145</v>
      </c>
      <c r="K182" s="172">
        <f t="shared" si="498"/>
        <v>34.138623763929239</v>
      </c>
      <c r="L182" s="443"/>
      <c r="M182" s="217">
        <f t="shared" si="499"/>
        <v>0.46257084200047843</v>
      </c>
      <c r="N182" s="172">
        <f t="shared" si="500"/>
        <v>212.36614220689955</v>
      </c>
      <c r="O182" s="172">
        <f t="shared" si="438"/>
        <v>107.99999999999999</v>
      </c>
      <c r="P182" s="217">
        <f t="shared" si="501"/>
        <v>14.157742813793304</v>
      </c>
      <c r="Q182" s="217">
        <f t="shared" si="502"/>
        <v>15</v>
      </c>
      <c r="R182" s="217"/>
      <c r="S182" s="172">
        <f t="shared" si="503"/>
        <v>45.516596953902535</v>
      </c>
      <c r="T182" s="536">
        <f t="shared" si="504"/>
        <v>15</v>
      </c>
      <c r="U182" s="217">
        <f t="shared" si="505"/>
        <v>26.794229128916772</v>
      </c>
      <c r="V182" s="217">
        <f t="shared" si="506"/>
        <v>17.525397670739707</v>
      </c>
      <c r="W182" s="217">
        <f t="shared" si="507"/>
        <v>20.360273510625547</v>
      </c>
      <c r="X182" s="197">
        <f t="shared" si="508"/>
        <v>70.723913008293209</v>
      </c>
      <c r="Y182" s="443">
        <f t="shared" si="509"/>
        <v>26.25659385751576</v>
      </c>
      <c r="AA182" s="217">
        <f t="shared" si="510"/>
        <v>10</v>
      </c>
      <c r="AB182" s="173">
        <f t="shared" si="511"/>
        <v>7.5987532287885102</v>
      </c>
      <c r="AC182" s="173">
        <f t="shared" si="512"/>
        <v>2.6870678116216284</v>
      </c>
      <c r="AD182" s="173"/>
      <c r="AE182" s="173">
        <f t="shared" si="513"/>
        <v>7.5987532287885102</v>
      </c>
      <c r="AF182" s="545">
        <f t="shared" si="514"/>
        <v>189.50477224927369</v>
      </c>
      <c r="AG182" s="528">
        <f t="shared" si="515"/>
        <v>2.6870678116216289</v>
      </c>
      <c r="AI182" s="173">
        <f t="shared" si="516"/>
        <v>7.358275656881144</v>
      </c>
      <c r="AJ182" s="173">
        <f t="shared" si="517"/>
        <v>26.794229128916772</v>
      </c>
      <c r="AK182" s="173">
        <f t="shared" si="518"/>
        <v>13.640169725123533</v>
      </c>
      <c r="AM182" s="545">
        <f t="shared" si="519"/>
        <v>7199.9999999999991</v>
      </c>
      <c r="AN182" s="460">
        <f t="shared" si="520"/>
        <v>26.25659385751576</v>
      </c>
      <c r="AP182">
        <f t="shared" si="521"/>
        <v>7199.9999999999991</v>
      </c>
      <c r="AQ182">
        <f t="shared" si="522"/>
        <v>26.25659385751576</v>
      </c>
      <c r="AS182" s="5">
        <f t="shared" si="439"/>
        <v>38.085671181365257</v>
      </c>
      <c r="AT182" s="5">
        <f t="shared" si="523"/>
        <v>17.525397670739707</v>
      </c>
      <c r="AU182" s="5">
        <f t="shared" si="478"/>
        <v>20.560273510625549</v>
      </c>
      <c r="AV182" s="5"/>
      <c r="AW182" s="173">
        <f t="shared" si="479"/>
        <v>0.46015724883206521</v>
      </c>
      <c r="AX182" s="173">
        <f t="shared" si="435"/>
        <v>113.10249114856056</v>
      </c>
      <c r="AY182" s="173">
        <f t="shared" si="436"/>
        <v>7.2323351841892238</v>
      </c>
      <c r="AZ182" s="173">
        <f t="shared" si="440"/>
        <v>15.6384470946281</v>
      </c>
      <c r="BA182" s="460">
        <f t="shared" si="594"/>
        <v>841.21908819550583</v>
      </c>
      <c r="BB182" s="5">
        <f t="shared" si="595"/>
        <v>33.619829829701786</v>
      </c>
      <c r="BD182" s="173">
        <f t="shared" si="441"/>
        <v>10.493823937413646</v>
      </c>
      <c r="BE182" s="173">
        <f t="shared" si="437"/>
        <v>11.366173383107514</v>
      </c>
      <c r="BG182" s="528">
        <f t="shared" si="480"/>
        <v>2.2024068165887125</v>
      </c>
      <c r="BH182" s="528">
        <f t="shared" si="524"/>
        <v>0.4503259094414494</v>
      </c>
      <c r="BI182" s="528">
        <f t="shared" si="525"/>
        <v>1.2042953977662724E-2</v>
      </c>
      <c r="BJ182" s="528">
        <f t="shared" si="481"/>
        <v>3.0600632635439783E-3</v>
      </c>
      <c r="BK182">
        <f t="shared" si="482"/>
        <v>8.2559517344203918E-3</v>
      </c>
      <c r="BL182" s="460">
        <f t="shared" si="588"/>
        <v>20.298905712083112</v>
      </c>
      <c r="BM182" s="528">
        <f t="shared" si="526"/>
        <v>6.8185171480220577</v>
      </c>
      <c r="BN182" s="460">
        <f t="shared" si="527"/>
        <v>6818.5171480220579</v>
      </c>
      <c r="BO182" s="528">
        <f t="shared" si="483"/>
        <v>5.0399999999999991</v>
      </c>
      <c r="BR182" s="460">
        <f t="shared" si="484"/>
        <v>5039.9999999999991</v>
      </c>
      <c r="BS182" s="528">
        <f t="shared" si="485"/>
        <v>3.303610224883069</v>
      </c>
      <c r="BT182" s="528">
        <f t="shared" si="486"/>
        <v>3.8756969212458503</v>
      </c>
      <c r="BU182" s="528">
        <f t="shared" si="487"/>
        <v>0.65640085444292351</v>
      </c>
      <c r="BV182" s="528"/>
      <c r="BW182" s="528">
        <f t="shared" si="488"/>
        <v>1.8850415191426766E-2</v>
      </c>
      <c r="BX182" s="460">
        <f t="shared" si="489"/>
        <v>7854.5584157632693</v>
      </c>
      <c r="BY182" s="173">
        <f t="shared" si="490"/>
        <v>15.570650110769058</v>
      </c>
      <c r="BZ182" s="5">
        <f t="shared" si="491"/>
        <v>107.99999999999999</v>
      </c>
      <c r="CA182" s="173">
        <f t="shared" si="492"/>
        <v>0.87399394518996643</v>
      </c>
      <c r="CB182" s="5">
        <f t="shared" si="493"/>
        <v>87.399394518996644</v>
      </c>
      <c r="CE182" s="562">
        <f t="shared" si="528"/>
        <v>-50</v>
      </c>
      <c r="CF182">
        <f t="shared" si="529"/>
        <v>-50</v>
      </c>
      <c r="CG182" s="173">
        <f t="shared" si="530"/>
        <v>0.55092996274158046</v>
      </c>
      <c r="CI182" s="170">
        <v>72</v>
      </c>
      <c r="CJ182" s="217">
        <f t="shared" si="589"/>
        <v>7.1999999999999993</v>
      </c>
      <c r="CK182" s="217"/>
      <c r="CL182" s="217">
        <f t="shared" si="531"/>
        <v>107.99999999999999</v>
      </c>
      <c r="CM182" s="541">
        <f t="shared" si="532"/>
        <v>19</v>
      </c>
      <c r="CN182" s="443">
        <f t="shared" si="533"/>
        <v>15.4</v>
      </c>
      <c r="CO182" s="443">
        <f t="shared" si="534"/>
        <v>34.4</v>
      </c>
      <c r="CP182" s="443"/>
      <c r="CQ182" s="217">
        <f t="shared" si="535"/>
        <v>0.44767441860465118</v>
      </c>
      <c r="CR182" s="172">
        <f t="shared" si="590"/>
        <v>212.84736191860466</v>
      </c>
      <c r="CS182" s="172">
        <f t="shared" si="536"/>
        <v>107.99999999999999</v>
      </c>
      <c r="CT182" s="217">
        <f t="shared" si="537"/>
        <v>14.189824127906977</v>
      </c>
      <c r="CU182" s="217">
        <f t="shared" si="538"/>
        <v>15</v>
      </c>
      <c r="CV182" s="217"/>
      <c r="CW182" s="172">
        <f t="shared" si="539"/>
        <v>47.132114121425047</v>
      </c>
      <c r="CX182" s="536">
        <f t="shared" si="540"/>
        <v>15</v>
      </c>
      <c r="CY182" s="217">
        <f t="shared" si="541"/>
        <v>25.394395078605601</v>
      </c>
      <c r="CZ182" s="217">
        <f t="shared" si="542"/>
        <v>16.038565312803538</v>
      </c>
      <c r="DA182" s="217">
        <f t="shared" si="543"/>
        <v>19.787840320991378</v>
      </c>
      <c r="DB182" s="197">
        <f t="shared" si="544"/>
        <v>70.881782945736433</v>
      </c>
      <c r="DC182" s="443">
        <f t="shared" si="545"/>
        <v>27.912373075369402</v>
      </c>
      <c r="DE182" s="217">
        <f t="shared" si="546"/>
        <v>10.000000000000002</v>
      </c>
      <c r="DF182" s="173">
        <f t="shared" si="547"/>
        <v>7.792207792207793</v>
      </c>
      <c r="DG182" s="173">
        <f t="shared" si="548"/>
        <v>2.7616279069767451</v>
      </c>
      <c r="DH182" s="173"/>
      <c r="DI182" s="173">
        <f t="shared" si="549"/>
        <v>7.7922077922077913</v>
      </c>
      <c r="DJ182" s="545">
        <f t="shared" si="550"/>
        <v>184.8</v>
      </c>
      <c r="DK182" s="528">
        <f t="shared" si="551"/>
        <v>2.7616279069767442</v>
      </c>
      <c r="DM182" s="173">
        <f t="shared" si="552"/>
        <v>7.2663608498339798</v>
      </c>
      <c r="DN182" s="173">
        <f t="shared" si="553"/>
        <v>25.394395078605601</v>
      </c>
      <c r="DO182" s="173">
        <f t="shared" si="554"/>
        <v>12.603255613781926</v>
      </c>
      <c r="DQ182" s="545">
        <f t="shared" si="555"/>
        <v>7199.9999999999991</v>
      </c>
      <c r="DR182" s="460">
        <f t="shared" si="556"/>
        <v>27.912373075369402</v>
      </c>
      <c r="DT182">
        <f t="shared" si="591"/>
        <v>7199.9999999999991</v>
      </c>
      <c r="DU182">
        <f t="shared" si="592"/>
        <v>27.912373075369402</v>
      </c>
      <c r="DW182" s="5">
        <f t="shared" si="557"/>
        <v>35.82640563379492</v>
      </c>
      <c r="DX182" s="5">
        <f t="shared" si="558"/>
        <v>16.038565312803538</v>
      </c>
      <c r="DY182" s="5">
        <f t="shared" si="559"/>
        <v>19.787840320991382</v>
      </c>
      <c r="DZ182" s="5"/>
      <c r="EA182" s="173">
        <f t="shared" si="560"/>
        <v>0.44767441860465113</v>
      </c>
      <c r="EB182" s="173">
        <f t="shared" si="561"/>
        <v>107.99999999999997</v>
      </c>
      <c r="EC182" s="173">
        <f t="shared" si="562"/>
        <v>7.0129870129870131</v>
      </c>
      <c r="ED182" s="173">
        <f t="shared" si="563"/>
        <v>15.399999999999995</v>
      </c>
      <c r="EE182" s="460">
        <f t="shared" si="564"/>
        <v>769.85113501456965</v>
      </c>
      <c r="EF182" s="5">
        <f t="shared" si="565"/>
        <v>31.243958401565337</v>
      </c>
      <c r="EH182" s="173">
        <f t="shared" si="566"/>
        <v>9.8097600315614848</v>
      </c>
      <c r="EI182" s="173">
        <f t="shared" si="567"/>
        <v>10.896193919252184</v>
      </c>
      <c r="EK182" s="528">
        <f t="shared" si="568"/>
        <v>1.9246278375364236</v>
      </c>
      <c r="EL182" s="528">
        <f t="shared" si="569"/>
        <v>0.48766666666666658</v>
      </c>
      <c r="EM182" s="528">
        <f t="shared" si="570"/>
        <v>3.4890466344211753E-3</v>
      </c>
      <c r="EN182" s="528">
        <f t="shared" si="571"/>
        <v>3.3030385802469133E-3</v>
      </c>
      <c r="EO182">
        <f t="shared" si="572"/>
        <v>8.5500000000000003E-3</v>
      </c>
      <c r="EP182" s="460">
        <f t="shared" si="573"/>
        <v>12.039046634421176</v>
      </c>
      <c r="EQ182" s="460"/>
      <c r="ER182" s="460">
        <f t="shared" si="593"/>
        <v>2427.6365894177584</v>
      </c>
      <c r="ES182" s="528">
        <f t="shared" si="574"/>
        <v>5.0399999999999991</v>
      </c>
      <c r="EV182" s="460">
        <f t="shared" si="494"/>
        <v>5039.9999999999991</v>
      </c>
      <c r="EW182" s="528">
        <f t="shared" si="575"/>
        <v>2.8869417563046351</v>
      </c>
      <c r="EX182" s="528">
        <f t="shared" si="576"/>
        <v>3.561811257778448</v>
      </c>
      <c r="EY182" s="528">
        <f t="shared" si="577"/>
        <v>0.66881589702681232</v>
      </c>
      <c r="EZ182" s="528"/>
      <c r="FA182" s="528">
        <f t="shared" si="578"/>
        <v>1.7999999999999995E-2</v>
      </c>
      <c r="FB182" s="460">
        <f t="shared" si="579"/>
        <v>7135.5689111098955</v>
      </c>
      <c r="FC182" s="173">
        <f t="shared" si="580"/>
        <v>14.603205500527654</v>
      </c>
      <c r="FD182" s="5">
        <f t="shared" si="581"/>
        <v>107.99999999999999</v>
      </c>
      <c r="FE182" s="173">
        <f t="shared" si="582"/>
        <v>0.88089050819748094</v>
      </c>
      <c r="FF182" s="5">
        <f t="shared" si="583"/>
        <v>88.089050819748095</v>
      </c>
      <c r="FI182" s="562">
        <f t="shared" si="584"/>
        <v>-50</v>
      </c>
      <c r="FJ182">
        <f t="shared" si="585"/>
        <v>-50</v>
      </c>
      <c r="FL182">
        <f t="shared" si="586"/>
        <v>0.55232558139534893</v>
      </c>
    </row>
    <row r="183" spans="5:168">
      <c r="E183" s="170">
        <v>73</v>
      </c>
      <c r="F183" s="217">
        <f t="shared" si="587"/>
        <v>7.3</v>
      </c>
      <c r="G183" s="217"/>
      <c r="H183" s="217">
        <f t="shared" si="495"/>
        <v>109.5</v>
      </c>
      <c r="I183" s="541">
        <f t="shared" si="496"/>
        <v>18.337506835538278</v>
      </c>
      <c r="J183" s="172">
        <f t="shared" si="497"/>
        <v>15.797495898677033</v>
      </c>
      <c r="K183" s="172">
        <f t="shared" si="498"/>
        <v>34.135002734215313</v>
      </c>
      <c r="L183" s="443"/>
      <c r="M183" s="217">
        <f t="shared" si="499"/>
        <v>0.46277903744462778</v>
      </c>
      <c r="N183" s="172">
        <f t="shared" si="500"/>
        <v>212.35689163897618</v>
      </c>
      <c r="O183" s="172">
        <f t="shared" si="438"/>
        <v>109.5</v>
      </c>
      <c r="P183" s="217">
        <f t="shared" si="501"/>
        <v>14.157126109265079</v>
      </c>
      <c r="Q183" s="217">
        <f t="shared" si="502"/>
        <v>15</v>
      </c>
      <c r="R183" s="217"/>
      <c r="S183" s="172">
        <f t="shared" si="503"/>
        <v>44.625083361918001</v>
      </c>
      <c r="T183" s="536">
        <f t="shared" si="504"/>
        <v>15</v>
      </c>
      <c r="U183" s="217">
        <f t="shared" si="505"/>
        <v>27.176899297735719</v>
      </c>
      <c r="V183" s="217">
        <f t="shared" si="506"/>
        <v>17.784467348680099</v>
      </c>
      <c r="W183" s="217">
        <f t="shared" si="507"/>
        <v>20.643954818189883</v>
      </c>
      <c r="X183" s="197">
        <f t="shared" si="508"/>
        <v>70.720830482510792</v>
      </c>
      <c r="Y183" s="443">
        <f t="shared" si="509"/>
        <v>25.887673995073481</v>
      </c>
      <c r="AA183" s="217">
        <f t="shared" si="510"/>
        <v>10</v>
      </c>
      <c r="AB183" s="173">
        <f t="shared" si="511"/>
        <v>7.5961406016284796</v>
      </c>
      <c r="AC183" s="173">
        <f t="shared" si="512"/>
        <v>2.6860268590454259</v>
      </c>
      <c r="AD183" s="173"/>
      <c r="AE183" s="173">
        <f t="shared" si="513"/>
        <v>7.5961406016284796</v>
      </c>
      <c r="AF183" s="545">
        <f t="shared" si="514"/>
        <v>192.20286676723725</v>
      </c>
      <c r="AG183" s="528">
        <f t="shared" si="515"/>
        <v>2.6860268590454259</v>
      </c>
      <c r="AI183" s="173">
        <f t="shared" si="516"/>
        <v>7.4104726428642334</v>
      </c>
      <c r="AJ183" s="173">
        <f t="shared" si="517"/>
        <v>27.176899297735719</v>
      </c>
      <c r="AK183" s="173">
        <f t="shared" si="518"/>
        <v>13.923629109433865</v>
      </c>
      <c r="AM183" s="545">
        <f t="shared" si="519"/>
        <v>7300</v>
      </c>
      <c r="AN183" s="460">
        <f t="shared" si="520"/>
        <v>25.887673995073481</v>
      </c>
      <c r="AP183">
        <f t="shared" si="521"/>
        <v>7300</v>
      </c>
      <c r="AQ183">
        <f t="shared" si="522"/>
        <v>25.887673995073481</v>
      </c>
      <c r="AS183" s="5">
        <f t="shared" si="439"/>
        <v>38.628422166869981</v>
      </c>
      <c r="AT183" s="5">
        <f t="shared" si="523"/>
        <v>17.784467348680099</v>
      </c>
      <c r="AU183" s="5">
        <f t="shared" si="478"/>
        <v>20.843954818189882</v>
      </c>
      <c r="AV183" s="5"/>
      <c r="AW183" s="173">
        <f t="shared" si="479"/>
        <v>0.4603984928986592</v>
      </c>
      <c r="AX183" s="173">
        <f t="shared" si="435"/>
        <v>114.72130840581754</v>
      </c>
      <c r="AY183" s="173">
        <f t="shared" si="436"/>
        <v>7.3323479096997826</v>
      </c>
      <c r="AZ183" s="173">
        <f t="shared" si="440"/>
        <v>15.645917217601683</v>
      </c>
      <c r="BA183" s="460">
        <f t="shared" si="594"/>
        <v>865.51074430243148</v>
      </c>
      <c r="BB183" s="5">
        <f t="shared" si="595"/>
        <v>34.574145297180564</v>
      </c>
      <c r="BD183" s="173">
        <f t="shared" si="441"/>
        <v>10.646484457690251</v>
      </c>
      <c r="BE183" s="173">
        <f t="shared" si="437"/>
        <v>11.525926738094252</v>
      </c>
      <c r="BG183" s="528">
        <f t="shared" si="480"/>
        <v>2.2669526261568014</v>
      </c>
      <c r="BH183" s="528">
        <f t="shared" si="524"/>
        <v>0.45029191580176969</v>
      </c>
      <c r="BI183" s="528">
        <f t="shared" si="525"/>
        <v>1.1867884971021161E-2</v>
      </c>
      <c r="BJ183" s="528">
        <f t="shared" si="481"/>
        <v>3.0164276620758016E-3</v>
      </c>
      <c r="BK183">
        <f t="shared" si="482"/>
        <v>8.2518780759922254E-3</v>
      </c>
      <c r="BL183" s="460">
        <f t="shared" si="588"/>
        <v>20.119763047013386</v>
      </c>
      <c r="BM183" s="528">
        <f t="shared" si="526"/>
        <v>7.2226701534376758</v>
      </c>
      <c r="BN183" s="460">
        <f t="shared" si="527"/>
        <v>7222.6701534376762</v>
      </c>
      <c r="BO183" s="528">
        <f t="shared" si="483"/>
        <v>5.1099999999999994</v>
      </c>
      <c r="BR183" s="460">
        <f t="shared" si="484"/>
        <v>5109.9999999999991</v>
      </c>
      <c r="BS183" s="528">
        <f t="shared" si="485"/>
        <v>3.4004289392352023</v>
      </c>
      <c r="BT183" s="528">
        <f t="shared" si="486"/>
        <v>3.9854096151574807</v>
      </c>
      <c r="BU183" s="528">
        <f t="shared" si="487"/>
        <v>0.65645104549420119</v>
      </c>
      <c r="BV183" s="528"/>
      <c r="BW183" s="528">
        <f t="shared" si="488"/>
        <v>1.9120218067636259E-2</v>
      </c>
      <c r="BX183" s="460">
        <f t="shared" si="489"/>
        <v>8061.4098179545199</v>
      </c>
      <c r="BY183" s="173">
        <f t="shared" si="490"/>
        <v>15.911790550622179</v>
      </c>
      <c r="BZ183" s="5">
        <f t="shared" si="491"/>
        <v>109.5</v>
      </c>
      <c r="CA183" s="173">
        <f t="shared" si="492"/>
        <v>0.8731236474596108</v>
      </c>
      <c r="CB183" s="5">
        <f t="shared" si="493"/>
        <v>87.312364745961077</v>
      </c>
      <c r="CE183" s="562">
        <f t="shared" si="528"/>
        <v>-50</v>
      </c>
      <c r="CF183">
        <f t="shared" si="529"/>
        <v>-50</v>
      </c>
      <c r="CG183" s="173">
        <f t="shared" si="530"/>
        <v>0.55094908080533067</v>
      </c>
      <c r="CI183" s="170">
        <v>73</v>
      </c>
      <c r="CJ183" s="217">
        <f t="shared" si="589"/>
        <v>7.3</v>
      </c>
      <c r="CK183" s="217"/>
      <c r="CL183" s="217">
        <f t="shared" si="531"/>
        <v>109.5</v>
      </c>
      <c r="CM183" s="541">
        <f t="shared" si="532"/>
        <v>19</v>
      </c>
      <c r="CN183" s="443">
        <f t="shared" si="533"/>
        <v>15.4</v>
      </c>
      <c r="CO183" s="443">
        <f t="shared" si="534"/>
        <v>34.4</v>
      </c>
      <c r="CP183" s="443"/>
      <c r="CQ183" s="217">
        <f t="shared" si="535"/>
        <v>0.44767441860465118</v>
      </c>
      <c r="CR183" s="172">
        <f t="shared" si="590"/>
        <v>212.84736191860466</v>
      </c>
      <c r="CS183" s="172">
        <f t="shared" si="536"/>
        <v>109.5</v>
      </c>
      <c r="CT183" s="217">
        <f t="shared" si="537"/>
        <v>14.189824127906977</v>
      </c>
      <c r="CU183" s="217">
        <f t="shared" si="538"/>
        <v>15</v>
      </c>
      <c r="CV183" s="217"/>
      <c r="CW183" s="172">
        <f t="shared" si="539"/>
        <v>46.231473204236181</v>
      </c>
      <c r="CX183" s="536">
        <f t="shared" si="540"/>
        <v>15</v>
      </c>
      <c r="CY183" s="217">
        <f t="shared" si="541"/>
        <v>25.747095010252902</v>
      </c>
      <c r="CZ183" s="217">
        <f t="shared" si="542"/>
        <v>16.261323164370253</v>
      </c>
      <c r="DA183" s="217">
        <f t="shared" si="543"/>
        <v>20.062671436560706</v>
      </c>
      <c r="DB183" s="197">
        <f t="shared" si="544"/>
        <v>70.881782945736433</v>
      </c>
      <c r="DC183" s="443">
        <f t="shared" si="545"/>
        <v>27.530011800364345</v>
      </c>
      <c r="DE183" s="217">
        <f t="shared" si="546"/>
        <v>10.000000000000002</v>
      </c>
      <c r="DF183" s="173">
        <f t="shared" si="547"/>
        <v>7.792207792207793</v>
      </c>
      <c r="DG183" s="173">
        <f t="shared" si="548"/>
        <v>2.7616279069767451</v>
      </c>
      <c r="DH183" s="173"/>
      <c r="DI183" s="173">
        <f t="shared" si="549"/>
        <v>7.7922077922077913</v>
      </c>
      <c r="DJ183" s="545">
        <f t="shared" si="550"/>
        <v>187.36666666666665</v>
      </c>
      <c r="DK183" s="528">
        <f t="shared" si="551"/>
        <v>2.7616279069767442</v>
      </c>
      <c r="DM183" s="173">
        <f t="shared" si="552"/>
        <v>7.316647684105976</v>
      </c>
      <c r="DN183" s="173">
        <f t="shared" si="553"/>
        <v>25.747095010252902</v>
      </c>
      <c r="DO183" s="173">
        <f t="shared" si="554"/>
        <v>12.864514822409557</v>
      </c>
      <c r="DQ183" s="545">
        <f t="shared" si="555"/>
        <v>7300</v>
      </c>
      <c r="DR183" s="460">
        <f t="shared" si="556"/>
        <v>27.530011800364345</v>
      </c>
      <c r="DT183">
        <f t="shared" si="591"/>
        <v>7300</v>
      </c>
      <c r="DU183">
        <f t="shared" si="592"/>
        <v>27.530011800364345</v>
      </c>
      <c r="DW183" s="5">
        <f t="shared" si="557"/>
        <v>36.323994600930959</v>
      </c>
      <c r="DX183" s="5">
        <f t="shared" si="558"/>
        <v>16.261323164370253</v>
      </c>
      <c r="DY183" s="5">
        <f t="shared" si="559"/>
        <v>20.062671436560706</v>
      </c>
      <c r="DZ183" s="5"/>
      <c r="EA183" s="173">
        <f t="shared" si="560"/>
        <v>0.44767441860465113</v>
      </c>
      <c r="EB183" s="173">
        <f t="shared" si="561"/>
        <v>109.49999999999999</v>
      </c>
      <c r="EC183" s="173">
        <f t="shared" si="562"/>
        <v>7.1103896103896105</v>
      </c>
      <c r="ED183" s="173">
        <f t="shared" si="563"/>
        <v>15.399999999999999</v>
      </c>
      <c r="EE183" s="460">
        <f t="shared" si="564"/>
        <v>791.38439399935226</v>
      </c>
      <c r="EF183" s="5">
        <f t="shared" si="565"/>
        <v>32.117873133090605</v>
      </c>
      <c r="EH183" s="173">
        <f t="shared" si="566"/>
        <v>9.9460066986665066</v>
      </c>
      <c r="EI183" s="173">
        <f t="shared" si="567"/>
        <v>11.047529945908463</v>
      </c>
      <c r="EK183" s="528">
        <f t="shared" si="568"/>
        <v>1.9784609849983803</v>
      </c>
      <c r="EL183" s="528">
        <f t="shared" si="569"/>
        <v>0.48766666666666664</v>
      </c>
      <c r="EM183" s="528">
        <f t="shared" si="570"/>
        <v>3.441251475045543E-3</v>
      </c>
      <c r="EN183" s="528">
        <f t="shared" si="571"/>
        <v>3.2577914764079148E-3</v>
      </c>
      <c r="EO183">
        <f t="shared" si="572"/>
        <v>8.5500000000000003E-3</v>
      </c>
      <c r="EP183" s="460">
        <f t="shared" si="573"/>
        <v>11.991251475045543</v>
      </c>
      <c r="EQ183" s="460"/>
      <c r="ER183" s="460">
        <f t="shared" si="593"/>
        <v>2481.3766946165006</v>
      </c>
      <c r="ES183" s="528">
        <f t="shared" si="574"/>
        <v>5.1099999999999994</v>
      </c>
      <c r="EV183" s="460">
        <f t="shared" si="494"/>
        <v>5109.9999999999991</v>
      </c>
      <c r="EW183" s="528">
        <f t="shared" si="575"/>
        <v>2.9676914774975702</v>
      </c>
      <c r="EX183" s="528">
        <f t="shared" si="576"/>
        <v>3.6614375371723273</v>
      </c>
      <c r="EY183" s="528">
        <f t="shared" si="577"/>
        <v>0.66881589702681343</v>
      </c>
      <c r="EZ183" s="528"/>
      <c r="FA183" s="528">
        <f t="shared" si="578"/>
        <v>1.8249999999999999E-2</v>
      </c>
      <c r="FB183" s="460">
        <f t="shared" si="579"/>
        <v>7316.1949116967116</v>
      </c>
      <c r="FC183" s="173">
        <f t="shared" si="580"/>
        <v>14.907571606313212</v>
      </c>
      <c r="FD183" s="5">
        <f t="shared" si="581"/>
        <v>109.5</v>
      </c>
      <c r="FE183" s="173">
        <f t="shared" si="582"/>
        <v>0.88017150874475625</v>
      </c>
      <c r="FF183" s="5">
        <f t="shared" si="583"/>
        <v>88.017150874475618</v>
      </c>
      <c r="FI183" s="562">
        <f t="shared" si="584"/>
        <v>-50</v>
      </c>
      <c r="FJ183">
        <f t="shared" si="585"/>
        <v>-50</v>
      </c>
      <c r="FL183">
        <f t="shared" si="586"/>
        <v>0.55232558139534893</v>
      </c>
    </row>
    <row r="184" spans="5:168">
      <c r="E184" s="170">
        <v>74</v>
      </c>
      <c r="F184" s="217">
        <f t="shared" si="587"/>
        <v>7.4</v>
      </c>
      <c r="G184" s="217"/>
      <c r="H184" s="217">
        <f t="shared" si="495"/>
        <v>111</v>
      </c>
      <c r="I184" s="541">
        <f t="shared" si="496"/>
        <v>18.328454259701157</v>
      </c>
      <c r="J184" s="172">
        <f t="shared" si="497"/>
        <v>15.802927444179305</v>
      </c>
      <c r="K184" s="172">
        <f t="shared" si="498"/>
        <v>34.131381703880464</v>
      </c>
      <c r="L184" s="443"/>
      <c r="M184" s="217">
        <f t="shared" si="499"/>
        <v>0.46298727708599013</v>
      </c>
      <c r="N184" s="172">
        <f t="shared" si="500"/>
        <v>212.34756699921266</v>
      </c>
      <c r="O184" s="172">
        <f t="shared" si="438"/>
        <v>111</v>
      </c>
      <c r="P184" s="217">
        <f t="shared" si="501"/>
        <v>14.156504466614177</v>
      </c>
      <c r="Q184" s="217">
        <f t="shared" si="502"/>
        <v>15</v>
      </c>
      <c r="R184" s="217"/>
      <c r="S184" s="172">
        <f t="shared" si="503"/>
        <v>43.758025351776304</v>
      </c>
      <c r="T184" s="536">
        <f t="shared" si="504"/>
        <v>15</v>
      </c>
      <c r="U184" s="217">
        <f t="shared" si="505"/>
        <v>27.559868450956383</v>
      </c>
      <c r="V184" s="217">
        <f t="shared" si="506"/>
        <v>18.043988692414093</v>
      </c>
      <c r="W184" s="217">
        <f t="shared" si="507"/>
        <v>20.927668153870453</v>
      </c>
      <c r="X184" s="197">
        <f t="shared" si="508"/>
        <v>70.717723292238901</v>
      </c>
      <c r="Y184" s="443">
        <f t="shared" si="509"/>
        <v>25.528662316331165</v>
      </c>
      <c r="AA184" s="217">
        <f t="shared" si="510"/>
        <v>10.000000000000002</v>
      </c>
      <c r="AB184" s="173">
        <f t="shared" si="511"/>
        <v>7.5935297699667439</v>
      </c>
      <c r="AC184" s="173">
        <f t="shared" si="512"/>
        <v>2.6849856854194338</v>
      </c>
      <c r="AD184" s="173"/>
      <c r="AE184" s="173">
        <f t="shared" si="513"/>
        <v>7.5935297699667421</v>
      </c>
      <c r="AF184" s="545">
        <f t="shared" si="514"/>
        <v>194.90277181154477</v>
      </c>
      <c r="AG184" s="528">
        <f t="shared" si="515"/>
        <v>2.6849856854194329</v>
      </c>
      <c r="AI184" s="173">
        <f t="shared" si="516"/>
        <v>7.4623391930325669</v>
      </c>
      <c r="AJ184" s="173">
        <f t="shared" si="517"/>
        <v>27.559868450956383</v>
      </c>
      <c r="AK184" s="173">
        <f t="shared" si="518"/>
        <v>14.207309963671396</v>
      </c>
      <c r="AM184" s="545">
        <f t="shared" si="519"/>
        <v>7400</v>
      </c>
      <c r="AN184" s="460">
        <f t="shared" si="520"/>
        <v>25.528662316331165</v>
      </c>
      <c r="AP184">
        <f t="shared" si="521"/>
        <v>7400</v>
      </c>
      <c r="AQ184">
        <f t="shared" si="522"/>
        <v>25.528662316331165</v>
      </c>
      <c r="AS184" s="5">
        <f t="shared" si="439"/>
        <v>39.171656846284549</v>
      </c>
      <c r="AT184" s="5">
        <f t="shared" si="523"/>
        <v>18.043988692414093</v>
      </c>
      <c r="AU184" s="5">
        <f t="shared" si="478"/>
        <v>21.127668153870456</v>
      </c>
      <c r="AV184" s="5"/>
      <c r="AW184" s="173">
        <f t="shared" si="479"/>
        <v>0.46063889416833731</v>
      </c>
      <c r="AX184" s="173">
        <f t="shared" si="435"/>
        <v>116.34121354855037</v>
      </c>
      <c r="AY184" s="173">
        <f t="shared" si="436"/>
        <v>7.4323605621414943</v>
      </c>
      <c r="AZ184" s="173">
        <f t="shared" si="440"/>
        <v>15.653332824185382</v>
      </c>
      <c r="BA184" s="460">
        <f t="shared" si="594"/>
        <v>890.17010882576187</v>
      </c>
      <c r="BB184" s="5">
        <f t="shared" si="595"/>
        <v>35.542355373450931</v>
      </c>
      <c r="BD184" s="173">
        <f t="shared" si="441"/>
        <v>10.799330076269074</v>
      </c>
      <c r="BE184" s="173">
        <f t="shared" si="437"/>
        <v>11.685742862499751</v>
      </c>
      <c r="BG184" s="528">
        <f t="shared" si="480"/>
        <v>2.3325106019241959</v>
      </c>
      <c r="BH184" s="528">
        <f t="shared" si="524"/>
        <v>0.45025686245842328</v>
      </c>
      <c r="BI184" s="528">
        <f t="shared" si="525"/>
        <v>1.1697522989405809E-2</v>
      </c>
      <c r="BJ184" s="528">
        <f t="shared" si="481"/>
        <v>2.973964623420013E-3</v>
      </c>
      <c r="BK184">
        <f t="shared" si="482"/>
        <v>8.2478044168655205E-3</v>
      </c>
      <c r="BL184" s="460">
        <f t="shared" si="588"/>
        <v>19.945327406271328</v>
      </c>
      <c r="BM184" s="528">
        <f t="shared" si="526"/>
        <v>7.6616283413094255</v>
      </c>
      <c r="BN184" s="460">
        <f t="shared" si="527"/>
        <v>7661.6283413094252</v>
      </c>
      <c r="BO184" s="528">
        <f t="shared" si="483"/>
        <v>5.18</v>
      </c>
      <c r="BR184" s="460">
        <f t="shared" si="484"/>
        <v>5180</v>
      </c>
      <c r="BS184" s="528">
        <f t="shared" si="485"/>
        <v>3.4987659028862939</v>
      </c>
      <c r="BT184" s="528">
        <f t="shared" si="486"/>
        <v>4.0966975874539164</v>
      </c>
      <c r="BU184" s="528">
        <f t="shared" si="487"/>
        <v>0.65649738676699942</v>
      </c>
      <c r="BV184" s="528"/>
      <c r="BW184" s="528">
        <f t="shared" si="488"/>
        <v>1.9390202258091731E-2</v>
      </c>
      <c r="BX184" s="460">
        <f t="shared" si="489"/>
        <v>8271.3510793653004</v>
      </c>
      <c r="BY184" s="173">
        <f t="shared" si="490"/>
        <v>16.257037835777613</v>
      </c>
      <c r="BZ184" s="5">
        <f t="shared" si="491"/>
        <v>111</v>
      </c>
      <c r="CA184" s="173">
        <f t="shared" si="492"/>
        <v>0.87225038306520264</v>
      </c>
      <c r="CB184" s="5">
        <f t="shared" si="493"/>
        <v>87.225038306520261</v>
      </c>
      <c r="CE184" s="562">
        <f t="shared" si="528"/>
        <v>-50</v>
      </c>
      <c r="CF184">
        <f t="shared" si="529"/>
        <v>-50</v>
      </c>
      <c r="CG184" s="173">
        <f t="shared" si="530"/>
        <v>0.5509676821646553</v>
      </c>
      <c r="CI184" s="170">
        <v>74</v>
      </c>
      <c r="CJ184" s="217">
        <f t="shared" si="589"/>
        <v>7.4</v>
      </c>
      <c r="CK184" s="217"/>
      <c r="CL184" s="217">
        <f t="shared" si="531"/>
        <v>111</v>
      </c>
      <c r="CM184" s="541">
        <f t="shared" si="532"/>
        <v>19</v>
      </c>
      <c r="CN184" s="443">
        <f t="shared" si="533"/>
        <v>15.4</v>
      </c>
      <c r="CO184" s="443">
        <f t="shared" si="534"/>
        <v>34.4</v>
      </c>
      <c r="CP184" s="443"/>
      <c r="CQ184" s="217">
        <f t="shared" si="535"/>
        <v>0.44767441860465118</v>
      </c>
      <c r="CR184" s="172">
        <f t="shared" si="590"/>
        <v>212.84736191860466</v>
      </c>
      <c r="CS184" s="172">
        <f t="shared" si="536"/>
        <v>111</v>
      </c>
      <c r="CT184" s="217">
        <f t="shared" si="537"/>
        <v>14.189824127906977</v>
      </c>
      <c r="CU184" s="217">
        <f t="shared" si="538"/>
        <v>15</v>
      </c>
      <c r="CV184" s="217"/>
      <c r="CW184" s="172">
        <f t="shared" si="539"/>
        <v>45.355290201041733</v>
      </c>
      <c r="CX184" s="536">
        <f t="shared" si="540"/>
        <v>15</v>
      </c>
      <c r="CY184" s="217">
        <f t="shared" si="541"/>
        <v>26.099794941900203</v>
      </c>
      <c r="CZ184" s="217">
        <f t="shared" si="542"/>
        <v>16.484081015936969</v>
      </c>
      <c r="DA184" s="217">
        <f t="shared" si="543"/>
        <v>20.337502552130026</v>
      </c>
      <c r="DB184" s="197">
        <f t="shared" si="544"/>
        <v>70.881782945736433</v>
      </c>
      <c r="DC184" s="443">
        <f t="shared" si="545"/>
        <v>27.157984613872934</v>
      </c>
      <c r="DE184" s="217">
        <f t="shared" si="546"/>
        <v>10.000000000000002</v>
      </c>
      <c r="DF184" s="173">
        <f t="shared" si="547"/>
        <v>7.792207792207793</v>
      </c>
      <c r="DG184" s="173">
        <f t="shared" si="548"/>
        <v>2.7616279069767451</v>
      </c>
      <c r="DH184" s="173"/>
      <c r="DI184" s="173">
        <f t="shared" si="549"/>
        <v>7.7922077922077913</v>
      </c>
      <c r="DJ184" s="545">
        <f t="shared" si="550"/>
        <v>189.93333333333334</v>
      </c>
      <c r="DK184" s="528">
        <f t="shared" si="551"/>
        <v>2.7616279069767442</v>
      </c>
      <c r="DM184" s="173">
        <f t="shared" si="552"/>
        <v>7.3665912514993437</v>
      </c>
      <c r="DN184" s="173">
        <f t="shared" si="553"/>
        <v>26.099794941900203</v>
      </c>
      <c r="DO184" s="173">
        <f t="shared" si="554"/>
        <v>13.125774031037187</v>
      </c>
      <c r="DQ184" s="545">
        <f t="shared" si="555"/>
        <v>7400</v>
      </c>
      <c r="DR184" s="460">
        <f t="shared" si="556"/>
        <v>27.157984613872934</v>
      </c>
      <c r="DT184">
        <f t="shared" si="591"/>
        <v>7400</v>
      </c>
      <c r="DU184">
        <f t="shared" si="592"/>
        <v>27.157984613872934</v>
      </c>
      <c r="DW184" s="5">
        <f t="shared" si="557"/>
        <v>36.821583568066998</v>
      </c>
      <c r="DX184" s="5">
        <f t="shared" si="558"/>
        <v>16.484081015936969</v>
      </c>
      <c r="DY184" s="5">
        <f t="shared" si="559"/>
        <v>20.337502552130029</v>
      </c>
      <c r="DZ184" s="5"/>
      <c r="EA184" s="173">
        <f t="shared" si="560"/>
        <v>0.44767441860465113</v>
      </c>
      <c r="EB184" s="173">
        <f t="shared" si="561"/>
        <v>111</v>
      </c>
      <c r="EC184" s="173">
        <f t="shared" si="562"/>
        <v>7.2077922077922087</v>
      </c>
      <c r="ED184" s="173">
        <f t="shared" si="563"/>
        <v>15.399999999999999</v>
      </c>
      <c r="EE184" s="460">
        <f t="shared" si="564"/>
        <v>813.21466345289048</v>
      </c>
      <c r="EF184" s="5">
        <f t="shared" si="565"/>
        <v>33.003841860912765</v>
      </c>
      <c r="EH184" s="173">
        <f t="shared" si="566"/>
        <v>10.082253365771527</v>
      </c>
      <c r="EI184" s="173">
        <f t="shared" si="567"/>
        <v>11.198865972564745</v>
      </c>
      <c r="EK184" s="528">
        <f t="shared" si="568"/>
        <v>2.0330366586322257</v>
      </c>
      <c r="EL184" s="528">
        <f t="shared" si="569"/>
        <v>0.48766666666666664</v>
      </c>
      <c r="EM184" s="528">
        <f t="shared" si="570"/>
        <v>3.3947480767341164E-3</v>
      </c>
      <c r="EN184" s="528">
        <f t="shared" si="571"/>
        <v>3.2137672672672671E-3</v>
      </c>
      <c r="EO184">
        <f t="shared" si="572"/>
        <v>8.5500000000000003E-3</v>
      </c>
      <c r="EP184" s="460">
        <f t="shared" si="573"/>
        <v>11.944748076734117</v>
      </c>
      <c r="EQ184" s="460"/>
      <c r="ER184" s="460">
        <f t="shared" si="593"/>
        <v>2535.8618406428936</v>
      </c>
      <c r="ES184" s="528">
        <f t="shared" si="574"/>
        <v>5.18</v>
      </c>
      <c r="EV184" s="460">
        <f t="shared" si="494"/>
        <v>5180</v>
      </c>
      <c r="EW184" s="528">
        <f t="shared" si="575"/>
        <v>3.0495549879483383</v>
      </c>
      <c r="EX184" s="528">
        <f t="shared" si="576"/>
        <v>3.7624379721440548</v>
      </c>
      <c r="EY184" s="528">
        <f t="shared" si="577"/>
        <v>0.66881589702681354</v>
      </c>
      <c r="EZ184" s="528"/>
      <c r="FA184" s="528">
        <f t="shared" si="578"/>
        <v>1.8499999999999999E-2</v>
      </c>
      <c r="FB184" s="460">
        <f t="shared" si="579"/>
        <v>7499.3088571192066</v>
      </c>
      <c r="FC184" s="173">
        <f t="shared" si="580"/>
        <v>15.215170697762099</v>
      </c>
      <c r="FD184" s="5">
        <f t="shared" si="581"/>
        <v>111</v>
      </c>
      <c r="FE184" s="173">
        <f t="shared" si="582"/>
        <v>0.87945053979131627</v>
      </c>
      <c r="FF184" s="5">
        <f t="shared" si="583"/>
        <v>87.945053979131629</v>
      </c>
      <c r="FI184" s="562">
        <f t="shared" si="584"/>
        <v>-50</v>
      </c>
      <c r="FJ184">
        <f t="shared" si="585"/>
        <v>-50</v>
      </c>
      <c r="FL184">
        <f t="shared" si="586"/>
        <v>0.55232558139534893</v>
      </c>
    </row>
    <row r="185" spans="5:168">
      <c r="E185" s="170">
        <v>75</v>
      </c>
      <c r="F185" s="217">
        <f t="shared" si="587"/>
        <v>7.5</v>
      </c>
      <c r="G185" s="217"/>
      <c r="H185" s="217">
        <f t="shared" si="495"/>
        <v>112.5</v>
      </c>
      <c r="I185" s="541">
        <f t="shared" si="496"/>
        <v>18.319401682373975</v>
      </c>
      <c r="J185" s="172">
        <f t="shared" si="497"/>
        <v>15.808358990575615</v>
      </c>
      <c r="K185" s="172">
        <f t="shared" si="498"/>
        <v>34.127760672949591</v>
      </c>
      <c r="L185" s="443"/>
      <c r="M185" s="217">
        <f t="shared" si="499"/>
        <v>0.46319556093781761</v>
      </c>
      <c r="N185" s="172">
        <f t="shared" si="500"/>
        <v>212.33816826434523</v>
      </c>
      <c r="O185" s="172">
        <f t="shared" si="438"/>
        <v>112.5</v>
      </c>
      <c r="P185" s="217">
        <f t="shared" si="501"/>
        <v>14.155877884289682</v>
      </c>
      <c r="Q185" s="217">
        <f t="shared" si="502"/>
        <v>15</v>
      </c>
      <c r="R185" s="217"/>
      <c r="S185" s="172">
        <f t="shared" si="503"/>
        <v>42.914446496911829</v>
      </c>
      <c r="T185" s="536">
        <f t="shared" si="504"/>
        <v>15</v>
      </c>
      <c r="U185" s="217">
        <f t="shared" si="505"/>
        <v>27.943137031812864</v>
      </c>
      <c r="V185" s="217">
        <f t="shared" si="506"/>
        <v>18.303962661858137</v>
      </c>
      <c r="W185" s="217">
        <f t="shared" si="507"/>
        <v>21.211413821109382</v>
      </c>
      <c r="X185" s="197">
        <f t="shared" si="508"/>
        <v>70.714591429635789</v>
      </c>
      <c r="Y185" s="443">
        <f t="shared" si="509"/>
        <v>25.179164559320334</v>
      </c>
      <c r="AA185" s="217">
        <f t="shared" si="510"/>
        <v>9.9999999999999982</v>
      </c>
      <c r="AB185" s="173">
        <f t="shared" si="511"/>
        <v>7.5909207319709617</v>
      </c>
      <c r="AC185" s="173">
        <f t="shared" si="512"/>
        <v>2.6839442906803916</v>
      </c>
      <c r="AD185" s="173"/>
      <c r="AE185" s="173">
        <f t="shared" si="513"/>
        <v>7.5909207319709635</v>
      </c>
      <c r="AF185" s="545">
        <f t="shared" si="514"/>
        <v>197.60448738219517</v>
      </c>
      <c r="AG185" s="528">
        <f t="shared" si="515"/>
        <v>2.6839442906803925</v>
      </c>
      <c r="AI185" s="173">
        <f t="shared" si="516"/>
        <v>7.5138821501499136</v>
      </c>
      <c r="AJ185" s="173">
        <f t="shared" si="517"/>
        <v>27.943137031812864</v>
      </c>
      <c r="AK185" s="173">
        <f t="shared" si="518"/>
        <v>14.491212616157677</v>
      </c>
      <c r="AM185" s="545">
        <f t="shared" si="519"/>
        <v>7500</v>
      </c>
      <c r="AN185" s="460">
        <f t="shared" si="520"/>
        <v>25.179164559320334</v>
      </c>
      <c r="AP185">
        <f t="shared" si="521"/>
        <v>7500</v>
      </c>
      <c r="AQ185">
        <f t="shared" si="522"/>
        <v>25.179164559320334</v>
      </c>
      <c r="AS185" s="5">
        <f t="shared" si="439"/>
        <v>39.715376482967514</v>
      </c>
      <c r="AT185" s="5">
        <f t="shared" si="523"/>
        <v>18.303962661858137</v>
      </c>
      <c r="AU185" s="5">
        <f t="shared" si="478"/>
        <v>21.411413821109377</v>
      </c>
      <c r="AV185" s="5"/>
      <c r="AW185" s="173">
        <f t="shared" si="479"/>
        <v>0.46087848795058112</v>
      </c>
      <c r="AX185" s="173">
        <f t="shared" si="435"/>
        <v>117.96220652928261</v>
      </c>
      <c r="AY185" s="173">
        <f t="shared" si="436"/>
        <v>7.5323731439975301</v>
      </c>
      <c r="AZ185" s="173">
        <f t="shared" si="440"/>
        <v>15.66069607468736</v>
      </c>
      <c r="BA185" s="460">
        <f t="shared" si="594"/>
        <v>915.19813309290691</v>
      </c>
      <c r="BB185" s="5">
        <f t="shared" si="595"/>
        <v>36.524483359816799</v>
      </c>
      <c r="BD185" s="173">
        <f t="shared" si="441"/>
        <v>10.952361043837858</v>
      </c>
      <c r="BE185" s="173">
        <f t="shared" si="437"/>
        <v>11.845621833613466</v>
      </c>
      <c r="BG185" s="528">
        <f t="shared" si="480"/>
        <v>2.3990842486915418</v>
      </c>
      <c r="BH185" s="528">
        <f t="shared" si="524"/>
        <v>0.45022078546302668</v>
      </c>
      <c r="BI185" s="528">
        <f t="shared" si="525"/>
        <v>1.1531680739719602E-2</v>
      </c>
      <c r="BJ185" s="528">
        <f t="shared" si="481"/>
        <v>2.9326274901350213E-3</v>
      </c>
      <c r="BK185">
        <f t="shared" si="482"/>
        <v>8.2437307570682877E-3</v>
      </c>
      <c r="BL185" s="460">
        <f t="shared" si="588"/>
        <v>19.775411496787889</v>
      </c>
      <c r="BM185" s="528">
        <f t="shared" si="526"/>
        <v>8.1399369435795581</v>
      </c>
      <c r="BN185" s="460">
        <f t="shared" si="527"/>
        <v>8139.9369435795579</v>
      </c>
      <c r="BO185" s="528">
        <f t="shared" si="483"/>
        <v>5.25</v>
      </c>
      <c r="BR185" s="460">
        <f t="shared" si="484"/>
        <v>5250</v>
      </c>
      <c r="BS185" s="528">
        <f t="shared" si="485"/>
        <v>3.5986263730373125</v>
      </c>
      <c r="BT185" s="528">
        <f t="shared" si="486"/>
        <v>4.2095626987494015</v>
      </c>
      <c r="BU185" s="528">
        <f t="shared" si="487"/>
        <v>0.65654000797629219</v>
      </c>
      <c r="BV185" s="528"/>
      <c r="BW185" s="528">
        <f t="shared" si="488"/>
        <v>1.9660367754880441E-2</v>
      </c>
      <c r="BX185" s="460">
        <f t="shared" si="489"/>
        <v>8484.3894475178877</v>
      </c>
      <c r="BY185" s="173">
        <f t="shared" si="490"/>
        <v>16.60640252065938</v>
      </c>
      <c r="BZ185" s="5">
        <f t="shared" si="491"/>
        <v>112.5</v>
      </c>
      <c r="CA185" s="173">
        <f t="shared" si="492"/>
        <v>0.87137429130982058</v>
      </c>
      <c r="CB185" s="5">
        <f t="shared" si="493"/>
        <v>87.137429130982056</v>
      </c>
      <c r="CE185" s="562">
        <f t="shared" si="528"/>
        <v>-50</v>
      </c>
      <c r="CF185">
        <f t="shared" si="529"/>
        <v>-50</v>
      </c>
      <c r="CG185" s="173">
        <f t="shared" si="530"/>
        <v>0.55098578748773097</v>
      </c>
      <c r="CI185" s="170">
        <v>75</v>
      </c>
      <c r="CJ185" s="217">
        <f t="shared" si="589"/>
        <v>7.5</v>
      </c>
      <c r="CK185" s="217"/>
      <c r="CL185" s="217">
        <f t="shared" si="531"/>
        <v>112.5</v>
      </c>
      <c r="CM185" s="541">
        <f t="shared" si="532"/>
        <v>19</v>
      </c>
      <c r="CN185" s="443">
        <f t="shared" si="533"/>
        <v>15.4</v>
      </c>
      <c r="CO185" s="443">
        <f t="shared" si="534"/>
        <v>34.4</v>
      </c>
      <c r="CP185" s="443"/>
      <c r="CQ185" s="217">
        <f t="shared" si="535"/>
        <v>0.44767441860465118</v>
      </c>
      <c r="CR185" s="172">
        <f t="shared" si="590"/>
        <v>212.84736191860466</v>
      </c>
      <c r="CS185" s="172">
        <f t="shared" si="536"/>
        <v>112.5</v>
      </c>
      <c r="CT185" s="217">
        <f t="shared" si="537"/>
        <v>14.189824127906977</v>
      </c>
      <c r="CU185" s="217">
        <f t="shared" si="538"/>
        <v>15</v>
      </c>
      <c r="CV185" s="217"/>
      <c r="CW185" s="172">
        <f t="shared" si="539"/>
        <v>44.502588608707946</v>
      </c>
      <c r="CX185" s="536">
        <f t="shared" si="540"/>
        <v>15</v>
      </c>
      <c r="CY185" s="217">
        <f t="shared" si="541"/>
        <v>26.452494873547504</v>
      </c>
      <c r="CZ185" s="217">
        <f t="shared" si="542"/>
        <v>16.706838867503688</v>
      </c>
      <c r="DA185" s="217">
        <f t="shared" si="543"/>
        <v>20.612333667699353</v>
      </c>
      <c r="DB185" s="197">
        <f t="shared" si="544"/>
        <v>70.881782945736433</v>
      </c>
      <c r="DC185" s="443">
        <f t="shared" si="545"/>
        <v>26.795878152354632</v>
      </c>
      <c r="DE185" s="217">
        <f t="shared" si="546"/>
        <v>10.000000000000002</v>
      </c>
      <c r="DF185" s="173">
        <f t="shared" si="547"/>
        <v>7.792207792207793</v>
      </c>
      <c r="DG185" s="173">
        <f t="shared" si="548"/>
        <v>2.7616279069767451</v>
      </c>
      <c r="DH185" s="173"/>
      <c r="DI185" s="173">
        <f t="shared" si="549"/>
        <v>7.7922077922077913</v>
      </c>
      <c r="DJ185" s="545">
        <f t="shared" si="550"/>
        <v>192.5</v>
      </c>
      <c r="DK185" s="528">
        <f t="shared" si="551"/>
        <v>2.7616279069767442</v>
      </c>
      <c r="DM185" s="173">
        <f t="shared" si="552"/>
        <v>7.4161984870956639</v>
      </c>
      <c r="DN185" s="173">
        <f t="shared" si="553"/>
        <v>26.452494873547504</v>
      </c>
      <c r="DO185" s="173">
        <f t="shared" si="554"/>
        <v>13.387033239664817</v>
      </c>
      <c r="DQ185" s="545">
        <f t="shared" si="555"/>
        <v>7500</v>
      </c>
      <c r="DR185" s="460">
        <f t="shared" si="556"/>
        <v>26.795878152354632</v>
      </c>
      <c r="DT185">
        <f t="shared" si="591"/>
        <v>7500</v>
      </c>
      <c r="DU185">
        <f t="shared" si="592"/>
        <v>26.795878152354632</v>
      </c>
      <c r="DW185" s="5">
        <f t="shared" si="557"/>
        <v>37.31917253520303</v>
      </c>
      <c r="DX185" s="5">
        <f t="shared" si="558"/>
        <v>16.706838867503688</v>
      </c>
      <c r="DY185" s="5">
        <f t="shared" si="559"/>
        <v>20.612333667699342</v>
      </c>
      <c r="DZ185" s="5"/>
      <c r="EA185" s="173">
        <f t="shared" si="560"/>
        <v>0.44767441860465129</v>
      </c>
      <c r="EB185" s="173">
        <f t="shared" si="561"/>
        <v>112.50000000000001</v>
      </c>
      <c r="EC185" s="173">
        <f t="shared" si="562"/>
        <v>7.3051948051948035</v>
      </c>
      <c r="ED185" s="173">
        <f t="shared" si="563"/>
        <v>15.400000000000006</v>
      </c>
      <c r="EE185" s="460">
        <f t="shared" si="564"/>
        <v>835.34194337518443</v>
      </c>
      <c r="EF185" s="5">
        <f t="shared" si="565"/>
        <v>33.901864585031817</v>
      </c>
      <c r="EH185" s="173">
        <f t="shared" si="566"/>
        <v>10.218500032876552</v>
      </c>
      <c r="EI185" s="173">
        <f t="shared" si="567"/>
        <v>11.350201999221024</v>
      </c>
      <c r="EK185" s="528">
        <f t="shared" si="568"/>
        <v>2.0883548584379619</v>
      </c>
      <c r="EL185" s="528">
        <f t="shared" si="569"/>
        <v>0.48766666666666675</v>
      </c>
      <c r="EM185" s="528">
        <f t="shared" si="570"/>
        <v>3.3494847690443289E-3</v>
      </c>
      <c r="EN185" s="528">
        <f t="shared" si="571"/>
        <v>3.1709170370370376E-3</v>
      </c>
      <c r="EO185">
        <f t="shared" si="572"/>
        <v>8.5500000000000003E-3</v>
      </c>
      <c r="EP185" s="460">
        <f t="shared" si="573"/>
        <v>11.89948476904433</v>
      </c>
      <c r="EQ185" s="460"/>
      <c r="ER185" s="460">
        <f t="shared" si="593"/>
        <v>2591.0919269107098</v>
      </c>
      <c r="ES185" s="528">
        <f t="shared" si="574"/>
        <v>5.25</v>
      </c>
      <c r="EV185" s="460">
        <f t="shared" si="494"/>
        <v>5250</v>
      </c>
      <c r="EW185" s="528">
        <f t="shared" si="575"/>
        <v>3.1325322876569426</v>
      </c>
      <c r="EX185" s="528">
        <f t="shared" si="576"/>
        <v>3.8648125626936278</v>
      </c>
      <c r="EY185" s="528">
        <f t="shared" si="577"/>
        <v>0.66881589702681343</v>
      </c>
      <c r="EZ185" s="528"/>
      <c r="FA185" s="528">
        <f t="shared" si="578"/>
        <v>1.8750000000000003E-2</v>
      </c>
      <c r="FB185" s="460">
        <f t="shared" si="579"/>
        <v>7684.9107473773838</v>
      </c>
      <c r="FC185" s="173">
        <f t="shared" si="580"/>
        <v>15.526002674288096</v>
      </c>
      <c r="FD185" s="5">
        <f t="shared" si="581"/>
        <v>112.5</v>
      </c>
      <c r="FE185" s="173">
        <f t="shared" si="582"/>
        <v>0.87872774006864907</v>
      </c>
      <c r="FF185" s="5">
        <f t="shared" si="583"/>
        <v>87.872774006864901</v>
      </c>
      <c r="FI185" s="562">
        <f t="shared" si="584"/>
        <v>-50</v>
      </c>
      <c r="FJ185">
        <f t="shared" si="585"/>
        <v>-50</v>
      </c>
      <c r="FL185">
        <f t="shared" si="586"/>
        <v>0.55232558139534871</v>
      </c>
    </row>
    <row r="186" spans="5:168">
      <c r="E186" s="170">
        <v>76</v>
      </c>
      <c r="F186" s="217">
        <f t="shared" si="587"/>
        <v>7.6</v>
      </c>
      <c r="G186" s="217"/>
      <c r="H186" s="217">
        <f t="shared" si="495"/>
        <v>114</v>
      </c>
      <c r="I186" s="541">
        <f t="shared" si="496"/>
        <v>18.310349103615689</v>
      </c>
      <c r="J186" s="172">
        <f t="shared" si="497"/>
        <v>15.813790537830586</v>
      </c>
      <c r="K186" s="172">
        <f t="shared" si="498"/>
        <v>34.124139641446277</v>
      </c>
      <c r="L186" s="443"/>
      <c r="M186" s="217">
        <f t="shared" si="499"/>
        <v>0.46340388901341106</v>
      </c>
      <c r="N186" s="172">
        <f t="shared" si="500"/>
        <v>212.32869541108383</v>
      </c>
      <c r="O186" s="172">
        <f t="shared" si="438"/>
        <v>114</v>
      </c>
      <c r="P186" s="217">
        <f t="shared" si="501"/>
        <v>14.155246360738921</v>
      </c>
      <c r="Q186" s="217">
        <f t="shared" si="502"/>
        <v>15</v>
      </c>
      <c r="R186" s="217"/>
      <c r="S186" s="172">
        <f t="shared" si="503"/>
        <v>42.093421796881273</v>
      </c>
      <c r="T186" s="536">
        <f t="shared" si="504"/>
        <v>15</v>
      </c>
      <c r="U186" s="217">
        <f t="shared" si="505"/>
        <v>28.326705484415797</v>
      </c>
      <c r="V186" s="217">
        <f t="shared" si="506"/>
        <v>18.564390219401471</v>
      </c>
      <c r="W186" s="217">
        <f t="shared" si="507"/>
        <v>21.49519212359705</v>
      </c>
      <c r="X186" s="197">
        <f t="shared" si="508"/>
        <v>70.711434886855841</v>
      </c>
      <c r="Y186" s="443">
        <f t="shared" si="509"/>
        <v>24.838807106351123</v>
      </c>
      <c r="AA186" s="217">
        <f t="shared" si="510"/>
        <v>10</v>
      </c>
      <c r="AB186" s="173">
        <f t="shared" si="511"/>
        <v>7.5883134858103531</v>
      </c>
      <c r="AC186" s="173">
        <f t="shared" si="512"/>
        <v>2.6829026747646445</v>
      </c>
      <c r="AD186" s="173"/>
      <c r="AE186" s="173">
        <f t="shared" si="513"/>
        <v>7.5883134858103531</v>
      </c>
      <c r="AF186" s="545">
        <f t="shared" si="514"/>
        <v>200.30801347918742</v>
      </c>
      <c r="AG186" s="528">
        <f t="shared" si="515"/>
        <v>2.6829026747646445</v>
      </c>
      <c r="AI186" s="173">
        <f t="shared" si="516"/>
        <v>7.565108128378176</v>
      </c>
      <c r="AJ186" s="173">
        <f t="shared" si="517"/>
        <v>28.326705484415797</v>
      </c>
      <c r="AK186" s="173">
        <f t="shared" si="518"/>
        <v>14.775337395863554</v>
      </c>
      <c r="AM186" s="545">
        <f t="shared" si="519"/>
        <v>7600</v>
      </c>
      <c r="AN186" s="460">
        <f t="shared" si="520"/>
        <v>24.838807106351123</v>
      </c>
      <c r="AP186">
        <f t="shared" si="521"/>
        <v>7600</v>
      </c>
      <c r="AQ186">
        <f t="shared" si="522"/>
        <v>24.838807106351123</v>
      </c>
      <c r="AS186" s="5">
        <f t="shared" si="439"/>
        <v>40.259582342998527</v>
      </c>
      <c r="AT186" s="5">
        <f t="shared" si="523"/>
        <v>18.564390219401471</v>
      </c>
      <c r="AU186" s="5">
        <f t="shared" si="478"/>
        <v>21.695192123597057</v>
      </c>
      <c r="AV186" s="5"/>
      <c r="AW186" s="173">
        <f t="shared" si="479"/>
        <v>0.46111730770674453</v>
      </c>
      <c r="AX186" s="173">
        <f t="shared" si="435"/>
        <v>119.58428730302658</v>
      </c>
      <c r="AY186" s="173">
        <f t="shared" si="436"/>
        <v>7.6323856576200546</v>
      </c>
      <c r="AZ186" s="173">
        <f t="shared" si="440"/>
        <v>15.668009016766009</v>
      </c>
      <c r="BA186" s="460">
        <f t="shared" si="594"/>
        <v>940.59577111634121</v>
      </c>
      <c r="BB186" s="5">
        <f t="shared" si="595"/>
        <v>37.520552631712377</v>
      </c>
      <c r="BD186" s="173">
        <f t="shared" si="441"/>
        <v>11.105577611678843</v>
      </c>
      <c r="BE186" s="173">
        <f t="shared" si="437"/>
        <v>12.005563728729623</v>
      </c>
      <c r="BG186" s="528">
        <f t="shared" si="480"/>
        <v>2.4666770817804471</v>
      </c>
      <c r="BH186" s="528">
        <f t="shared" si="524"/>
        <v>0.45018371897946613</v>
      </c>
      <c r="BI186" s="528">
        <f t="shared" si="525"/>
        <v>1.1370180735866481E-2</v>
      </c>
      <c r="BJ186" s="528">
        <f t="shared" si="481"/>
        <v>2.8923720478472221E-3</v>
      </c>
      <c r="BK186">
        <f t="shared" si="482"/>
        <v>8.2396570966270597E-3</v>
      </c>
      <c r="BL186" s="460">
        <f t="shared" si="588"/>
        <v>19.60983783249354</v>
      </c>
      <c r="BM186" s="528">
        <f t="shared" si="526"/>
        <v>8.6629721263726172</v>
      </c>
      <c r="BN186" s="460">
        <f t="shared" si="527"/>
        <v>8662.9721263726169</v>
      </c>
      <c r="BO186" s="528">
        <f t="shared" si="483"/>
        <v>5.3199999999999994</v>
      </c>
      <c r="BR186" s="460">
        <f t="shared" si="484"/>
        <v>5319.9999999999991</v>
      </c>
      <c r="BS186" s="528">
        <f t="shared" si="485"/>
        <v>3.7000156226706706</v>
      </c>
      <c r="BT186" s="528">
        <f t="shared" si="486"/>
        <v>4.3240068133376495</v>
      </c>
      <c r="BU186" s="528">
        <f t="shared" si="487"/>
        <v>0.65657903206854462</v>
      </c>
      <c r="BV186" s="528"/>
      <c r="BW186" s="528">
        <f t="shared" si="488"/>
        <v>1.9930714550504432E-2</v>
      </c>
      <c r="BX186" s="460">
        <f t="shared" si="489"/>
        <v>8700.5321826273685</v>
      </c>
      <c r="BY186" s="173">
        <f t="shared" si="490"/>
        <v>16.959895193267624</v>
      </c>
      <c r="BZ186" s="5">
        <f t="shared" si="491"/>
        <v>114</v>
      </c>
      <c r="CA186" s="173">
        <f t="shared" si="492"/>
        <v>0.87049550422869082</v>
      </c>
      <c r="CB186" s="5">
        <f t="shared" si="493"/>
        <v>87.049550422869089</v>
      </c>
      <c r="CE186" s="562">
        <f t="shared" si="528"/>
        <v>-50</v>
      </c>
      <c r="CF186">
        <f t="shared" si="529"/>
        <v>-50</v>
      </c>
      <c r="CG186" s="173">
        <f t="shared" si="530"/>
        <v>0.55100341635493666</v>
      </c>
      <c r="CI186" s="170">
        <v>76</v>
      </c>
      <c r="CJ186" s="217">
        <f t="shared" si="589"/>
        <v>7.6</v>
      </c>
      <c r="CK186" s="217"/>
      <c r="CL186" s="217">
        <f t="shared" si="531"/>
        <v>114</v>
      </c>
      <c r="CM186" s="541">
        <f t="shared" si="532"/>
        <v>19</v>
      </c>
      <c r="CN186" s="443">
        <f t="shared" si="533"/>
        <v>15.4</v>
      </c>
      <c r="CO186" s="443">
        <f t="shared" si="534"/>
        <v>34.4</v>
      </c>
      <c r="CP186" s="443"/>
      <c r="CQ186" s="217">
        <f t="shared" si="535"/>
        <v>0.44767441860465118</v>
      </c>
      <c r="CR186" s="172">
        <f t="shared" si="590"/>
        <v>212.84736191860466</v>
      </c>
      <c r="CS186" s="172">
        <f t="shared" si="536"/>
        <v>114</v>
      </c>
      <c r="CT186" s="217">
        <f t="shared" si="537"/>
        <v>14.189824127906977</v>
      </c>
      <c r="CU186" s="217">
        <f t="shared" si="538"/>
        <v>15</v>
      </c>
      <c r="CV186" s="217"/>
      <c r="CW186" s="172">
        <f t="shared" si="539"/>
        <v>43.672443355108854</v>
      </c>
      <c r="CX186" s="536">
        <f t="shared" si="540"/>
        <v>15</v>
      </c>
      <c r="CY186" s="217">
        <f t="shared" si="541"/>
        <v>26.805194805194805</v>
      </c>
      <c r="CZ186" s="217">
        <f t="shared" si="542"/>
        <v>16.929596719070403</v>
      </c>
      <c r="DA186" s="217">
        <f t="shared" si="543"/>
        <v>20.88716478326868</v>
      </c>
      <c r="DB186" s="197">
        <f t="shared" si="544"/>
        <v>70.881782945736433</v>
      </c>
      <c r="DC186" s="443">
        <f t="shared" si="545"/>
        <v>26.443300808244697</v>
      </c>
      <c r="DE186" s="217">
        <f t="shared" si="546"/>
        <v>10.000000000000002</v>
      </c>
      <c r="DF186" s="173">
        <f t="shared" si="547"/>
        <v>7.792207792207793</v>
      </c>
      <c r="DG186" s="173">
        <f t="shared" si="548"/>
        <v>2.7616279069767451</v>
      </c>
      <c r="DH186" s="173"/>
      <c r="DI186" s="173">
        <f t="shared" si="549"/>
        <v>7.7922077922077913</v>
      </c>
      <c r="DJ186" s="545">
        <f t="shared" si="550"/>
        <v>195.06666666666666</v>
      </c>
      <c r="DK186" s="528">
        <f t="shared" si="551"/>
        <v>2.7616279069767442</v>
      </c>
      <c r="DM186" s="173">
        <f t="shared" si="552"/>
        <v>7.4654760955570234</v>
      </c>
      <c r="DN186" s="173">
        <f t="shared" si="553"/>
        <v>26.805194805194805</v>
      </c>
      <c r="DO186" s="173">
        <f t="shared" si="554"/>
        <v>13.648292448292448</v>
      </c>
      <c r="DQ186" s="545">
        <f t="shared" si="555"/>
        <v>7600</v>
      </c>
      <c r="DR186" s="460">
        <f t="shared" si="556"/>
        <v>26.443300808244697</v>
      </c>
      <c r="DT186">
        <f t="shared" si="591"/>
        <v>7600</v>
      </c>
      <c r="DU186">
        <f t="shared" si="592"/>
        <v>26.443300808244697</v>
      </c>
      <c r="DW186" s="5">
        <f t="shared" si="557"/>
        <v>37.816761502339084</v>
      </c>
      <c r="DX186" s="5">
        <f t="shared" si="558"/>
        <v>16.929596719070403</v>
      </c>
      <c r="DY186" s="5">
        <f t="shared" si="559"/>
        <v>20.88716478326868</v>
      </c>
      <c r="DZ186" s="5"/>
      <c r="EA186" s="173">
        <f t="shared" si="560"/>
        <v>0.44767441860465113</v>
      </c>
      <c r="EB186" s="173">
        <f t="shared" si="561"/>
        <v>114</v>
      </c>
      <c r="EC186" s="173">
        <f t="shared" si="562"/>
        <v>7.4025974025974035</v>
      </c>
      <c r="ED186" s="173">
        <f t="shared" si="563"/>
        <v>15.399999999999999</v>
      </c>
      <c r="EE186" s="460">
        <f t="shared" si="564"/>
        <v>857.76623376623377</v>
      </c>
      <c r="EF186" s="5">
        <f t="shared" si="565"/>
        <v>34.811941305447803</v>
      </c>
      <c r="EH186" s="173">
        <f t="shared" si="566"/>
        <v>10.35474669998157</v>
      </c>
      <c r="EI186" s="173">
        <f t="shared" si="567"/>
        <v>11.501538025877306</v>
      </c>
      <c r="EK186" s="528">
        <f t="shared" si="568"/>
        <v>2.1444155844155843</v>
      </c>
      <c r="EL186" s="528">
        <f t="shared" si="569"/>
        <v>0.48766666666666664</v>
      </c>
      <c r="EM186" s="528">
        <f t="shared" si="570"/>
        <v>3.3054126010305866E-3</v>
      </c>
      <c r="EN186" s="528">
        <f t="shared" si="571"/>
        <v>3.1291944444444444E-3</v>
      </c>
      <c r="EO186">
        <f t="shared" si="572"/>
        <v>8.5500000000000003E-3</v>
      </c>
      <c r="EP186" s="460">
        <f t="shared" si="573"/>
        <v>11.855412601030586</v>
      </c>
      <c r="EQ186" s="460"/>
      <c r="ER186" s="460">
        <f t="shared" si="593"/>
        <v>2647.0668581277264</v>
      </c>
      <c r="ES186" s="528">
        <f t="shared" si="574"/>
        <v>5.3199999999999994</v>
      </c>
      <c r="EV186" s="460">
        <f t="shared" si="494"/>
        <v>5319.9999999999991</v>
      </c>
      <c r="EW186" s="528">
        <f t="shared" si="575"/>
        <v>3.2166233766233767</v>
      </c>
      <c r="EX186" s="528">
        <f t="shared" si="576"/>
        <v>3.9685613088210485</v>
      </c>
      <c r="EY186" s="528">
        <f t="shared" si="577"/>
        <v>0.66881589702681343</v>
      </c>
      <c r="EZ186" s="528"/>
      <c r="FA186" s="528">
        <f t="shared" si="578"/>
        <v>1.9E-2</v>
      </c>
      <c r="FB186" s="460">
        <f t="shared" si="579"/>
        <v>7873.0005824712389</v>
      </c>
      <c r="FC186" s="173">
        <f t="shared" si="580"/>
        <v>15.840067440598965</v>
      </c>
      <c r="FD186" s="5">
        <f t="shared" si="581"/>
        <v>114</v>
      </c>
      <c r="FE186" s="173">
        <f t="shared" si="582"/>
        <v>0.8780032408112719</v>
      </c>
      <c r="FF186" s="5">
        <f t="shared" si="583"/>
        <v>87.800324081127187</v>
      </c>
      <c r="FI186" s="562">
        <f t="shared" si="584"/>
        <v>-50</v>
      </c>
      <c r="FJ186">
        <f t="shared" si="585"/>
        <v>-50</v>
      </c>
      <c r="FL186">
        <f t="shared" si="586"/>
        <v>0.55232558139534893</v>
      </c>
    </row>
    <row r="187" spans="5:168">
      <c r="E187" s="170">
        <v>77</v>
      </c>
      <c r="F187" s="217">
        <f t="shared" si="587"/>
        <v>7.7</v>
      </c>
      <c r="G187" s="217"/>
      <c r="H187" s="217">
        <f t="shared" si="495"/>
        <v>115.5</v>
      </c>
      <c r="I187" s="541">
        <f t="shared" si="496"/>
        <v>18.301296523482186</v>
      </c>
      <c r="J187" s="172">
        <f t="shared" si="497"/>
        <v>15.819222085910688</v>
      </c>
      <c r="K187" s="172">
        <f t="shared" si="498"/>
        <v>34.120518609392875</v>
      </c>
      <c r="L187" s="443"/>
      <c r="M187" s="217">
        <f t="shared" si="499"/>
        <v>0.46361226132611716</v>
      </c>
      <c r="N187" s="172">
        <f t="shared" si="500"/>
        <v>212.31914841611277</v>
      </c>
      <c r="O187" s="172">
        <f t="shared" si="438"/>
        <v>115.5</v>
      </c>
      <c r="P187" s="217">
        <f t="shared" si="501"/>
        <v>14.154609894407518</v>
      </c>
      <c r="Q187" s="217">
        <f t="shared" si="502"/>
        <v>15</v>
      </c>
      <c r="R187" s="217"/>
      <c r="S187" s="172">
        <f t="shared" si="503"/>
        <v>41.294074338818128</v>
      </c>
      <c r="T187" s="536">
        <f t="shared" si="504"/>
        <v>15</v>
      </c>
      <c r="U187" s="217">
        <f t="shared" si="505"/>
        <v>28.710574253754544</v>
      </c>
      <c r="V187" s="217">
        <f t="shared" si="506"/>
        <v>18.825272329913677</v>
      </c>
      <c r="W187" s="217">
        <f t="shared" si="507"/>
        <v>21.779003365273297</v>
      </c>
      <c r="X187" s="197">
        <f t="shared" si="508"/>
        <v>70.708253656049706</v>
      </c>
      <c r="Y187" s="443">
        <f t="shared" si="509"/>
        <v>24.507235650256966</v>
      </c>
      <c r="AA187" s="217">
        <f t="shared" si="510"/>
        <v>10</v>
      </c>
      <c r="AB187" s="173">
        <f t="shared" si="511"/>
        <v>7.5857080296557315</v>
      </c>
      <c r="AC187" s="173">
        <f t="shared" si="512"/>
        <v>2.6818608376081525</v>
      </c>
      <c r="AD187" s="173"/>
      <c r="AE187" s="173">
        <f t="shared" si="513"/>
        <v>7.5857080296557315</v>
      </c>
      <c r="AF187" s="545">
        <f t="shared" si="514"/>
        <v>203.01335010252052</v>
      </c>
      <c r="AG187" s="528">
        <f t="shared" si="515"/>
        <v>2.6818608376081525</v>
      </c>
      <c r="AI187" s="173">
        <f t="shared" si="516"/>
        <v>7.6160235237954623</v>
      </c>
      <c r="AJ187" s="173">
        <f t="shared" si="517"/>
        <v>28.710574253754544</v>
      </c>
      <c r="AK187" s="173">
        <f t="shared" si="518"/>
        <v>15.059684632410773</v>
      </c>
      <c r="AM187" s="545">
        <f t="shared" si="519"/>
        <v>7700</v>
      </c>
      <c r="AN187" s="460">
        <f t="shared" si="520"/>
        <v>24.507235650256966</v>
      </c>
      <c r="AP187">
        <f t="shared" si="521"/>
        <v>7700</v>
      </c>
      <c r="AQ187">
        <f t="shared" si="522"/>
        <v>24.507235650256966</v>
      </c>
      <c r="AS187" s="5">
        <f t="shared" si="439"/>
        <v>40.804275695186973</v>
      </c>
      <c r="AT187" s="5">
        <f t="shared" si="523"/>
        <v>18.825272329913677</v>
      </c>
      <c r="AU187" s="5">
        <f t="shared" si="478"/>
        <v>21.979003365273297</v>
      </c>
      <c r="AV187" s="5"/>
      <c r="AW187" s="173">
        <f t="shared" si="479"/>
        <v>0.46135538516945646</v>
      </c>
      <c r="AX187" s="173">
        <f t="shared" si="435"/>
        <v>121.2074558271229</v>
      </c>
      <c r="AY187" s="173">
        <f t="shared" si="436"/>
        <v>7.7323981052386674</v>
      </c>
      <c r="AZ187" s="173">
        <f t="shared" si="440"/>
        <v>15.675273592678234</v>
      </c>
      <c r="BA187" s="460">
        <f t="shared" si="594"/>
        <v>966.36397960223542</v>
      </c>
      <c r="BB187" s="5">
        <f t="shared" si="595"/>
        <v>38.530586638915764</v>
      </c>
      <c r="BD187" s="173">
        <f t="shared" si="441"/>
        <v>11.25898003166453</v>
      </c>
      <c r="BE187" s="173">
        <f t="shared" si="437"/>
        <v>12.165568625155332</v>
      </c>
      <c r="BG187" s="528">
        <f t="shared" si="480"/>
        <v>2.5352926270684124</v>
      </c>
      <c r="BH187" s="528">
        <f t="shared" si="524"/>
        <v>0.45014569540585758</v>
      </c>
      <c r="BI187" s="528">
        <f t="shared" si="525"/>
        <v>1.1212854665155161E-2</v>
      </c>
      <c r="BJ187" s="528">
        <f t="shared" si="481"/>
        <v>2.8531563674128609E-3</v>
      </c>
      <c r="BK187">
        <f t="shared" si="482"/>
        <v>8.235583435566983E-3</v>
      </c>
      <c r="BL187" s="460">
        <f t="shared" si="588"/>
        <v>19.448438100722143</v>
      </c>
      <c r="BM187" s="528">
        <f t="shared" si="526"/>
        <v>9.2371398642619038</v>
      </c>
      <c r="BN187" s="460">
        <f t="shared" si="527"/>
        <v>9237.1398642619042</v>
      </c>
      <c r="BO187" s="528">
        <f t="shared" si="483"/>
        <v>5.39</v>
      </c>
      <c r="BR187" s="460">
        <f t="shared" si="484"/>
        <v>5390</v>
      </c>
      <c r="BS187" s="528">
        <f t="shared" si="485"/>
        <v>3.8029389406026182</v>
      </c>
      <c r="BT187" s="528">
        <f t="shared" si="486"/>
        <v>4.4400317992009137</v>
      </c>
      <c r="BU187" s="528">
        <f t="shared" si="487"/>
        <v>0.65661457565738668</v>
      </c>
      <c r="BV187" s="528"/>
      <c r="BW187" s="528">
        <f t="shared" si="488"/>
        <v>2.020124263785382E-2</v>
      </c>
      <c r="BX187" s="460">
        <f t="shared" si="489"/>
        <v>8919.7865580987709</v>
      </c>
      <c r="BY187" s="173">
        <f t="shared" si="490"/>
        <v>17.317526475041173</v>
      </c>
      <c r="BZ187" s="5">
        <f t="shared" si="491"/>
        <v>115.5</v>
      </c>
      <c r="CA187" s="173">
        <f t="shared" si="492"/>
        <v>0.86961414705840456</v>
      </c>
      <c r="CB187" s="5">
        <f t="shared" si="493"/>
        <v>86.961414705840454</v>
      </c>
      <c r="CE187" s="562">
        <f t="shared" si="528"/>
        <v>-50</v>
      </c>
      <c r="CF187">
        <f t="shared" si="529"/>
        <v>-50</v>
      </c>
      <c r="CG187" s="173">
        <f t="shared" si="530"/>
        <v>0.55102058732948733</v>
      </c>
      <c r="CI187" s="170">
        <v>77</v>
      </c>
      <c r="CJ187" s="217">
        <f t="shared" si="589"/>
        <v>7.7</v>
      </c>
      <c r="CK187" s="217"/>
      <c r="CL187" s="217">
        <f t="shared" si="531"/>
        <v>115.5</v>
      </c>
      <c r="CM187" s="541">
        <f t="shared" si="532"/>
        <v>19</v>
      </c>
      <c r="CN187" s="443">
        <f t="shared" si="533"/>
        <v>15.4</v>
      </c>
      <c r="CO187" s="443">
        <f t="shared" si="534"/>
        <v>34.4</v>
      </c>
      <c r="CP187" s="443"/>
      <c r="CQ187" s="217">
        <f t="shared" si="535"/>
        <v>0.44767441860465118</v>
      </c>
      <c r="CR187" s="172">
        <f t="shared" si="590"/>
        <v>212.84736191860466</v>
      </c>
      <c r="CS187" s="172">
        <f t="shared" si="536"/>
        <v>115.5</v>
      </c>
      <c r="CT187" s="217">
        <f t="shared" si="537"/>
        <v>14.189824127906977</v>
      </c>
      <c r="CU187" s="217">
        <f t="shared" si="538"/>
        <v>15</v>
      </c>
      <c r="CV187" s="217"/>
      <c r="CW187" s="172">
        <f t="shared" si="539"/>
        <v>42.863977460303488</v>
      </c>
      <c r="CX187" s="536">
        <f t="shared" si="540"/>
        <v>15</v>
      </c>
      <c r="CY187" s="217">
        <f t="shared" si="541"/>
        <v>27.157894736842103</v>
      </c>
      <c r="CZ187" s="217">
        <f t="shared" si="542"/>
        <v>17.152354570637119</v>
      </c>
      <c r="DA187" s="217">
        <f t="shared" si="543"/>
        <v>21.161995898838001</v>
      </c>
      <c r="DB187" s="197">
        <f t="shared" si="544"/>
        <v>70.881782945736433</v>
      </c>
      <c r="DC187" s="443">
        <f t="shared" si="545"/>
        <v>26.099881317228537</v>
      </c>
      <c r="DE187" s="217">
        <f t="shared" si="546"/>
        <v>10.000000000000002</v>
      </c>
      <c r="DF187" s="173">
        <f t="shared" si="547"/>
        <v>7.792207792207793</v>
      </c>
      <c r="DG187" s="173">
        <f t="shared" si="548"/>
        <v>2.7616279069767451</v>
      </c>
      <c r="DH187" s="173"/>
      <c r="DI187" s="173">
        <f t="shared" si="549"/>
        <v>7.7922077922077913</v>
      </c>
      <c r="DJ187" s="545">
        <f t="shared" si="550"/>
        <v>197.63333333333335</v>
      </c>
      <c r="DK187" s="528">
        <f t="shared" si="551"/>
        <v>2.7616279069767442</v>
      </c>
      <c r="DM187" s="173">
        <f t="shared" si="552"/>
        <v>7.5144305617037057</v>
      </c>
      <c r="DN187" s="173">
        <f t="shared" si="553"/>
        <v>27.157894736842103</v>
      </c>
      <c r="DO187" s="173">
        <f t="shared" si="554"/>
        <v>13.909551656920076</v>
      </c>
      <c r="DQ187" s="545">
        <f t="shared" si="555"/>
        <v>7700</v>
      </c>
      <c r="DR187" s="460">
        <f t="shared" si="556"/>
        <v>26.099881317228537</v>
      </c>
      <c r="DT187">
        <f t="shared" si="591"/>
        <v>7700</v>
      </c>
      <c r="DU187">
        <f t="shared" si="592"/>
        <v>26.099881317228537</v>
      </c>
      <c r="DW187" s="5">
        <f t="shared" si="557"/>
        <v>38.314350469475116</v>
      </c>
      <c r="DX187" s="5">
        <f t="shared" si="558"/>
        <v>17.152354570637119</v>
      </c>
      <c r="DY187" s="5">
        <f t="shared" si="559"/>
        <v>21.161995898837997</v>
      </c>
      <c r="DZ187" s="5"/>
      <c r="EA187" s="173">
        <f t="shared" si="560"/>
        <v>0.44767441860465124</v>
      </c>
      <c r="EB187" s="173">
        <f t="shared" si="561"/>
        <v>115.5</v>
      </c>
      <c r="EC187" s="173">
        <f t="shared" si="562"/>
        <v>7.4999999999999973</v>
      </c>
      <c r="ED187" s="173">
        <f t="shared" si="563"/>
        <v>15.400000000000006</v>
      </c>
      <c r="EE187" s="460">
        <f t="shared" si="564"/>
        <v>880.48753462603884</v>
      </c>
      <c r="EF187" s="5">
        <f t="shared" si="565"/>
        <v>35.734072022160653</v>
      </c>
      <c r="EH187" s="173">
        <f t="shared" si="566"/>
        <v>10.49099336708659</v>
      </c>
      <c r="EI187" s="173">
        <f t="shared" si="567"/>
        <v>11.652874052533583</v>
      </c>
      <c r="EK187" s="528">
        <f t="shared" si="568"/>
        <v>2.2012188365650966</v>
      </c>
      <c r="EL187" s="528">
        <f t="shared" si="569"/>
        <v>0.48766666666666675</v>
      </c>
      <c r="EM187" s="528">
        <f t="shared" si="570"/>
        <v>3.2624851646535667E-3</v>
      </c>
      <c r="EN187" s="528">
        <f t="shared" si="571"/>
        <v>3.0885555555555562E-3</v>
      </c>
      <c r="EO187">
        <f t="shared" si="572"/>
        <v>8.5500000000000003E-3</v>
      </c>
      <c r="EP187" s="460">
        <f t="shared" si="573"/>
        <v>11.812485164653566</v>
      </c>
      <c r="EQ187" s="460"/>
      <c r="ER187" s="460">
        <f t="shared" si="593"/>
        <v>2703.7865439519728</v>
      </c>
      <c r="ES187" s="528">
        <f t="shared" si="574"/>
        <v>5.39</v>
      </c>
      <c r="EV187" s="460">
        <f t="shared" si="494"/>
        <v>5390</v>
      </c>
      <c r="EW187" s="528">
        <f t="shared" si="575"/>
        <v>3.3018282548476448</v>
      </c>
      <c r="EX187" s="528">
        <f t="shared" si="576"/>
        <v>4.0736842105263138</v>
      </c>
      <c r="EY187" s="528">
        <f t="shared" si="577"/>
        <v>0.66881589702681343</v>
      </c>
      <c r="EZ187" s="528"/>
      <c r="FA187" s="528">
        <f t="shared" si="578"/>
        <v>1.925E-2</v>
      </c>
      <c r="FB187" s="460">
        <f t="shared" si="579"/>
        <v>8063.5783624007718</v>
      </c>
      <c r="FC187" s="173">
        <f t="shared" si="580"/>
        <v>16.157364906352743</v>
      </c>
      <c r="FD187" s="5">
        <f t="shared" si="581"/>
        <v>115.5</v>
      </c>
      <c r="FE187" s="173">
        <f t="shared" si="582"/>
        <v>0.87727716624250074</v>
      </c>
      <c r="FF187" s="5">
        <f t="shared" si="583"/>
        <v>87.727716624250078</v>
      </c>
      <c r="FI187" s="562">
        <f t="shared" si="584"/>
        <v>-50</v>
      </c>
      <c r="FJ187">
        <f t="shared" si="585"/>
        <v>-50</v>
      </c>
      <c r="FL187">
        <f t="shared" si="586"/>
        <v>0.55232558139534871</v>
      </c>
    </row>
    <row r="188" spans="5:168">
      <c r="E188" s="170">
        <v>78</v>
      </c>
      <c r="F188" s="217">
        <f t="shared" si="587"/>
        <v>7.8000000000000007</v>
      </c>
      <c r="G188" s="217"/>
      <c r="H188" s="217">
        <f t="shared" si="495"/>
        <v>117.00000000000001</v>
      </c>
      <c r="I188" s="541">
        <f t="shared" si="496"/>
        <v>18.292243942026488</v>
      </c>
      <c r="J188" s="172">
        <f t="shared" si="497"/>
        <v>15.824653634784108</v>
      </c>
      <c r="K188" s="172">
        <f t="shared" si="498"/>
        <v>34.116897576810594</v>
      </c>
      <c r="L188" s="443"/>
      <c r="M188" s="217">
        <f t="shared" si="499"/>
        <v>0.46382067788932618</v>
      </c>
      <c r="N188" s="172">
        <f t="shared" si="500"/>
        <v>212.3095272560922</v>
      </c>
      <c r="O188" s="172">
        <f t="shared" si="438"/>
        <v>117.00000000000001</v>
      </c>
      <c r="P188" s="217">
        <f t="shared" si="501"/>
        <v>14.153968483739479</v>
      </c>
      <c r="Q188" s="217">
        <f t="shared" si="502"/>
        <v>15</v>
      </c>
      <c r="R188" s="217"/>
      <c r="S188" s="172">
        <f t="shared" si="503"/>
        <v>40.515572215718826</v>
      </c>
      <c r="T188" s="536">
        <f t="shared" si="504"/>
        <v>15</v>
      </c>
      <c r="U188" s="217">
        <f t="shared" si="505"/>
        <v>29.094743785699315</v>
      </c>
      <c r="V188" s="217">
        <f t="shared" si="506"/>
        <v>19.086609960752199</v>
      </c>
      <c r="W188" s="217">
        <f t="shared" si="507"/>
        <v>22.062847850328637</v>
      </c>
      <c r="X188" s="197">
        <f t="shared" si="508"/>
        <v>70.705047729364267</v>
      </c>
      <c r="Y188" s="443">
        <f t="shared" si="509"/>
        <v>24.184113962723345</v>
      </c>
      <c r="AA188" s="217">
        <f t="shared" si="510"/>
        <v>10</v>
      </c>
      <c r="AB188" s="173">
        <f t="shared" si="511"/>
        <v>7.583104361679581</v>
      </c>
      <c r="AC188" s="173">
        <f t="shared" si="512"/>
        <v>2.6808187791465259</v>
      </c>
      <c r="AD188" s="173"/>
      <c r="AE188" s="173">
        <f t="shared" si="513"/>
        <v>7.583104361679581</v>
      </c>
      <c r="AF188" s="545">
        <f t="shared" si="514"/>
        <v>205.72049725219341</v>
      </c>
      <c r="AG188" s="528">
        <f t="shared" si="515"/>
        <v>2.6808187791465254</v>
      </c>
      <c r="AI188" s="173">
        <f t="shared" si="516"/>
        <v>7.6666345243006147</v>
      </c>
      <c r="AJ188" s="173">
        <f t="shared" si="517"/>
        <v>29.094743785699315</v>
      </c>
      <c r="AK188" s="173">
        <f t="shared" si="518"/>
        <v>15.344254656073565</v>
      </c>
      <c r="AM188" s="545">
        <f t="shared" si="519"/>
        <v>7800.0000000000009</v>
      </c>
      <c r="AN188" s="460">
        <f t="shared" si="520"/>
        <v>24.184113962723345</v>
      </c>
      <c r="AP188">
        <f t="shared" si="521"/>
        <v>7800.0000000000009</v>
      </c>
      <c r="AQ188">
        <f t="shared" si="522"/>
        <v>24.184113962723345</v>
      </c>
      <c r="AS188" s="5">
        <f t="shared" si="439"/>
        <v>41.349457811080839</v>
      </c>
      <c r="AT188" s="5">
        <f t="shared" si="523"/>
        <v>19.086609960752199</v>
      </c>
      <c r="AU188" s="5">
        <f t="shared" si="478"/>
        <v>22.26284785032864</v>
      </c>
      <c r="AV188" s="5"/>
      <c r="AW188" s="173">
        <f t="shared" si="479"/>
        <v>0.46159275045288173</v>
      </c>
      <c r="AX188" s="173">
        <f t="shared" si="435"/>
        <v>122.83171206109154</v>
      </c>
      <c r="AY188" s="173">
        <f t="shared" si="436"/>
        <v>7.8324104889682395</v>
      </c>
      <c r="AZ188" s="173">
        <f t="shared" si="440"/>
        <v>15.68249164597502</v>
      </c>
      <c r="BA188" s="460">
        <f t="shared" si="594"/>
        <v>992.5037179591144</v>
      </c>
      <c r="BB188" s="5">
        <f t="shared" si="595"/>
        <v>39.55460890576358</v>
      </c>
      <c r="BD188" s="173">
        <f t="shared" si="441"/>
        <v>11.412568556253806</v>
      </c>
      <c r="BE188" s="173">
        <f t="shared" si="437"/>
        <v>12.325636600218123</v>
      </c>
      <c r="BG188" s="528">
        <f t="shared" si="480"/>
        <v>2.6049344210238616</v>
      </c>
      <c r="BH188" s="528">
        <f t="shared" si="524"/>
        <v>0.45010674548717122</v>
      </c>
      <c r="BI188" s="528">
        <f t="shared" si="525"/>
        <v>1.1059542803197608E-2</v>
      </c>
      <c r="BJ188" s="528">
        <f t="shared" si="481"/>
        <v>2.8149406591606277E-3</v>
      </c>
      <c r="BK188">
        <f t="shared" si="482"/>
        <v>8.2315097739119186E-3</v>
      </c>
      <c r="BL188" s="460">
        <f t="shared" si="588"/>
        <v>19.291052577109525</v>
      </c>
      <c r="BM188" s="528">
        <f t="shared" si="526"/>
        <v>9.8701348075911746</v>
      </c>
      <c r="BN188" s="460">
        <f t="shared" si="527"/>
        <v>9870.1348075911737</v>
      </c>
      <c r="BO188" s="528">
        <f t="shared" si="483"/>
        <v>5.46</v>
      </c>
      <c r="BR188" s="460">
        <f t="shared" si="484"/>
        <v>5460</v>
      </c>
      <c r="BS188" s="528">
        <f t="shared" si="485"/>
        <v>3.9074016315357922</v>
      </c>
      <c r="BT188" s="528">
        <f t="shared" si="486"/>
        <v>4.5576395280190969</v>
      </c>
      <c r="BU188" s="528">
        <f t="shared" si="487"/>
        <v>0.65664674942604873</v>
      </c>
      <c r="BV188" s="528"/>
      <c r="BW188" s="528">
        <f t="shared" si="488"/>
        <v>2.0471952010181923E-2</v>
      </c>
      <c r="BX188" s="460">
        <f t="shared" si="489"/>
        <v>9142.1598609911198</v>
      </c>
      <c r="BY188" s="173">
        <f t="shared" si="490"/>
        <v>17.679307020738424</v>
      </c>
      <c r="BZ188" s="5">
        <f t="shared" si="491"/>
        <v>117.00000000000001</v>
      </c>
      <c r="CA188" s="173">
        <f t="shared" si="492"/>
        <v>0.86873033867024507</v>
      </c>
      <c r="CB188" s="5">
        <f t="shared" si="493"/>
        <v>86.873033867024503</v>
      </c>
      <c r="CE188" s="562">
        <f t="shared" si="528"/>
        <v>-50</v>
      </c>
      <c r="CF188">
        <f t="shared" si="529"/>
        <v>-50</v>
      </c>
      <c r="CG188" s="173">
        <f t="shared" si="530"/>
        <v>0.55103731802263956</v>
      </c>
      <c r="CI188" s="170">
        <v>78</v>
      </c>
      <c r="CJ188" s="217">
        <f t="shared" si="589"/>
        <v>7.8000000000000007</v>
      </c>
      <c r="CK188" s="217"/>
      <c r="CL188" s="217">
        <f t="shared" si="531"/>
        <v>117.00000000000001</v>
      </c>
      <c r="CM188" s="541">
        <f t="shared" si="532"/>
        <v>19</v>
      </c>
      <c r="CN188" s="443">
        <f t="shared" si="533"/>
        <v>15.4</v>
      </c>
      <c r="CO188" s="443">
        <f t="shared" si="534"/>
        <v>34.4</v>
      </c>
      <c r="CP188" s="443"/>
      <c r="CQ188" s="217">
        <f t="shared" si="535"/>
        <v>0.44767441860465118</v>
      </c>
      <c r="CR188" s="172">
        <f t="shared" si="590"/>
        <v>212.84736191860466</v>
      </c>
      <c r="CS188" s="172">
        <f t="shared" si="536"/>
        <v>117.00000000000001</v>
      </c>
      <c r="CT188" s="217">
        <f t="shared" si="537"/>
        <v>14.189824127906977</v>
      </c>
      <c r="CU188" s="217">
        <f t="shared" si="538"/>
        <v>15</v>
      </c>
      <c r="CV188" s="217"/>
      <c r="CW188" s="172">
        <f t="shared" si="539"/>
        <v>42.076358954568185</v>
      </c>
      <c r="CX188" s="536">
        <f t="shared" si="540"/>
        <v>15</v>
      </c>
      <c r="CY188" s="217">
        <f t="shared" si="541"/>
        <v>27.510594668489407</v>
      </c>
      <c r="CZ188" s="217">
        <f t="shared" si="542"/>
        <v>17.375112422203834</v>
      </c>
      <c r="DA188" s="217">
        <f t="shared" si="543"/>
        <v>21.436827014407331</v>
      </c>
      <c r="DB188" s="197">
        <f t="shared" si="544"/>
        <v>70.881782945736433</v>
      </c>
      <c r="DC188" s="443">
        <f t="shared" si="545"/>
        <v>25.765267454187136</v>
      </c>
      <c r="DE188" s="217">
        <f t="shared" si="546"/>
        <v>10.000000000000002</v>
      </c>
      <c r="DF188" s="173">
        <f t="shared" si="547"/>
        <v>7.792207792207793</v>
      </c>
      <c r="DG188" s="173">
        <f t="shared" si="548"/>
        <v>2.7616279069767451</v>
      </c>
      <c r="DH188" s="173"/>
      <c r="DI188" s="173">
        <f t="shared" si="549"/>
        <v>7.7922077922077913</v>
      </c>
      <c r="DJ188" s="545">
        <f t="shared" si="550"/>
        <v>200.20000000000002</v>
      </c>
      <c r="DK188" s="528">
        <f t="shared" si="551"/>
        <v>2.7616279069767442</v>
      </c>
      <c r="DM188" s="173">
        <f t="shared" si="552"/>
        <v>7.5630681604756154</v>
      </c>
      <c r="DN188" s="173">
        <f t="shared" si="553"/>
        <v>27.510594668489407</v>
      </c>
      <c r="DO188" s="173">
        <f t="shared" si="554"/>
        <v>14.170810865547708</v>
      </c>
      <c r="DQ188" s="545">
        <f t="shared" si="555"/>
        <v>7800.0000000000009</v>
      </c>
      <c r="DR188" s="460">
        <f t="shared" si="556"/>
        <v>25.765267454187136</v>
      </c>
      <c r="DT188">
        <f t="shared" si="591"/>
        <v>7800.0000000000009</v>
      </c>
      <c r="DU188">
        <f t="shared" si="592"/>
        <v>25.765267454187136</v>
      </c>
      <c r="DW188" s="5">
        <f t="shared" si="557"/>
        <v>38.811939436611176</v>
      </c>
      <c r="DX188" s="5">
        <f t="shared" si="558"/>
        <v>17.375112422203834</v>
      </c>
      <c r="DY188" s="5">
        <f t="shared" si="559"/>
        <v>21.436827014407342</v>
      </c>
      <c r="DZ188" s="5"/>
      <c r="EA188" s="173">
        <f t="shared" si="560"/>
        <v>0.44767441860465101</v>
      </c>
      <c r="EB188" s="173">
        <f t="shared" si="561"/>
        <v>116.99999999999999</v>
      </c>
      <c r="EC188" s="173">
        <f t="shared" si="562"/>
        <v>7.5974025974025992</v>
      </c>
      <c r="ED188" s="173">
        <f t="shared" si="563"/>
        <v>15.399999999999995</v>
      </c>
      <c r="EE188" s="460">
        <f t="shared" si="564"/>
        <v>903.50584595459952</v>
      </c>
      <c r="EF188" s="5">
        <f t="shared" si="565"/>
        <v>36.668256735170459</v>
      </c>
      <c r="EH188" s="173">
        <f t="shared" si="566"/>
        <v>10.627240034191612</v>
      </c>
      <c r="EI188" s="173">
        <f t="shared" si="567"/>
        <v>11.804210079189868</v>
      </c>
      <c r="EK188" s="528">
        <f t="shared" si="568"/>
        <v>2.2587646148864984</v>
      </c>
      <c r="EL188" s="528">
        <f t="shared" si="569"/>
        <v>0.48766666666666658</v>
      </c>
      <c r="EM188" s="528">
        <f t="shared" si="570"/>
        <v>3.2206584317733917E-3</v>
      </c>
      <c r="EN188" s="528">
        <f t="shared" si="571"/>
        <v>3.0489586894586885E-3</v>
      </c>
      <c r="EO188">
        <f t="shared" si="572"/>
        <v>8.5500000000000003E-3</v>
      </c>
      <c r="EP188" s="460">
        <f t="shared" si="573"/>
        <v>11.770658431773391</v>
      </c>
      <c r="EQ188" s="460"/>
      <c r="ER188" s="460">
        <f t="shared" si="593"/>
        <v>2761.2508986743969</v>
      </c>
      <c r="ES188" s="528">
        <f t="shared" si="574"/>
        <v>5.46</v>
      </c>
      <c r="EV188" s="460">
        <f t="shared" si="494"/>
        <v>5460</v>
      </c>
      <c r="EW188" s="528">
        <f t="shared" si="575"/>
        <v>3.3881469223297476</v>
      </c>
      <c r="EX188" s="528">
        <f t="shared" si="576"/>
        <v>4.1801812678094299</v>
      </c>
      <c r="EY188" s="528">
        <f t="shared" si="577"/>
        <v>0.66881589702681232</v>
      </c>
      <c r="EZ188" s="528"/>
      <c r="FA188" s="528">
        <f t="shared" si="578"/>
        <v>1.9499999999999997E-2</v>
      </c>
      <c r="FB188" s="460">
        <f t="shared" si="579"/>
        <v>8256.6440871659906</v>
      </c>
      <c r="FC188" s="173">
        <f t="shared" si="580"/>
        <v>16.477894985840386</v>
      </c>
      <c r="FD188" s="5">
        <f t="shared" si="581"/>
        <v>117.00000000000001</v>
      </c>
      <c r="FE188" s="173">
        <f t="shared" si="582"/>
        <v>0.87654963402300878</v>
      </c>
      <c r="FF188" s="5">
        <f t="shared" si="583"/>
        <v>87.654963402300879</v>
      </c>
      <c r="FI188" s="562">
        <f t="shared" si="584"/>
        <v>-50</v>
      </c>
      <c r="FJ188">
        <f t="shared" si="585"/>
        <v>-50</v>
      </c>
      <c r="FL188">
        <f t="shared" si="586"/>
        <v>0.55232558139534893</v>
      </c>
    </row>
    <row r="189" spans="5:168">
      <c r="E189" s="170">
        <v>79</v>
      </c>
      <c r="F189" s="217">
        <f t="shared" si="587"/>
        <v>7.9</v>
      </c>
      <c r="G189" s="217"/>
      <c r="H189" s="217">
        <f t="shared" si="495"/>
        <v>118.5</v>
      </c>
      <c r="I189" s="541">
        <f t="shared" si="496"/>
        <v>18.283191359298915</v>
      </c>
      <c r="J189" s="172">
        <f t="shared" si="497"/>
        <v>15.83008518442065</v>
      </c>
      <c r="K189" s="172">
        <f t="shared" si="498"/>
        <v>34.113276543719564</v>
      </c>
      <c r="L189" s="443"/>
      <c r="M189" s="217">
        <f t="shared" si="499"/>
        <v>0.46402913871646922</v>
      </c>
      <c r="N189" s="172">
        <f t="shared" si="500"/>
        <v>212.29983190765847</v>
      </c>
      <c r="O189" s="172">
        <f t="shared" si="438"/>
        <v>118.5</v>
      </c>
      <c r="P189" s="217">
        <f t="shared" si="501"/>
        <v>14.153322127177232</v>
      </c>
      <c r="Q189" s="217">
        <f t="shared" si="502"/>
        <v>15</v>
      </c>
      <c r="R189" s="217"/>
      <c r="S189" s="172">
        <f t="shared" si="503"/>
        <v>39.757125678803938</v>
      </c>
      <c r="T189" s="536">
        <f t="shared" si="504"/>
        <v>15</v>
      </c>
      <c r="U189" s="217">
        <f t="shared" si="505"/>
        <v>29.479214527003425</v>
      </c>
      <c r="V189" s="217">
        <f t="shared" si="506"/>
        <v>19.348404081769999</v>
      </c>
      <c r="W189" s="217">
        <f t="shared" si="507"/>
        <v>22.346725883205519</v>
      </c>
      <c r="X189" s="197">
        <f t="shared" si="508"/>
        <v>70.701817098942655</v>
      </c>
      <c r="Y189" s="443">
        <f t="shared" si="509"/>
        <v>23.869122755699852</v>
      </c>
      <c r="AA189" s="217">
        <f t="shared" si="510"/>
        <v>10</v>
      </c>
      <c r="AB189" s="173">
        <f t="shared" si="511"/>
        <v>7.5805024800560963</v>
      </c>
      <c r="AC189" s="173">
        <f t="shared" si="512"/>
        <v>2.6797764993150364</v>
      </c>
      <c r="AD189" s="173"/>
      <c r="AE189" s="173">
        <f t="shared" si="513"/>
        <v>7.5805024800560963</v>
      </c>
      <c r="AF189" s="545">
        <f t="shared" si="514"/>
        <v>208.42945492820525</v>
      </c>
      <c r="AG189" s="528">
        <f t="shared" si="515"/>
        <v>2.6797764993150364</v>
      </c>
      <c r="AI189" s="173">
        <f t="shared" si="516"/>
        <v>7.7169471189473668</v>
      </c>
      <c r="AJ189" s="173">
        <f t="shared" si="517"/>
        <v>29.479214527003425</v>
      </c>
      <c r="AK189" s="173">
        <f t="shared" si="518"/>
        <v>15.629047797780313</v>
      </c>
      <c r="AM189" s="545">
        <f t="shared" si="519"/>
        <v>7900</v>
      </c>
      <c r="AN189" s="460">
        <f t="shared" si="520"/>
        <v>23.869122755699852</v>
      </c>
      <c r="AP189">
        <f t="shared" si="521"/>
        <v>7900</v>
      </c>
      <c r="AQ189">
        <f t="shared" si="522"/>
        <v>23.869122755699852</v>
      </c>
      <c r="AS189" s="5">
        <f t="shared" si="439"/>
        <v>41.895129964975524</v>
      </c>
      <c r="AT189" s="5">
        <f t="shared" si="523"/>
        <v>19.348404081769999</v>
      </c>
      <c r="AU189" s="5">
        <f t="shared" si="478"/>
        <v>22.546725883205525</v>
      </c>
      <c r="AV189" s="5"/>
      <c r="AW189" s="173">
        <f t="shared" si="479"/>
        <v>0.46182943215465216</v>
      </c>
      <c r="AX189" s="173">
        <f t="shared" si="435"/>
        <v>124.45705596649495</v>
      </c>
      <c r="AY189" s="173">
        <f t="shared" si="436"/>
        <v>7.9324228108161305</v>
      </c>
      <c r="AZ189" s="173">
        <f t="shared" si="440"/>
        <v>15.689664927693149</v>
      </c>
      <c r="BA189" s="460">
        <f t="shared" si="594"/>
        <v>1019.0159483065532</v>
      </c>
      <c r="BB189" s="5">
        <f t="shared" si="595"/>
        <v>40.592643031366315</v>
      </c>
      <c r="BD189" s="173">
        <f t="shared" si="441"/>
        <v>11.56634343848855</v>
      </c>
      <c r="BE189" s="173">
        <f t="shared" si="437"/>
        <v>12.485767731272922</v>
      </c>
      <c r="BG189" s="528">
        <f t="shared" si="480"/>
        <v>2.6756060107413431</v>
      </c>
      <c r="BH189" s="528">
        <f t="shared" si="524"/>
        <v>0.45006689841934577</v>
      </c>
      <c r="BI189" s="528">
        <f t="shared" si="525"/>
        <v>1.0910093473026416E-2</v>
      </c>
      <c r="BJ189" s="528">
        <f t="shared" si="481"/>
        <v>2.7776871381498466E-3</v>
      </c>
      <c r="BK189">
        <f t="shared" si="482"/>
        <v>8.2274361116845118E-3</v>
      </c>
      <c r="BL189" s="460">
        <f t="shared" si="588"/>
        <v>19.137529584710926</v>
      </c>
      <c r="BM189" s="528">
        <f t="shared" si="526"/>
        <v>10.571281374430299</v>
      </c>
      <c r="BN189" s="460">
        <f t="shared" si="527"/>
        <v>10571.281374430298</v>
      </c>
      <c r="BO189" s="528">
        <f t="shared" si="483"/>
        <v>5.53</v>
      </c>
      <c r="BR189" s="460">
        <f t="shared" si="484"/>
        <v>5530</v>
      </c>
      <c r="BS189" s="528">
        <f t="shared" si="485"/>
        <v>4.0134090161120142</v>
      </c>
      <c r="BT189" s="528">
        <f t="shared" si="486"/>
        <v>4.6768318751788849</v>
      </c>
      <c r="BU189" s="528">
        <f t="shared" si="487"/>
        <v>0.6566756584995137</v>
      </c>
      <c r="BV189" s="528"/>
      <c r="BW189" s="528">
        <f t="shared" si="488"/>
        <v>2.0742842661082492E-2</v>
      </c>
      <c r="BX189" s="460">
        <f t="shared" si="489"/>
        <v>9367.6593924514946</v>
      </c>
      <c r="BY189" s="173">
        <f t="shared" si="490"/>
        <v>18.045247518335042</v>
      </c>
      <c r="BZ189" s="5">
        <f t="shared" si="491"/>
        <v>118.5</v>
      </c>
      <c r="CA189" s="173">
        <f t="shared" si="492"/>
        <v>0.86784419197078277</v>
      </c>
      <c r="CB189" s="5">
        <f t="shared" si="493"/>
        <v>86.784419197078279</v>
      </c>
      <c r="CE189" s="562">
        <f t="shared" si="528"/>
        <v>-50</v>
      </c>
      <c r="CF189">
        <f t="shared" si="529"/>
        <v>-50</v>
      </c>
      <c r="CG189" s="173">
        <f t="shared" si="530"/>
        <v>0.55105362515393963</v>
      </c>
      <c r="CI189" s="170">
        <v>79</v>
      </c>
      <c r="CJ189" s="217">
        <f t="shared" si="589"/>
        <v>7.9</v>
      </c>
      <c r="CK189" s="217"/>
      <c r="CL189" s="217">
        <f t="shared" si="531"/>
        <v>118.5</v>
      </c>
      <c r="CM189" s="541">
        <f t="shared" si="532"/>
        <v>19</v>
      </c>
      <c r="CN189" s="443">
        <f t="shared" si="533"/>
        <v>15.4</v>
      </c>
      <c r="CO189" s="443">
        <f t="shared" si="534"/>
        <v>34.4</v>
      </c>
      <c r="CP189" s="443"/>
      <c r="CQ189" s="217">
        <f t="shared" si="535"/>
        <v>0.44767441860465118</v>
      </c>
      <c r="CR189" s="172">
        <f t="shared" si="590"/>
        <v>212.84736191860466</v>
      </c>
      <c r="CS189" s="172">
        <f t="shared" si="536"/>
        <v>118.5</v>
      </c>
      <c r="CT189" s="217">
        <f t="shared" si="537"/>
        <v>14.189824127906977</v>
      </c>
      <c r="CU189" s="217">
        <f t="shared" si="538"/>
        <v>15</v>
      </c>
      <c r="CV189" s="217"/>
      <c r="CW189" s="172">
        <f t="shared" si="539"/>
        <v>41.308798030525409</v>
      </c>
      <c r="CX189" s="536">
        <f t="shared" si="540"/>
        <v>15</v>
      </c>
      <c r="CY189" s="217">
        <f t="shared" si="541"/>
        <v>27.863294600136705</v>
      </c>
      <c r="CZ189" s="217">
        <f t="shared" si="542"/>
        <v>17.59787027377055</v>
      </c>
      <c r="DA189" s="217">
        <f t="shared" si="543"/>
        <v>21.711658129976652</v>
      </c>
      <c r="DB189" s="197">
        <f t="shared" si="544"/>
        <v>70.881782945736433</v>
      </c>
      <c r="DC189" s="443">
        <f t="shared" si="545"/>
        <v>25.439124828184774</v>
      </c>
      <c r="DE189" s="217">
        <f t="shared" si="546"/>
        <v>10.000000000000002</v>
      </c>
      <c r="DF189" s="173">
        <f t="shared" si="547"/>
        <v>7.792207792207793</v>
      </c>
      <c r="DG189" s="173">
        <f t="shared" si="548"/>
        <v>2.7616279069767451</v>
      </c>
      <c r="DH189" s="173"/>
      <c r="DI189" s="173">
        <f t="shared" si="549"/>
        <v>7.7922077922077913</v>
      </c>
      <c r="DJ189" s="545">
        <f t="shared" si="550"/>
        <v>202.76666666666668</v>
      </c>
      <c r="DK189" s="528">
        <f t="shared" si="551"/>
        <v>2.7616279069767442</v>
      </c>
      <c r="DM189" s="173">
        <f t="shared" si="552"/>
        <v>7.6113949663207823</v>
      </c>
      <c r="DN189" s="173">
        <f t="shared" si="553"/>
        <v>27.863294600136705</v>
      </c>
      <c r="DO189" s="173">
        <f t="shared" si="554"/>
        <v>14.432070074175337</v>
      </c>
      <c r="DQ189" s="545">
        <f t="shared" si="555"/>
        <v>7900</v>
      </c>
      <c r="DR189" s="460">
        <f t="shared" si="556"/>
        <v>25.439124828184774</v>
      </c>
      <c r="DT189">
        <f t="shared" si="591"/>
        <v>7900</v>
      </c>
      <c r="DU189">
        <f t="shared" si="592"/>
        <v>25.439124828184774</v>
      </c>
      <c r="DW189" s="5">
        <f t="shared" si="557"/>
        <v>39.309528403747201</v>
      </c>
      <c r="DX189" s="5">
        <f t="shared" si="558"/>
        <v>17.59787027377055</v>
      </c>
      <c r="DY189" s="5">
        <f t="shared" si="559"/>
        <v>21.711658129976652</v>
      </c>
      <c r="DZ189" s="5"/>
      <c r="EA189" s="173">
        <f t="shared" si="560"/>
        <v>0.44767441860465118</v>
      </c>
      <c r="EB189" s="173">
        <f t="shared" si="561"/>
        <v>118.50000000000001</v>
      </c>
      <c r="EC189" s="173">
        <f t="shared" si="562"/>
        <v>7.6948051948051948</v>
      </c>
      <c r="ED189" s="173">
        <f t="shared" si="563"/>
        <v>15.400000000000002</v>
      </c>
      <c r="EE189" s="460">
        <f t="shared" si="564"/>
        <v>926.8211677519156</v>
      </c>
      <c r="EF189" s="5">
        <f t="shared" si="565"/>
        <v>37.614495444477086</v>
      </c>
      <c r="EH189" s="173">
        <f t="shared" si="566"/>
        <v>10.763486701296632</v>
      </c>
      <c r="EI189" s="173">
        <f t="shared" si="567"/>
        <v>11.955546105846148</v>
      </c>
      <c r="EK189" s="528">
        <f t="shared" si="568"/>
        <v>2.3170529193797891</v>
      </c>
      <c r="EL189" s="528">
        <f t="shared" si="569"/>
        <v>0.48766666666666675</v>
      </c>
      <c r="EM189" s="528">
        <f t="shared" si="570"/>
        <v>3.1798906035230968E-3</v>
      </c>
      <c r="EN189" s="528">
        <f t="shared" si="571"/>
        <v>3.0103642756680732E-3</v>
      </c>
      <c r="EO189">
        <f t="shared" si="572"/>
        <v>8.5500000000000003E-3</v>
      </c>
      <c r="EP189" s="460">
        <f t="shared" si="573"/>
        <v>11.729890603523097</v>
      </c>
      <c r="EQ189" s="460"/>
      <c r="ER189" s="460">
        <f t="shared" si="593"/>
        <v>2819.4598409256469</v>
      </c>
      <c r="ES189" s="528">
        <f t="shared" si="574"/>
        <v>5.53</v>
      </c>
      <c r="EV189" s="460">
        <f t="shared" si="494"/>
        <v>5530</v>
      </c>
      <c r="EW189" s="528">
        <f t="shared" si="575"/>
        <v>3.4755793790696834</v>
      </c>
      <c r="EX189" s="528">
        <f t="shared" si="576"/>
        <v>4.2880524806703901</v>
      </c>
      <c r="EY189" s="528">
        <f t="shared" si="577"/>
        <v>0.66881589702681221</v>
      </c>
      <c r="EZ189" s="528"/>
      <c r="FA189" s="528">
        <f t="shared" si="578"/>
        <v>1.9750000000000004E-2</v>
      </c>
      <c r="FB189" s="460">
        <f t="shared" si="579"/>
        <v>8452.1977567668855</v>
      </c>
      <c r="FC189" s="173">
        <f t="shared" si="580"/>
        <v>16.801657597692529</v>
      </c>
      <c r="FD189" s="5">
        <f t="shared" si="581"/>
        <v>118.5</v>
      </c>
      <c r="FE189" s="173">
        <f t="shared" si="582"/>
        <v>0.87582075566545703</v>
      </c>
      <c r="FF189" s="5">
        <f t="shared" si="583"/>
        <v>87.582075566545697</v>
      </c>
      <c r="FI189" s="562">
        <f t="shared" si="584"/>
        <v>-50</v>
      </c>
      <c r="FJ189">
        <f t="shared" si="585"/>
        <v>-50</v>
      </c>
      <c r="FL189">
        <f t="shared" si="586"/>
        <v>0.55232558139534882</v>
      </c>
    </row>
    <row r="190" spans="5:168">
      <c r="E190" s="170">
        <v>80</v>
      </c>
      <c r="F190" s="217">
        <f t="shared" si="587"/>
        <v>8</v>
      </c>
      <c r="G190" s="217"/>
      <c r="H190" s="217">
        <f t="shared" si="495"/>
        <v>120</v>
      </c>
      <c r="I190" s="541">
        <f t="shared" si="496"/>
        <v>18.274138775347275</v>
      </c>
      <c r="J190" s="172">
        <f t="shared" si="497"/>
        <v>15.835516734791634</v>
      </c>
      <c r="K190" s="172">
        <f t="shared" si="498"/>
        <v>34.109655510138907</v>
      </c>
      <c r="L190" s="443"/>
      <c r="M190" s="217">
        <f t="shared" si="499"/>
        <v>0.46423764382101629</v>
      </c>
      <c r="N190" s="172">
        <f t="shared" si="500"/>
        <v>212.2900623474255</v>
      </c>
      <c r="O190" s="172">
        <f t="shared" si="438"/>
        <v>120</v>
      </c>
      <c r="P190" s="217">
        <f t="shared" si="501"/>
        <v>14.152670823161701</v>
      </c>
      <c r="Q190" s="217">
        <f t="shared" si="502"/>
        <v>15</v>
      </c>
      <c r="R190" s="217"/>
      <c r="S190" s="172">
        <f t="shared" si="503"/>
        <v>39.01798450347345</v>
      </c>
      <c r="T190" s="536">
        <f t="shared" si="504"/>
        <v>15</v>
      </c>
      <c r="U190" s="217">
        <f t="shared" si="505"/>
        <v>29.863986925305429</v>
      </c>
      <c r="V190" s="217">
        <f t="shared" si="506"/>
        <v>19.610655665323133</v>
      </c>
      <c r="W190" s="217">
        <f t="shared" si="507"/>
        <v>22.630637768599513</v>
      </c>
      <c r="X190" s="197">
        <f t="shared" si="508"/>
        <v>70.698561756924349</v>
      </c>
      <c r="Y190" s="443">
        <f t="shared" si="509"/>
        <v>23.56195862779045</v>
      </c>
      <c r="AA190" s="217">
        <f t="shared" si="510"/>
        <v>10</v>
      </c>
      <c r="AB190" s="173">
        <f t="shared" si="511"/>
        <v>7.5779023829612324</v>
      </c>
      <c r="AC190" s="173">
        <f t="shared" si="512"/>
        <v>2.6787339980486444</v>
      </c>
      <c r="AD190" s="173"/>
      <c r="AE190" s="173">
        <f t="shared" si="513"/>
        <v>7.5779023829612324</v>
      </c>
      <c r="AF190" s="545">
        <f t="shared" si="514"/>
        <v>211.14022313055511</v>
      </c>
      <c r="AG190" s="528">
        <f t="shared" si="515"/>
        <v>2.678733998048644</v>
      </c>
      <c r="AI190" s="173">
        <f t="shared" si="516"/>
        <v>7.7669671067477468</v>
      </c>
      <c r="AJ190" s="173">
        <f t="shared" si="517"/>
        <v>29.863986925305429</v>
      </c>
      <c r="AK190" s="173">
        <f t="shared" si="518"/>
        <v>15.914064389115131</v>
      </c>
      <c r="AM190" s="545">
        <f t="shared" si="519"/>
        <v>8000</v>
      </c>
      <c r="AN190" s="460">
        <f t="shared" si="520"/>
        <v>23.56195862779045</v>
      </c>
      <c r="AP190">
        <f t="shared" si="521"/>
        <v>8000</v>
      </c>
      <c r="AQ190">
        <f t="shared" si="522"/>
        <v>23.56195862779045</v>
      </c>
      <c r="AS190" s="5">
        <f t="shared" si="439"/>
        <v>42.441293433922652</v>
      </c>
      <c r="AT190" s="5">
        <f t="shared" si="523"/>
        <v>19.610655665323133</v>
      </c>
      <c r="AU190" s="5">
        <f t="shared" si="478"/>
        <v>22.830637768599519</v>
      </c>
      <c r="AV190" s="5"/>
      <c r="AW190" s="173">
        <f t="shared" si="479"/>
        <v>0.46206545745018807</v>
      </c>
      <c r="AX190" s="173">
        <f t="shared" si="435"/>
        <v>126.0834875068109</v>
      </c>
      <c r="AY190" s="173">
        <f t="shared" si="436"/>
        <v>8.0324350726888696</v>
      </c>
      <c r="AZ190" s="173">
        <f t="shared" si="440"/>
        <v>15.696795102086554</v>
      </c>
      <c r="BA190" s="460">
        <f t="shared" si="594"/>
        <v>1045.9016354839005</v>
      </c>
      <c r="BB190" s="5">
        <f t="shared" si="595"/>
        <v>41.644712689824424</v>
      </c>
      <c r="BD190" s="173">
        <f t="shared" si="441"/>
        <v>11.720304931990512</v>
      </c>
      <c r="BE190" s="173">
        <f t="shared" si="437"/>
        <v>12.645962095708526</v>
      </c>
      <c r="BG190" s="528">
        <f t="shared" si="480"/>
        <v>2.7473109539768221</v>
      </c>
      <c r="BH190" s="528">
        <f t="shared" si="524"/>
        <v>0.45002618194563093</v>
      </c>
      <c r="BI190" s="528">
        <f t="shared" si="525"/>
        <v>1.0764362544580842E-2</v>
      </c>
      <c r="BJ190" s="528">
        <f t="shared" si="481"/>
        <v>2.7413598994850794E-3</v>
      </c>
      <c r="BK190">
        <f t="shared" si="482"/>
        <v>8.223362448906273E-3</v>
      </c>
      <c r="BL190" s="460">
        <f t="shared" si="588"/>
        <v>18.987724993487117</v>
      </c>
      <c r="BM190" s="528">
        <f t="shared" si="526"/>
        <v>11.351989240283073</v>
      </c>
      <c r="BN190" s="460">
        <f t="shared" si="527"/>
        <v>11351.989240283074</v>
      </c>
      <c r="BO190" s="528">
        <f t="shared" si="483"/>
        <v>5.6</v>
      </c>
      <c r="BR190" s="460">
        <f t="shared" si="484"/>
        <v>5600</v>
      </c>
      <c r="BS190" s="528">
        <f t="shared" si="485"/>
        <v>4.1209664309652334</v>
      </c>
      <c r="BT190" s="528">
        <f t="shared" si="486"/>
        <v>4.7976107197829032</v>
      </c>
      <c r="BU190" s="528">
        <f t="shared" si="487"/>
        <v>0.65670140278898559</v>
      </c>
      <c r="BV190" s="528"/>
      <c r="BW190" s="528">
        <f t="shared" si="488"/>
        <v>2.1013914584468482E-2</v>
      </c>
      <c r="BX190" s="460">
        <f t="shared" si="489"/>
        <v>9596.2924681215918</v>
      </c>
      <c r="BY190" s="173">
        <f t="shared" si="490"/>
        <v>18.415358688937015</v>
      </c>
      <c r="BZ190" s="5">
        <f t="shared" si="491"/>
        <v>120</v>
      </c>
      <c r="CA190" s="173">
        <f t="shared" si="492"/>
        <v>0.86695581427259005</v>
      </c>
      <c r="CB190" s="5">
        <f t="shared" si="493"/>
        <v>86.695581427259</v>
      </c>
      <c r="CE190" s="562">
        <f t="shared" si="528"/>
        <v>-50</v>
      </c>
      <c r="CF190">
        <f t="shared" si="529"/>
        <v>-50</v>
      </c>
      <c r="CG190" s="173">
        <f t="shared" si="530"/>
        <v>0.55106952460695724</v>
      </c>
      <c r="CI190" s="170">
        <v>80</v>
      </c>
      <c r="CJ190" s="217">
        <f t="shared" si="589"/>
        <v>8</v>
      </c>
      <c r="CK190" s="217"/>
      <c r="CL190" s="217">
        <f t="shared" si="531"/>
        <v>120</v>
      </c>
      <c r="CM190" s="541">
        <f t="shared" si="532"/>
        <v>19</v>
      </c>
      <c r="CN190" s="443">
        <f t="shared" si="533"/>
        <v>15.4</v>
      </c>
      <c r="CO190" s="443">
        <f t="shared" si="534"/>
        <v>34.4</v>
      </c>
      <c r="CP190" s="443"/>
      <c r="CQ190" s="217">
        <f t="shared" si="535"/>
        <v>0.44767441860465118</v>
      </c>
      <c r="CR190" s="172">
        <f t="shared" si="590"/>
        <v>212.84736191860466</v>
      </c>
      <c r="CS190" s="172">
        <f t="shared" si="536"/>
        <v>120</v>
      </c>
      <c r="CT190" s="217">
        <f t="shared" si="537"/>
        <v>14.189824127906977</v>
      </c>
      <c r="CU190" s="217">
        <f t="shared" si="538"/>
        <v>15</v>
      </c>
      <c r="CV190" s="217"/>
      <c r="CW190" s="172">
        <f t="shared" si="539"/>
        <v>40.560544408886109</v>
      </c>
      <c r="CX190" s="536">
        <f t="shared" si="540"/>
        <v>15</v>
      </c>
      <c r="CY190" s="217">
        <f t="shared" si="541"/>
        <v>28.215994531784006</v>
      </c>
      <c r="CZ190" s="217">
        <f t="shared" si="542"/>
        <v>17.820628125337269</v>
      </c>
      <c r="DA190" s="217">
        <f t="shared" si="543"/>
        <v>21.986489245545979</v>
      </c>
      <c r="DB190" s="197">
        <f t="shared" si="544"/>
        <v>70.881782945736433</v>
      </c>
      <c r="DC190" s="443">
        <f t="shared" si="545"/>
        <v>25.12113576783246</v>
      </c>
      <c r="DE190" s="217">
        <f t="shared" si="546"/>
        <v>10.000000000000002</v>
      </c>
      <c r="DF190" s="173">
        <f t="shared" si="547"/>
        <v>7.792207792207793</v>
      </c>
      <c r="DG190" s="173">
        <f t="shared" si="548"/>
        <v>2.7616279069767451</v>
      </c>
      <c r="DH190" s="173"/>
      <c r="DI190" s="173">
        <f t="shared" si="549"/>
        <v>7.7922077922077913</v>
      </c>
      <c r="DJ190" s="545">
        <f t="shared" si="550"/>
        <v>205.33333333333334</v>
      </c>
      <c r="DK190" s="528">
        <f t="shared" si="551"/>
        <v>2.7616279069767442</v>
      </c>
      <c r="DM190" s="173">
        <f t="shared" si="552"/>
        <v>7.6594168620507048</v>
      </c>
      <c r="DN190" s="173">
        <f t="shared" si="553"/>
        <v>28.215994531784006</v>
      </c>
      <c r="DO190" s="173">
        <f t="shared" si="554"/>
        <v>14.693329282802967</v>
      </c>
      <c r="DQ190" s="545">
        <f t="shared" si="555"/>
        <v>8000</v>
      </c>
      <c r="DR190" s="460">
        <f t="shared" si="556"/>
        <v>25.12113576783246</v>
      </c>
      <c r="DT190">
        <f t="shared" si="591"/>
        <v>8000</v>
      </c>
      <c r="DU190">
        <f t="shared" si="592"/>
        <v>25.12113576783246</v>
      </c>
      <c r="DW190" s="5">
        <f t="shared" si="557"/>
        <v>39.807117370883248</v>
      </c>
      <c r="DX190" s="5">
        <f t="shared" si="558"/>
        <v>17.820628125337269</v>
      </c>
      <c r="DY190" s="5">
        <f t="shared" si="559"/>
        <v>21.986489245545979</v>
      </c>
      <c r="DZ190" s="5"/>
      <c r="EA190" s="173">
        <f t="shared" si="560"/>
        <v>0.44767441860465118</v>
      </c>
      <c r="EB190" s="173">
        <f t="shared" si="561"/>
        <v>120</v>
      </c>
      <c r="EC190" s="173">
        <f t="shared" si="562"/>
        <v>7.7922077922077921</v>
      </c>
      <c r="ED190" s="173">
        <f t="shared" si="563"/>
        <v>15.4</v>
      </c>
      <c r="EE190" s="460">
        <f t="shared" si="564"/>
        <v>950.43350001798763</v>
      </c>
      <c r="EF190" s="5">
        <f t="shared" si="565"/>
        <v>38.572788150080662</v>
      </c>
      <c r="EH190" s="173">
        <f t="shared" si="566"/>
        <v>10.899733368401654</v>
      </c>
      <c r="EI190" s="173">
        <f t="shared" si="567"/>
        <v>12.106882132502427</v>
      </c>
      <c r="EK190" s="528">
        <f t="shared" si="568"/>
        <v>2.3760837500449692</v>
      </c>
      <c r="EL190" s="528">
        <f t="shared" si="569"/>
        <v>0.48766666666666658</v>
      </c>
      <c r="EM190" s="528">
        <f t="shared" si="570"/>
        <v>3.1401419709790571E-3</v>
      </c>
      <c r="EN190" s="528">
        <f t="shared" si="571"/>
        <v>2.972734722222222E-3</v>
      </c>
      <c r="EO190">
        <f t="shared" si="572"/>
        <v>8.5500000000000003E-3</v>
      </c>
      <c r="EP190" s="460">
        <f t="shared" si="573"/>
        <v>11.690141970979058</v>
      </c>
      <c r="EQ190" s="460"/>
      <c r="ER190" s="460">
        <f t="shared" si="593"/>
        <v>2878.4132934048375</v>
      </c>
      <c r="ES190" s="528">
        <f t="shared" si="574"/>
        <v>5.6</v>
      </c>
      <c r="EV190" s="460">
        <f t="shared" si="494"/>
        <v>5600</v>
      </c>
      <c r="EW190" s="528">
        <f t="shared" si="575"/>
        <v>3.5641256250674536</v>
      </c>
      <c r="EX190" s="528">
        <f t="shared" si="576"/>
        <v>4.3972978491091954</v>
      </c>
      <c r="EY190" s="528">
        <f t="shared" si="577"/>
        <v>0.66881589702681232</v>
      </c>
      <c r="EZ190" s="528"/>
      <c r="FA190" s="528">
        <f t="shared" si="578"/>
        <v>0.02</v>
      </c>
      <c r="FB190" s="460">
        <f t="shared" si="579"/>
        <v>8650.2393712034609</v>
      </c>
      <c r="FC190" s="173">
        <f t="shared" si="580"/>
        <v>17.1286526646083</v>
      </c>
      <c r="FD190" s="5">
        <f t="shared" si="581"/>
        <v>120</v>
      </c>
      <c r="FE190" s="173">
        <f t="shared" si="582"/>
        <v>0.87509063691815114</v>
      </c>
      <c r="FF190" s="5">
        <f t="shared" si="583"/>
        <v>87.509063691815115</v>
      </c>
      <c r="FI190" s="562">
        <f t="shared" si="584"/>
        <v>-50</v>
      </c>
      <c r="FJ190">
        <f t="shared" si="585"/>
        <v>-50</v>
      </c>
      <c r="FL190">
        <f t="shared" si="586"/>
        <v>0.55232558139534882</v>
      </c>
    </row>
    <row r="191" spans="5:168">
      <c r="E191" s="170">
        <v>81</v>
      </c>
      <c r="F191" s="217">
        <f t="shared" si="587"/>
        <v>8.1000000000000014</v>
      </c>
      <c r="G191" s="217"/>
      <c r="H191" s="217">
        <f t="shared" si="495"/>
        <v>121.50000000000003</v>
      </c>
      <c r="I191" s="541">
        <f t="shared" si="496"/>
        <v>18.265086190217009</v>
      </c>
      <c r="J191" s="172">
        <f t="shared" si="497"/>
        <v>15.840948285869796</v>
      </c>
      <c r="K191" s="172">
        <f t="shared" si="498"/>
        <v>34.106034476086805</v>
      </c>
      <c r="L191" s="443"/>
      <c r="M191" s="217">
        <f t="shared" si="499"/>
        <v>0.46444619321647407</v>
      </c>
      <c r="N191" s="172">
        <f t="shared" si="500"/>
        <v>212.28021855198517</v>
      </c>
      <c r="O191" s="172">
        <f t="shared" si="438"/>
        <v>121.50000000000003</v>
      </c>
      <c r="P191" s="217">
        <f t="shared" si="501"/>
        <v>14.152014570132344</v>
      </c>
      <c r="Q191" s="217">
        <f t="shared" si="502"/>
        <v>15</v>
      </c>
      <c r="R191" s="217"/>
      <c r="S191" s="172">
        <f t="shared" si="503"/>
        <v>38.297435550397864</v>
      </c>
      <c r="T191" s="536">
        <f t="shared" si="504"/>
        <v>15</v>
      </c>
      <c r="U191" s="217">
        <f t="shared" si="505"/>
        <v>30.249061429131327</v>
      </c>
      <c r="V191" s="217">
        <f t="shared" si="506"/>
        <v>19.87336568627839</v>
      </c>
      <c r="W191" s="217">
        <f t="shared" si="507"/>
        <v>22.91458381146056</v>
      </c>
      <c r="X191" s="197">
        <f t="shared" si="508"/>
        <v>70.695281695445075</v>
      </c>
      <c r="Y191" s="443">
        <f t="shared" si="509"/>
        <v>23.26233308831344</v>
      </c>
      <c r="AA191" s="217">
        <f t="shared" si="510"/>
        <v>10</v>
      </c>
      <c r="AB191" s="173">
        <f t="shared" si="511"/>
        <v>7.5753040685727502</v>
      </c>
      <c r="AC191" s="173">
        <f t="shared" si="512"/>
        <v>2.6776912752820086</v>
      </c>
      <c r="AD191" s="173"/>
      <c r="AE191" s="173">
        <f t="shared" si="513"/>
        <v>7.5753040685727502</v>
      </c>
      <c r="AF191" s="545">
        <f t="shared" si="514"/>
        <v>213.85280185924228</v>
      </c>
      <c r="AG191" s="528">
        <f t="shared" si="515"/>
        <v>2.6776912752820086</v>
      </c>
      <c r="AI191" s="173">
        <f t="shared" si="516"/>
        <v>7.8167001049811349</v>
      </c>
      <c r="AJ191" s="173">
        <f t="shared" si="517"/>
        <v>30.249061429131327</v>
      </c>
      <c r="AK191" s="173">
        <f t="shared" si="518"/>
        <v>16.1993047623195</v>
      </c>
      <c r="AM191" s="545">
        <f t="shared" si="519"/>
        <v>8100.0000000000018</v>
      </c>
      <c r="AN191" s="460">
        <f t="shared" si="520"/>
        <v>23.26233308831344</v>
      </c>
      <c r="AP191">
        <f t="shared" si="521"/>
        <v>8100.0000000000018</v>
      </c>
      <c r="AQ191">
        <f t="shared" si="522"/>
        <v>23.26233308831344</v>
      </c>
      <c r="AS191" s="5">
        <f t="shared" si="439"/>
        <v>42.987949497738953</v>
      </c>
      <c r="AT191" s="5">
        <f t="shared" si="523"/>
        <v>19.87336568627839</v>
      </c>
      <c r="AU191" s="5">
        <f t="shared" si="478"/>
        <v>23.114583811460562</v>
      </c>
      <c r="AV191" s="5"/>
      <c r="AW191" s="173">
        <f t="shared" si="479"/>
        <v>0.46230085218006672</v>
      </c>
      <c r="AX191" s="173">
        <f t="shared" si="435"/>
        <v>127.71100664731458</v>
      </c>
      <c r="AY191" s="173">
        <f t="shared" si="436"/>
        <v>8.1324472763983646</v>
      </c>
      <c r="AZ191" s="173">
        <f t="shared" si="440"/>
        <v>15.703883751936752</v>
      </c>
      <c r="BA191" s="460">
        <f t="shared" si="594"/>
        <v>1073.1617470590331</v>
      </c>
      <c r="BB191" s="5">
        <f t="shared" si="595"/>
        <v>42.710841630445408</v>
      </c>
      <c r="BD191" s="173">
        <f t="shared" si="441"/>
        <v>11.874453290958547</v>
      </c>
      <c r="BE191" s="173">
        <f t="shared" si="437"/>
        <v>12.806219770953641</v>
      </c>
      <c r="BG191" s="528">
        <f t="shared" si="480"/>
        <v>2.8200528191831249</v>
      </c>
      <c r="BH191" s="528">
        <f t="shared" si="524"/>
        <v>0.44998462244582804</v>
      </c>
      <c r="BI191" s="528">
        <f t="shared" si="525"/>
        <v>1.062221297108955E-2</v>
      </c>
      <c r="BJ191" s="528">
        <f t="shared" si="481"/>
        <v>2.7059248028222511E-3</v>
      </c>
      <c r="BK191">
        <f t="shared" si="482"/>
        <v>8.2192887855976528E-3</v>
      </c>
      <c r="BL191" s="460">
        <f t="shared" si="588"/>
        <v>18.841501756687201</v>
      </c>
      <c r="BM191" s="528">
        <f t="shared" si="526"/>
        <v>12.226370637701093</v>
      </c>
      <c r="BN191" s="460">
        <f t="shared" si="527"/>
        <v>12226.370637701093</v>
      </c>
      <c r="BO191" s="528">
        <f t="shared" si="483"/>
        <v>5.6700000000000008</v>
      </c>
      <c r="BR191" s="460">
        <f t="shared" si="484"/>
        <v>5670.0000000000009</v>
      </c>
      <c r="BS191" s="528">
        <f t="shared" si="485"/>
        <v>4.2300792287746871</v>
      </c>
      <c r="BT191" s="528">
        <f t="shared" si="486"/>
        <v>4.9199779446589176</v>
      </c>
      <c r="BU191" s="528">
        <f t="shared" si="487"/>
        <v>0.65672407731106486</v>
      </c>
      <c r="BV191" s="528"/>
      <c r="BW191" s="528">
        <f t="shared" si="488"/>
        <v>2.1285167774552433E-2</v>
      </c>
      <c r="BX191" s="460">
        <f t="shared" si="489"/>
        <v>9828.0664185192218</v>
      </c>
      <c r="BY191" s="173">
        <f t="shared" si="490"/>
        <v>18.789651286707688</v>
      </c>
      <c r="BZ191" s="5">
        <f t="shared" si="491"/>
        <v>121.50000000000003</v>
      </c>
      <c r="CA191" s="173">
        <f t="shared" si="492"/>
        <v>0.866065307637642</v>
      </c>
      <c r="CB191" s="5">
        <f t="shared" si="493"/>
        <v>86.606530763764198</v>
      </c>
      <c r="CE191" s="562">
        <f t="shared" si="528"/>
        <v>-50</v>
      </c>
      <c r="CF191">
        <f t="shared" si="529"/>
        <v>-50</v>
      </c>
      <c r="CG191" s="173">
        <f t="shared" si="530"/>
        <v>0.55108503148088794</v>
      </c>
      <c r="CI191" s="170">
        <v>81</v>
      </c>
      <c r="CJ191" s="217">
        <f t="shared" si="589"/>
        <v>8.1000000000000014</v>
      </c>
      <c r="CK191" s="217"/>
      <c r="CL191" s="217">
        <f t="shared" si="531"/>
        <v>121.50000000000003</v>
      </c>
      <c r="CM191" s="541">
        <f t="shared" si="532"/>
        <v>19</v>
      </c>
      <c r="CN191" s="443">
        <f t="shared" si="533"/>
        <v>15.4</v>
      </c>
      <c r="CO191" s="443">
        <f t="shared" si="534"/>
        <v>34.4</v>
      </c>
      <c r="CP191" s="443"/>
      <c r="CQ191" s="217">
        <f t="shared" si="535"/>
        <v>0.44767441860465118</v>
      </c>
      <c r="CR191" s="172">
        <f t="shared" si="590"/>
        <v>212.84736191860466</v>
      </c>
      <c r="CS191" s="172">
        <f t="shared" si="536"/>
        <v>121.50000000000003</v>
      </c>
      <c r="CT191" s="217">
        <f t="shared" si="537"/>
        <v>14.189824127906977</v>
      </c>
      <c r="CU191" s="217">
        <f t="shared" si="538"/>
        <v>15</v>
      </c>
      <c r="CV191" s="217"/>
      <c r="CW191" s="172">
        <f t="shared" si="539"/>
        <v>39.830884899346081</v>
      </c>
      <c r="CX191" s="536">
        <f t="shared" si="540"/>
        <v>15</v>
      </c>
      <c r="CY191" s="217">
        <f t="shared" si="541"/>
        <v>28.56869446343131</v>
      </c>
      <c r="CZ191" s="217">
        <f t="shared" si="542"/>
        <v>18.043385976903984</v>
      </c>
      <c r="DA191" s="217">
        <f t="shared" si="543"/>
        <v>22.261320361115306</v>
      </c>
      <c r="DB191" s="197">
        <f t="shared" si="544"/>
        <v>70.881782945736433</v>
      </c>
      <c r="DC191" s="443">
        <f t="shared" si="545"/>
        <v>24.810998289217245</v>
      </c>
      <c r="DE191" s="217">
        <f t="shared" si="546"/>
        <v>10.000000000000002</v>
      </c>
      <c r="DF191" s="173">
        <f t="shared" si="547"/>
        <v>7.792207792207793</v>
      </c>
      <c r="DG191" s="173">
        <f t="shared" si="548"/>
        <v>2.7616279069767451</v>
      </c>
      <c r="DH191" s="173"/>
      <c r="DI191" s="173">
        <f t="shared" si="549"/>
        <v>7.7922077922077913</v>
      </c>
      <c r="DJ191" s="545">
        <f t="shared" si="550"/>
        <v>207.90000000000006</v>
      </c>
      <c r="DK191" s="528">
        <f t="shared" si="551"/>
        <v>2.7616279069767442</v>
      </c>
      <c r="DM191" s="173">
        <f t="shared" si="552"/>
        <v>7.7071395471990787</v>
      </c>
      <c r="DN191" s="173">
        <f t="shared" si="553"/>
        <v>28.56869446343131</v>
      </c>
      <c r="DO191" s="173">
        <f t="shared" si="554"/>
        <v>14.954588491430599</v>
      </c>
      <c r="DQ191" s="545">
        <f t="shared" si="555"/>
        <v>8100.0000000000018</v>
      </c>
      <c r="DR191" s="460">
        <f t="shared" si="556"/>
        <v>24.810998289217245</v>
      </c>
      <c r="DT191">
        <f t="shared" si="591"/>
        <v>8100.0000000000018</v>
      </c>
      <c r="DU191">
        <f t="shared" si="592"/>
        <v>24.810998289217245</v>
      </c>
      <c r="DW191" s="5">
        <f t="shared" si="557"/>
        <v>40.304706338019287</v>
      </c>
      <c r="DX191" s="5">
        <f t="shared" si="558"/>
        <v>18.043385976903984</v>
      </c>
      <c r="DY191" s="5">
        <f t="shared" si="559"/>
        <v>22.261320361115303</v>
      </c>
      <c r="DZ191" s="5"/>
      <c r="EA191" s="173">
        <f t="shared" si="560"/>
        <v>0.44767441860465118</v>
      </c>
      <c r="EB191" s="173">
        <f t="shared" si="561"/>
        <v>121.50000000000006</v>
      </c>
      <c r="EC191" s="173">
        <f t="shared" si="562"/>
        <v>7.8896103896103904</v>
      </c>
      <c r="ED191" s="173">
        <f t="shared" si="563"/>
        <v>15.400000000000006</v>
      </c>
      <c r="EE191" s="460">
        <f t="shared" si="564"/>
        <v>974.34284275281527</v>
      </c>
      <c r="EF191" s="5">
        <f t="shared" si="565"/>
        <v>39.543134851981137</v>
      </c>
      <c r="EH191" s="173">
        <f t="shared" si="566"/>
        <v>11.035980035506675</v>
      </c>
      <c r="EI191" s="173">
        <f t="shared" si="567"/>
        <v>12.25821815915871</v>
      </c>
      <c r="EK191" s="528">
        <f t="shared" si="568"/>
        <v>2.4358571068820387</v>
      </c>
      <c r="EL191" s="528">
        <f t="shared" si="569"/>
        <v>0.48766666666666675</v>
      </c>
      <c r="EM191" s="528">
        <f t="shared" si="570"/>
        <v>3.1013747861521552E-3</v>
      </c>
      <c r="EN191" s="528">
        <f t="shared" si="571"/>
        <v>2.936034293552812E-3</v>
      </c>
      <c r="EO191">
        <f t="shared" si="572"/>
        <v>8.5500000000000003E-3</v>
      </c>
      <c r="EP191" s="460">
        <f t="shared" si="573"/>
        <v>11.651374786152155</v>
      </c>
      <c r="EQ191" s="460"/>
      <c r="ER191" s="460">
        <f t="shared" si="593"/>
        <v>2938.1111826284109</v>
      </c>
      <c r="ES191" s="528">
        <f t="shared" si="574"/>
        <v>5.6700000000000008</v>
      </c>
      <c r="EV191" s="460">
        <f t="shared" si="494"/>
        <v>5670.0000000000009</v>
      </c>
      <c r="EW191" s="528">
        <f t="shared" si="575"/>
        <v>3.6537856603230576</v>
      </c>
      <c r="EX191" s="528">
        <f t="shared" si="576"/>
        <v>4.5079173731258511</v>
      </c>
      <c r="EY191" s="528">
        <f t="shared" si="577"/>
        <v>0.66881589702681232</v>
      </c>
      <c r="EZ191" s="528"/>
      <c r="FA191" s="528">
        <f t="shared" si="578"/>
        <v>2.0250000000000008E-2</v>
      </c>
      <c r="FB191" s="460">
        <f t="shared" si="579"/>
        <v>8850.7689304757223</v>
      </c>
      <c r="FC191" s="173">
        <f t="shared" si="580"/>
        <v>17.458880113104133</v>
      </c>
      <c r="FD191" s="5">
        <f t="shared" si="581"/>
        <v>121.50000000000003</v>
      </c>
      <c r="FE191" s="173">
        <f t="shared" si="582"/>
        <v>0.87435937812039322</v>
      </c>
      <c r="FF191" s="5">
        <f t="shared" si="583"/>
        <v>87.435937812039327</v>
      </c>
      <c r="FI191" s="562">
        <f t="shared" si="584"/>
        <v>-50</v>
      </c>
      <c r="FJ191">
        <f t="shared" si="585"/>
        <v>-50</v>
      </c>
      <c r="FL191">
        <f t="shared" si="586"/>
        <v>0.55232558139534882</v>
      </c>
    </row>
    <row r="192" spans="5:168">
      <c r="E192" s="170">
        <v>82</v>
      </c>
      <c r="F192" s="217">
        <f t="shared" si="587"/>
        <v>8.1999999999999993</v>
      </c>
      <c r="G192" s="217"/>
      <c r="H192" s="217">
        <f t="shared" si="495"/>
        <v>122.99999999999999</v>
      </c>
      <c r="I192" s="541">
        <f t="shared" si="496"/>
        <v>18.256033603951323</v>
      </c>
      <c r="J192" s="172">
        <f t="shared" si="497"/>
        <v>15.846379837629206</v>
      </c>
      <c r="K192" s="172">
        <f t="shared" si="498"/>
        <v>34.102413441580531</v>
      </c>
      <c r="L192" s="443"/>
      <c r="M192" s="217">
        <f t="shared" si="499"/>
        <v>0.4646547869163844</v>
      </c>
      <c r="N192" s="172">
        <f t="shared" si="500"/>
        <v>212.27030049790821</v>
      </c>
      <c r="O192" s="172">
        <f t="shared" si="438"/>
        <v>122.99999999999999</v>
      </c>
      <c r="P192" s="217">
        <f t="shared" si="501"/>
        <v>14.151353366527214</v>
      </c>
      <c r="Q192" s="217">
        <f t="shared" si="502"/>
        <v>15</v>
      </c>
      <c r="R192" s="217"/>
      <c r="S192" s="172">
        <f t="shared" si="503"/>
        <v>37.594800505087825</v>
      </c>
      <c r="T192" s="536">
        <f t="shared" si="504"/>
        <v>15</v>
      </c>
      <c r="U192" s="217">
        <f t="shared" si="505"/>
        <v>30.634438487896738</v>
      </c>
      <c r="V192" s="217">
        <f t="shared" si="506"/>
        <v>20.136535122020966</v>
      </c>
      <c r="W192" s="217">
        <f t="shared" si="507"/>
        <v>23.198564316994176</v>
      </c>
      <c r="X192" s="197">
        <f t="shared" si="508"/>
        <v>70.691976906636938</v>
      </c>
      <c r="Y192" s="443">
        <f t="shared" si="509"/>
        <v>22.969971652432317</v>
      </c>
      <c r="AA192" s="217">
        <f t="shared" si="510"/>
        <v>10</v>
      </c>
      <c r="AB192" s="173">
        <f t="shared" si="511"/>
        <v>7.5727075350702524</v>
      </c>
      <c r="AC192" s="173">
        <f t="shared" si="512"/>
        <v>2.6766483309495088</v>
      </c>
      <c r="AD192" s="173"/>
      <c r="AE192" s="173">
        <f t="shared" si="513"/>
        <v>7.5727075350702524</v>
      </c>
      <c r="AF192" s="545">
        <f t="shared" si="514"/>
        <v>216.56719111426577</v>
      </c>
      <c r="AG192" s="528">
        <f t="shared" si="515"/>
        <v>2.6766483309495093</v>
      </c>
      <c r="AI192" s="173">
        <f t="shared" si="516"/>
        <v>7.8661515570424685</v>
      </c>
      <c r="AJ192" s="173">
        <f t="shared" si="517"/>
        <v>30.634438487896738</v>
      </c>
      <c r="AK192" s="173">
        <f t="shared" si="518"/>
        <v>16.48476925029388</v>
      </c>
      <c r="AM192" s="545">
        <f t="shared" si="519"/>
        <v>8200</v>
      </c>
      <c r="AN192" s="460">
        <f t="shared" si="520"/>
        <v>22.969971652432317</v>
      </c>
      <c r="AP192">
        <f t="shared" si="521"/>
        <v>8200</v>
      </c>
      <c r="AQ192">
        <f t="shared" si="522"/>
        <v>22.969971652432317</v>
      </c>
      <c r="AS192" s="5">
        <f t="shared" si="439"/>
        <v>43.535099439015141</v>
      </c>
      <c r="AT192" s="5">
        <f t="shared" si="523"/>
        <v>20.136535122020966</v>
      </c>
      <c r="AU192" s="5">
        <f t="shared" si="478"/>
        <v>23.398564316994175</v>
      </c>
      <c r="AV192" s="5"/>
      <c r="AW192" s="173">
        <f t="shared" si="479"/>
        <v>0.46253564093102939</v>
      </c>
      <c r="AX192" s="173">
        <f t="shared" si="435"/>
        <v>129.33961335496963</v>
      </c>
      <c r="AY192" s="173">
        <f t="shared" si="436"/>
        <v>8.2324594236676134</v>
      </c>
      <c r="AZ192" s="173">
        <f t="shared" si="440"/>
        <v>15.71093238347818</v>
      </c>
      <c r="BA192" s="460">
        <f t="shared" si="594"/>
        <v>1100.797253337146</v>
      </c>
      <c r="BB192" s="5">
        <f t="shared" si="595"/>
        <v>43.791053677961479</v>
      </c>
      <c r="BD192" s="173">
        <f t="shared" si="441"/>
        <v>12.028788770166157</v>
      </c>
      <c r="BE192" s="173">
        <f t="shared" si="437"/>
        <v>12.966540834482451</v>
      </c>
      <c r="BG192" s="528">
        <f t="shared" si="480"/>
        <v>2.8938351855455089</v>
      </c>
      <c r="BH192" s="528">
        <f t="shared" si="524"/>
        <v>0.44994224501903202</v>
      </c>
      <c r="BI192" s="528">
        <f t="shared" si="525"/>
        <v>1.0483514359215343E-2</v>
      </c>
      <c r="BJ192" s="528">
        <f t="shared" si="481"/>
        <v>2.6713493652853857E-3</v>
      </c>
      <c r="BK192">
        <f t="shared" si="482"/>
        <v>8.215215121778096E-3</v>
      </c>
      <c r="BL192" s="460">
        <f t="shared" si="588"/>
        <v>18.698729480993435</v>
      </c>
      <c r="BM192" s="528">
        <f t="shared" si="526"/>
        <v>13.212090748371669</v>
      </c>
      <c r="BN192" s="460">
        <f t="shared" si="527"/>
        <v>13212.090748371669</v>
      </c>
      <c r="BO192" s="528">
        <f t="shared" si="483"/>
        <v>5.7399999999999993</v>
      </c>
      <c r="BR192" s="460">
        <f t="shared" si="484"/>
        <v>5739.9999999999991</v>
      </c>
      <c r="BS192" s="528">
        <f t="shared" si="485"/>
        <v>4.3407527783182633</v>
      </c>
      <c r="BT192" s="528">
        <f t="shared" si="486"/>
        <v>5.0439354363690256</v>
      </c>
      <c r="BU192" s="528">
        <f t="shared" si="487"/>
        <v>0.65674377248375793</v>
      </c>
      <c r="BV192" s="528"/>
      <c r="BW192" s="528">
        <f t="shared" si="488"/>
        <v>2.1556602225828274E-2</v>
      </c>
      <c r="BX192" s="460">
        <f t="shared" si="489"/>
        <v>10062.988589396875</v>
      </c>
      <c r="BY192" s="173">
        <f t="shared" si="490"/>
        <v>19.168136098807693</v>
      </c>
      <c r="BZ192" s="5">
        <f t="shared" si="491"/>
        <v>122.99999999999999</v>
      </c>
      <c r="CA192" s="173">
        <f t="shared" si="492"/>
        <v>0.86517276919572383</v>
      </c>
      <c r="CB192" s="5">
        <f t="shared" si="493"/>
        <v>86.517276919572382</v>
      </c>
      <c r="CE192" s="562">
        <f t="shared" si="528"/>
        <v>-50</v>
      </c>
      <c r="CF192">
        <f t="shared" si="529"/>
        <v>-50</v>
      </c>
      <c r="CG192" s="173">
        <f t="shared" si="530"/>
        <v>0.55110016013838148</v>
      </c>
      <c r="CI192" s="170">
        <v>82</v>
      </c>
      <c r="CJ192" s="217">
        <f t="shared" si="589"/>
        <v>8.1999999999999993</v>
      </c>
      <c r="CK192" s="217"/>
      <c r="CL192" s="217">
        <f t="shared" si="531"/>
        <v>122.99999999999999</v>
      </c>
      <c r="CM192" s="541">
        <f t="shared" si="532"/>
        <v>19</v>
      </c>
      <c r="CN192" s="443">
        <f t="shared" si="533"/>
        <v>15.4</v>
      </c>
      <c r="CO192" s="443">
        <f t="shared" si="534"/>
        <v>34.4</v>
      </c>
      <c r="CP192" s="443"/>
      <c r="CQ192" s="217">
        <f t="shared" si="535"/>
        <v>0.44767441860465118</v>
      </c>
      <c r="CR192" s="172">
        <f t="shared" si="590"/>
        <v>212.84736191860466</v>
      </c>
      <c r="CS192" s="172">
        <f t="shared" si="536"/>
        <v>122.99999999999999</v>
      </c>
      <c r="CT192" s="217">
        <f t="shared" si="537"/>
        <v>14.189824127906977</v>
      </c>
      <c r="CU192" s="217">
        <f t="shared" si="538"/>
        <v>15</v>
      </c>
      <c r="CV192" s="217"/>
      <c r="CW192" s="172">
        <f t="shared" si="539"/>
        <v>39.119141139977373</v>
      </c>
      <c r="CX192" s="536">
        <f t="shared" si="540"/>
        <v>15</v>
      </c>
      <c r="CY192" s="217">
        <f t="shared" si="541"/>
        <v>28.9213943950786</v>
      </c>
      <c r="CZ192" s="217">
        <f t="shared" si="542"/>
        <v>18.266143828470696</v>
      </c>
      <c r="DA192" s="217">
        <f t="shared" si="543"/>
        <v>22.536151476684626</v>
      </c>
      <c r="DB192" s="197">
        <f t="shared" si="544"/>
        <v>70.881782945736433</v>
      </c>
      <c r="DC192" s="443">
        <f t="shared" si="545"/>
        <v>24.508425139348745</v>
      </c>
      <c r="DE192" s="217">
        <f t="shared" si="546"/>
        <v>10.000000000000002</v>
      </c>
      <c r="DF192" s="173">
        <f t="shared" si="547"/>
        <v>7.792207792207793</v>
      </c>
      <c r="DG192" s="173">
        <f t="shared" si="548"/>
        <v>2.7616279069767451</v>
      </c>
      <c r="DH192" s="173"/>
      <c r="DI192" s="173">
        <f t="shared" si="549"/>
        <v>7.7922077922077913</v>
      </c>
      <c r="DJ192" s="545">
        <f t="shared" si="550"/>
        <v>210.46666666666667</v>
      </c>
      <c r="DK192" s="528">
        <f t="shared" si="551"/>
        <v>2.7616279069767442</v>
      </c>
      <c r="DM192" s="173">
        <f t="shared" si="552"/>
        <v>7.7545685459175182</v>
      </c>
      <c r="DN192" s="173">
        <f t="shared" si="553"/>
        <v>28.9213943950786</v>
      </c>
      <c r="DO192" s="173">
        <f t="shared" si="554"/>
        <v>15.215847700058223</v>
      </c>
      <c r="DQ192" s="545">
        <f t="shared" si="555"/>
        <v>8200</v>
      </c>
      <c r="DR192" s="460">
        <f t="shared" si="556"/>
        <v>24.508425139348745</v>
      </c>
      <c r="DT192">
        <f t="shared" si="591"/>
        <v>8200</v>
      </c>
      <c r="DU192">
        <f t="shared" si="592"/>
        <v>24.508425139348745</v>
      </c>
      <c r="DW192" s="5">
        <f t="shared" si="557"/>
        <v>40.802295305155326</v>
      </c>
      <c r="DX192" s="5">
        <f t="shared" si="558"/>
        <v>18.266143828470696</v>
      </c>
      <c r="DY192" s="5">
        <f t="shared" si="559"/>
        <v>22.53615147668463</v>
      </c>
      <c r="DZ192" s="5"/>
      <c r="EA192" s="173">
        <f t="shared" si="560"/>
        <v>0.44767441860465113</v>
      </c>
      <c r="EB192" s="173">
        <f t="shared" si="561"/>
        <v>122.99999999999997</v>
      </c>
      <c r="EC192" s="173">
        <f t="shared" si="562"/>
        <v>7.9870129870129869</v>
      </c>
      <c r="ED192" s="173">
        <f t="shared" si="563"/>
        <v>15.399999999999997</v>
      </c>
      <c r="EE192" s="460">
        <f t="shared" si="564"/>
        <v>998.54919595639797</v>
      </c>
      <c r="EF192" s="5">
        <f t="shared" si="565"/>
        <v>40.525535550178496</v>
      </c>
      <c r="EH192" s="173">
        <f t="shared" si="566"/>
        <v>11.172226702611692</v>
      </c>
      <c r="EI192" s="173">
        <f t="shared" si="567"/>
        <v>12.409554185814986</v>
      </c>
      <c r="EK192" s="528">
        <f t="shared" si="568"/>
        <v>2.4963729898909945</v>
      </c>
      <c r="EL192" s="528">
        <f t="shared" si="569"/>
        <v>0.48766666666666658</v>
      </c>
      <c r="EM192" s="528">
        <f t="shared" si="570"/>
        <v>3.0635531424185931E-3</v>
      </c>
      <c r="EN192" s="528">
        <f t="shared" si="571"/>
        <v>2.9002289972899732E-3</v>
      </c>
      <c r="EO192">
        <f t="shared" si="572"/>
        <v>8.5500000000000003E-3</v>
      </c>
      <c r="EP192" s="460">
        <f t="shared" si="573"/>
        <v>11.613553142418594</v>
      </c>
      <c r="EQ192" s="460"/>
      <c r="ER192" s="460">
        <f t="shared" si="593"/>
        <v>2998.55343869737</v>
      </c>
      <c r="ES192" s="528">
        <f t="shared" si="574"/>
        <v>5.7399999999999993</v>
      </c>
      <c r="EV192" s="460">
        <f t="shared" si="494"/>
        <v>5739.9999999999991</v>
      </c>
      <c r="EW192" s="528">
        <f t="shared" si="575"/>
        <v>3.7445594848364916</v>
      </c>
      <c r="EX192" s="528">
        <f t="shared" si="576"/>
        <v>4.6199110527203473</v>
      </c>
      <c r="EY192" s="528">
        <f t="shared" si="577"/>
        <v>0.66881589702681232</v>
      </c>
      <c r="EZ192" s="528"/>
      <c r="FA192" s="528">
        <f t="shared" si="578"/>
        <v>2.0499999999999997E-2</v>
      </c>
      <c r="FB192" s="460">
        <f t="shared" si="579"/>
        <v>9053.7864345836515</v>
      </c>
      <c r="FC192" s="173">
        <f t="shared" si="580"/>
        <v>17.792339873281016</v>
      </c>
      <c r="FD192" s="5">
        <f t="shared" si="581"/>
        <v>122.99999999999999</v>
      </c>
      <c r="FE192" s="173">
        <f t="shared" si="582"/>
        <v>0.87362707453193211</v>
      </c>
      <c r="FF192" s="5">
        <f t="shared" si="583"/>
        <v>87.36270745319321</v>
      </c>
      <c r="FI192" s="562">
        <f t="shared" si="584"/>
        <v>-50</v>
      </c>
      <c r="FJ192">
        <f t="shared" si="585"/>
        <v>-50</v>
      </c>
      <c r="FL192">
        <f t="shared" si="586"/>
        <v>0.55232558139534893</v>
      </c>
    </row>
    <row r="193" spans="5:168">
      <c r="E193" s="170">
        <v>83</v>
      </c>
      <c r="F193" s="217">
        <f t="shared" si="587"/>
        <v>8.2999999999999989</v>
      </c>
      <c r="G193" s="217"/>
      <c r="H193" s="217">
        <f t="shared" si="495"/>
        <v>124.49999999999999</v>
      </c>
      <c r="I193" s="541">
        <f t="shared" si="496"/>
        <v>18.246981016591356</v>
      </c>
      <c r="J193" s="172">
        <f t="shared" si="497"/>
        <v>15.851811390045187</v>
      </c>
      <c r="K193" s="172">
        <f t="shared" si="498"/>
        <v>34.098792406636541</v>
      </c>
      <c r="L193" s="443"/>
      <c r="M193" s="217">
        <f t="shared" si="499"/>
        <v>0.46486342493432181</v>
      </c>
      <c r="N193" s="172">
        <f t="shared" si="500"/>
        <v>212.26030816174477</v>
      </c>
      <c r="O193" s="172">
        <f t="shared" si="438"/>
        <v>124.49999999999999</v>
      </c>
      <c r="P193" s="217">
        <f t="shared" si="501"/>
        <v>14.150687210782985</v>
      </c>
      <c r="Q193" s="217">
        <f t="shared" si="502"/>
        <v>15</v>
      </c>
      <c r="R193" s="217"/>
      <c r="S193" s="172">
        <f t="shared" si="503"/>
        <v>36.909433780890168</v>
      </c>
      <c r="T193" s="536">
        <f t="shared" si="504"/>
        <v>15</v>
      </c>
      <c r="U193" s="217">
        <f t="shared" si="505"/>
        <v>31.020118551909206</v>
      </c>
      <c r="V193" s="217">
        <f t="shared" si="506"/>
        <v>20.400164952462223</v>
      </c>
      <c r="W193" s="217">
        <f t="shared" si="507"/>
        <v>23.482579590662755</v>
      </c>
      <c r="X193" s="197">
        <f t="shared" si="508"/>
        <v>70.688647382628375</v>
      </c>
      <c r="Y193" s="443">
        <f t="shared" si="509"/>
        <v>22.684613001391657</v>
      </c>
      <c r="AA193" s="217">
        <f t="shared" si="510"/>
        <v>10</v>
      </c>
      <c r="AB193" s="173">
        <f t="shared" si="511"/>
        <v>7.5701127806352186</v>
      </c>
      <c r="AC193" s="173">
        <f t="shared" si="512"/>
        <v>2.675605164985257</v>
      </c>
      <c r="AD193" s="173"/>
      <c r="AE193" s="173">
        <f t="shared" si="513"/>
        <v>7.5701127806352186</v>
      </c>
      <c r="AF193" s="545">
        <f t="shared" si="514"/>
        <v>219.28339089562505</v>
      </c>
      <c r="AG193" s="528">
        <f t="shared" si="515"/>
        <v>2.6756051649852566</v>
      </c>
      <c r="AI193" s="173">
        <f t="shared" si="516"/>
        <v>7.9153267398604603</v>
      </c>
      <c r="AJ193" s="173">
        <f t="shared" si="517"/>
        <v>31.020118551909206</v>
      </c>
      <c r="AK193" s="173">
        <f t="shared" si="518"/>
        <v>16.770458186599409</v>
      </c>
      <c r="AM193" s="545">
        <f t="shared" si="519"/>
        <v>8299.9999999999982</v>
      </c>
      <c r="AN193" s="460">
        <f t="shared" si="520"/>
        <v>22.684613001391657</v>
      </c>
      <c r="AP193">
        <f t="shared" si="521"/>
        <v>8299.9999999999982</v>
      </c>
      <c r="AQ193">
        <f t="shared" si="522"/>
        <v>22.684613001391657</v>
      </c>
      <c r="AS193" s="5">
        <f t="shared" si="439"/>
        <v>44.082744543124974</v>
      </c>
      <c r="AT193" s="5">
        <f t="shared" si="523"/>
        <v>20.400164952462223</v>
      </c>
      <c r="AU193" s="5">
        <f t="shared" si="478"/>
        <v>23.682579590662751</v>
      </c>
      <c r="AV193" s="5"/>
      <c r="AW193" s="173">
        <f t="shared" si="479"/>
        <v>0.46276984711115898</v>
      </c>
      <c r="AX193" s="173">
        <f t="shared" si="435"/>
        <v>130.96930759832708</v>
      </c>
      <c r="AY193" s="173">
        <f t="shared" si="436"/>
        <v>8.3324715161360778</v>
      </c>
      <c r="AZ193" s="173">
        <f t="shared" si="440"/>
        <v>15.717942430970346</v>
      </c>
      <c r="BA193" s="460">
        <f t="shared" si="594"/>
        <v>1128.8091273695761</v>
      </c>
      <c r="BB193" s="5">
        <f t="shared" si="595"/>
        <v>44.885372732748372</v>
      </c>
      <c r="BD193" s="173">
        <f t="shared" si="441"/>
        <v>12.183311624959313</v>
      </c>
      <c r="BE193" s="173">
        <f t="shared" si="437"/>
        <v>13.126925363819911</v>
      </c>
      <c r="BG193" s="528">
        <f t="shared" si="480"/>
        <v>2.9686616430173745</v>
      </c>
      <c r="BH193" s="528">
        <f t="shared" si="524"/>
        <v>0.44989907356042091</v>
      </c>
      <c r="BI193" s="528">
        <f t="shared" si="525"/>
        <v>1.0348142570127875E-2</v>
      </c>
      <c r="BJ193" s="528">
        <f t="shared" si="481"/>
        <v>2.6376026620879476E-3</v>
      </c>
      <c r="BK193">
        <f t="shared" si="482"/>
        <v>8.2111414574661101E-3</v>
      </c>
      <c r="BL193" s="460">
        <f t="shared" si="588"/>
        <v>18.559284027593986</v>
      </c>
      <c r="BM193" s="528">
        <f t="shared" si="526"/>
        <v>14.331560768865799</v>
      </c>
      <c r="BN193" s="460">
        <f t="shared" si="527"/>
        <v>14331.560768865798</v>
      </c>
      <c r="BO193" s="528">
        <f t="shared" si="483"/>
        <v>5.8099999999999987</v>
      </c>
      <c r="BR193" s="460">
        <f t="shared" si="484"/>
        <v>5809.9999999999991</v>
      </c>
      <c r="BS193" s="528">
        <f t="shared" si="485"/>
        <v>4.4529924645260612</v>
      </c>
      <c r="BT193" s="528">
        <f t="shared" si="486"/>
        <v>5.1694850852189544</v>
      </c>
      <c r="BU193" s="528">
        <f t="shared" si="487"/>
        <v>0.65676057440128288</v>
      </c>
      <c r="BV193" s="528"/>
      <c r="BW193" s="528">
        <f t="shared" si="488"/>
        <v>2.1828217933054516E-2</v>
      </c>
      <c r="BX193" s="460">
        <f t="shared" si="489"/>
        <v>10301.066342079352</v>
      </c>
      <c r="BY193" s="173">
        <f t="shared" si="490"/>
        <v>19.550823945346831</v>
      </c>
      <c r="BZ193" s="5">
        <f t="shared" si="491"/>
        <v>124.49999999999999</v>
      </c>
      <c r="CA193" s="173">
        <f t="shared" si="492"/>
        <v>0.86427829143994028</v>
      </c>
      <c r="CB193" s="5">
        <f t="shared" si="493"/>
        <v>86.427829143994032</v>
      </c>
      <c r="CE193" s="562">
        <f t="shared" si="528"/>
        <v>-50</v>
      </c>
      <c r="CF193">
        <f t="shared" si="529"/>
        <v>-50</v>
      </c>
      <c r="CG193" s="173">
        <f t="shared" si="530"/>
        <v>0.55111492424991115</v>
      </c>
      <c r="CI193" s="170">
        <v>83</v>
      </c>
      <c r="CJ193" s="217">
        <f t="shared" si="589"/>
        <v>8.2999999999999989</v>
      </c>
      <c r="CK193" s="217"/>
      <c r="CL193" s="217">
        <f t="shared" si="531"/>
        <v>124.49999999999999</v>
      </c>
      <c r="CM193" s="541">
        <f t="shared" si="532"/>
        <v>19</v>
      </c>
      <c r="CN193" s="443">
        <f t="shared" si="533"/>
        <v>15.4</v>
      </c>
      <c r="CO193" s="443">
        <f t="shared" si="534"/>
        <v>34.4</v>
      </c>
      <c r="CP193" s="443"/>
      <c r="CQ193" s="217">
        <f t="shared" si="535"/>
        <v>0.44767441860465118</v>
      </c>
      <c r="CR193" s="172">
        <f t="shared" si="590"/>
        <v>212.84736191860466</v>
      </c>
      <c r="CS193" s="172">
        <f t="shared" si="536"/>
        <v>124.49999999999999</v>
      </c>
      <c r="CT193" s="217">
        <f t="shared" si="537"/>
        <v>14.189824127906977</v>
      </c>
      <c r="CU193" s="217">
        <f t="shared" si="538"/>
        <v>15</v>
      </c>
      <c r="CV193" s="217"/>
      <c r="CW193" s="172">
        <f t="shared" si="539"/>
        <v>38.424667500061396</v>
      </c>
      <c r="CX193" s="536">
        <f t="shared" si="540"/>
        <v>15</v>
      </c>
      <c r="CY193" s="217">
        <f t="shared" si="541"/>
        <v>29.274094326725901</v>
      </c>
      <c r="CZ193" s="217">
        <f t="shared" si="542"/>
        <v>18.488901680037412</v>
      </c>
      <c r="DA193" s="217">
        <f t="shared" si="543"/>
        <v>22.810982592253946</v>
      </c>
      <c r="DB193" s="197">
        <f t="shared" si="544"/>
        <v>70.881782945736433</v>
      </c>
      <c r="DC193" s="443">
        <f t="shared" si="545"/>
        <v>24.213142908754186</v>
      </c>
      <c r="DE193" s="217">
        <f t="shared" si="546"/>
        <v>10.000000000000002</v>
      </c>
      <c r="DF193" s="173">
        <f t="shared" si="547"/>
        <v>7.792207792207793</v>
      </c>
      <c r="DG193" s="173">
        <f t="shared" si="548"/>
        <v>2.7616279069767451</v>
      </c>
      <c r="DH193" s="173"/>
      <c r="DI193" s="173">
        <f t="shared" si="549"/>
        <v>7.7922077922077913</v>
      </c>
      <c r="DJ193" s="545">
        <f t="shared" si="550"/>
        <v>213.0333333333333</v>
      </c>
      <c r="DK193" s="528">
        <f t="shared" si="551"/>
        <v>2.7616279069767442</v>
      </c>
      <c r="DM193" s="173">
        <f t="shared" si="552"/>
        <v>7.8017092144392732</v>
      </c>
      <c r="DN193" s="173">
        <f t="shared" si="553"/>
        <v>29.274094326725901</v>
      </c>
      <c r="DO193" s="173">
        <f t="shared" si="554"/>
        <v>15.477106908685851</v>
      </c>
      <c r="DQ193" s="545">
        <f t="shared" si="555"/>
        <v>8299.9999999999982</v>
      </c>
      <c r="DR193" s="460">
        <f t="shared" si="556"/>
        <v>24.213142908754186</v>
      </c>
      <c r="DT193">
        <f t="shared" si="591"/>
        <v>8299.9999999999982</v>
      </c>
      <c r="DU193">
        <f t="shared" si="592"/>
        <v>24.213142908754186</v>
      </c>
      <c r="DW193" s="5">
        <f t="shared" si="557"/>
        <v>41.299884272291358</v>
      </c>
      <c r="DX193" s="5">
        <f t="shared" si="558"/>
        <v>18.488901680037412</v>
      </c>
      <c r="DY193" s="5">
        <f t="shared" si="559"/>
        <v>22.810982592253946</v>
      </c>
      <c r="DZ193" s="5"/>
      <c r="EA193" s="173">
        <f t="shared" si="560"/>
        <v>0.44767441860465118</v>
      </c>
      <c r="EB193" s="173">
        <f t="shared" si="561"/>
        <v>124.49999999999999</v>
      </c>
      <c r="EC193" s="173">
        <f t="shared" si="562"/>
        <v>8.0844155844155825</v>
      </c>
      <c r="ED193" s="173">
        <f t="shared" si="563"/>
        <v>15.400000000000002</v>
      </c>
      <c r="EE193" s="460">
        <f t="shared" si="564"/>
        <v>1023.0525596287367</v>
      </c>
      <c r="EF193" s="5">
        <f t="shared" si="565"/>
        <v>41.519990244672741</v>
      </c>
      <c r="EH193" s="173">
        <f t="shared" si="566"/>
        <v>11.308473369716713</v>
      </c>
      <c r="EI193" s="173">
        <f t="shared" si="567"/>
        <v>12.560890212471266</v>
      </c>
      <c r="EK193" s="528">
        <f t="shared" si="568"/>
        <v>2.5576313990718416</v>
      </c>
      <c r="EL193" s="528">
        <f t="shared" si="569"/>
        <v>0.48766666666666675</v>
      </c>
      <c r="EM193" s="528">
        <f t="shared" si="570"/>
        <v>3.0266428635942729E-3</v>
      </c>
      <c r="EN193" s="528">
        <f t="shared" si="571"/>
        <v>2.865286479250335E-3</v>
      </c>
      <c r="EO193">
        <f t="shared" si="572"/>
        <v>8.5500000000000003E-3</v>
      </c>
      <c r="EP193" s="460">
        <f t="shared" si="573"/>
        <v>11.576642863594275</v>
      </c>
      <c r="EQ193" s="460"/>
      <c r="ER193" s="460">
        <f t="shared" si="593"/>
        <v>3059.7399950813528</v>
      </c>
      <c r="ES193" s="528">
        <f t="shared" si="574"/>
        <v>5.8099999999999987</v>
      </c>
      <c r="EV193" s="460">
        <f t="shared" si="494"/>
        <v>5809.9999999999991</v>
      </c>
      <c r="EW193" s="528">
        <f t="shared" si="575"/>
        <v>3.8364470986077621</v>
      </c>
      <c r="EX193" s="528">
        <f t="shared" si="576"/>
        <v>4.733278887892693</v>
      </c>
      <c r="EY193" s="528">
        <f t="shared" si="577"/>
        <v>0.66881589702681232</v>
      </c>
      <c r="EZ193" s="528"/>
      <c r="FA193" s="528">
        <f t="shared" si="578"/>
        <v>2.0750000000000001E-2</v>
      </c>
      <c r="FB193" s="460">
        <f t="shared" si="579"/>
        <v>9259.2918835272667</v>
      </c>
      <c r="FC193" s="173">
        <f t="shared" si="580"/>
        <v>18.129031878608615</v>
      </c>
      <c r="FD193" s="5">
        <f t="shared" si="581"/>
        <v>124.49999999999999</v>
      </c>
      <c r="FE193" s="173">
        <f t="shared" si="582"/>
        <v>0.87289381663868959</v>
      </c>
      <c r="FF193" s="5">
        <f t="shared" si="583"/>
        <v>87.289381663868966</v>
      </c>
      <c r="FI193" s="562">
        <f t="shared" si="584"/>
        <v>-50</v>
      </c>
      <c r="FJ193">
        <f t="shared" si="585"/>
        <v>-50</v>
      </c>
      <c r="FL193">
        <f t="shared" si="586"/>
        <v>0.55232558139534882</v>
      </c>
    </row>
    <row r="194" spans="5:168">
      <c r="E194" s="170">
        <v>84</v>
      </c>
      <c r="F194" s="217">
        <f t="shared" si="587"/>
        <v>8.4</v>
      </c>
      <c r="G194" s="217"/>
      <c r="H194" s="217">
        <f t="shared" si="495"/>
        <v>126</v>
      </c>
      <c r="I194" s="541">
        <f t="shared" si="496"/>
        <v>18.237928428176271</v>
      </c>
      <c r="J194" s="172">
        <f t="shared" si="497"/>
        <v>15.857242943094239</v>
      </c>
      <c r="K194" s="172">
        <f t="shared" si="498"/>
        <v>34.09517137127051</v>
      </c>
      <c r="L194" s="443"/>
      <c r="M194" s="217">
        <f t="shared" si="499"/>
        <v>0.46507210728389287</v>
      </c>
      <c r="N194" s="172">
        <f t="shared" si="500"/>
        <v>212.25024152002527</v>
      </c>
      <c r="O194" s="172">
        <f t="shared" si="438"/>
        <v>126</v>
      </c>
      <c r="P194" s="217">
        <f t="shared" si="501"/>
        <v>14.150016101335018</v>
      </c>
      <c r="Q194" s="217">
        <f t="shared" si="502"/>
        <v>15</v>
      </c>
      <c r="R194" s="217"/>
      <c r="S194" s="172">
        <f t="shared" si="503"/>
        <v>36.240720571792536</v>
      </c>
      <c r="T194" s="536">
        <f t="shared" si="504"/>
        <v>15</v>
      </c>
      <c r="U194" s="217">
        <f t="shared" si="505"/>
        <v>31.406102072370285</v>
      </c>
      <c r="V194" s="217">
        <f t="shared" si="506"/>
        <v>20.664256160047305</v>
      </c>
      <c r="W194" s="217">
        <f t="shared" si="507"/>
        <v>23.766629938186707</v>
      </c>
      <c r="X194" s="197">
        <f t="shared" si="508"/>
        <v>70.685293115544169</v>
      </c>
      <c r="Y194" s="443">
        <f t="shared" si="509"/>
        <v>22.406008202458001</v>
      </c>
      <c r="AA194" s="217">
        <f t="shared" si="510"/>
        <v>10</v>
      </c>
      <c r="AB194" s="173">
        <f t="shared" si="511"/>
        <v>7.5675198034510469</v>
      </c>
      <c r="AC194" s="173">
        <f t="shared" si="512"/>
        <v>2.6745617773231123</v>
      </c>
      <c r="AD194" s="173"/>
      <c r="AE194" s="173">
        <f t="shared" si="513"/>
        <v>7.5675198034510469</v>
      </c>
      <c r="AF194" s="545">
        <f t="shared" si="514"/>
        <v>222.00140120331932</v>
      </c>
      <c r="AG194" s="528">
        <f t="shared" si="515"/>
        <v>2.6745617773231123</v>
      </c>
      <c r="AI194" s="173">
        <f t="shared" si="516"/>
        <v>7.9642307709142228</v>
      </c>
      <c r="AJ194" s="173">
        <f t="shared" si="517"/>
        <v>31.406102072370285</v>
      </c>
      <c r="AK194" s="173">
        <f t="shared" si="518"/>
        <v>17.056371905459468</v>
      </c>
      <c r="AM194" s="545">
        <f t="shared" si="519"/>
        <v>8400</v>
      </c>
      <c r="AN194" s="460">
        <f t="shared" si="520"/>
        <v>22.406008202458001</v>
      </c>
      <c r="AP194">
        <f t="shared" si="521"/>
        <v>8400</v>
      </c>
      <c r="AQ194">
        <f t="shared" si="522"/>
        <v>22.406008202458001</v>
      </c>
      <c r="AS194" s="5">
        <f t="shared" si="439"/>
        <v>44.630886098234015</v>
      </c>
      <c r="AT194" s="5">
        <f t="shared" si="523"/>
        <v>20.664256160047305</v>
      </c>
      <c r="AU194" s="5">
        <f t="shared" si="478"/>
        <v>23.96662993818671</v>
      </c>
      <c r="AV194" s="5"/>
      <c r="AW194" s="173">
        <f t="shared" si="479"/>
        <v>0.46300349301971316</v>
      </c>
      <c r="AX194" s="173">
        <f t="shared" si="435"/>
        <v>132.60008934743101</v>
      </c>
      <c r="AY194" s="173">
        <f t="shared" si="436"/>
        <v>8.4324835553645965</v>
      </c>
      <c r="AZ194" s="173">
        <f t="shared" si="440"/>
        <v>15.724915260946247</v>
      </c>
      <c r="BA194" s="460">
        <f t="shared" si="594"/>
        <v>1157.1983449626493</v>
      </c>
      <c r="BB194" s="5">
        <f t="shared" si="595"/>
        <v>45.993822771044563</v>
      </c>
      <c r="BD194" s="173">
        <f t="shared" si="441"/>
        <v>12.338022111254467</v>
      </c>
      <c r="BE194" s="173">
        <f t="shared" si="437"/>
        <v>13.287373436546552</v>
      </c>
      <c r="BG194" s="528">
        <f t="shared" si="480"/>
        <v>3.0445357923560827</v>
      </c>
      <c r="BH194" s="528">
        <f t="shared" si="524"/>
        <v>0.44985513083258422</v>
      </c>
      <c r="BI194" s="528">
        <f t="shared" si="525"/>
        <v>1.0215979348938985E-2</v>
      </c>
      <c r="BJ194" s="528">
        <f t="shared" si="481"/>
        <v>2.6046552342197443E-3</v>
      </c>
      <c r="BK194">
        <f t="shared" si="482"/>
        <v>8.2070677926793217E-3</v>
      </c>
      <c r="BL194" s="460">
        <f t="shared" si="588"/>
        <v>18.423047141618305</v>
      </c>
      <c r="BM194" s="528">
        <f t="shared" si="526"/>
        <v>15.613646345641541</v>
      </c>
      <c r="BN194" s="460">
        <f t="shared" si="527"/>
        <v>15613.64634564154</v>
      </c>
      <c r="BO194" s="528">
        <f t="shared" si="483"/>
        <v>5.88</v>
      </c>
      <c r="BR194" s="460">
        <f t="shared" si="484"/>
        <v>5880</v>
      </c>
      <c r="BS194" s="528">
        <f t="shared" si="485"/>
        <v>4.5668036885341241</v>
      </c>
      <c r="BT194" s="528">
        <f t="shared" si="486"/>
        <v>5.2966287852672878</v>
      </c>
      <c r="BU194" s="528">
        <f t="shared" si="487"/>
        <v>0.65677456508937149</v>
      </c>
      <c r="BV194" s="528"/>
      <c r="BW194" s="528">
        <f t="shared" si="488"/>
        <v>2.2100014891238501E-2</v>
      </c>
      <c r="BX194" s="460">
        <f t="shared" si="489"/>
        <v>10542.307053782022</v>
      </c>
      <c r="BY194" s="173">
        <f t="shared" si="490"/>
        <v>19.937725679346528</v>
      </c>
      <c r="BZ194" s="5">
        <f t="shared" si="491"/>
        <v>126</v>
      </c>
      <c r="CA194" s="173">
        <f t="shared" si="492"/>
        <v>0.86338196250122756</v>
      </c>
      <c r="CB194" s="5">
        <f t="shared" si="493"/>
        <v>86.338196250122763</v>
      </c>
      <c r="CE194" s="562">
        <f t="shared" si="528"/>
        <v>-50</v>
      </c>
      <c r="CF194">
        <f t="shared" si="529"/>
        <v>-50</v>
      </c>
      <c r="CG194" s="173">
        <f t="shared" si="530"/>
        <v>0.55112933683497578</v>
      </c>
      <c r="CI194" s="170">
        <v>84</v>
      </c>
      <c r="CJ194" s="217">
        <f t="shared" si="589"/>
        <v>8.4</v>
      </c>
      <c r="CK194" s="217"/>
      <c r="CL194" s="217">
        <f t="shared" si="531"/>
        <v>126</v>
      </c>
      <c r="CM194" s="541">
        <f t="shared" si="532"/>
        <v>19</v>
      </c>
      <c r="CN194" s="443">
        <f t="shared" si="533"/>
        <v>15.4</v>
      </c>
      <c r="CO194" s="443">
        <f t="shared" si="534"/>
        <v>34.4</v>
      </c>
      <c r="CP194" s="443"/>
      <c r="CQ194" s="217">
        <f t="shared" si="535"/>
        <v>0.44767441860465118</v>
      </c>
      <c r="CR194" s="172">
        <f t="shared" si="590"/>
        <v>212.84736191860466</v>
      </c>
      <c r="CS194" s="172">
        <f t="shared" si="536"/>
        <v>126</v>
      </c>
      <c r="CT194" s="217">
        <f t="shared" si="537"/>
        <v>14.189824127906977</v>
      </c>
      <c r="CU194" s="217">
        <f t="shared" si="538"/>
        <v>15</v>
      </c>
      <c r="CV194" s="217"/>
      <c r="CW194" s="172">
        <f t="shared" si="539"/>
        <v>37.746849132744899</v>
      </c>
      <c r="CX194" s="536">
        <f t="shared" si="540"/>
        <v>15</v>
      </c>
      <c r="CY194" s="217">
        <f t="shared" si="541"/>
        <v>29.626794258373206</v>
      </c>
      <c r="CZ194" s="217">
        <f t="shared" si="542"/>
        <v>18.711659531604131</v>
      </c>
      <c r="DA194" s="217">
        <f t="shared" si="543"/>
        <v>23.085813707823277</v>
      </c>
      <c r="DB194" s="197">
        <f t="shared" si="544"/>
        <v>70.881782945736433</v>
      </c>
      <c r="DC194" s="443">
        <f t="shared" si="545"/>
        <v>23.924891207459492</v>
      </c>
      <c r="DE194" s="217">
        <f t="shared" si="546"/>
        <v>10.000000000000002</v>
      </c>
      <c r="DF194" s="173">
        <f t="shared" si="547"/>
        <v>7.792207792207793</v>
      </c>
      <c r="DG194" s="173">
        <f t="shared" si="548"/>
        <v>2.7616279069767451</v>
      </c>
      <c r="DH194" s="173"/>
      <c r="DI194" s="173">
        <f t="shared" si="549"/>
        <v>7.7922077922077913</v>
      </c>
      <c r="DJ194" s="545">
        <f t="shared" si="550"/>
        <v>215.60000000000002</v>
      </c>
      <c r="DK194" s="528">
        <f t="shared" si="551"/>
        <v>2.7616279069767442</v>
      </c>
      <c r="DM194" s="173">
        <f t="shared" si="552"/>
        <v>7.8485667481394339</v>
      </c>
      <c r="DN194" s="173">
        <f t="shared" si="553"/>
        <v>29.626794258373206</v>
      </c>
      <c r="DO194" s="173">
        <f t="shared" si="554"/>
        <v>15.738366117313484</v>
      </c>
      <c r="DQ194" s="545">
        <f t="shared" si="555"/>
        <v>8400</v>
      </c>
      <c r="DR194" s="460">
        <f t="shared" si="556"/>
        <v>23.924891207459492</v>
      </c>
      <c r="DT194">
        <f t="shared" si="591"/>
        <v>8400</v>
      </c>
      <c r="DU194">
        <f t="shared" si="592"/>
        <v>23.924891207459492</v>
      </c>
      <c r="DW194" s="5">
        <f t="shared" si="557"/>
        <v>41.797473239427397</v>
      </c>
      <c r="DX194" s="5">
        <f t="shared" si="558"/>
        <v>18.711659531604131</v>
      </c>
      <c r="DY194" s="5">
        <f t="shared" si="559"/>
        <v>23.085813707823267</v>
      </c>
      <c r="DZ194" s="5"/>
      <c r="EA194" s="173">
        <f t="shared" si="560"/>
        <v>0.44767441860465129</v>
      </c>
      <c r="EB194" s="173">
        <f t="shared" si="561"/>
        <v>126.00000000000003</v>
      </c>
      <c r="EC194" s="173">
        <f t="shared" si="562"/>
        <v>8.1818181818181799</v>
      </c>
      <c r="ED194" s="173">
        <f t="shared" si="563"/>
        <v>15.400000000000007</v>
      </c>
      <c r="EE194" s="460">
        <f t="shared" si="564"/>
        <v>1047.8529337698312</v>
      </c>
      <c r="EF194" s="5">
        <f t="shared" si="565"/>
        <v>42.526498935463913</v>
      </c>
      <c r="EH194" s="173">
        <f t="shared" si="566"/>
        <v>11.444720036821737</v>
      </c>
      <c r="EI194" s="173">
        <f t="shared" si="567"/>
        <v>12.712226239127547</v>
      </c>
      <c r="EK194" s="528">
        <f t="shared" si="568"/>
        <v>2.6196323344245789</v>
      </c>
      <c r="EL194" s="528">
        <f t="shared" si="569"/>
        <v>0.48766666666666675</v>
      </c>
      <c r="EM194" s="528">
        <f t="shared" si="570"/>
        <v>2.9906114009324363E-3</v>
      </c>
      <c r="EN194" s="528">
        <f t="shared" si="571"/>
        <v>2.8311759259259262E-3</v>
      </c>
      <c r="EO194">
        <f t="shared" si="572"/>
        <v>8.5500000000000003E-3</v>
      </c>
      <c r="EP194" s="460">
        <f t="shared" si="573"/>
        <v>11.540611400932436</v>
      </c>
      <c r="EQ194" s="460"/>
      <c r="ER194" s="460">
        <f t="shared" si="593"/>
        <v>3121.6707884181042</v>
      </c>
      <c r="ES194" s="528">
        <f t="shared" si="574"/>
        <v>5.88</v>
      </c>
      <c r="EV194" s="460">
        <f t="shared" si="494"/>
        <v>5880</v>
      </c>
      <c r="EW194" s="528">
        <f t="shared" si="575"/>
        <v>3.9294485016368679</v>
      </c>
      <c r="EX194" s="528">
        <f t="shared" si="576"/>
        <v>4.8480208786428864</v>
      </c>
      <c r="EY194" s="528">
        <f t="shared" si="577"/>
        <v>0.66881589702681288</v>
      </c>
      <c r="EZ194" s="528"/>
      <c r="FA194" s="528">
        <f t="shared" si="578"/>
        <v>2.1000000000000005E-2</v>
      </c>
      <c r="FB194" s="460">
        <f t="shared" si="579"/>
        <v>9467.2852773065679</v>
      </c>
      <c r="FC194" s="173">
        <f t="shared" si="580"/>
        <v>18.468956065724672</v>
      </c>
      <c r="FD194" s="5">
        <f t="shared" si="581"/>
        <v>126</v>
      </c>
      <c r="FE194" s="173">
        <f t="shared" si="582"/>
        <v>0.87215969043673014</v>
      </c>
      <c r="FF194" s="5">
        <f t="shared" si="583"/>
        <v>87.215969043673013</v>
      </c>
      <c r="FI194" s="562">
        <f t="shared" si="584"/>
        <v>-50</v>
      </c>
      <c r="FJ194">
        <f t="shared" si="585"/>
        <v>-50</v>
      </c>
      <c r="FL194">
        <f t="shared" si="586"/>
        <v>0.55232558139534871</v>
      </c>
    </row>
    <row r="195" spans="5:168">
      <c r="E195" s="170">
        <v>85</v>
      </c>
      <c r="F195" s="217">
        <f t="shared" si="587"/>
        <v>8.5</v>
      </c>
      <c r="G195" s="217"/>
      <c r="H195" s="217">
        <f t="shared" si="495"/>
        <v>127.5</v>
      </c>
      <c r="I195" s="541">
        <f t="shared" si="496"/>
        <v>18.228875838743384</v>
      </c>
      <c r="J195" s="172">
        <f t="shared" si="497"/>
        <v>15.86267449675397</v>
      </c>
      <c r="K195" s="172">
        <f t="shared" si="498"/>
        <v>34.091550335497352</v>
      </c>
      <c r="L195" s="443"/>
      <c r="M195" s="217">
        <f t="shared" si="499"/>
        <v>0.46528083397873404</v>
      </c>
      <c r="N195" s="172">
        <f t="shared" si="500"/>
        <v>212.24010054926063</v>
      </c>
      <c r="O195" s="172">
        <f t="shared" si="438"/>
        <v>127.5</v>
      </c>
      <c r="P195" s="217">
        <f t="shared" si="501"/>
        <v>14.149340036617376</v>
      </c>
      <c r="Q195" s="217">
        <f t="shared" si="502"/>
        <v>15</v>
      </c>
      <c r="R195" s="217"/>
      <c r="S195" s="172">
        <f t="shared" si="503"/>
        <v>35.588075042699529</v>
      </c>
      <c r="T195" s="536">
        <f t="shared" si="504"/>
        <v>15</v>
      </c>
      <c r="U195" s="217">
        <f t="shared" si="505"/>
        <v>31.792389501377812</v>
      </c>
      <c r="V195" s="217">
        <f t="shared" si="506"/>
        <v>20.928809729762975</v>
      </c>
      <c r="W195" s="217">
        <f t="shared" si="507"/>
        <v>24.050715665545752</v>
      </c>
      <c r="X195" s="197">
        <f t="shared" si="508"/>
        <v>70.681914097505555</v>
      </c>
      <c r="Y195" s="443">
        <f t="shared" si="509"/>
        <v>22.133919983671106</v>
      </c>
      <c r="AA195" s="217">
        <f t="shared" si="510"/>
        <v>10</v>
      </c>
      <c r="AB195" s="173">
        <f t="shared" si="511"/>
        <v>7.5649286017030732</v>
      </c>
      <c r="AC195" s="173">
        <f t="shared" si="512"/>
        <v>2.6735181678966975</v>
      </c>
      <c r="AD195" s="173"/>
      <c r="AE195" s="173">
        <f t="shared" si="513"/>
        <v>7.5649286017030732</v>
      </c>
      <c r="AF195" s="545">
        <f t="shared" si="514"/>
        <v>224.72122203734787</v>
      </c>
      <c r="AG195" s="528">
        <f t="shared" si="515"/>
        <v>2.6735181678966971</v>
      </c>
      <c r="AI195" s="173">
        <f t="shared" si="516"/>
        <v>8.0128686148745913</v>
      </c>
      <c r="AJ195" s="173">
        <f t="shared" si="517"/>
        <v>31.792389501377812</v>
      </c>
      <c r="AK195" s="173">
        <f t="shared" si="518"/>
        <v>17.342510741761341</v>
      </c>
      <c r="AM195" s="545">
        <f t="shared" si="519"/>
        <v>8500</v>
      </c>
      <c r="AN195" s="460">
        <f t="shared" si="520"/>
        <v>22.133919983671106</v>
      </c>
      <c r="AP195">
        <f t="shared" si="521"/>
        <v>8500</v>
      </c>
      <c r="AQ195">
        <f t="shared" si="522"/>
        <v>22.133919983671106</v>
      </c>
      <c r="AS195" s="5">
        <f t="shared" si="439"/>
        <v>45.179525395308723</v>
      </c>
      <c r="AT195" s="5">
        <f t="shared" si="523"/>
        <v>20.928809729762975</v>
      </c>
      <c r="AU195" s="5">
        <f t="shared" si="478"/>
        <v>24.250715665545748</v>
      </c>
      <c r="AV195" s="5"/>
      <c r="AW195" s="173">
        <f t="shared" si="479"/>
        <v>0.46323659991205102</v>
      </c>
      <c r="AX195" s="173">
        <f t="shared" si="435"/>
        <v>134.23195857373099</v>
      </c>
      <c r="AY195" s="173">
        <f t="shared" si="436"/>
        <v>8.5324955428399836</v>
      </c>
      <c r="AZ195" s="173">
        <f t="shared" si="440"/>
        <v>15.731852176163317</v>
      </c>
      <c r="BA195" s="460">
        <f t="shared" si="594"/>
        <v>1185.9658846865686</v>
      </c>
      <c r="BB195" s="5">
        <f t="shared" si="595"/>
        <v>47.116427845171636</v>
      </c>
      <c r="BD195" s="173">
        <f t="shared" si="441"/>
        <v>12.492920485536871</v>
      </c>
      <c r="BE195" s="173">
        <f t="shared" si="437"/>
        <v>13.447885130303051</v>
      </c>
      <c r="BG195" s="528">
        <f t="shared" si="480"/>
        <v>3.1214612451589363</v>
      </c>
      <c r="BH195" s="528">
        <f t="shared" si="524"/>
        <v>0.44981043853184033</v>
      </c>
      <c r="BI195" s="528">
        <f t="shared" si="525"/>
        <v>1.008691198017554E-2</v>
      </c>
      <c r="BJ195" s="528">
        <f t="shared" si="481"/>
        <v>2.5724790026201375E-3</v>
      </c>
      <c r="BK195">
        <f t="shared" si="482"/>
        <v>8.2029941274345229E-3</v>
      </c>
      <c r="BL195" s="460">
        <f t="shared" si="588"/>
        <v>18.289906107610062</v>
      </c>
      <c r="BM195" s="528">
        <f t="shared" si="526"/>
        <v>17.096171257302231</v>
      </c>
      <c r="BN195" s="460">
        <f t="shared" si="527"/>
        <v>17096.171257302231</v>
      </c>
      <c r="BO195" s="528">
        <f t="shared" si="483"/>
        <v>5.9499999999999993</v>
      </c>
      <c r="BR195" s="460">
        <f t="shared" si="484"/>
        <v>5949.9999999999991</v>
      </c>
      <c r="BS195" s="528">
        <f t="shared" si="485"/>
        <v>4.6821918677384042</v>
      </c>
      <c r="BT195" s="528">
        <f t="shared" si="486"/>
        <v>5.4253684343347768</v>
      </c>
      <c r="BU195" s="528">
        <f t="shared" si="487"/>
        <v>0.656785822742738</v>
      </c>
      <c r="BV195" s="528"/>
      <c r="BW195" s="528">
        <f t="shared" si="488"/>
        <v>2.2371993095621837E-2</v>
      </c>
      <c r="BX195" s="460">
        <f t="shared" si="489"/>
        <v>10786.718117911541</v>
      </c>
      <c r="BY195" s="173">
        <f t="shared" si="490"/>
        <v>20.328852186712545</v>
      </c>
      <c r="BZ195" s="5">
        <f t="shared" si="491"/>
        <v>127.5</v>
      </c>
      <c r="CA195" s="173">
        <f t="shared" si="492"/>
        <v>0.86248386640358576</v>
      </c>
      <c r="CB195" s="5">
        <f t="shared" si="493"/>
        <v>86.248386640358575</v>
      </c>
      <c r="CE195" s="562">
        <f t="shared" si="528"/>
        <v>-50</v>
      </c>
      <c r="CF195">
        <f t="shared" si="529"/>
        <v>-50</v>
      </c>
      <c r="CG195" s="173">
        <f t="shared" si="530"/>
        <v>0.55114341030039216</v>
      </c>
      <c r="CI195" s="170">
        <v>85</v>
      </c>
      <c r="CJ195" s="217">
        <f t="shared" si="589"/>
        <v>8.5</v>
      </c>
      <c r="CK195" s="217"/>
      <c r="CL195" s="217">
        <f t="shared" si="531"/>
        <v>127.5</v>
      </c>
      <c r="CM195" s="541">
        <f t="shared" si="532"/>
        <v>19</v>
      </c>
      <c r="CN195" s="443">
        <f t="shared" si="533"/>
        <v>15.4</v>
      </c>
      <c r="CO195" s="443">
        <f t="shared" si="534"/>
        <v>34.4</v>
      </c>
      <c r="CP195" s="443"/>
      <c r="CQ195" s="217">
        <f t="shared" si="535"/>
        <v>0.44767441860465118</v>
      </c>
      <c r="CR195" s="172">
        <f t="shared" si="590"/>
        <v>212.84736191860466</v>
      </c>
      <c r="CS195" s="172">
        <f t="shared" si="536"/>
        <v>127.5</v>
      </c>
      <c r="CT195" s="217">
        <f t="shared" si="537"/>
        <v>14.189824127906977</v>
      </c>
      <c r="CU195" s="217">
        <f t="shared" si="538"/>
        <v>15</v>
      </c>
      <c r="CV195" s="217"/>
      <c r="CW195" s="172">
        <f t="shared" si="539"/>
        <v>37.085100165180414</v>
      </c>
      <c r="CX195" s="536">
        <f t="shared" si="540"/>
        <v>15</v>
      </c>
      <c r="CY195" s="217">
        <f t="shared" si="541"/>
        <v>29.979494190020503</v>
      </c>
      <c r="CZ195" s="217">
        <f t="shared" si="542"/>
        <v>18.934417383170842</v>
      </c>
      <c r="DA195" s="217">
        <f t="shared" si="543"/>
        <v>23.360644823392601</v>
      </c>
      <c r="DB195" s="197">
        <f t="shared" si="544"/>
        <v>70.881782945736433</v>
      </c>
      <c r="DC195" s="443">
        <f t="shared" si="545"/>
        <v>23.643421899136438</v>
      </c>
      <c r="DE195" s="217">
        <f t="shared" si="546"/>
        <v>10.000000000000002</v>
      </c>
      <c r="DF195" s="173">
        <f t="shared" si="547"/>
        <v>7.792207792207793</v>
      </c>
      <c r="DG195" s="173">
        <f t="shared" si="548"/>
        <v>2.7616279069767451</v>
      </c>
      <c r="DH195" s="173"/>
      <c r="DI195" s="173">
        <f t="shared" si="549"/>
        <v>7.7922077922077913</v>
      </c>
      <c r="DJ195" s="545">
        <f t="shared" si="550"/>
        <v>218.16666666666669</v>
      </c>
      <c r="DK195" s="528">
        <f t="shared" si="551"/>
        <v>2.7616279069767442</v>
      </c>
      <c r="DM195" s="173">
        <f t="shared" si="552"/>
        <v>7.8951461882180078</v>
      </c>
      <c r="DN195" s="173">
        <f t="shared" si="553"/>
        <v>29.979494190020503</v>
      </c>
      <c r="DO195" s="173">
        <f t="shared" si="554"/>
        <v>15.999625325941114</v>
      </c>
      <c r="DQ195" s="545">
        <f t="shared" si="555"/>
        <v>8500</v>
      </c>
      <c r="DR195" s="460">
        <f t="shared" si="556"/>
        <v>23.643421899136438</v>
      </c>
      <c r="DT195">
        <f t="shared" si="591"/>
        <v>8500</v>
      </c>
      <c r="DU195">
        <f t="shared" si="592"/>
        <v>23.643421899136438</v>
      </c>
      <c r="DW195" s="5">
        <f t="shared" si="557"/>
        <v>42.295062206563443</v>
      </c>
      <c r="DX195" s="5">
        <f t="shared" si="558"/>
        <v>18.934417383170842</v>
      </c>
      <c r="DY195" s="5">
        <f t="shared" si="559"/>
        <v>23.360644823392601</v>
      </c>
      <c r="DZ195" s="5"/>
      <c r="EA195" s="173">
        <f t="shared" si="560"/>
        <v>0.44767441860465113</v>
      </c>
      <c r="EB195" s="173">
        <f t="shared" si="561"/>
        <v>127.5</v>
      </c>
      <c r="EC195" s="173">
        <f t="shared" si="562"/>
        <v>8.279220779220779</v>
      </c>
      <c r="ED195" s="173">
        <f t="shared" si="563"/>
        <v>15.4</v>
      </c>
      <c r="EE195" s="460">
        <f t="shared" si="564"/>
        <v>1072.9503183796812</v>
      </c>
      <c r="EF195" s="5">
        <f t="shared" si="565"/>
        <v>43.545061622551998</v>
      </c>
      <c r="EH195" s="173">
        <f t="shared" si="566"/>
        <v>11.580966703926753</v>
      </c>
      <c r="EI195" s="173">
        <f t="shared" si="567"/>
        <v>12.863562265783829</v>
      </c>
      <c r="EK195" s="528">
        <f t="shared" si="568"/>
        <v>2.6823757959492021</v>
      </c>
      <c r="EL195" s="528">
        <f t="shared" si="569"/>
        <v>0.48766666666666664</v>
      </c>
      <c r="EM195" s="528">
        <f t="shared" si="570"/>
        <v>2.9554277373920546E-3</v>
      </c>
      <c r="EN195" s="528">
        <f t="shared" si="571"/>
        <v>2.7978679738562095E-3</v>
      </c>
      <c r="EO195">
        <f t="shared" si="572"/>
        <v>8.5500000000000003E-3</v>
      </c>
      <c r="EP195" s="460">
        <f t="shared" si="573"/>
        <v>11.505427737392056</v>
      </c>
      <c r="EQ195" s="460"/>
      <c r="ER195" s="460">
        <f t="shared" si="593"/>
        <v>3184.345758327117</v>
      </c>
      <c r="ES195" s="528">
        <f t="shared" si="574"/>
        <v>5.9499999999999993</v>
      </c>
      <c r="EV195" s="460">
        <f t="shared" si="494"/>
        <v>5949.9999999999991</v>
      </c>
      <c r="EW195" s="528">
        <f t="shared" si="575"/>
        <v>4.0235636939238031</v>
      </c>
      <c r="EX195" s="528">
        <f t="shared" si="576"/>
        <v>4.9641370249709276</v>
      </c>
      <c r="EY195" s="528">
        <f t="shared" si="577"/>
        <v>0.66881589702681166</v>
      </c>
      <c r="EZ195" s="528"/>
      <c r="FA195" s="528">
        <f t="shared" si="578"/>
        <v>2.1250000000000002E-2</v>
      </c>
      <c r="FB195" s="460">
        <f t="shared" si="579"/>
        <v>9677.7666159215423</v>
      </c>
      <c r="FC195" s="173">
        <f t="shared" si="580"/>
        <v>18.812112374248656</v>
      </c>
      <c r="FD195" s="5">
        <f t="shared" si="581"/>
        <v>127.5</v>
      </c>
      <c r="FE195" s="173">
        <f t="shared" si="582"/>
        <v>0.87142477769626092</v>
      </c>
      <c r="FF195" s="5">
        <f t="shared" si="583"/>
        <v>87.142477769626097</v>
      </c>
      <c r="FI195" s="562">
        <f t="shared" si="584"/>
        <v>-50</v>
      </c>
      <c r="FJ195">
        <f t="shared" si="585"/>
        <v>-50</v>
      </c>
      <c r="FL195">
        <f t="shared" si="586"/>
        <v>0.55232558139534893</v>
      </c>
    </row>
    <row r="196" spans="5:168">
      <c r="E196" s="170">
        <v>86</v>
      </c>
      <c r="F196" s="217">
        <f t="shared" si="587"/>
        <v>8.6</v>
      </c>
      <c r="G196" s="217"/>
      <c r="H196" s="217">
        <f t="shared" si="495"/>
        <v>129</v>
      </c>
      <c r="I196" s="541">
        <f t="shared" si="496"/>
        <v>18.219823248328282</v>
      </c>
      <c r="J196" s="172">
        <f t="shared" si="497"/>
        <v>15.868106051003032</v>
      </c>
      <c r="K196" s="172">
        <f t="shared" si="498"/>
        <v>34.087929299331314</v>
      </c>
      <c r="L196" s="443"/>
      <c r="M196" s="217">
        <f t="shared" si="499"/>
        <v>0.46548960503250997</v>
      </c>
      <c r="N196" s="172">
        <f t="shared" si="500"/>
        <v>212.22988522594301</v>
      </c>
      <c r="O196" s="172">
        <f t="shared" si="438"/>
        <v>129</v>
      </c>
      <c r="P196" s="217">
        <f t="shared" si="501"/>
        <v>14.148659015062867</v>
      </c>
      <c r="Q196" s="217">
        <f t="shared" si="502"/>
        <v>15</v>
      </c>
      <c r="R196" s="217"/>
      <c r="S196" s="172">
        <f t="shared" si="503"/>
        <v>34.950938645991542</v>
      </c>
      <c r="T196" s="536">
        <f t="shared" si="504"/>
        <v>15</v>
      </c>
      <c r="U196" s="217">
        <f t="shared" si="505"/>
        <v>32.178981291928174</v>
      </c>
      <c r="V196" s="217">
        <f t="shared" si="506"/>
        <v>21.193826649145358</v>
      </c>
      <c r="W196" s="217">
        <f t="shared" si="507"/>
        <v>24.334837078980165</v>
      </c>
      <c r="X196" s="197">
        <f t="shared" si="508"/>
        <v>70.67851032063011</v>
      </c>
      <c r="Y196" s="443">
        <f t="shared" si="509"/>
        <v>21.868122058964683</v>
      </c>
      <c r="AA196" s="217">
        <f t="shared" si="510"/>
        <v>10</v>
      </c>
      <c r="AB196" s="173">
        <f t="shared" si="511"/>
        <v>7.562339173578609</v>
      </c>
      <c r="AC196" s="173">
        <f t="shared" si="512"/>
        <v>2.6724743366394055</v>
      </c>
      <c r="AD196" s="173"/>
      <c r="AE196" s="173">
        <f t="shared" si="513"/>
        <v>7.562339173578609</v>
      </c>
      <c r="AF196" s="545">
        <f t="shared" si="514"/>
        <v>227.44285339771011</v>
      </c>
      <c r="AG196" s="528">
        <f t="shared" si="515"/>
        <v>2.6724743366394059</v>
      </c>
      <c r="AI196" s="173">
        <f t="shared" si="516"/>
        <v>8.0612450898943475</v>
      </c>
      <c r="AJ196" s="173">
        <f t="shared" si="517"/>
        <v>32.178981291928174</v>
      </c>
      <c r="AK196" s="173">
        <f t="shared" si="518"/>
        <v>17.628875031057905</v>
      </c>
      <c r="AM196" s="545">
        <f t="shared" si="519"/>
        <v>8600</v>
      </c>
      <c r="AN196" s="460">
        <f t="shared" si="520"/>
        <v>21.868122058964683</v>
      </c>
      <c r="AP196">
        <f t="shared" si="521"/>
        <v>8600</v>
      </c>
      <c r="AQ196">
        <f t="shared" si="522"/>
        <v>21.868122058964683</v>
      </c>
      <c r="AS196" s="5">
        <f t="shared" si="439"/>
        <v>45.728663728125525</v>
      </c>
      <c r="AT196" s="5">
        <f t="shared" si="523"/>
        <v>21.193826649145358</v>
      </c>
      <c r="AU196" s="5">
        <f t="shared" si="478"/>
        <v>24.534837078980168</v>
      </c>
      <c r="AV196" s="5"/>
      <c r="AW196" s="173">
        <f t="shared" si="479"/>
        <v>0.46346918806004916</v>
      </c>
      <c r="AX196" s="173">
        <f t="shared" si="435"/>
        <v>135.86491525000125</v>
      </c>
      <c r="AY196" s="173">
        <f t="shared" si="436"/>
        <v>8.6325074799793544</v>
      </c>
      <c r="AZ196" s="173">
        <f t="shared" si="440"/>
        <v>15.738754419280987</v>
      </c>
      <c r="BA196" s="460">
        <f t="shared" si="594"/>
        <v>1215.1127278843339</v>
      </c>
      <c r="BB196" s="5">
        <f t="shared" si="595"/>
        <v>48.253212083755443</v>
      </c>
      <c r="BD196" s="173">
        <f t="shared" si="441"/>
        <v>12.648007004859066</v>
      </c>
      <c r="BE196" s="173">
        <f t="shared" si="437"/>
        <v>13.608460522794529</v>
      </c>
      <c r="BG196" s="528">
        <f t="shared" si="480"/>
        <v>3.19944162389928</v>
      </c>
      <c r="BH196" s="528">
        <f t="shared" si="524"/>
        <v>0.449765017349949</v>
      </c>
      <c r="BI196" s="528">
        <f t="shared" si="525"/>
        <v>9.9608329671801304E-3</v>
      </c>
      <c r="BJ196" s="528">
        <f t="shared" si="481"/>
        <v>2.5410471883120598E-3</v>
      </c>
      <c r="BK196">
        <f t="shared" si="482"/>
        <v>8.198920461747727E-3</v>
      </c>
      <c r="BL196" s="460">
        <f t="shared" si="588"/>
        <v>18.159753428927861</v>
      </c>
      <c r="BM196" s="528">
        <f t="shared" si="526"/>
        <v>18.829684536053769</v>
      </c>
      <c r="BN196" s="460">
        <f t="shared" si="527"/>
        <v>18829.68453605377</v>
      </c>
      <c r="BO196" s="528">
        <f t="shared" si="483"/>
        <v>6.02</v>
      </c>
      <c r="BR196" s="460">
        <f t="shared" si="484"/>
        <v>6020</v>
      </c>
      <c r="BS196" s="528">
        <f t="shared" si="485"/>
        <v>4.7991624358489196</v>
      </c>
      <c r="BT196" s="528">
        <f t="shared" si="486"/>
        <v>5.555705934013714</v>
      </c>
      <c r="BU196" s="528">
        <f t="shared" si="487"/>
        <v>0.65679442194607884</v>
      </c>
      <c r="BV196" s="528"/>
      <c r="BW196" s="528">
        <f t="shared" si="488"/>
        <v>2.2644152541666879E-2</v>
      </c>
      <c r="BX196" s="460">
        <f t="shared" si="489"/>
        <v>11034.306944350379</v>
      </c>
      <c r="BY196" s="173">
        <f t="shared" si="490"/>
        <v>20.724214386216847</v>
      </c>
      <c r="BZ196" s="5">
        <f t="shared" si="491"/>
        <v>129</v>
      </c>
      <c r="CA196" s="173">
        <f t="shared" si="492"/>
        <v>0.86158408330159408</v>
      </c>
      <c r="CB196" s="5">
        <f t="shared" si="493"/>
        <v>86.158408330159403</v>
      </c>
      <c r="CE196" s="562">
        <f t="shared" si="528"/>
        <v>-50</v>
      </c>
      <c r="CF196">
        <f t="shared" si="529"/>
        <v>-50</v>
      </c>
      <c r="CG196" s="173">
        <f t="shared" si="530"/>
        <v>0.55115715647591468</v>
      </c>
      <c r="CI196" s="170">
        <v>86</v>
      </c>
      <c r="CJ196" s="217">
        <f t="shared" si="589"/>
        <v>8.6</v>
      </c>
      <c r="CK196" s="217"/>
      <c r="CL196" s="217">
        <f t="shared" si="531"/>
        <v>129</v>
      </c>
      <c r="CM196" s="541">
        <f t="shared" si="532"/>
        <v>19</v>
      </c>
      <c r="CN196" s="443">
        <f t="shared" si="533"/>
        <v>15.4</v>
      </c>
      <c r="CO196" s="443">
        <f t="shared" si="534"/>
        <v>34.4</v>
      </c>
      <c r="CP196" s="443"/>
      <c r="CQ196" s="217">
        <f t="shared" si="535"/>
        <v>0.44767441860465118</v>
      </c>
      <c r="CR196" s="172">
        <f t="shared" si="590"/>
        <v>212.84736191860466</v>
      </c>
      <c r="CS196" s="172">
        <f t="shared" si="536"/>
        <v>129</v>
      </c>
      <c r="CT196" s="217">
        <f t="shared" si="537"/>
        <v>14.189824127906977</v>
      </c>
      <c r="CU196" s="217">
        <f t="shared" si="538"/>
        <v>15</v>
      </c>
      <c r="CV196" s="217"/>
      <c r="CW196" s="172">
        <f t="shared" si="539"/>
        <v>36.438862014961693</v>
      </c>
      <c r="CX196" s="536">
        <f t="shared" si="540"/>
        <v>15</v>
      </c>
      <c r="CY196" s="217">
        <f t="shared" si="541"/>
        <v>30.332194121667804</v>
      </c>
      <c r="CZ196" s="217">
        <f t="shared" si="542"/>
        <v>19.157175234737561</v>
      </c>
      <c r="DA196" s="217">
        <f t="shared" si="543"/>
        <v>23.635475938961925</v>
      </c>
      <c r="DB196" s="197">
        <f t="shared" si="544"/>
        <v>70.881782945736433</v>
      </c>
      <c r="DC196" s="443">
        <f t="shared" si="545"/>
        <v>23.368498388681363</v>
      </c>
      <c r="DE196" s="217">
        <f t="shared" si="546"/>
        <v>10.000000000000002</v>
      </c>
      <c r="DF196" s="173">
        <f t="shared" si="547"/>
        <v>7.792207792207793</v>
      </c>
      <c r="DG196" s="173">
        <f t="shared" si="548"/>
        <v>2.7616279069767451</v>
      </c>
      <c r="DH196" s="173"/>
      <c r="DI196" s="173">
        <f t="shared" si="549"/>
        <v>7.7922077922077913</v>
      </c>
      <c r="DJ196" s="545">
        <f t="shared" si="550"/>
        <v>220.73333333333335</v>
      </c>
      <c r="DK196" s="528">
        <f t="shared" si="551"/>
        <v>2.7616279069767442</v>
      </c>
      <c r="DM196" s="173">
        <f t="shared" si="552"/>
        <v>7.9414524280301944</v>
      </c>
      <c r="DN196" s="173">
        <f t="shared" si="553"/>
        <v>30.332194121667804</v>
      </c>
      <c r="DO196" s="173">
        <f t="shared" si="554"/>
        <v>16.260884534568742</v>
      </c>
      <c r="DQ196" s="545">
        <f t="shared" si="555"/>
        <v>8600</v>
      </c>
      <c r="DR196" s="460">
        <f t="shared" si="556"/>
        <v>23.368498388681363</v>
      </c>
      <c r="DT196">
        <f t="shared" si="591"/>
        <v>8600</v>
      </c>
      <c r="DU196">
        <f t="shared" si="592"/>
        <v>23.368498388681363</v>
      </c>
      <c r="DW196" s="5">
        <f t="shared" si="557"/>
        <v>42.792651173699483</v>
      </c>
      <c r="DX196" s="5">
        <f t="shared" si="558"/>
        <v>19.157175234737561</v>
      </c>
      <c r="DY196" s="5">
        <f t="shared" si="559"/>
        <v>23.635475938961921</v>
      </c>
      <c r="DZ196" s="5"/>
      <c r="EA196" s="173">
        <f t="shared" si="560"/>
        <v>0.44767441860465124</v>
      </c>
      <c r="EB196" s="173">
        <f t="shared" si="561"/>
        <v>129</v>
      </c>
      <c r="EC196" s="173">
        <f t="shared" si="562"/>
        <v>8.3766233766233746</v>
      </c>
      <c r="ED196" s="173">
        <f t="shared" si="563"/>
        <v>15.400000000000004</v>
      </c>
      <c r="EE196" s="460">
        <f t="shared" si="564"/>
        <v>1098.3447134582868</v>
      </c>
      <c r="EF196" s="5">
        <f t="shared" si="565"/>
        <v>44.575678305936961</v>
      </c>
      <c r="EH196" s="173">
        <f t="shared" si="566"/>
        <v>11.717213371031777</v>
      </c>
      <c r="EI196" s="173">
        <f t="shared" si="567"/>
        <v>13.014898292440108</v>
      </c>
      <c r="EK196" s="528">
        <f t="shared" si="568"/>
        <v>2.7458617836457173</v>
      </c>
      <c r="EL196" s="528">
        <f t="shared" si="569"/>
        <v>0.48766666666666675</v>
      </c>
      <c r="EM196" s="528">
        <f t="shared" si="570"/>
        <v>2.9210622985851704E-3</v>
      </c>
      <c r="EN196" s="528">
        <f t="shared" si="571"/>
        <v>2.7653346253229977E-3</v>
      </c>
      <c r="EO196">
        <f t="shared" si="572"/>
        <v>8.5500000000000003E-3</v>
      </c>
      <c r="EP196" s="460">
        <f t="shared" si="573"/>
        <v>11.471062298585171</v>
      </c>
      <c r="EQ196" s="460"/>
      <c r="ER196" s="460">
        <f t="shared" si="593"/>
        <v>3247.7648472362926</v>
      </c>
      <c r="ES196" s="528">
        <f t="shared" si="574"/>
        <v>6.02</v>
      </c>
      <c r="EV196" s="460">
        <f t="shared" si="494"/>
        <v>6020</v>
      </c>
      <c r="EW196" s="528">
        <f t="shared" si="575"/>
        <v>4.1187926754685753</v>
      </c>
      <c r="EX196" s="528">
        <f t="shared" si="576"/>
        <v>5.0816273268768128</v>
      </c>
      <c r="EY196" s="528">
        <f t="shared" si="577"/>
        <v>0.66881589702681221</v>
      </c>
      <c r="EZ196" s="528"/>
      <c r="FA196" s="528">
        <f t="shared" si="578"/>
        <v>2.1500000000000002E-2</v>
      </c>
      <c r="FB196" s="460">
        <f t="shared" si="579"/>
        <v>9890.7358993722009</v>
      </c>
      <c r="FC196" s="173">
        <f t="shared" si="580"/>
        <v>19.158500746608489</v>
      </c>
      <c r="FD196" s="5">
        <f t="shared" si="581"/>
        <v>129</v>
      </c>
      <c r="FE196" s="173">
        <f t="shared" si="582"/>
        <v>0.87068915620727849</v>
      </c>
      <c r="FF196" s="5">
        <f t="shared" si="583"/>
        <v>87.06891562072785</v>
      </c>
      <c r="FI196" s="562">
        <f t="shared" si="584"/>
        <v>-50</v>
      </c>
      <c r="FJ196">
        <f t="shared" si="585"/>
        <v>-50</v>
      </c>
      <c r="FL196">
        <f t="shared" si="586"/>
        <v>0.55232558139534871</v>
      </c>
    </row>
    <row r="197" spans="5:168">
      <c r="E197" s="170">
        <v>87</v>
      </c>
      <c r="F197" s="217">
        <f t="shared" si="587"/>
        <v>8.6999999999999993</v>
      </c>
      <c r="G197" s="217"/>
      <c r="H197" s="217">
        <f t="shared" si="495"/>
        <v>130.5</v>
      </c>
      <c r="I197" s="541">
        <f t="shared" si="496"/>
        <v>18.2107706569649</v>
      </c>
      <c r="J197" s="172">
        <f t="shared" si="497"/>
        <v>15.87353760582106</v>
      </c>
      <c r="K197" s="172">
        <f t="shared" si="498"/>
        <v>34.08430826278596</v>
      </c>
      <c r="L197" s="443"/>
      <c r="M197" s="217">
        <f t="shared" si="499"/>
        <v>0.46569842045891352</v>
      </c>
      <c r="N197" s="172">
        <f t="shared" si="500"/>
        <v>212.21959552654644</v>
      </c>
      <c r="O197" s="172">
        <f t="shared" si="438"/>
        <v>130.5</v>
      </c>
      <c r="P197" s="217">
        <f t="shared" si="501"/>
        <v>14.147973035103096</v>
      </c>
      <c r="Q197" s="217">
        <f t="shared" si="502"/>
        <v>15</v>
      </c>
      <c r="R197" s="217"/>
      <c r="S197" s="172">
        <f t="shared" si="503"/>
        <v>34.328778554206352</v>
      </c>
      <c r="T197" s="536">
        <f t="shared" si="504"/>
        <v>15</v>
      </c>
      <c r="U197" s="217">
        <f t="shared" si="505"/>
        <v>32.565877897918476</v>
      </c>
      <c r="V197" s="217">
        <f t="shared" si="506"/>
        <v>21.459307908287766</v>
      </c>
      <c r="W197" s="217">
        <f t="shared" si="507"/>
        <v>24.618994484991994</v>
      </c>
      <c r="X197" s="197">
        <f t="shared" si="508"/>
        <v>70.675081777031806</v>
      </c>
      <c r="Y197" s="443">
        <f t="shared" si="509"/>
        <v>21.608398499622009</v>
      </c>
      <c r="AA197" s="217">
        <f t="shared" si="510"/>
        <v>10</v>
      </c>
      <c r="AB197" s="173">
        <f t="shared" si="511"/>
        <v>7.5597515172669665</v>
      </c>
      <c r="AC197" s="173">
        <f t="shared" si="512"/>
        <v>2.6714302834844155</v>
      </c>
      <c r="AD197" s="173"/>
      <c r="AE197" s="173">
        <f t="shared" si="513"/>
        <v>7.5597515172669665</v>
      </c>
      <c r="AF197" s="545">
        <f t="shared" si="514"/>
        <v>230.16629528440535</v>
      </c>
      <c r="AG197" s="528">
        <f t="shared" si="515"/>
        <v>2.6714302834844155</v>
      </c>
      <c r="AI197" s="173">
        <f t="shared" si="516"/>
        <v>8.1093648735697705</v>
      </c>
      <c r="AJ197" s="173">
        <f t="shared" si="517"/>
        <v>32.565877897918476</v>
      </c>
      <c r="AK197" s="173">
        <f t="shared" si="518"/>
        <v>17.91546510956924</v>
      </c>
      <c r="AM197" s="545">
        <f t="shared" si="519"/>
        <v>8700</v>
      </c>
      <c r="AN197" s="460">
        <f t="shared" si="520"/>
        <v>21.608398499622009</v>
      </c>
      <c r="AP197">
        <f t="shared" si="521"/>
        <v>8700</v>
      </c>
      <c r="AQ197">
        <f t="shared" si="522"/>
        <v>21.608398499622009</v>
      </c>
      <c r="AS197" s="5">
        <f t="shared" si="439"/>
        <v>46.278302393279766</v>
      </c>
      <c r="AT197" s="5">
        <f t="shared" si="523"/>
        <v>21.459307908287766</v>
      </c>
      <c r="AU197" s="5">
        <f t="shared" si="478"/>
        <v>24.818994484992</v>
      </c>
      <c r="AV197" s="5"/>
      <c r="AW197" s="173">
        <f t="shared" si="479"/>
        <v>0.46370127680837203</v>
      </c>
      <c r="AX197" s="173">
        <f t="shared" ref="AX197:AX210" si="596">0.5*L*AJ197^2*AN197*1000</f>
        <v>137.49895935026427</v>
      </c>
      <c r="AY197" s="173">
        <f t="shared" ref="AY197:AY210" si="597">AJ197*Nps/2*(1-AW197)</f>
        <v>8.7325193681340672</v>
      </c>
      <c r="AZ197" s="173">
        <f t="shared" si="440"/>
        <v>15.745623176286701</v>
      </c>
      <c r="BA197" s="460">
        <f t="shared" si="594"/>
        <v>1244.6398586806904</v>
      </c>
      <c r="BB197" s="5">
        <f t="shared" si="595"/>
        <v>49.404199691947944</v>
      </c>
      <c r="BD197" s="173">
        <f t="shared" si="441"/>
        <v>12.803281926839572</v>
      </c>
      <c r="BE197" s="173">
        <f t="shared" ref="BE197:BE210" si="598">AJ197*Nps*SQRT((1-AW197)/3)</f>
        <v>13.76909969179448</v>
      </c>
      <c r="BG197" s="528">
        <f t="shared" si="480"/>
        <v>3.2784805619627369</v>
      </c>
      <c r="BH197" s="528">
        <f t="shared" si="524"/>
        <v>0.44971888703158486</v>
      </c>
      <c r="BI197" s="528">
        <f t="shared" si="525"/>
        <v>9.8376397335230206E-3</v>
      </c>
      <c r="BJ197" s="528">
        <f t="shared" si="481"/>
        <v>2.5103342380193264E-3</v>
      </c>
      <c r="BK197">
        <f t="shared" si="482"/>
        <v>8.1948467956342048E-3</v>
      </c>
      <c r="BL197" s="460">
        <f t="shared" si="588"/>
        <v>18.032486529157225</v>
      </c>
      <c r="BM197" s="528">
        <f t="shared" si="526"/>
        <v>20.883303167797727</v>
      </c>
      <c r="BN197" s="460">
        <f t="shared" si="527"/>
        <v>20883.303167797727</v>
      </c>
      <c r="BO197" s="528">
        <f t="shared" si="483"/>
        <v>6.089999999999999</v>
      </c>
      <c r="BR197" s="460">
        <f t="shared" si="484"/>
        <v>6089.9999999999991</v>
      </c>
      <c r="BS197" s="528">
        <f t="shared" si="485"/>
        <v>4.9177208429441048</v>
      </c>
      <c r="BT197" s="528">
        <f t="shared" si="486"/>
        <v>5.687643189677245</v>
      </c>
      <c r="BU197" s="528">
        <f t="shared" si="487"/>
        <v>0.65680043387997056</v>
      </c>
      <c r="BV197" s="528"/>
      <c r="BW197" s="528">
        <f t="shared" si="488"/>
        <v>2.2916493225044045E-2</v>
      </c>
      <c r="BX197" s="460">
        <f t="shared" si="489"/>
        <v>11285.080959726363</v>
      </c>
      <c r="BY197" s="173">
        <f t="shared" si="490"/>
        <v>21.123823229487858</v>
      </c>
      <c r="BZ197" s="5">
        <f t="shared" si="491"/>
        <v>130.5</v>
      </c>
      <c r="CA197" s="173">
        <f t="shared" si="492"/>
        <v>0.86068268970162931</v>
      </c>
      <c r="CB197" s="5">
        <f t="shared" si="493"/>
        <v>86.068268970162933</v>
      </c>
      <c r="CE197" s="562">
        <f t="shared" si="528"/>
        <v>-50</v>
      </c>
      <c r="CF197">
        <f t="shared" si="529"/>
        <v>-50</v>
      </c>
      <c r="CG197" s="173">
        <f t="shared" si="530"/>
        <v>0.55117058664740237</v>
      </c>
      <c r="CI197" s="170">
        <v>87</v>
      </c>
      <c r="CJ197" s="217">
        <f t="shared" si="589"/>
        <v>8.6999999999999993</v>
      </c>
      <c r="CK197" s="217"/>
      <c r="CL197" s="217">
        <f t="shared" si="531"/>
        <v>130.5</v>
      </c>
      <c r="CM197" s="541">
        <f t="shared" si="532"/>
        <v>19</v>
      </c>
      <c r="CN197" s="443">
        <f t="shared" si="533"/>
        <v>15.4</v>
      </c>
      <c r="CO197" s="443">
        <f t="shared" si="534"/>
        <v>34.4</v>
      </c>
      <c r="CP197" s="443"/>
      <c r="CQ197" s="217">
        <f t="shared" si="535"/>
        <v>0.44767441860465118</v>
      </c>
      <c r="CR197" s="172">
        <f t="shared" si="590"/>
        <v>212.84736191860466</v>
      </c>
      <c r="CS197" s="172">
        <f t="shared" si="536"/>
        <v>130.5</v>
      </c>
      <c r="CT197" s="217">
        <f t="shared" si="537"/>
        <v>14.189824127906977</v>
      </c>
      <c r="CU197" s="217">
        <f t="shared" si="538"/>
        <v>15</v>
      </c>
      <c r="CV197" s="217"/>
      <c r="CW197" s="172">
        <f t="shared" si="539"/>
        <v>35.807601822693215</v>
      </c>
      <c r="CX197" s="536">
        <f t="shared" si="540"/>
        <v>15</v>
      </c>
      <c r="CY197" s="217">
        <f t="shared" si="541"/>
        <v>30.684894053315105</v>
      </c>
      <c r="CZ197" s="217">
        <f t="shared" si="542"/>
        <v>19.37993308630428</v>
      </c>
      <c r="DA197" s="217">
        <f t="shared" si="543"/>
        <v>23.910307054531252</v>
      </c>
      <c r="DB197" s="197">
        <f t="shared" si="544"/>
        <v>70.881782945736433</v>
      </c>
      <c r="DC197" s="443">
        <f t="shared" si="545"/>
        <v>23.099894958926399</v>
      </c>
      <c r="DE197" s="217">
        <f t="shared" si="546"/>
        <v>10.000000000000002</v>
      </c>
      <c r="DF197" s="173">
        <f t="shared" si="547"/>
        <v>7.792207792207793</v>
      </c>
      <c r="DG197" s="173">
        <f t="shared" si="548"/>
        <v>2.7616279069767451</v>
      </c>
      <c r="DH197" s="173"/>
      <c r="DI197" s="173">
        <f t="shared" si="549"/>
        <v>7.7922077922077913</v>
      </c>
      <c r="DJ197" s="545">
        <f t="shared" si="550"/>
        <v>223.3</v>
      </c>
      <c r="DK197" s="528">
        <f t="shared" si="551"/>
        <v>2.7616279069767442</v>
      </c>
      <c r="DM197" s="173">
        <f t="shared" si="552"/>
        <v>7.987490219086343</v>
      </c>
      <c r="DN197" s="173">
        <f t="shared" si="553"/>
        <v>30.684894053315105</v>
      </c>
      <c r="DO197" s="173">
        <f t="shared" si="554"/>
        <v>16.522143743196374</v>
      </c>
      <c r="DQ197" s="545">
        <f t="shared" si="555"/>
        <v>8700</v>
      </c>
      <c r="DR197" s="460">
        <f t="shared" si="556"/>
        <v>23.099894958926399</v>
      </c>
      <c r="DT197">
        <f t="shared" si="591"/>
        <v>8700</v>
      </c>
      <c r="DU197">
        <f t="shared" si="592"/>
        <v>23.099894958926399</v>
      </c>
      <c r="DW197" s="5">
        <f t="shared" si="557"/>
        <v>43.290240140835529</v>
      </c>
      <c r="DX197" s="5">
        <f t="shared" si="558"/>
        <v>19.37993308630428</v>
      </c>
      <c r="DY197" s="5">
        <f t="shared" si="559"/>
        <v>23.910307054531248</v>
      </c>
      <c r="DZ197" s="5"/>
      <c r="EA197" s="173">
        <f t="shared" si="560"/>
        <v>0.44767441860465124</v>
      </c>
      <c r="EB197" s="173">
        <f t="shared" si="561"/>
        <v>130.49999999999997</v>
      </c>
      <c r="EC197" s="173">
        <f t="shared" si="562"/>
        <v>8.474025974025972</v>
      </c>
      <c r="ED197" s="173">
        <f t="shared" si="563"/>
        <v>15.4</v>
      </c>
      <c r="EE197" s="460">
        <f t="shared" si="564"/>
        <v>1124.0361190056483</v>
      </c>
      <c r="EF197" s="5">
        <f t="shared" si="565"/>
        <v>45.61834898561883</v>
      </c>
      <c r="EH197" s="173">
        <f t="shared" si="566"/>
        <v>11.853460038136797</v>
      </c>
      <c r="EI197" s="173">
        <f t="shared" si="567"/>
        <v>13.166234319096388</v>
      </c>
      <c r="EK197" s="528">
        <f t="shared" si="568"/>
        <v>2.8100902975141202</v>
      </c>
      <c r="EL197" s="528">
        <f t="shared" si="569"/>
        <v>0.48766666666666658</v>
      </c>
      <c r="EM197" s="528">
        <f t="shared" si="570"/>
        <v>2.8874868698657999E-3</v>
      </c>
      <c r="EN197" s="528">
        <f t="shared" si="571"/>
        <v>2.7335491698595141E-3</v>
      </c>
      <c r="EO197">
        <f t="shared" si="572"/>
        <v>8.5500000000000003E-3</v>
      </c>
      <c r="EP197" s="460">
        <f t="shared" si="573"/>
        <v>11.437486869865801</v>
      </c>
      <c r="EQ197" s="460"/>
      <c r="ER197" s="460">
        <f t="shared" si="593"/>
        <v>3311.9280002205119</v>
      </c>
      <c r="ES197" s="528">
        <f t="shared" si="574"/>
        <v>6.089999999999999</v>
      </c>
      <c r="EV197" s="460">
        <f t="shared" si="494"/>
        <v>6089.9999999999991</v>
      </c>
      <c r="EW197" s="528">
        <f t="shared" si="575"/>
        <v>4.2151354462711801</v>
      </c>
      <c r="EX197" s="528">
        <f t="shared" si="576"/>
        <v>5.2004917843605458</v>
      </c>
      <c r="EY197" s="528">
        <f t="shared" si="577"/>
        <v>0.66881589702681221</v>
      </c>
      <c r="EZ197" s="528"/>
      <c r="FA197" s="528">
        <f t="shared" si="578"/>
        <v>2.1749999999999995E-2</v>
      </c>
      <c r="FB197" s="460">
        <f t="shared" si="579"/>
        <v>10106.193127658538</v>
      </c>
      <c r="FC197" s="173">
        <f t="shared" si="580"/>
        <v>19.508121127879047</v>
      </c>
      <c r="FD197" s="5">
        <f t="shared" si="581"/>
        <v>130.5</v>
      </c>
      <c r="FE197" s="173">
        <f t="shared" si="582"/>
        <v>0.86995290000833525</v>
      </c>
      <c r="FF197" s="5">
        <f t="shared" si="583"/>
        <v>86.995290000833521</v>
      </c>
      <c r="FI197" s="562">
        <f t="shared" si="584"/>
        <v>-50</v>
      </c>
      <c r="FJ197">
        <f t="shared" si="585"/>
        <v>-50</v>
      </c>
      <c r="FL197">
        <f t="shared" si="586"/>
        <v>0.55232558139534871</v>
      </c>
    </row>
    <row r="198" spans="5:168">
      <c r="E198" s="170">
        <v>88</v>
      </c>
      <c r="F198" s="217">
        <f t="shared" si="587"/>
        <v>8.8000000000000007</v>
      </c>
      <c r="G198" s="217"/>
      <c r="H198" s="217">
        <f t="shared" si="495"/>
        <v>132</v>
      </c>
      <c r="I198" s="541">
        <f t="shared" si="496"/>
        <v>18.201718064685636</v>
      </c>
      <c r="J198" s="172">
        <f t="shared" si="497"/>
        <v>15.878969161188619</v>
      </c>
      <c r="K198" s="172">
        <f t="shared" si="498"/>
        <v>34.080687225874257</v>
      </c>
      <c r="L198" s="443"/>
      <c r="M198" s="217">
        <f t="shared" si="499"/>
        <v>0.46590728027166289</v>
      </c>
      <c r="N198" s="172">
        <f t="shared" si="500"/>
        <v>212.20923142752702</v>
      </c>
      <c r="O198" s="172">
        <f t="shared" ref="O198:O261" si="599">T198*F198</f>
        <v>132</v>
      </c>
      <c r="P198" s="217">
        <f t="shared" si="501"/>
        <v>14.147282095168467</v>
      </c>
      <c r="Q198" s="217">
        <f t="shared" si="502"/>
        <v>15</v>
      </c>
      <c r="R198" s="217"/>
      <c r="S198" s="172">
        <f t="shared" si="503"/>
        <v>33.721086199606816</v>
      </c>
      <c r="T198" s="536">
        <f t="shared" si="504"/>
        <v>15</v>
      </c>
      <c r="U198" s="217">
        <f t="shared" si="505"/>
        <v>32.953079774148819</v>
      </c>
      <c r="V198" s="217">
        <f t="shared" si="506"/>
        <v>21.725254499848525</v>
      </c>
      <c r="W198" s="217">
        <f t="shared" si="507"/>
        <v>24.90318819034632</v>
      </c>
      <c r="X198" s="197">
        <f t="shared" si="508"/>
        <v>70.67162845882109</v>
      </c>
      <c r="Y198" s="443">
        <f t="shared" si="509"/>
        <v>21.354543148396957</v>
      </c>
      <c r="AA198" s="217">
        <f t="shared" si="510"/>
        <v>10</v>
      </c>
      <c r="AB198" s="173">
        <f t="shared" si="511"/>
        <v>7.5571656309594726</v>
      </c>
      <c r="AC198" s="173">
        <f t="shared" si="512"/>
        <v>2.6703860083647006</v>
      </c>
      <c r="AD198" s="173"/>
      <c r="AE198" s="173">
        <f t="shared" si="513"/>
        <v>7.5571656309594726</v>
      </c>
      <c r="AF198" s="545">
        <f t="shared" si="514"/>
        <v>232.89154769743311</v>
      </c>
      <c r="AG198" s="528">
        <f t="shared" si="515"/>
        <v>2.6703860083647002</v>
      </c>
      <c r="AI198" s="173">
        <f t="shared" si="516"/>
        <v>8.1572325085942357</v>
      </c>
      <c r="AJ198" s="173">
        <f t="shared" si="517"/>
        <v>32.953079774148819</v>
      </c>
      <c r="AK198" s="173">
        <f t="shared" si="518"/>
        <v>18.202281314184312</v>
      </c>
      <c r="AM198" s="545">
        <f t="shared" si="519"/>
        <v>8800</v>
      </c>
      <c r="AN198" s="460">
        <f t="shared" si="520"/>
        <v>21.354543148396957</v>
      </c>
      <c r="AP198">
        <f t="shared" si="521"/>
        <v>8800</v>
      </c>
      <c r="AQ198">
        <f t="shared" si="522"/>
        <v>21.354543148396957</v>
      </c>
      <c r="AS198" s="5">
        <f t="shared" ref="AS198:AS262" si="600">1/AN198*1000</f>
        <v>46.828442690194848</v>
      </c>
      <c r="AT198" s="5">
        <f t="shared" si="523"/>
        <v>21.725254499848525</v>
      </c>
      <c r="AU198" s="5">
        <f t="shared" si="478"/>
        <v>25.103188190346323</v>
      </c>
      <c r="AV198" s="5"/>
      <c r="AW198" s="173">
        <f t="shared" si="479"/>
        <v>0.46393288462692051</v>
      </c>
      <c r="AX198" s="173">
        <f t="shared" si="596"/>
        <v>139.13409084972042</v>
      </c>
      <c r="AY198" s="173">
        <f t="shared" si="597"/>
        <v>8.8325312085934637</v>
      </c>
      <c r="AZ198" s="173">
        <f t="shared" ref="AZ198:AZ210" si="601">AX198/AY198</f>
        <v>15.752459579690161</v>
      </c>
      <c r="BA198" s="460">
        <f t="shared" si="594"/>
        <v>1274.5482639911133</v>
      </c>
      <c r="BB198" s="5">
        <f t="shared" si="595"/>
        <v>50.569414951650003</v>
      </c>
      <c r="BD198" s="173">
        <f t="shared" ref="BD198:BD210" si="602">AJ198*SQRT(AW198/3)</f>
        <v>12.958745509661766</v>
      </c>
      <c r="BE198" s="173">
        <f t="shared" si="598"/>
        <v>13.92980271514854</v>
      </c>
      <c r="BG198" s="528">
        <f t="shared" si="480"/>
        <v>3.3585817036835794</v>
      </c>
      <c r="BH198" s="528">
        <f t="shared" si="524"/>
        <v>0.44967206642791091</v>
      </c>
      <c r="BI198" s="528">
        <f t="shared" si="525"/>
        <v>9.7172343446821439E-3</v>
      </c>
      <c r="BJ198" s="528">
        <f t="shared" si="481"/>
        <v>2.4803157548330505E-3</v>
      </c>
      <c r="BK198">
        <f t="shared" si="482"/>
        <v>8.1907731291085365E-3</v>
      </c>
      <c r="BL198" s="460">
        <f t="shared" si="588"/>
        <v>17.908007473790679</v>
      </c>
      <c r="BM198" s="528">
        <f t="shared" si="526"/>
        <v>23.354099458327887</v>
      </c>
      <c r="BN198" s="460">
        <f t="shared" si="527"/>
        <v>23354.099458327888</v>
      </c>
      <c r="BO198" s="528">
        <f t="shared" si="483"/>
        <v>6.16</v>
      </c>
      <c r="BR198" s="460">
        <f t="shared" si="484"/>
        <v>6160</v>
      </c>
      <c r="BS198" s="528">
        <f t="shared" si="485"/>
        <v>5.0378725555253689</v>
      </c>
      <c r="BT198" s="528">
        <f t="shared" si="486"/>
        <v>5.8211821104887891</v>
      </c>
      <c r="BU198" s="528">
        <f t="shared" si="487"/>
        <v>0.65680392651282138</v>
      </c>
      <c r="BV198" s="528"/>
      <c r="BW198" s="528">
        <f t="shared" si="488"/>
        <v>2.318901514162007E-2</v>
      </c>
      <c r="BX198" s="460">
        <f t="shared" si="489"/>
        <v>11539.047607668599</v>
      </c>
      <c r="BY198" s="173">
        <f t="shared" si="490"/>
        <v>21.527689701008715</v>
      </c>
      <c r="BZ198" s="5">
        <f t="shared" si="491"/>
        <v>132</v>
      </c>
      <c r="CA198" s="173">
        <f t="shared" si="492"/>
        <v>0.85977975866807255</v>
      </c>
      <c r="CB198" s="5">
        <f t="shared" si="493"/>
        <v>85.977975866807256</v>
      </c>
      <c r="CE198" s="562">
        <f t="shared" si="528"/>
        <v>-50</v>
      </c>
      <c r="CF198">
        <f t="shared" si="529"/>
        <v>-50</v>
      </c>
      <c r="CG198" s="173">
        <f t="shared" si="530"/>
        <v>0.55118371158772017</v>
      </c>
      <c r="CI198" s="170">
        <v>88</v>
      </c>
      <c r="CJ198" s="217">
        <f t="shared" si="589"/>
        <v>8.8000000000000007</v>
      </c>
      <c r="CK198" s="217"/>
      <c r="CL198" s="217">
        <f t="shared" si="531"/>
        <v>132</v>
      </c>
      <c r="CM198" s="541">
        <f t="shared" si="532"/>
        <v>19</v>
      </c>
      <c r="CN198" s="443">
        <f t="shared" si="533"/>
        <v>15.4</v>
      </c>
      <c r="CO198" s="443">
        <f t="shared" si="534"/>
        <v>34.4</v>
      </c>
      <c r="CP198" s="443"/>
      <c r="CQ198" s="217">
        <f t="shared" si="535"/>
        <v>0.44767441860465118</v>
      </c>
      <c r="CR198" s="172">
        <f t="shared" si="590"/>
        <v>212.84736191860466</v>
      </c>
      <c r="CS198" s="172">
        <f t="shared" si="536"/>
        <v>132</v>
      </c>
      <c r="CT198" s="217">
        <f t="shared" si="537"/>
        <v>14.189824127906977</v>
      </c>
      <c r="CU198" s="217">
        <f t="shared" si="538"/>
        <v>15</v>
      </c>
      <c r="CV198" s="217"/>
      <c r="CW198" s="172">
        <f t="shared" si="539"/>
        <v>35.190810991456267</v>
      </c>
      <c r="CX198" s="536">
        <f t="shared" si="540"/>
        <v>15</v>
      </c>
      <c r="CY198" s="217">
        <f t="shared" si="541"/>
        <v>31.037593984962406</v>
      </c>
      <c r="CZ198" s="217">
        <f t="shared" si="542"/>
        <v>19.602690937870992</v>
      </c>
      <c r="DA198" s="217">
        <f t="shared" si="543"/>
        <v>24.185138170100579</v>
      </c>
      <c r="DB198" s="197">
        <f t="shared" si="544"/>
        <v>70.881782945736433</v>
      </c>
      <c r="DC198" s="443">
        <f t="shared" si="545"/>
        <v>22.837396152574961</v>
      </c>
      <c r="DE198" s="217">
        <f t="shared" si="546"/>
        <v>10.000000000000002</v>
      </c>
      <c r="DF198" s="173">
        <f t="shared" si="547"/>
        <v>7.792207792207793</v>
      </c>
      <c r="DG198" s="173">
        <f t="shared" si="548"/>
        <v>2.7616279069767451</v>
      </c>
      <c r="DH198" s="173"/>
      <c r="DI198" s="173">
        <f t="shared" si="549"/>
        <v>7.7922077922077913</v>
      </c>
      <c r="DJ198" s="545">
        <f t="shared" si="550"/>
        <v>225.86666666666667</v>
      </c>
      <c r="DK198" s="528">
        <f t="shared" si="551"/>
        <v>2.7616279069767442</v>
      </c>
      <c r="DM198" s="173">
        <f t="shared" si="552"/>
        <v>8.0332641767424366</v>
      </c>
      <c r="DN198" s="173">
        <f t="shared" si="553"/>
        <v>31.037593984962406</v>
      </c>
      <c r="DO198" s="173">
        <f t="shared" si="554"/>
        <v>16.783402951824005</v>
      </c>
      <c r="DQ198" s="545">
        <f t="shared" si="555"/>
        <v>8800</v>
      </c>
      <c r="DR198" s="460">
        <f t="shared" si="556"/>
        <v>22.837396152574961</v>
      </c>
      <c r="DT198">
        <f t="shared" si="591"/>
        <v>8800</v>
      </c>
      <c r="DU198">
        <f t="shared" si="592"/>
        <v>22.837396152574961</v>
      </c>
      <c r="DW198" s="5">
        <f t="shared" si="557"/>
        <v>43.787829107971575</v>
      </c>
      <c r="DX198" s="5">
        <f t="shared" si="558"/>
        <v>19.602690937870992</v>
      </c>
      <c r="DY198" s="5">
        <f t="shared" si="559"/>
        <v>24.185138170100583</v>
      </c>
      <c r="DZ198" s="5"/>
      <c r="EA198" s="173">
        <f t="shared" si="560"/>
        <v>0.44767441860465107</v>
      </c>
      <c r="EB198" s="173">
        <f t="shared" si="561"/>
        <v>131.99999999999997</v>
      </c>
      <c r="EC198" s="173">
        <f t="shared" si="562"/>
        <v>8.571428571428573</v>
      </c>
      <c r="ED198" s="173">
        <f t="shared" si="563"/>
        <v>15.399999999999993</v>
      </c>
      <c r="EE198" s="460">
        <f t="shared" si="564"/>
        <v>1150.0245350217651</v>
      </c>
      <c r="EF198" s="5">
        <f t="shared" si="565"/>
        <v>46.67307366159762</v>
      </c>
      <c r="EH198" s="173">
        <f t="shared" si="566"/>
        <v>11.989706705241817</v>
      </c>
      <c r="EI198" s="173">
        <f t="shared" si="567"/>
        <v>13.317570345752671</v>
      </c>
      <c r="EK198" s="528">
        <f t="shared" si="568"/>
        <v>2.8750613375544116</v>
      </c>
      <c r="EL198" s="528">
        <f t="shared" si="569"/>
        <v>0.48766666666666653</v>
      </c>
      <c r="EM198" s="528">
        <f t="shared" si="570"/>
        <v>2.8546745190718699E-3</v>
      </c>
      <c r="EN198" s="528">
        <f t="shared" si="571"/>
        <v>2.7024861111111104E-3</v>
      </c>
      <c r="EO198">
        <f t="shared" si="572"/>
        <v>8.5500000000000003E-3</v>
      </c>
      <c r="EP198" s="460">
        <f t="shared" si="573"/>
        <v>11.40467451907187</v>
      </c>
      <c r="EQ198" s="460"/>
      <c r="ER198" s="460">
        <f t="shared" si="593"/>
        <v>3376.8351648512612</v>
      </c>
      <c r="ES198" s="528">
        <f t="shared" si="574"/>
        <v>6.16</v>
      </c>
      <c r="EV198" s="460">
        <f t="shared" si="494"/>
        <v>6160</v>
      </c>
      <c r="EW198" s="528">
        <f t="shared" si="575"/>
        <v>4.3125920063316174</v>
      </c>
      <c r="EX198" s="528">
        <f t="shared" si="576"/>
        <v>5.3207303974221265</v>
      </c>
      <c r="EY198" s="528">
        <f t="shared" si="577"/>
        <v>0.66881589702681221</v>
      </c>
      <c r="EZ198" s="528"/>
      <c r="FA198" s="528">
        <f t="shared" si="578"/>
        <v>2.1999999999999999E-2</v>
      </c>
      <c r="FB198" s="460">
        <f t="shared" si="579"/>
        <v>10324.138300780558</v>
      </c>
      <c r="FC198" s="173">
        <f t="shared" si="580"/>
        <v>19.860973465631815</v>
      </c>
      <c r="FD198" s="5">
        <f t="shared" si="581"/>
        <v>132</v>
      </c>
      <c r="FE198" s="173">
        <f t="shared" si="582"/>
        <v>0.86921607959976221</v>
      </c>
      <c r="FF198" s="5">
        <f t="shared" si="583"/>
        <v>86.921607959976228</v>
      </c>
      <c r="FI198" s="562">
        <f t="shared" si="584"/>
        <v>-50</v>
      </c>
      <c r="FJ198">
        <f t="shared" si="585"/>
        <v>-50</v>
      </c>
      <c r="FL198">
        <f t="shared" si="586"/>
        <v>0.55232558139534893</v>
      </c>
    </row>
    <row r="199" spans="5:168">
      <c r="E199" s="170">
        <v>89</v>
      </c>
      <c r="F199" s="217">
        <f t="shared" si="587"/>
        <v>8.9</v>
      </c>
      <c r="G199" s="217"/>
      <c r="H199" s="217">
        <f t="shared" si="495"/>
        <v>133.5</v>
      </c>
      <c r="I199" s="541">
        <f t="shared" si="496"/>
        <v>18.192665471521423</v>
      </c>
      <c r="J199" s="172">
        <f t="shared" si="497"/>
        <v>15.884400717087148</v>
      </c>
      <c r="K199" s="172">
        <f t="shared" si="498"/>
        <v>34.077066188608569</v>
      </c>
      <c r="L199" s="443"/>
      <c r="M199" s="217">
        <f t="shared" si="499"/>
        <v>0.46611618448450165</v>
      </c>
      <c r="N199" s="172">
        <f t="shared" si="500"/>
        <v>212.19879290532327</v>
      </c>
      <c r="O199" s="172">
        <f t="shared" si="599"/>
        <v>133.5</v>
      </c>
      <c r="P199" s="217">
        <f t="shared" si="501"/>
        <v>14.146586193688218</v>
      </c>
      <c r="Q199" s="217">
        <f t="shared" si="502"/>
        <v>15</v>
      </c>
      <c r="R199" s="217"/>
      <c r="S199" s="172">
        <f t="shared" si="503"/>
        <v>33.127375912228587</v>
      </c>
      <c r="T199" s="536">
        <f t="shared" si="504"/>
        <v>15</v>
      </c>
      <c r="U199" s="217">
        <f t="shared" si="505"/>
        <v>33.340587376324542</v>
      </c>
      <c r="V199" s="217">
        <f t="shared" si="506"/>
        <v>21.991667419058846</v>
      </c>
      <c r="W199" s="217">
        <f t="shared" si="507"/>
        <v>25.1874185020725</v>
      </c>
      <c r="X199" s="197">
        <f t="shared" si="508"/>
        <v>70.668150358104782</v>
      </c>
      <c r="Y199" s="443">
        <f t="shared" si="509"/>
        <v>21.106359072959535</v>
      </c>
      <c r="AA199" s="217">
        <f t="shared" si="510"/>
        <v>9.9999999999999982</v>
      </c>
      <c r="AB199" s="173">
        <f t="shared" si="511"/>
        <v>7.554581512849504</v>
      </c>
      <c r="AC199" s="173">
        <f t="shared" si="512"/>
        <v>2.6693415112130365</v>
      </c>
      <c r="AD199" s="173"/>
      <c r="AE199" s="173">
        <f t="shared" si="513"/>
        <v>7.5545815128495057</v>
      </c>
      <c r="AF199" s="545">
        <f t="shared" si="514"/>
        <v>235.61861063679274</v>
      </c>
      <c r="AG199" s="528">
        <f t="shared" si="515"/>
        <v>2.6693415112130374</v>
      </c>
      <c r="AI199" s="173">
        <f t="shared" si="516"/>
        <v>8.2048524081231129</v>
      </c>
      <c r="AJ199" s="173">
        <f t="shared" si="517"/>
        <v>33.340587376324542</v>
      </c>
      <c r="AK199" s="173">
        <f t="shared" si="518"/>
        <v>18.489323982462622</v>
      </c>
      <c r="AM199" s="545">
        <f t="shared" si="519"/>
        <v>8900</v>
      </c>
      <c r="AN199" s="460">
        <f t="shared" si="520"/>
        <v>21.106359072959535</v>
      </c>
      <c r="AP199">
        <f t="shared" si="521"/>
        <v>8900</v>
      </c>
      <c r="AQ199">
        <f t="shared" si="522"/>
        <v>21.106359072959535</v>
      </c>
      <c r="AS199" s="5">
        <f t="shared" si="600"/>
        <v>47.379085921131349</v>
      </c>
      <c r="AT199" s="5">
        <f t="shared" si="523"/>
        <v>21.991667419058846</v>
      </c>
      <c r="AU199" s="5">
        <f t="shared" si="478"/>
        <v>25.387418502072503</v>
      </c>
      <c r="AV199" s="5"/>
      <c r="AW199" s="173">
        <f t="shared" si="479"/>
        <v>0.46416402915976129</v>
      </c>
      <c r="AX199" s="173">
        <f t="shared" si="596"/>
        <v>140.77030972468219</v>
      </c>
      <c r="AY199" s="173">
        <f t="shared" si="597"/>
        <v>8.9325430025883339</v>
      </c>
      <c r="AZ199" s="173">
        <f t="shared" si="601"/>
        <v>15.759264711503986</v>
      </c>
      <c r="BA199" s="460">
        <f t="shared" si="594"/>
        <v>1304.8389335308248</v>
      </c>
      <c r="BB199" s="5">
        <f t="shared" si="595"/>
        <v>51.74888222173508</v>
      </c>
      <c r="BD199" s="173">
        <f t="shared" si="602"/>
        <v>13.114398012072915</v>
      </c>
      <c r="BE199" s="173">
        <f t="shared" si="598"/>
        <v>14.090569670777988</v>
      </c>
      <c r="BG199" s="528">
        <f t="shared" si="480"/>
        <v>3.4397487043812403</v>
      </c>
      <c r="BH199" s="528">
        <f t="shared" si="524"/>
        <v>0.44962457354655666</v>
      </c>
      <c r="BI199" s="528">
        <f t="shared" si="525"/>
        <v>9.5995232484040963E-3</v>
      </c>
      <c r="BJ199" s="528">
        <f t="shared" si="481"/>
        <v>2.4509684335317383E-3</v>
      </c>
      <c r="BK199">
        <f t="shared" si="482"/>
        <v>8.1866994621846399E-3</v>
      </c>
      <c r="BL199" s="460">
        <f t="shared" si="588"/>
        <v>17.786222710588738</v>
      </c>
      <c r="BM199" s="528">
        <f t="shared" si="526"/>
        <v>26.382824189321681</v>
      </c>
      <c r="BN199" s="460">
        <f t="shared" si="527"/>
        <v>26382.82418932168</v>
      </c>
      <c r="BO199" s="528">
        <f t="shared" si="483"/>
        <v>6.2299999999999995</v>
      </c>
      <c r="BR199" s="460">
        <f t="shared" si="484"/>
        <v>6229.9999999999991</v>
      </c>
      <c r="BS199" s="528">
        <f t="shared" si="485"/>
        <v>5.1596230565718599</v>
      </c>
      <c r="BT199" s="528">
        <f t="shared" si="486"/>
        <v>5.9563246094114541</v>
      </c>
      <c r="BU199" s="528">
        <f t="shared" si="487"/>
        <v>0.65680496478000849</v>
      </c>
      <c r="BV199" s="528"/>
      <c r="BW199" s="528">
        <f t="shared" si="488"/>
        <v>2.3461718287447031E-2</v>
      </c>
      <c r="BX199" s="460">
        <f t="shared" si="489"/>
        <v>11796.214349050768</v>
      </c>
      <c r="BY199" s="173">
        <f t="shared" si="490"/>
        <v>21.935824818122686</v>
      </c>
      <c r="BZ199" s="5">
        <f t="shared" si="491"/>
        <v>133.5</v>
      </c>
      <c r="CA199" s="173">
        <f t="shared" si="492"/>
        <v>0.85887536001568454</v>
      </c>
      <c r="CB199" s="5">
        <f t="shared" si="493"/>
        <v>85.887536001568449</v>
      </c>
      <c r="CE199" s="562">
        <f t="shared" si="528"/>
        <v>-50</v>
      </c>
      <c r="CF199">
        <f t="shared" si="529"/>
        <v>-50</v>
      </c>
      <c r="CG199" s="173">
        <f t="shared" si="530"/>
        <v>0.55119654158555853</v>
      </c>
      <c r="CI199" s="170">
        <v>89</v>
      </c>
      <c r="CJ199" s="217">
        <f t="shared" si="589"/>
        <v>8.9</v>
      </c>
      <c r="CK199" s="217"/>
      <c r="CL199" s="217">
        <f t="shared" si="531"/>
        <v>133.5</v>
      </c>
      <c r="CM199" s="541">
        <f t="shared" si="532"/>
        <v>19</v>
      </c>
      <c r="CN199" s="443">
        <f t="shared" si="533"/>
        <v>15.4</v>
      </c>
      <c r="CO199" s="443">
        <f t="shared" si="534"/>
        <v>34.4</v>
      </c>
      <c r="CP199" s="443"/>
      <c r="CQ199" s="217">
        <f t="shared" si="535"/>
        <v>0.44767441860465118</v>
      </c>
      <c r="CR199" s="172">
        <f t="shared" si="590"/>
        <v>212.84736191860466</v>
      </c>
      <c r="CS199" s="172">
        <f t="shared" si="536"/>
        <v>133.5</v>
      </c>
      <c r="CT199" s="217">
        <f t="shared" si="537"/>
        <v>14.189824127906977</v>
      </c>
      <c r="CU199" s="217">
        <f t="shared" si="538"/>
        <v>15</v>
      </c>
      <c r="CV199" s="217"/>
      <c r="CW199" s="172">
        <f t="shared" si="539"/>
        <v>34.588003824765067</v>
      </c>
      <c r="CX199" s="536">
        <f t="shared" si="540"/>
        <v>15</v>
      </c>
      <c r="CY199" s="217">
        <f t="shared" si="541"/>
        <v>31.390293916609703</v>
      </c>
      <c r="CZ199" s="217">
        <f t="shared" si="542"/>
        <v>19.825448789437708</v>
      </c>
      <c r="DA199" s="217">
        <f t="shared" si="543"/>
        <v>24.459969285669899</v>
      </c>
      <c r="DB199" s="197">
        <f t="shared" si="544"/>
        <v>70.881782945736433</v>
      </c>
      <c r="DC199" s="443">
        <f t="shared" si="545"/>
        <v>22.580796195804464</v>
      </c>
      <c r="DE199" s="217">
        <f t="shared" si="546"/>
        <v>10.000000000000002</v>
      </c>
      <c r="DF199" s="173">
        <f t="shared" si="547"/>
        <v>7.792207792207793</v>
      </c>
      <c r="DG199" s="173">
        <f t="shared" si="548"/>
        <v>2.7616279069767451</v>
      </c>
      <c r="DH199" s="173"/>
      <c r="DI199" s="173">
        <f t="shared" si="549"/>
        <v>7.7922077922077913</v>
      </c>
      <c r="DJ199" s="545">
        <f t="shared" si="550"/>
        <v>228.43333333333334</v>
      </c>
      <c r="DK199" s="528">
        <f t="shared" si="551"/>
        <v>2.7616279069767442</v>
      </c>
      <c r="DM199" s="173">
        <f t="shared" si="552"/>
        <v>8.0787787856003757</v>
      </c>
      <c r="DN199" s="173">
        <f t="shared" si="553"/>
        <v>31.390293916609703</v>
      </c>
      <c r="DO199" s="173">
        <f t="shared" si="554"/>
        <v>17.044662160451633</v>
      </c>
      <c r="DQ199" s="545">
        <f t="shared" si="555"/>
        <v>8900</v>
      </c>
      <c r="DR199" s="460">
        <f t="shared" si="556"/>
        <v>22.580796195804464</v>
      </c>
      <c r="DT199">
        <f t="shared" si="591"/>
        <v>8900</v>
      </c>
      <c r="DU199">
        <f t="shared" si="592"/>
        <v>22.580796195804464</v>
      </c>
      <c r="DW199" s="5">
        <f t="shared" si="557"/>
        <v>44.2854180751076</v>
      </c>
      <c r="DX199" s="5">
        <f t="shared" si="558"/>
        <v>19.825448789437708</v>
      </c>
      <c r="DY199" s="5">
        <f t="shared" si="559"/>
        <v>24.459969285669892</v>
      </c>
      <c r="DZ199" s="5"/>
      <c r="EA199" s="173">
        <f t="shared" si="560"/>
        <v>0.44767441860465124</v>
      </c>
      <c r="EB199" s="173">
        <f t="shared" si="561"/>
        <v>133.5</v>
      </c>
      <c r="EC199" s="173">
        <f t="shared" si="562"/>
        <v>8.6688311688311668</v>
      </c>
      <c r="ED199" s="173">
        <f t="shared" si="563"/>
        <v>15.400000000000004</v>
      </c>
      <c r="EE199" s="460">
        <f t="shared" si="564"/>
        <v>1176.3099615066371</v>
      </c>
      <c r="EF199" s="5">
        <f t="shared" si="565"/>
        <v>47.739852333873252</v>
      </c>
      <c r="EH199" s="173">
        <f t="shared" si="566"/>
        <v>12.125953372346839</v>
      </c>
      <c r="EI199" s="173">
        <f t="shared" si="567"/>
        <v>13.468906372408949</v>
      </c>
      <c r="EK199" s="528">
        <f t="shared" si="568"/>
        <v>2.9407749037665933</v>
      </c>
      <c r="EL199" s="528">
        <f t="shared" si="569"/>
        <v>0.48766666666666675</v>
      </c>
      <c r="EM199" s="528">
        <f t="shared" si="570"/>
        <v>2.8225995244755579E-3</v>
      </c>
      <c r="EN199" s="528">
        <f t="shared" si="571"/>
        <v>2.672121098626717E-3</v>
      </c>
      <c r="EO199">
        <f t="shared" si="572"/>
        <v>8.5500000000000003E-3</v>
      </c>
      <c r="EP199" s="460">
        <f t="shared" si="573"/>
        <v>11.372599524475557</v>
      </c>
      <c r="EQ199" s="460"/>
      <c r="ER199" s="460">
        <f t="shared" si="593"/>
        <v>3442.4862910563625</v>
      </c>
      <c r="ES199" s="528">
        <f t="shared" si="574"/>
        <v>6.2299999999999995</v>
      </c>
      <c r="EV199" s="460">
        <f t="shared" si="494"/>
        <v>6229.9999999999991</v>
      </c>
      <c r="EW199" s="528">
        <f t="shared" si="575"/>
        <v>4.41116235564989</v>
      </c>
      <c r="EX199" s="528">
        <f t="shared" si="576"/>
        <v>5.4423431660615513</v>
      </c>
      <c r="EY199" s="528">
        <f t="shared" si="577"/>
        <v>0.66881589702681277</v>
      </c>
      <c r="EZ199" s="528"/>
      <c r="FA199" s="528">
        <f t="shared" si="578"/>
        <v>2.2249999999999999E-2</v>
      </c>
      <c r="FB199" s="460">
        <f t="shared" si="579"/>
        <v>10544.571418738253</v>
      </c>
      <c r="FC199" s="173">
        <f t="shared" si="580"/>
        <v>20.217057709794616</v>
      </c>
      <c r="FD199" s="5">
        <f t="shared" si="581"/>
        <v>133.5</v>
      </c>
      <c r="FE199" s="173">
        <f t="shared" si="582"/>
        <v>0.86847876214256714</v>
      </c>
      <c r="FF199" s="5">
        <f t="shared" si="583"/>
        <v>86.847876214256715</v>
      </c>
      <c r="FI199" s="562">
        <f t="shared" si="584"/>
        <v>-50</v>
      </c>
      <c r="FJ199">
        <f t="shared" si="585"/>
        <v>-50</v>
      </c>
      <c r="FL199">
        <f t="shared" si="586"/>
        <v>0.55232558139534871</v>
      </c>
    </row>
    <row r="200" spans="5:168">
      <c r="E200" s="170">
        <v>90</v>
      </c>
      <c r="F200" s="217">
        <f t="shared" si="587"/>
        <v>9</v>
      </c>
      <c r="G200" s="217"/>
      <c r="H200" s="217">
        <f t="shared" si="495"/>
        <v>135</v>
      </c>
      <c r="I200" s="541">
        <f t="shared" si="496"/>
        <v>18.183612877501819</v>
      </c>
      <c r="J200" s="172">
        <f t="shared" si="497"/>
        <v>15.889832273498909</v>
      </c>
      <c r="K200" s="172">
        <f t="shared" si="498"/>
        <v>34.073445151000726</v>
      </c>
      <c r="L200" s="443"/>
      <c r="M200" s="217">
        <f t="shared" si="499"/>
        <v>0.46632513311119733</v>
      </c>
      <c r="N200" s="172">
        <f t="shared" si="500"/>
        <v>212.18827993635708</v>
      </c>
      <c r="O200" s="172">
        <f t="shared" si="599"/>
        <v>135</v>
      </c>
      <c r="P200" s="217">
        <f t="shared" si="501"/>
        <v>14.145885329090472</v>
      </c>
      <c r="Q200" s="217">
        <f t="shared" si="502"/>
        <v>15</v>
      </c>
      <c r="R200" s="217"/>
      <c r="S200" s="172">
        <f t="shared" si="503"/>
        <v>32.547183648748721</v>
      </c>
      <c r="T200" s="536">
        <f t="shared" si="504"/>
        <v>15</v>
      </c>
      <c r="U200" s="217">
        <f t="shared" si="505"/>
        <v>33.72840116105845</v>
      </c>
      <c r="V200" s="217">
        <f t="shared" si="506"/>
        <v>22.258547663730688</v>
      </c>
      <c r="W200" s="217">
        <f t="shared" si="507"/>
        <v>25.471685727465413</v>
      </c>
      <c r="X200" s="197">
        <f t="shared" si="508"/>
        <v>70.664647466986182</v>
      </c>
      <c r="Y200" s="443">
        <f t="shared" si="509"/>
        <v>20.863658055620515</v>
      </c>
      <c r="AA200" s="217">
        <f t="shared" si="510"/>
        <v>10</v>
      </c>
      <c r="AB200" s="173">
        <f t="shared" si="511"/>
        <v>7.5519991611325068</v>
      </c>
      <c r="AC200" s="173">
        <f t="shared" si="512"/>
        <v>2.6682967919620202</v>
      </c>
      <c r="AD200" s="173"/>
      <c r="AE200" s="173">
        <f t="shared" si="513"/>
        <v>7.5519991611325068</v>
      </c>
      <c r="AF200" s="545">
        <f t="shared" si="514"/>
        <v>238.34748410248363</v>
      </c>
      <c r="AG200" s="528">
        <f t="shared" si="515"/>
        <v>2.6682967919620197</v>
      </c>
      <c r="AI200" s="173">
        <f t="shared" si="516"/>
        <v>8.2522288608677226</v>
      </c>
      <c r="AJ200" s="173">
        <f t="shared" si="517"/>
        <v>33.72840116105845</v>
      </c>
      <c r="AK200" s="173">
        <f t="shared" si="518"/>
        <v>18.776593452635886</v>
      </c>
      <c r="AM200" s="545">
        <f t="shared" si="519"/>
        <v>9000</v>
      </c>
      <c r="AN200" s="460">
        <f t="shared" si="520"/>
        <v>20.863658055620515</v>
      </c>
      <c r="AP200">
        <f t="shared" si="521"/>
        <v>9000</v>
      </c>
      <c r="AQ200">
        <f t="shared" si="522"/>
        <v>20.863658055620515</v>
      </c>
      <c r="AS200" s="5">
        <f t="shared" si="600"/>
        <v>47.930233391196104</v>
      </c>
      <c r="AT200" s="5">
        <f t="shared" si="523"/>
        <v>22.258547663730688</v>
      </c>
      <c r="AU200" s="5">
        <f t="shared" si="478"/>
        <v>25.671685727465416</v>
      </c>
      <c r="AV200" s="5"/>
      <c r="AW200" s="173">
        <f t="shared" si="479"/>
        <v>0.46439472727080799</v>
      </c>
      <c r="AX200" s="173">
        <f t="shared" si="596"/>
        <v>142.40761595251226</v>
      </c>
      <c r="AY200" s="173">
        <f t="shared" si="597"/>
        <v>9.0325547512941533</v>
      </c>
      <c r="AZ200" s="173">
        <f t="shared" si="601"/>
        <v>15.766039606027142</v>
      </c>
      <c r="BA200" s="460">
        <f t="shared" si="594"/>
        <v>1335.5128598238414</v>
      </c>
      <c r="BB200" s="5">
        <f t="shared" si="595"/>
        <v>52.942625938273565</v>
      </c>
      <c r="BD200" s="173">
        <f t="shared" si="602"/>
        <v>13.270239693383354</v>
      </c>
      <c r="BE200" s="173">
        <f t="shared" si="598"/>
        <v>14.251400636683019</v>
      </c>
      <c r="BG200" s="528">
        <f t="shared" si="480"/>
        <v>3.5219852303969432</v>
      </c>
      <c r="BH200" s="528">
        <f t="shared" si="524"/>
        <v>0.44957642559827737</v>
      </c>
      <c r="BI200" s="528">
        <f t="shared" si="525"/>
        <v>9.4844170322993943E-3</v>
      </c>
      <c r="BJ200" s="528">
        <f t="shared" si="481"/>
        <v>2.422270000194719E-3</v>
      </c>
      <c r="BK200">
        <f t="shared" si="482"/>
        <v>8.1826257948758186E-3</v>
      </c>
      <c r="BL200" s="460">
        <f t="shared" si="588"/>
        <v>17.667042827175212</v>
      </c>
      <c r="BM200" s="528">
        <f t="shared" si="526"/>
        <v>30.181586779397023</v>
      </c>
      <c r="BN200" s="460">
        <f t="shared" si="527"/>
        <v>30181.586779397021</v>
      </c>
      <c r="BO200" s="528">
        <f t="shared" si="483"/>
        <v>6.3</v>
      </c>
      <c r="BR200" s="460">
        <f t="shared" si="484"/>
        <v>6300</v>
      </c>
      <c r="BS200" s="528">
        <f t="shared" si="485"/>
        <v>5.2829778455954139</v>
      </c>
      <c r="BT200" s="528">
        <f t="shared" si="486"/>
        <v>6.0930726032174753</v>
      </c>
      <c r="BU200" s="528">
        <f t="shared" si="487"/>
        <v>0.65680361075113058</v>
      </c>
      <c r="BV200" s="528"/>
      <c r="BW200" s="528">
        <f t="shared" si="488"/>
        <v>2.3734602658752046E-2</v>
      </c>
      <c r="BX200" s="460">
        <f t="shared" si="489"/>
        <v>12056.588662222772</v>
      </c>
      <c r="BY200" s="173">
        <f t="shared" si="490"/>
        <v>22.348239631045363</v>
      </c>
      <c r="BZ200" s="5">
        <f t="shared" si="491"/>
        <v>135</v>
      </c>
      <c r="CA200" s="173">
        <f t="shared" si="492"/>
        <v>0.85796956048921702</v>
      </c>
      <c r="CB200" s="5">
        <f t="shared" si="493"/>
        <v>85.7969560489217</v>
      </c>
      <c r="CE200" s="562">
        <f t="shared" si="528"/>
        <v>-50</v>
      </c>
      <c r="CF200">
        <f t="shared" si="529"/>
        <v>-50</v>
      </c>
      <c r="CG200" s="173">
        <f t="shared" si="530"/>
        <v>0.55120908647233413</v>
      </c>
      <c r="CI200" s="170">
        <v>90</v>
      </c>
      <c r="CJ200" s="217">
        <f t="shared" si="589"/>
        <v>9</v>
      </c>
      <c r="CK200" s="217"/>
      <c r="CL200" s="217">
        <f t="shared" si="531"/>
        <v>135</v>
      </c>
      <c r="CM200" s="541">
        <f t="shared" si="532"/>
        <v>19</v>
      </c>
      <c r="CN200" s="443">
        <f t="shared" si="533"/>
        <v>15.4</v>
      </c>
      <c r="CO200" s="443">
        <f t="shared" si="534"/>
        <v>34.4</v>
      </c>
      <c r="CP200" s="443"/>
      <c r="CQ200" s="217">
        <f t="shared" si="535"/>
        <v>0.44767441860465118</v>
      </c>
      <c r="CR200" s="172">
        <f t="shared" si="590"/>
        <v>212.84736191860466</v>
      </c>
      <c r="CS200" s="172">
        <f t="shared" si="536"/>
        <v>135</v>
      </c>
      <c r="CT200" s="217">
        <f t="shared" si="537"/>
        <v>14.189824127906977</v>
      </c>
      <c r="CU200" s="217">
        <f t="shared" si="538"/>
        <v>15</v>
      </c>
      <c r="CV200" s="217"/>
      <c r="CW200" s="172">
        <f t="shared" si="539"/>
        <v>33.998716255353003</v>
      </c>
      <c r="CX200" s="536">
        <f t="shared" si="540"/>
        <v>15</v>
      </c>
      <c r="CY200" s="217">
        <f t="shared" si="541"/>
        <v>31.742993848257004</v>
      </c>
      <c r="CZ200" s="217">
        <f t="shared" si="542"/>
        <v>20.048206641004423</v>
      </c>
      <c r="DA200" s="217">
        <f t="shared" si="543"/>
        <v>24.734800401239227</v>
      </c>
      <c r="DB200" s="197">
        <f t="shared" si="544"/>
        <v>70.881782945736433</v>
      </c>
      <c r="DC200" s="443">
        <f t="shared" si="545"/>
        <v>22.329898460295521</v>
      </c>
      <c r="DE200" s="217">
        <f t="shared" si="546"/>
        <v>10.000000000000002</v>
      </c>
      <c r="DF200" s="173">
        <f t="shared" si="547"/>
        <v>7.792207792207793</v>
      </c>
      <c r="DG200" s="173">
        <f t="shared" si="548"/>
        <v>2.7616279069767451</v>
      </c>
      <c r="DH200" s="173"/>
      <c r="DI200" s="173">
        <f t="shared" si="549"/>
        <v>7.7922077922077913</v>
      </c>
      <c r="DJ200" s="545">
        <f t="shared" si="550"/>
        <v>231</v>
      </c>
      <c r="DK200" s="528">
        <f t="shared" si="551"/>
        <v>2.7616279069767442</v>
      </c>
      <c r="DM200" s="173">
        <f t="shared" si="552"/>
        <v>8.1240384046359608</v>
      </c>
      <c r="DN200" s="173">
        <f t="shared" si="553"/>
        <v>31.742993848257004</v>
      </c>
      <c r="DO200" s="173">
        <f t="shared" si="554"/>
        <v>17.305921369079261</v>
      </c>
      <c r="DQ200" s="545">
        <f t="shared" si="555"/>
        <v>9000</v>
      </c>
      <c r="DR200" s="460">
        <f t="shared" si="556"/>
        <v>22.329898460295521</v>
      </c>
      <c r="DT200">
        <f t="shared" si="591"/>
        <v>9000</v>
      </c>
      <c r="DU200">
        <f t="shared" si="592"/>
        <v>22.329898460295521</v>
      </c>
      <c r="DW200" s="5">
        <f t="shared" si="557"/>
        <v>44.783007042243653</v>
      </c>
      <c r="DX200" s="5">
        <f t="shared" si="558"/>
        <v>20.048206641004423</v>
      </c>
      <c r="DY200" s="5">
        <f t="shared" si="559"/>
        <v>24.73480040123923</v>
      </c>
      <c r="DZ200" s="5"/>
      <c r="EA200" s="173">
        <f t="shared" si="560"/>
        <v>0.44767441860465107</v>
      </c>
      <c r="EB200" s="173">
        <f t="shared" si="561"/>
        <v>134.99999999999997</v>
      </c>
      <c r="EC200" s="173">
        <f t="shared" si="562"/>
        <v>8.7662337662337677</v>
      </c>
      <c r="ED200" s="173">
        <f t="shared" si="563"/>
        <v>15.399999999999995</v>
      </c>
      <c r="EE200" s="460">
        <f t="shared" si="564"/>
        <v>1202.8923984602652</v>
      </c>
      <c r="EF200" s="5">
        <f t="shared" si="565"/>
        <v>48.818685002445854</v>
      </c>
      <c r="EH200" s="173">
        <f t="shared" si="566"/>
        <v>12.262200039451857</v>
      </c>
      <c r="EI200" s="173">
        <f t="shared" si="567"/>
        <v>13.62024239906523</v>
      </c>
      <c r="EK200" s="528">
        <f t="shared" si="568"/>
        <v>3.0072309961506627</v>
      </c>
      <c r="EL200" s="528">
        <f t="shared" si="569"/>
        <v>0.48766666666666658</v>
      </c>
      <c r="EM200" s="528">
        <f t="shared" si="570"/>
        <v>2.7912373075369402E-3</v>
      </c>
      <c r="EN200" s="528">
        <f t="shared" si="571"/>
        <v>2.6424308641975307E-3</v>
      </c>
      <c r="EO200">
        <f t="shared" si="572"/>
        <v>8.5500000000000003E-3</v>
      </c>
      <c r="EP200" s="460">
        <f t="shared" si="573"/>
        <v>11.341237307536941</v>
      </c>
      <c r="EQ200" s="460"/>
      <c r="ER200" s="460">
        <f t="shared" si="593"/>
        <v>3508.8813309890638</v>
      </c>
      <c r="ES200" s="528">
        <f t="shared" si="574"/>
        <v>6.3</v>
      </c>
      <c r="EV200" s="460">
        <f t="shared" si="494"/>
        <v>6300</v>
      </c>
      <c r="EW200" s="528">
        <f t="shared" si="575"/>
        <v>4.5108464942259934</v>
      </c>
      <c r="EX200" s="528">
        <f t="shared" si="576"/>
        <v>5.5653300902788247</v>
      </c>
      <c r="EY200" s="528">
        <f t="shared" si="577"/>
        <v>0.66881589702681166</v>
      </c>
      <c r="EZ200" s="528"/>
      <c r="FA200" s="528">
        <f t="shared" si="578"/>
        <v>2.2500000000000003E-2</v>
      </c>
      <c r="FB200" s="460">
        <f t="shared" si="579"/>
        <v>10767.492481531632</v>
      </c>
      <c r="FC200" s="173">
        <f t="shared" si="580"/>
        <v>20.576373812520693</v>
      </c>
      <c r="FD200" s="5">
        <f t="shared" si="581"/>
        <v>135</v>
      </c>
      <c r="FE200" s="173">
        <f t="shared" si="582"/>
        <v>0.86774101164411688</v>
      </c>
      <c r="FF200" s="5">
        <f t="shared" si="583"/>
        <v>86.77410116441169</v>
      </c>
      <c r="FI200" s="562">
        <f t="shared" si="584"/>
        <v>-50</v>
      </c>
      <c r="FJ200">
        <f t="shared" si="585"/>
        <v>-50</v>
      </c>
      <c r="FL200">
        <f t="shared" si="586"/>
        <v>0.55232558139534893</v>
      </c>
    </row>
    <row r="201" spans="5:168">
      <c r="E201" s="170">
        <v>91</v>
      </c>
      <c r="F201" s="217">
        <f t="shared" si="587"/>
        <v>9.1</v>
      </c>
      <c r="G201" s="217"/>
      <c r="H201" s="217">
        <f t="shared" si="495"/>
        <v>136.5</v>
      </c>
      <c r="I201" s="541">
        <f t="shared" si="496"/>
        <v>18.174560282655083</v>
      </c>
      <c r="J201" s="172">
        <f t="shared" si="497"/>
        <v>15.895263830406952</v>
      </c>
      <c r="K201" s="172">
        <f t="shared" si="498"/>
        <v>34.069824113062033</v>
      </c>
      <c r="L201" s="443"/>
      <c r="M201" s="217">
        <f t="shared" si="499"/>
        <v>0.4665341261655403</v>
      </c>
      <c r="N201" s="172">
        <f t="shared" si="500"/>
        <v>212.17769249703352</v>
      </c>
      <c r="O201" s="172">
        <f t="shared" si="599"/>
        <v>136.5</v>
      </c>
      <c r="P201" s="217">
        <f t="shared" si="501"/>
        <v>14.145179499802234</v>
      </c>
      <c r="Q201" s="217">
        <f t="shared" si="502"/>
        <v>15</v>
      </c>
      <c r="R201" s="217"/>
      <c r="S201" s="172">
        <f t="shared" si="503"/>
        <v>31.980065805189835</v>
      </c>
      <c r="T201" s="536">
        <f t="shared" si="504"/>
        <v>15</v>
      </c>
      <c r="U201" s="217">
        <f t="shared" si="505"/>
        <v>34.116521585873102</v>
      </c>
      <c r="V201" s="217">
        <f t="shared" si="506"/>
        <v>22.525896234264717</v>
      </c>
      <c r="W201" s="217">
        <f t="shared" si="507"/>
        <v>25.755990174086705</v>
      </c>
      <c r="X201" s="197">
        <f t="shared" si="508"/>
        <v>70.661119777565048</v>
      </c>
      <c r="Y201" s="443">
        <f t="shared" si="509"/>
        <v>20.626260116556463</v>
      </c>
      <c r="AA201" s="217">
        <f t="shared" si="510"/>
        <v>10</v>
      </c>
      <c r="AB201" s="173">
        <f t="shared" si="511"/>
        <v>7.5494185740060002</v>
      </c>
      <c r="AC201" s="173">
        <f t="shared" si="512"/>
        <v>2.6672518505440617</v>
      </c>
      <c r="AD201" s="173"/>
      <c r="AE201" s="173">
        <f t="shared" si="513"/>
        <v>7.5494185740060002</v>
      </c>
      <c r="AF201" s="545">
        <f t="shared" si="514"/>
        <v>241.0781680945054</v>
      </c>
      <c r="AG201" s="528">
        <f t="shared" si="515"/>
        <v>2.6672518505440617</v>
      </c>
      <c r="AI201" s="173">
        <f t="shared" si="516"/>
        <v>8.2993660359349217</v>
      </c>
      <c r="AJ201" s="173">
        <f t="shared" si="517"/>
        <v>34.116521585873102</v>
      </c>
      <c r="AK201" s="173">
        <f t="shared" si="518"/>
        <v>19.064090063609704</v>
      </c>
      <c r="AM201" s="545">
        <f t="shared" si="519"/>
        <v>9100</v>
      </c>
      <c r="AN201" s="460">
        <f t="shared" si="520"/>
        <v>20.626260116556463</v>
      </c>
      <c r="AP201">
        <f t="shared" si="521"/>
        <v>9100</v>
      </c>
      <c r="AQ201">
        <f t="shared" si="522"/>
        <v>20.626260116556463</v>
      </c>
      <c r="AS201" s="5">
        <f t="shared" si="600"/>
        <v>48.481886408351428</v>
      </c>
      <c r="AT201" s="5">
        <f t="shared" si="523"/>
        <v>22.525896234264717</v>
      </c>
      <c r="AU201" s="5">
        <f t="shared" si="478"/>
        <v>25.955990174086711</v>
      </c>
      <c r="AV201" s="5"/>
      <c r="AW201" s="173">
        <f t="shared" si="479"/>
        <v>0.46462499508650379</v>
      </c>
      <c r="AX201" s="173">
        <f t="shared" si="596"/>
        <v>144.04600951156641</v>
      </c>
      <c r="AY201" s="173">
        <f t="shared" si="597"/>
        <v>9.1325664558341053</v>
      </c>
      <c r="AZ201" s="173">
        <f t="shared" si="601"/>
        <v>15.772785252446351</v>
      </c>
      <c r="BA201" s="460">
        <f t="shared" si="594"/>
        <v>1366.5710382120594</v>
      </c>
      <c r="BB201" s="5">
        <f t="shared" si="595"/>
        <v>54.150670614758141</v>
      </c>
      <c r="BD201" s="173">
        <f t="shared" si="602"/>
        <v>13.426270813465859</v>
      </c>
      <c r="BE201" s="173">
        <f t="shared" si="598"/>
        <v>14.412295690945859</v>
      </c>
      <c r="BG201" s="528">
        <f t="shared" si="480"/>
        <v>3.6052949591305037</v>
      </c>
      <c r="BH201" s="528">
        <f t="shared" si="524"/>
        <v>0.44952763904055071</v>
      </c>
      <c r="BI201" s="528">
        <f t="shared" si="525"/>
        <v>9.3718301973519935E-3</v>
      </c>
      <c r="BJ201" s="528">
        <f t="shared" si="481"/>
        <v>2.39419915578003E-3</v>
      </c>
      <c r="BK201">
        <f t="shared" si="482"/>
        <v>8.1785521271947863E-3</v>
      </c>
      <c r="BL201" s="460">
        <f t="shared" si="588"/>
        <v>17.550382324546781</v>
      </c>
      <c r="BM201" s="528">
        <f t="shared" si="526"/>
        <v>35.085640620640305</v>
      </c>
      <c r="BN201" s="460">
        <f t="shared" si="527"/>
        <v>35085.640620640304</v>
      </c>
      <c r="BO201" s="528">
        <f t="shared" si="483"/>
        <v>6.3699999999999992</v>
      </c>
      <c r="BR201" s="460">
        <f t="shared" si="484"/>
        <v>6369.9999999999991</v>
      </c>
      <c r="BS201" s="528">
        <f t="shared" si="485"/>
        <v>5.4079424386957555</v>
      </c>
      <c r="BT201" s="528">
        <f t="shared" si="486"/>
        <v>6.2314280124976973</v>
      </c>
      <c r="BU201" s="528">
        <f t="shared" si="487"/>
        <v>0.65679992378634755</v>
      </c>
      <c r="BV201" s="528"/>
      <c r="BW201" s="528">
        <f t="shared" si="488"/>
        <v>2.4007668251927735E-2</v>
      </c>
      <c r="BX201" s="460">
        <f t="shared" si="489"/>
        <v>12320.17804323173</v>
      </c>
      <c r="BY201" s="173">
        <f t="shared" si="490"/>
        <v>22.76494522288311</v>
      </c>
      <c r="BZ201" s="5">
        <f t="shared" si="491"/>
        <v>136.5</v>
      </c>
      <c r="CA201" s="173">
        <f t="shared" si="492"/>
        <v>0.85706242393123766</v>
      </c>
      <c r="CB201" s="5">
        <f t="shared" si="493"/>
        <v>85.706242393123773</v>
      </c>
      <c r="CE201" s="562">
        <f t="shared" si="528"/>
        <v>-50</v>
      </c>
      <c r="CF201">
        <f t="shared" si="529"/>
        <v>-50</v>
      </c>
      <c r="CG201" s="173">
        <f t="shared" si="530"/>
        <v>0.55122135564731223</v>
      </c>
      <c r="CI201" s="170">
        <v>91</v>
      </c>
      <c r="CJ201" s="217">
        <f t="shared" si="589"/>
        <v>9.1</v>
      </c>
      <c r="CK201" s="217"/>
      <c r="CL201" s="217">
        <f t="shared" si="531"/>
        <v>136.5</v>
      </c>
      <c r="CM201" s="541">
        <f t="shared" si="532"/>
        <v>19</v>
      </c>
      <c r="CN201" s="443">
        <f t="shared" si="533"/>
        <v>15.4</v>
      </c>
      <c r="CO201" s="443">
        <f t="shared" si="534"/>
        <v>34.4</v>
      </c>
      <c r="CP201" s="443"/>
      <c r="CQ201" s="217">
        <f t="shared" si="535"/>
        <v>0.44767441860465118</v>
      </c>
      <c r="CR201" s="172">
        <f t="shared" si="590"/>
        <v>212.84736191860466</v>
      </c>
      <c r="CS201" s="172">
        <f t="shared" si="536"/>
        <v>136.5</v>
      </c>
      <c r="CT201" s="217">
        <f t="shared" si="537"/>
        <v>14.189824127906977</v>
      </c>
      <c r="CU201" s="217">
        <f t="shared" si="538"/>
        <v>15</v>
      </c>
      <c r="CV201" s="217"/>
      <c r="CW201" s="172">
        <f t="shared" si="539"/>
        <v>33.422504657803096</v>
      </c>
      <c r="CX201" s="536">
        <f t="shared" si="540"/>
        <v>15</v>
      </c>
      <c r="CY201" s="217">
        <f t="shared" si="541"/>
        <v>32.095693779904302</v>
      </c>
      <c r="CZ201" s="217">
        <f t="shared" si="542"/>
        <v>20.270964492571142</v>
      </c>
      <c r="DA201" s="217">
        <f t="shared" si="543"/>
        <v>25.009631516808547</v>
      </c>
      <c r="DB201" s="197">
        <f t="shared" si="544"/>
        <v>70.881782945736433</v>
      </c>
      <c r="DC201" s="443">
        <f t="shared" si="545"/>
        <v>22.084514960731834</v>
      </c>
      <c r="DE201" s="217">
        <f t="shared" si="546"/>
        <v>10.000000000000002</v>
      </c>
      <c r="DF201" s="173">
        <f t="shared" si="547"/>
        <v>7.792207792207793</v>
      </c>
      <c r="DG201" s="173">
        <f t="shared" si="548"/>
        <v>2.7616279069767451</v>
      </c>
      <c r="DH201" s="173"/>
      <c r="DI201" s="173">
        <f t="shared" si="549"/>
        <v>7.7922077922077913</v>
      </c>
      <c r="DJ201" s="545">
        <f t="shared" si="550"/>
        <v>233.56666666666666</v>
      </c>
      <c r="DK201" s="528">
        <f t="shared" si="551"/>
        <v>2.7616279069767442</v>
      </c>
      <c r="DM201" s="173">
        <f t="shared" si="552"/>
        <v>8.1690472720711647</v>
      </c>
      <c r="DN201" s="173">
        <f t="shared" si="553"/>
        <v>32.095693779904302</v>
      </c>
      <c r="DO201" s="173">
        <f t="shared" si="554"/>
        <v>17.567180577706889</v>
      </c>
      <c r="DQ201" s="545">
        <f t="shared" si="555"/>
        <v>9100</v>
      </c>
      <c r="DR201" s="460">
        <f t="shared" si="556"/>
        <v>22.084514960731834</v>
      </c>
      <c r="DT201">
        <f t="shared" si="591"/>
        <v>9100</v>
      </c>
      <c r="DU201">
        <f t="shared" si="592"/>
        <v>22.084514960731834</v>
      </c>
      <c r="DW201" s="5">
        <f t="shared" si="557"/>
        <v>45.280596009379693</v>
      </c>
      <c r="DX201" s="5">
        <f t="shared" si="558"/>
        <v>20.270964492571142</v>
      </c>
      <c r="DY201" s="5">
        <f t="shared" si="559"/>
        <v>25.00963151680855</v>
      </c>
      <c r="DZ201" s="5"/>
      <c r="EA201" s="173">
        <f t="shared" si="560"/>
        <v>0.44767441860465118</v>
      </c>
      <c r="EB201" s="173">
        <f t="shared" si="561"/>
        <v>136.49999999999994</v>
      </c>
      <c r="EC201" s="173">
        <f t="shared" si="562"/>
        <v>8.8636363636363615</v>
      </c>
      <c r="ED201" s="173">
        <f t="shared" si="563"/>
        <v>15.399999999999997</v>
      </c>
      <c r="EE201" s="460">
        <f t="shared" si="564"/>
        <v>1229.7718458826491</v>
      </c>
      <c r="EF201" s="5">
        <f t="shared" si="565"/>
        <v>49.909571667315305</v>
      </c>
      <c r="EH201" s="173">
        <f t="shared" si="566"/>
        <v>12.398446706556879</v>
      </c>
      <c r="EI201" s="173">
        <f t="shared" si="567"/>
        <v>13.771578425721509</v>
      </c>
      <c r="EK201" s="528">
        <f t="shared" si="568"/>
        <v>3.0744296147066223</v>
      </c>
      <c r="EL201" s="528">
        <f t="shared" si="569"/>
        <v>0.48766666666666658</v>
      </c>
      <c r="EM201" s="528">
        <f t="shared" si="570"/>
        <v>2.7605643700914792E-3</v>
      </c>
      <c r="EN201" s="528">
        <f t="shared" si="571"/>
        <v>2.6133931623931622E-3</v>
      </c>
      <c r="EO201">
        <f t="shared" si="572"/>
        <v>8.5500000000000003E-3</v>
      </c>
      <c r="EP201" s="460">
        <f t="shared" si="573"/>
        <v>11.31056437009148</v>
      </c>
      <c r="EQ201" s="460"/>
      <c r="ER201" s="460">
        <f t="shared" si="593"/>
        <v>3576.0202389057736</v>
      </c>
      <c r="ES201" s="528">
        <f t="shared" si="574"/>
        <v>6.3699999999999992</v>
      </c>
      <c r="EV201" s="460">
        <f t="shared" si="494"/>
        <v>6369.9999999999991</v>
      </c>
      <c r="EW201" s="528">
        <f t="shared" si="575"/>
        <v>4.6116444220599329</v>
      </c>
      <c r="EX201" s="528">
        <f t="shared" si="576"/>
        <v>5.6896911700739432</v>
      </c>
      <c r="EY201" s="528">
        <f t="shared" si="577"/>
        <v>0.66881589702681232</v>
      </c>
      <c r="EZ201" s="528"/>
      <c r="FA201" s="528">
        <f t="shared" si="578"/>
        <v>2.2749999999999996E-2</v>
      </c>
      <c r="FB201" s="460">
        <f t="shared" si="579"/>
        <v>10992.901489160689</v>
      </c>
      <c r="FC201" s="173">
        <f t="shared" si="580"/>
        <v>20.938921728066457</v>
      </c>
      <c r="FD201" s="5">
        <f t="shared" si="581"/>
        <v>136.5</v>
      </c>
      <c r="FE201" s="173">
        <f t="shared" si="582"/>
        <v>0.86700288913161627</v>
      </c>
      <c r="FF201" s="5">
        <f t="shared" si="583"/>
        <v>86.700288913161629</v>
      </c>
      <c r="FI201" s="562">
        <f t="shared" si="584"/>
        <v>-50</v>
      </c>
      <c r="FJ201">
        <f t="shared" si="585"/>
        <v>-50</v>
      </c>
      <c r="FL201">
        <f t="shared" si="586"/>
        <v>0.55232558139534882</v>
      </c>
    </row>
    <row r="202" spans="5:168">
      <c r="E202" s="170">
        <v>92</v>
      </c>
      <c r="F202" s="217">
        <f t="shared" si="587"/>
        <v>9.2000000000000011</v>
      </c>
      <c r="G202" s="217"/>
      <c r="H202" s="217">
        <f t="shared" si="495"/>
        <v>138.00000000000003</v>
      </c>
      <c r="I202" s="541">
        <f t="shared" si="496"/>
        <v>18.165507687008237</v>
      </c>
      <c r="J202" s="172">
        <f t="shared" si="497"/>
        <v>15.900695387795059</v>
      </c>
      <c r="K202" s="172">
        <f t="shared" si="498"/>
        <v>34.066203074803298</v>
      </c>
      <c r="L202" s="443"/>
      <c r="M202" s="217">
        <f t="shared" si="499"/>
        <v>0.46674316366134311</v>
      </c>
      <c r="N202" s="172">
        <f t="shared" si="500"/>
        <v>212.16703056374132</v>
      </c>
      <c r="O202" s="172">
        <f t="shared" si="599"/>
        <v>138.00000000000003</v>
      </c>
      <c r="P202" s="217">
        <f t="shared" si="501"/>
        <v>14.144468704249421</v>
      </c>
      <c r="Q202" s="217">
        <f t="shared" si="502"/>
        <v>15</v>
      </c>
      <c r="R202" s="217"/>
      <c r="S202" s="172">
        <f t="shared" si="503"/>
        <v>31.42559810708131</v>
      </c>
      <c r="T202" s="536">
        <f t="shared" si="504"/>
        <v>15</v>
      </c>
      <c r="U202" s="217">
        <f t="shared" si="505"/>
        <v>34.504949109203096</v>
      </c>
      <c r="V202" s="217">
        <f t="shared" si="506"/>
        <v>22.793714133658248</v>
      </c>
      <c r="W202" s="217">
        <f t="shared" si="507"/>
        <v>26.040332149766098</v>
      </c>
      <c r="X202" s="197">
        <f t="shared" si="508"/>
        <v>70.657567281937588</v>
      </c>
      <c r="Y202" s="443">
        <f t="shared" si="509"/>
        <v>20.393993067996995</v>
      </c>
      <c r="AA202" s="217">
        <f t="shared" si="510"/>
        <v>10</v>
      </c>
      <c r="AB202" s="173">
        <f t="shared" si="511"/>
        <v>7.5468397496696111</v>
      </c>
      <c r="AC202" s="173">
        <f t="shared" si="512"/>
        <v>2.6662066868914081</v>
      </c>
      <c r="AD202" s="173"/>
      <c r="AE202" s="173">
        <f t="shared" si="513"/>
        <v>7.5468397496696111</v>
      </c>
      <c r="AF202" s="545">
        <f t="shared" si="514"/>
        <v>243.81066261285758</v>
      </c>
      <c r="AG202" s="528">
        <f t="shared" si="515"/>
        <v>2.6662066868914081</v>
      </c>
      <c r="AI202" s="173">
        <f t="shared" si="516"/>
        <v>8.3462679874276322</v>
      </c>
      <c r="AJ202" s="173">
        <f t="shared" si="517"/>
        <v>34.504949109203096</v>
      </c>
      <c r="AK202" s="173">
        <f t="shared" si="518"/>
        <v>19.351814154965254</v>
      </c>
      <c r="AM202" s="545">
        <f t="shared" si="519"/>
        <v>9200.0000000000018</v>
      </c>
      <c r="AN202" s="460">
        <f t="shared" si="520"/>
        <v>20.393993067996995</v>
      </c>
      <c r="AP202">
        <f t="shared" si="521"/>
        <v>9200.0000000000018</v>
      </c>
      <c r="AQ202">
        <f t="shared" si="522"/>
        <v>20.393993067996995</v>
      </c>
      <c r="AS202" s="5">
        <f t="shared" si="600"/>
        <v>49.034046283424352</v>
      </c>
      <c r="AT202" s="5">
        <f t="shared" si="523"/>
        <v>22.793714133658248</v>
      </c>
      <c r="AU202" s="5">
        <f t="shared" si="478"/>
        <v>26.240332149766104</v>
      </c>
      <c r="AV202" s="5"/>
      <c r="AW202" s="173">
        <f t="shared" si="479"/>
        <v>0.4648548480357314</v>
      </c>
      <c r="AX202" s="173">
        <f t="shared" si="596"/>
        <v>145.68549038113963</v>
      </c>
      <c r="AY202" s="173">
        <f t="shared" si="597"/>
        <v>9.232578117281923</v>
      </c>
      <c r="AZ202" s="173">
        <f t="shared" si="601"/>
        <v>15.779502597269063</v>
      </c>
      <c r="BA202" s="460">
        <f t="shared" si="594"/>
        <v>1398.0144668643727</v>
      </c>
      <c r="BB202" s="5">
        <f t="shared" si="595"/>
        <v>55.373040842330042</v>
      </c>
      <c r="BD202" s="173">
        <f t="shared" si="602"/>
        <v>13.582491632755087</v>
      </c>
      <c r="BE202" s="173">
        <f t="shared" si="598"/>
        <v>14.573254911733683</v>
      </c>
      <c r="BG202" s="528">
        <f t="shared" si="480"/>
        <v>3.6896815790772388</v>
      </c>
      <c r="BH202" s="528">
        <f t="shared" si="524"/>
        <v>0.44947822961834333</v>
      </c>
      <c r="BI202" s="528">
        <f t="shared" si="525"/>
        <v>9.2616809461373035E-3</v>
      </c>
      <c r="BJ202" s="528">
        <f t="shared" si="481"/>
        <v>2.366735523366424E-3</v>
      </c>
      <c r="BK202">
        <f t="shared" si="482"/>
        <v>8.174478459153707E-3</v>
      </c>
      <c r="BL202" s="460">
        <f t="shared" si="588"/>
        <v>17.436159405291008</v>
      </c>
      <c r="BM202" s="528">
        <f t="shared" si="526"/>
        <v>41.657922251322823</v>
      </c>
      <c r="BN202" s="460">
        <f t="shared" si="527"/>
        <v>41657.922251322823</v>
      </c>
      <c r="BO202" s="528">
        <f t="shared" si="483"/>
        <v>6.44</v>
      </c>
      <c r="BR202" s="460">
        <f t="shared" si="484"/>
        <v>6440</v>
      </c>
      <c r="BS202" s="528">
        <f t="shared" si="485"/>
        <v>5.5345223686158578</v>
      </c>
      <c r="BT202" s="528">
        <f t="shared" si="486"/>
        <v>6.371392761671097</v>
      </c>
      <c r="BU202" s="528">
        <f t="shared" si="487"/>
        <v>0.65679396068257723</v>
      </c>
      <c r="BV202" s="528"/>
      <c r="BW202" s="528">
        <f t="shared" si="488"/>
        <v>2.4280915063523274E-2</v>
      </c>
      <c r="BX202" s="460">
        <f t="shared" si="489"/>
        <v>12586.990006033055</v>
      </c>
      <c r="BY202" s="173">
        <f t="shared" si="490"/>
        <v>23.185952709657293</v>
      </c>
      <c r="BZ202" s="5">
        <f t="shared" si="491"/>
        <v>138.00000000000003</v>
      </c>
      <c r="CA202" s="173">
        <f t="shared" si="492"/>
        <v>0.85615401143906178</v>
      </c>
      <c r="CB202" s="5">
        <f t="shared" si="493"/>
        <v>85.615401143906183</v>
      </c>
      <c r="CE202" s="562">
        <f t="shared" si="528"/>
        <v>-50</v>
      </c>
      <c r="CF202">
        <f t="shared" si="529"/>
        <v>-50</v>
      </c>
      <c r="CG202" s="173">
        <f t="shared" si="530"/>
        <v>0.55123335810109519</v>
      </c>
      <c r="CI202" s="170">
        <v>92</v>
      </c>
      <c r="CJ202" s="217">
        <f t="shared" si="589"/>
        <v>9.2000000000000011</v>
      </c>
      <c r="CK202" s="217"/>
      <c r="CL202" s="217">
        <f t="shared" si="531"/>
        <v>138.00000000000003</v>
      </c>
      <c r="CM202" s="541">
        <f t="shared" si="532"/>
        <v>19</v>
      </c>
      <c r="CN202" s="443">
        <f t="shared" si="533"/>
        <v>15.4</v>
      </c>
      <c r="CO202" s="443">
        <f t="shared" si="534"/>
        <v>34.4</v>
      </c>
      <c r="CP202" s="443"/>
      <c r="CQ202" s="217">
        <f t="shared" si="535"/>
        <v>0.44767441860465118</v>
      </c>
      <c r="CR202" s="172">
        <f t="shared" si="590"/>
        <v>212.84736191860466</v>
      </c>
      <c r="CS202" s="172">
        <f t="shared" si="536"/>
        <v>138.00000000000003</v>
      </c>
      <c r="CT202" s="217">
        <f t="shared" si="537"/>
        <v>14.189824127906977</v>
      </c>
      <c r="CU202" s="217">
        <f t="shared" si="538"/>
        <v>15</v>
      </c>
      <c r="CV202" s="217"/>
      <c r="CW202" s="172">
        <f t="shared" si="539"/>
        <v>32.85894473864375</v>
      </c>
      <c r="CX202" s="536">
        <f t="shared" si="540"/>
        <v>15</v>
      </c>
      <c r="CY202" s="217">
        <f t="shared" si="541"/>
        <v>32.44839371155161</v>
      </c>
      <c r="CZ202" s="217">
        <f t="shared" si="542"/>
        <v>20.493722344137858</v>
      </c>
      <c r="DA202" s="217">
        <f t="shared" si="543"/>
        <v>25.284462632377874</v>
      </c>
      <c r="DB202" s="197">
        <f t="shared" si="544"/>
        <v>70.881782945736433</v>
      </c>
      <c r="DC202" s="443">
        <f t="shared" si="545"/>
        <v>21.844465885071706</v>
      </c>
      <c r="DE202" s="217">
        <f t="shared" si="546"/>
        <v>10.000000000000002</v>
      </c>
      <c r="DF202" s="173">
        <f t="shared" si="547"/>
        <v>7.792207792207793</v>
      </c>
      <c r="DG202" s="173">
        <f t="shared" si="548"/>
        <v>2.7616279069767451</v>
      </c>
      <c r="DH202" s="173"/>
      <c r="DI202" s="173">
        <f t="shared" si="549"/>
        <v>7.7922077922077913</v>
      </c>
      <c r="DJ202" s="545">
        <f t="shared" si="550"/>
        <v>236.13333333333338</v>
      </c>
      <c r="DK202" s="528">
        <f t="shared" si="551"/>
        <v>2.7616279069767442</v>
      </c>
      <c r="DM202" s="173">
        <f t="shared" si="552"/>
        <v>8.2138095100061026</v>
      </c>
      <c r="DN202" s="173">
        <f t="shared" si="553"/>
        <v>32.44839371155161</v>
      </c>
      <c r="DO202" s="173">
        <f t="shared" si="554"/>
        <v>17.828439786334524</v>
      </c>
      <c r="DQ202" s="545">
        <f t="shared" si="555"/>
        <v>9200.0000000000018</v>
      </c>
      <c r="DR202" s="460">
        <f t="shared" si="556"/>
        <v>21.844465885071706</v>
      </c>
      <c r="DT202">
        <f t="shared" si="591"/>
        <v>9200.0000000000018</v>
      </c>
      <c r="DU202">
        <f t="shared" si="592"/>
        <v>21.844465885071706</v>
      </c>
      <c r="DW202" s="5">
        <f t="shared" si="557"/>
        <v>45.778184976515732</v>
      </c>
      <c r="DX202" s="5">
        <f t="shared" si="558"/>
        <v>20.493722344137858</v>
      </c>
      <c r="DY202" s="5">
        <f t="shared" si="559"/>
        <v>25.284462632377874</v>
      </c>
      <c r="DZ202" s="5"/>
      <c r="EA202" s="173">
        <f t="shared" si="560"/>
        <v>0.44767441860465118</v>
      </c>
      <c r="EB202" s="173">
        <f t="shared" si="561"/>
        <v>138.00000000000003</v>
      </c>
      <c r="EC202" s="173">
        <f t="shared" si="562"/>
        <v>8.9610389610389625</v>
      </c>
      <c r="ED202" s="173">
        <f t="shared" si="563"/>
        <v>15.4</v>
      </c>
      <c r="EE202" s="460">
        <f t="shared" si="564"/>
        <v>1256.9483037737887</v>
      </c>
      <c r="EF202" s="5">
        <f t="shared" si="565"/>
        <v>51.012512328481677</v>
      </c>
      <c r="EH202" s="173">
        <f t="shared" si="566"/>
        <v>12.534693373661902</v>
      </c>
      <c r="EI202" s="173">
        <f t="shared" si="567"/>
        <v>13.922914452377793</v>
      </c>
      <c r="EK202" s="528">
        <f t="shared" si="568"/>
        <v>3.1423707594344723</v>
      </c>
      <c r="EL202" s="528">
        <f t="shared" si="569"/>
        <v>0.48766666666666664</v>
      </c>
      <c r="EM202" s="528">
        <f t="shared" si="570"/>
        <v>2.730558235633963E-3</v>
      </c>
      <c r="EN202" s="528">
        <f t="shared" si="571"/>
        <v>2.5849867149758451E-3</v>
      </c>
      <c r="EO202">
        <f t="shared" si="572"/>
        <v>8.5500000000000003E-3</v>
      </c>
      <c r="EP202" s="460">
        <f t="shared" si="573"/>
        <v>11.280558235633963</v>
      </c>
      <c r="EQ202" s="460"/>
      <c r="ER202" s="460">
        <f t="shared" si="593"/>
        <v>3643.9029710517484</v>
      </c>
      <c r="ES202" s="528">
        <f t="shared" si="574"/>
        <v>6.44</v>
      </c>
      <c r="EV202" s="460">
        <f t="shared" si="494"/>
        <v>6440</v>
      </c>
      <c r="EW202" s="528">
        <f t="shared" si="575"/>
        <v>4.7135561391517085</v>
      </c>
      <c r="EX202" s="528">
        <f t="shared" si="576"/>
        <v>5.815426405446912</v>
      </c>
      <c r="EY202" s="528">
        <f t="shared" si="577"/>
        <v>0.66881589702681232</v>
      </c>
      <c r="EZ202" s="528"/>
      <c r="FA202" s="528">
        <f t="shared" si="578"/>
        <v>2.3000000000000007E-2</v>
      </c>
      <c r="FB202" s="460">
        <f t="shared" si="579"/>
        <v>11220.798441625431</v>
      </c>
      <c r="FC202" s="173">
        <f t="shared" si="580"/>
        <v>21.304701412677179</v>
      </c>
      <c r="FD202" s="5">
        <f t="shared" si="581"/>
        <v>138.00000000000003</v>
      </c>
      <c r="FE202" s="173">
        <f t="shared" si="582"/>
        <v>0.86626445281431097</v>
      </c>
      <c r="FF202" s="5">
        <f t="shared" si="583"/>
        <v>86.626445281431103</v>
      </c>
      <c r="FI202" s="562">
        <f t="shared" si="584"/>
        <v>-50</v>
      </c>
      <c r="FJ202">
        <f t="shared" si="585"/>
        <v>-50</v>
      </c>
      <c r="FL202">
        <f t="shared" si="586"/>
        <v>0.55232558139534882</v>
      </c>
    </row>
    <row r="203" spans="5:168">
      <c r="E203" s="170">
        <v>93</v>
      </c>
      <c r="F203" s="217">
        <f t="shared" si="587"/>
        <v>9.3000000000000007</v>
      </c>
      <c r="G203" s="217"/>
      <c r="H203" s="217">
        <f t="shared" si="495"/>
        <v>139.5</v>
      </c>
      <c r="I203" s="541">
        <f t="shared" si="496"/>
        <v>18.156455090587144</v>
      </c>
      <c r="J203" s="172">
        <f t="shared" si="497"/>
        <v>15.906126945647713</v>
      </c>
      <c r="K203" s="172">
        <f t="shared" si="498"/>
        <v>34.062582036234858</v>
      </c>
      <c r="L203" s="443"/>
      <c r="M203" s="217">
        <f t="shared" si="499"/>
        <v>0.46695224561243925</v>
      </c>
      <c r="N203" s="172">
        <f t="shared" si="500"/>
        <v>212.1562941128534</v>
      </c>
      <c r="O203" s="172">
        <f t="shared" si="599"/>
        <v>139.5</v>
      </c>
      <c r="P203" s="217">
        <f t="shared" si="501"/>
        <v>14.143752940856894</v>
      </c>
      <c r="Q203" s="217">
        <f t="shared" si="502"/>
        <v>15</v>
      </c>
      <c r="R203" s="217"/>
      <c r="S203" s="172">
        <f t="shared" si="503"/>
        <v>30.883374571248307</v>
      </c>
      <c r="T203" s="536">
        <f t="shared" si="504"/>
        <v>15</v>
      </c>
      <c r="U203" s="217">
        <f t="shared" si="505"/>
        <v>34.893684190397281</v>
      </c>
      <c r="V203" s="217">
        <f t="shared" si="506"/>
        <v>23.062002367513177</v>
      </c>
      <c r="W203" s="217">
        <f t="shared" si="507"/>
        <v>26.324711962602564</v>
      </c>
      <c r="X203" s="197">
        <f t="shared" si="508"/>
        <v>70.653989972196456</v>
      </c>
      <c r="Y203" s="443">
        <f t="shared" si="509"/>
        <v>20.166692097053609</v>
      </c>
      <c r="AA203" s="217">
        <f t="shared" si="510"/>
        <v>9.9999999999999982</v>
      </c>
      <c r="AB203" s="173">
        <f t="shared" si="511"/>
        <v>7.544262686325081</v>
      </c>
      <c r="AC203" s="173">
        <f t="shared" si="512"/>
        <v>2.6651613009361403</v>
      </c>
      <c r="AD203" s="173"/>
      <c r="AE203" s="173">
        <f t="shared" si="513"/>
        <v>7.5442626863250828</v>
      </c>
      <c r="AF203" s="545">
        <f t="shared" si="514"/>
        <v>246.54496765753956</v>
      </c>
      <c r="AG203" s="528">
        <f t="shared" si="515"/>
        <v>2.6651613009361417</v>
      </c>
      <c r="AI203" s="173">
        <f t="shared" si="516"/>
        <v>8.392938658820615</v>
      </c>
      <c r="AJ203" s="173">
        <f t="shared" si="517"/>
        <v>34.893684190397281</v>
      </c>
      <c r="AK203" s="173">
        <f t="shared" si="518"/>
        <v>19.639766066960949</v>
      </c>
      <c r="AM203" s="545">
        <f t="shared" si="519"/>
        <v>9300</v>
      </c>
      <c r="AN203" s="460">
        <f t="shared" si="520"/>
        <v>20.166692097053609</v>
      </c>
      <c r="AP203">
        <f t="shared" si="521"/>
        <v>9300</v>
      </c>
      <c r="AQ203">
        <f t="shared" si="522"/>
        <v>20.166692097053609</v>
      </c>
      <c r="AS203" s="5">
        <f t="shared" si="600"/>
        <v>49.58671433011574</v>
      </c>
      <c r="AT203" s="5">
        <f t="shared" si="523"/>
        <v>23.062002367513177</v>
      </c>
      <c r="AU203" s="5">
        <f t="shared" si="478"/>
        <v>26.524711962602563</v>
      </c>
      <c r="AV203" s="5"/>
      <c r="AW203" s="173">
        <f t="shared" si="479"/>
        <v>0.46508430088715957</v>
      </c>
      <c r="AX203" s="173">
        <f t="shared" si="596"/>
        <v>147.3260585414157</v>
      </c>
      <c r="AY203" s="173">
        <f t="shared" si="597"/>
        <v>9.3325897366645147</v>
      </c>
      <c r="AZ203" s="173">
        <f t="shared" si="601"/>
        <v>15.786192546600716</v>
      </c>
      <c r="BA203" s="460">
        <f t="shared" si="594"/>
        <v>1429.844146785817</v>
      </c>
      <c r="BB203" s="5">
        <f t="shared" si="595"/>
        <v>56.609761290005821</v>
      </c>
      <c r="BD203" s="173">
        <f t="shared" si="602"/>
        <v>13.738902412247157</v>
      </c>
      <c r="BE203" s="173">
        <f t="shared" si="598"/>
        <v>14.734278377301335</v>
      </c>
      <c r="BG203" s="528">
        <f t="shared" si="480"/>
        <v>3.7751487898650153</v>
      </c>
      <c r="BH203" s="528">
        <f t="shared" si="524"/>
        <v>0.4494282124022555</v>
      </c>
      <c r="BI203" s="528">
        <f t="shared" si="525"/>
        <v>9.153890984646312E-3</v>
      </c>
      <c r="BJ203" s="528">
        <f t="shared" si="481"/>
        <v>2.3398595987848374E-3</v>
      </c>
      <c r="BK203">
        <f t="shared" si="482"/>
        <v>8.1704047907642154E-3</v>
      </c>
      <c r="BL203" s="460">
        <f t="shared" si="588"/>
        <v>17.324295775410526</v>
      </c>
      <c r="BM203" s="528">
        <f t="shared" si="526"/>
        <v>50.921863466702035</v>
      </c>
      <c r="BN203" s="460">
        <f t="shared" si="527"/>
        <v>50921.863466702038</v>
      </c>
      <c r="BO203" s="528">
        <f t="shared" si="483"/>
        <v>6.51</v>
      </c>
      <c r="BR203" s="460">
        <f t="shared" si="484"/>
        <v>6510</v>
      </c>
      <c r="BS203" s="528">
        <f t="shared" si="485"/>
        <v>5.6627231847975228</v>
      </c>
      <c r="BT203" s="528">
        <f t="shared" si="486"/>
        <v>6.5129687789942894</v>
      </c>
      <c r="BU203" s="528">
        <f t="shared" si="487"/>
        <v>0.65678577581033692</v>
      </c>
      <c r="BV203" s="528"/>
      <c r="BW203" s="528">
        <f t="shared" si="488"/>
        <v>2.455434309023595E-2</v>
      </c>
      <c r="BX203" s="460">
        <f t="shared" si="489"/>
        <v>12857.032082692385</v>
      </c>
      <c r="BY203" s="173">
        <f t="shared" si="490"/>
        <v>23.611273240333851</v>
      </c>
      <c r="BZ203" s="5">
        <f t="shared" si="491"/>
        <v>139.5</v>
      </c>
      <c r="CA203" s="173">
        <f t="shared" si="492"/>
        <v>0.85524438151160664</v>
      </c>
      <c r="CB203" s="5">
        <f t="shared" si="493"/>
        <v>85.524438151160666</v>
      </c>
      <c r="CE203" s="562">
        <f t="shared" si="528"/>
        <v>-50</v>
      </c>
      <c r="CF203">
        <f t="shared" si="529"/>
        <v>-50</v>
      </c>
      <c r="CG203" s="173">
        <f t="shared" si="530"/>
        <v>0.55124510243759273</v>
      </c>
      <c r="CI203" s="170">
        <v>93</v>
      </c>
      <c r="CJ203" s="217">
        <f t="shared" si="589"/>
        <v>9.3000000000000007</v>
      </c>
      <c r="CK203" s="217"/>
      <c r="CL203" s="217">
        <f t="shared" si="531"/>
        <v>139.5</v>
      </c>
      <c r="CM203" s="541">
        <f t="shared" si="532"/>
        <v>19</v>
      </c>
      <c r="CN203" s="443">
        <f t="shared" si="533"/>
        <v>15.4</v>
      </c>
      <c r="CO203" s="443">
        <f t="shared" si="534"/>
        <v>34.4</v>
      </c>
      <c r="CP203" s="443"/>
      <c r="CQ203" s="217">
        <f t="shared" si="535"/>
        <v>0.44767441860465118</v>
      </c>
      <c r="CR203" s="172">
        <f t="shared" si="590"/>
        <v>212.84736191860466</v>
      </c>
      <c r="CS203" s="172">
        <f t="shared" si="536"/>
        <v>139.5</v>
      </c>
      <c r="CT203" s="217">
        <f t="shared" si="537"/>
        <v>14.189824127906977</v>
      </c>
      <c r="CU203" s="217">
        <f t="shared" si="538"/>
        <v>15</v>
      </c>
      <c r="CV203" s="217"/>
      <c r="CW203" s="172">
        <f t="shared" si="539"/>
        <v>32.307630498080144</v>
      </c>
      <c r="CX203" s="536">
        <f t="shared" si="540"/>
        <v>15</v>
      </c>
      <c r="CY203" s="217">
        <f t="shared" si="541"/>
        <v>32.801093643198904</v>
      </c>
      <c r="CZ203" s="217">
        <f t="shared" si="542"/>
        <v>20.71648019570457</v>
      </c>
      <c r="DA203" s="217">
        <f t="shared" si="543"/>
        <v>25.559293747947198</v>
      </c>
      <c r="DB203" s="197">
        <f t="shared" si="544"/>
        <v>70.881782945736433</v>
      </c>
      <c r="DC203" s="443">
        <f t="shared" si="545"/>
        <v>21.609579155124699</v>
      </c>
      <c r="DE203" s="217">
        <f t="shared" si="546"/>
        <v>10.000000000000002</v>
      </c>
      <c r="DF203" s="173">
        <f t="shared" si="547"/>
        <v>7.792207792207793</v>
      </c>
      <c r="DG203" s="173">
        <f t="shared" si="548"/>
        <v>2.7616279069767451</v>
      </c>
      <c r="DH203" s="173"/>
      <c r="DI203" s="173">
        <f t="shared" si="549"/>
        <v>7.7922077922077913</v>
      </c>
      <c r="DJ203" s="545">
        <f t="shared" si="550"/>
        <v>238.70000000000002</v>
      </c>
      <c r="DK203" s="528">
        <f t="shared" si="551"/>
        <v>2.7616279069767442</v>
      </c>
      <c r="DM203" s="173">
        <f t="shared" si="552"/>
        <v>8.2583291288250322</v>
      </c>
      <c r="DN203" s="173">
        <f t="shared" si="553"/>
        <v>32.801093643198904</v>
      </c>
      <c r="DO203" s="173">
        <f t="shared" si="554"/>
        <v>18.089698994962149</v>
      </c>
      <c r="DQ203" s="545">
        <f t="shared" si="555"/>
        <v>9300</v>
      </c>
      <c r="DR203" s="460">
        <f t="shared" si="556"/>
        <v>21.609579155124699</v>
      </c>
      <c r="DT203">
        <f t="shared" si="591"/>
        <v>9300</v>
      </c>
      <c r="DU203">
        <f t="shared" si="592"/>
        <v>21.609579155124699</v>
      </c>
      <c r="DW203" s="5">
        <f t="shared" si="557"/>
        <v>46.275773943651771</v>
      </c>
      <c r="DX203" s="5">
        <f t="shared" si="558"/>
        <v>20.71648019570457</v>
      </c>
      <c r="DY203" s="5">
        <f t="shared" si="559"/>
        <v>25.559293747947201</v>
      </c>
      <c r="DZ203" s="5"/>
      <c r="EA203" s="173">
        <f t="shared" si="560"/>
        <v>0.44767441860465113</v>
      </c>
      <c r="EB203" s="173">
        <f t="shared" si="561"/>
        <v>139.5</v>
      </c>
      <c r="EC203" s="173">
        <f t="shared" si="562"/>
        <v>9.0584415584415598</v>
      </c>
      <c r="ED203" s="173">
        <f t="shared" si="563"/>
        <v>15.399999999999997</v>
      </c>
      <c r="EE203" s="460">
        <f t="shared" si="564"/>
        <v>1284.4217721336834</v>
      </c>
      <c r="EF203" s="5">
        <f t="shared" si="565"/>
        <v>52.127506985944947</v>
      </c>
      <c r="EH203" s="173">
        <f t="shared" si="566"/>
        <v>12.670940040766919</v>
      </c>
      <c r="EI203" s="173">
        <f t="shared" si="567"/>
        <v>14.07425047903407</v>
      </c>
      <c r="EK203" s="528">
        <f t="shared" si="568"/>
        <v>3.2110544303342072</v>
      </c>
      <c r="EL203" s="528">
        <f t="shared" si="569"/>
        <v>0.48766666666666658</v>
      </c>
      <c r="EM203" s="528">
        <f t="shared" si="570"/>
        <v>2.7011973943905873E-3</v>
      </c>
      <c r="EN203" s="528">
        <f t="shared" si="571"/>
        <v>2.5571911589008364E-3</v>
      </c>
      <c r="EO203">
        <f t="shared" si="572"/>
        <v>8.5500000000000003E-3</v>
      </c>
      <c r="EP203" s="460">
        <f t="shared" si="573"/>
        <v>11.251197394390587</v>
      </c>
      <c r="EQ203" s="460"/>
      <c r="ER203" s="460">
        <f t="shared" si="593"/>
        <v>3712.5294855541651</v>
      </c>
      <c r="ES203" s="528">
        <f t="shared" si="574"/>
        <v>6.51</v>
      </c>
      <c r="EV203" s="460">
        <f t="shared" si="494"/>
        <v>6510</v>
      </c>
      <c r="EW203" s="528">
        <f t="shared" si="575"/>
        <v>4.8165816455013104</v>
      </c>
      <c r="EX203" s="528">
        <f t="shared" si="576"/>
        <v>5.9425357963977223</v>
      </c>
      <c r="EY203" s="528">
        <f t="shared" si="577"/>
        <v>0.66881589702681232</v>
      </c>
      <c r="EZ203" s="528"/>
      <c r="FA203" s="528">
        <f t="shared" si="578"/>
        <v>2.325E-2</v>
      </c>
      <c r="FB203" s="460">
        <f t="shared" si="579"/>
        <v>11451.183338925846</v>
      </c>
      <c r="FC203" s="173">
        <f t="shared" si="580"/>
        <v>21.67371282448001</v>
      </c>
      <c r="FD203" s="5">
        <f t="shared" si="581"/>
        <v>139.5</v>
      </c>
      <c r="FE203" s="173">
        <f t="shared" si="582"/>
        <v>0.86552575823525923</v>
      </c>
      <c r="FF203" s="5">
        <f t="shared" si="583"/>
        <v>86.552575823525927</v>
      </c>
      <c r="FI203" s="562">
        <f t="shared" si="584"/>
        <v>-50</v>
      </c>
      <c r="FJ203">
        <f t="shared" si="585"/>
        <v>-50</v>
      </c>
      <c r="FL203">
        <f t="shared" si="586"/>
        <v>0.55232558139534893</v>
      </c>
    </row>
    <row r="204" spans="5:168">
      <c r="E204" s="170">
        <v>94</v>
      </c>
      <c r="F204" s="217">
        <f t="shared" si="587"/>
        <v>9.3999999999999986</v>
      </c>
      <c r="G204" s="217"/>
      <c r="H204" s="217">
        <f t="shared" si="495"/>
        <v>140.99999999999997</v>
      </c>
      <c r="I204" s="541">
        <f>VIN_min-F204*(Rdcr_pri+RON/1000)/CG204/Nps</f>
        <v>18.147402493416561</v>
      </c>
      <c r="J204" s="172">
        <f t="shared" si="497"/>
        <v>15.911558503950065</v>
      </c>
      <c r="K204" s="172">
        <f t="shared" si="498"/>
        <v>34.058960997366626</v>
      </c>
      <c r="L204" s="443"/>
      <c r="M204" s="217">
        <f t="shared" si="499"/>
        <v>0.46716137203268276</v>
      </c>
      <c r="N204" s="172">
        <f t="shared" si="500"/>
        <v>212.14548312072699</v>
      </c>
      <c r="O204" s="172">
        <f t="shared" si="599"/>
        <v>140.99999999999997</v>
      </c>
      <c r="P204" s="217">
        <f t="shared" si="501"/>
        <v>14.143032208048465</v>
      </c>
      <c r="Q204" s="217">
        <f t="shared" si="502"/>
        <v>15</v>
      </c>
      <c r="R204" s="217"/>
      <c r="S204" s="172">
        <f>(SQRT(Isw_max^2*Nps^2*I204^2+4*Isw_max*F204/Efficiency*(Nps^2*Vfwd1*I204-Nps*I204^2)+4*(F204/Efficiency)^2*Nps^2*Vfwd1^2+8*(F204/Efficiency)^2*Nps*Vfwd1*I204+4*(F204/Efficiency)^2*I204^2)-2*0*F204/Efficiency*I204-2*F204/Efficiency*Nps*Vfwd1+Isw_max*Nps*I204)/(4*F204/Efficiency*Nps)</f>
        <v>39.426707780603159</v>
      </c>
      <c r="T204" s="536">
        <f t="shared" si="504"/>
        <v>15</v>
      </c>
      <c r="U204" s="217">
        <f t="shared" si="505"/>
        <v>35.282727289721073</v>
      </c>
      <c r="V204" s="217">
        <f t="shared" si="506"/>
        <v>23.330761944044035</v>
      </c>
      <c r="W204" s="217">
        <f t="shared" si="507"/>
        <v>26.609129920965636</v>
      </c>
      <c r="X204" s="197">
        <f t="shared" si="508"/>
        <v>70.650387840430781</v>
      </c>
      <c r="Y204" s="443">
        <f t="shared" si="509"/>
        <v>19.944199375065946</v>
      </c>
      <c r="AA204" s="217">
        <f t="shared" si="510"/>
        <v>10</v>
      </c>
      <c r="AB204" s="173">
        <f t="shared" si="511"/>
        <v>7.5416873821762866</v>
      </c>
      <c r="AC204" s="173">
        <f t="shared" si="512"/>
        <v>2.664115692610189</v>
      </c>
      <c r="AD204" s="173"/>
      <c r="AE204" s="173">
        <f t="shared" si="513"/>
        <v>7.5416873821762866</v>
      </c>
      <c r="AF204" s="545">
        <f t="shared" si="514"/>
        <v>249.28108322855095</v>
      </c>
      <c r="AG204" s="528">
        <f t="shared" si="515"/>
        <v>2.664115692610189</v>
      </c>
      <c r="AI204" s="173">
        <f t="shared" si="516"/>
        <v>8.439381887124723</v>
      </c>
      <c r="AJ204" s="173">
        <f t="shared" si="517"/>
        <v>35.282727289721073</v>
      </c>
      <c r="AK204" s="173">
        <f t="shared" si="518"/>
        <v>19.927946140534125</v>
      </c>
      <c r="AM204" s="545">
        <f t="shared" si="519"/>
        <v>9399.9999999999982</v>
      </c>
      <c r="AN204" s="460">
        <f t="shared" si="520"/>
        <v>19.944199375065946</v>
      </c>
      <c r="AP204">
        <f t="shared" si="521"/>
        <v>9399.9999999999982</v>
      </c>
      <c r="AQ204">
        <f t="shared" si="522"/>
        <v>19.944199375065946</v>
      </c>
      <c r="AS204" s="5">
        <f t="shared" si="600"/>
        <v>50.139891865009673</v>
      </c>
      <c r="AT204" s="5">
        <f t="shared" si="523"/>
        <v>23.330761944044035</v>
      </c>
      <c r="AU204" s="5">
        <f t="shared" si="478"/>
        <v>26.809129920965638</v>
      </c>
      <c r="AV204" s="5"/>
      <c r="AW204" s="173">
        <f t="shared" si="479"/>
        <v>0.46531336778421539</v>
      </c>
      <c r="AX204" s="173">
        <f t="shared" si="596"/>
        <v>148.96771397342002</v>
      </c>
      <c r="AY204" s="173">
        <f t="shared" si="597"/>
        <v>9.4326013149644599</v>
      </c>
      <c r="AZ204" s="173">
        <f t="shared" si="601"/>
        <v>15.792855968277644</v>
      </c>
      <c r="BA204" s="460">
        <f t="shared" si="594"/>
        <v>1462.0610818267592</v>
      </c>
      <c r="BB204" s="5">
        <f t="shared" si="595"/>
        <v>57.860856704905515</v>
      </c>
      <c r="BD204" s="173">
        <f t="shared" si="602"/>
        <v>13.895503413499362</v>
      </c>
      <c r="BE204" s="173">
        <f t="shared" si="598"/>
        <v>14.895366165993938</v>
      </c>
      <c r="BG204" s="528">
        <f t="shared" si="480"/>
        <v>3.8617003022914487</v>
      </c>
      <c r="BH204" s="528">
        <f t="shared" si="524"/>
        <v>0.44937760182424458</v>
      </c>
      <c r="BI204" s="528">
        <f t="shared" si="525"/>
        <v>9.0483853367067189E-3</v>
      </c>
      <c r="BJ204" s="528">
        <f t="shared" si="481"/>
        <v>2.3135527043879824E-3</v>
      </c>
      <c r="BK204">
        <f t="shared" si="482"/>
        <v>8.166331122037452E-3</v>
      </c>
      <c r="BL204" s="460">
        <f t="shared" si="588"/>
        <v>17.214716458744171</v>
      </c>
      <c r="BM204" s="528">
        <f t="shared" si="526"/>
        <v>64.953310785952098</v>
      </c>
      <c r="BN204" s="460">
        <f t="shared" si="527"/>
        <v>64953.310785952097</v>
      </c>
      <c r="BO204" s="528">
        <f t="shared" si="483"/>
        <v>6.5799999999999983</v>
      </c>
      <c r="BR204" s="460">
        <f t="shared" si="484"/>
        <v>6579.9999999999982</v>
      </c>
      <c r="BS204" s="528">
        <f t="shared" si="485"/>
        <v>5.7925504534371726</v>
      </c>
      <c r="BT204" s="528">
        <f t="shared" si="486"/>
        <v>6.6561579965711077</v>
      </c>
      <c r="BU204" s="528">
        <f t="shared" si="487"/>
        <v>0.65677542124192001</v>
      </c>
      <c r="BV204" s="528"/>
      <c r="BW204" s="528">
        <f t="shared" si="488"/>
        <v>2.4827952328903335E-2</v>
      </c>
      <c r="BX204" s="460">
        <f t="shared" si="489"/>
        <v>13130.311823579103</v>
      </c>
      <c r="BY204" s="173">
        <f t="shared" si="490"/>
        <v>24.040917996857925</v>
      </c>
      <c r="BZ204" s="5">
        <f t="shared" si="491"/>
        <v>140.99999999999997</v>
      </c>
      <c r="CA204" s="173">
        <f t="shared" si="492"/>
        <v>0.85433359018691579</v>
      </c>
      <c r="CB204" s="5">
        <f t="shared" si="493"/>
        <v>85.433359018691576</v>
      </c>
      <c r="CE204" s="562">
        <f t="shared" si="528"/>
        <v>-50</v>
      </c>
      <c r="CF204">
        <f t="shared" si="529"/>
        <v>-50</v>
      </c>
      <c r="CG204" s="173">
        <f t="shared" si="530"/>
        <v>0.55125659689458995</v>
      </c>
      <c r="CI204" s="170">
        <v>94</v>
      </c>
      <c r="CJ204" s="217">
        <f t="shared" si="589"/>
        <v>9.3999999999999986</v>
      </c>
      <c r="CK204" s="217"/>
      <c r="CL204" s="217">
        <f t="shared" si="531"/>
        <v>140.99999999999997</v>
      </c>
      <c r="CM204" s="541">
        <f t="shared" si="532"/>
        <v>19</v>
      </c>
      <c r="CN204" s="443">
        <f t="shared" si="533"/>
        <v>15.4</v>
      </c>
      <c r="CO204" s="443">
        <f t="shared" si="534"/>
        <v>34.4</v>
      </c>
      <c r="CP204" s="443"/>
      <c r="CQ204" s="217">
        <f t="shared" si="535"/>
        <v>0.44767441860465118</v>
      </c>
      <c r="CR204" s="172">
        <f t="shared" si="590"/>
        <v>212.84736191860466</v>
      </c>
      <c r="CS204" s="172">
        <f t="shared" si="536"/>
        <v>140.99999999999997</v>
      </c>
      <c r="CT204" s="217">
        <f t="shared" si="537"/>
        <v>14.189824127906977</v>
      </c>
      <c r="CU204" s="217">
        <f t="shared" si="538"/>
        <v>15</v>
      </c>
      <c r="CV204" s="217"/>
      <c r="CW204" s="172">
        <f t="shared" si="539"/>
        <v>31.768173258027062</v>
      </c>
      <c r="CX204" s="536">
        <f t="shared" si="540"/>
        <v>15</v>
      </c>
      <c r="CY204" s="217">
        <f t="shared" si="541"/>
        <v>33.153793574846198</v>
      </c>
      <c r="CZ204" s="217">
        <f t="shared" si="542"/>
        <v>20.939238047271285</v>
      </c>
      <c r="DA204" s="217">
        <f t="shared" si="543"/>
        <v>25.834124863516518</v>
      </c>
      <c r="DB204" s="197">
        <f t="shared" si="544"/>
        <v>70.881782945736433</v>
      </c>
      <c r="DC204" s="443">
        <f t="shared" si="545"/>
        <v>21.379690015176568</v>
      </c>
      <c r="DE204" s="217">
        <f t="shared" si="546"/>
        <v>10.000000000000002</v>
      </c>
      <c r="DF204" s="173">
        <f t="shared" si="547"/>
        <v>7.792207792207793</v>
      </c>
      <c r="DG204" s="173">
        <f t="shared" si="548"/>
        <v>2.7616279069767451</v>
      </c>
      <c r="DH204" s="173"/>
      <c r="DI204" s="173">
        <f t="shared" si="549"/>
        <v>7.7922077922077913</v>
      </c>
      <c r="DJ204" s="545">
        <f t="shared" si="550"/>
        <v>241.26666666666662</v>
      </c>
      <c r="DK204" s="528">
        <f t="shared" si="551"/>
        <v>2.7616279069767442</v>
      </c>
      <c r="DM204" s="173">
        <f t="shared" si="552"/>
        <v>8.3026100313897278</v>
      </c>
      <c r="DN204" s="173">
        <f t="shared" si="553"/>
        <v>33.153793574846198</v>
      </c>
      <c r="DO204" s="173">
        <f t="shared" si="554"/>
        <v>18.350958203589776</v>
      </c>
      <c r="DQ204" s="545">
        <f t="shared" si="555"/>
        <v>9399.9999999999982</v>
      </c>
      <c r="DR204" s="460">
        <f t="shared" si="556"/>
        <v>21.379690015176568</v>
      </c>
      <c r="DT204">
        <f t="shared" si="591"/>
        <v>9399.9999999999982</v>
      </c>
      <c r="DU204">
        <f t="shared" si="592"/>
        <v>21.379690015176568</v>
      </c>
      <c r="DW204" s="5">
        <f t="shared" si="557"/>
        <v>46.773362910787803</v>
      </c>
      <c r="DX204" s="5">
        <f t="shared" si="558"/>
        <v>20.939238047271285</v>
      </c>
      <c r="DY204" s="5">
        <f t="shared" si="559"/>
        <v>25.834124863516518</v>
      </c>
      <c r="DZ204" s="5"/>
      <c r="EA204" s="173">
        <f t="shared" si="560"/>
        <v>0.44767441860465118</v>
      </c>
      <c r="EB204" s="173">
        <f t="shared" si="561"/>
        <v>140.99999999999997</v>
      </c>
      <c r="EC204" s="173">
        <f t="shared" si="562"/>
        <v>9.1558441558441537</v>
      </c>
      <c r="ED204" s="173">
        <f t="shared" si="563"/>
        <v>15.4</v>
      </c>
      <c r="EE204" s="460">
        <f t="shared" si="564"/>
        <v>1312.1922509623337</v>
      </c>
      <c r="EF204" s="5">
        <f t="shared" si="565"/>
        <v>53.254555639705089</v>
      </c>
      <c r="EH204" s="173">
        <f t="shared" si="566"/>
        <v>12.807186707871939</v>
      </c>
      <c r="EI204" s="173">
        <f t="shared" si="567"/>
        <v>14.225586505690348</v>
      </c>
      <c r="EK204" s="528">
        <f t="shared" si="568"/>
        <v>3.2804806274058329</v>
      </c>
      <c r="EL204" s="528">
        <f t="shared" si="569"/>
        <v>0.48766666666666664</v>
      </c>
      <c r="EM204" s="528">
        <f t="shared" si="570"/>
        <v>2.672461251897071E-3</v>
      </c>
      <c r="EN204" s="528">
        <f t="shared" si="571"/>
        <v>2.5299869976359341E-3</v>
      </c>
      <c r="EO204">
        <f t="shared" si="572"/>
        <v>8.5500000000000003E-3</v>
      </c>
      <c r="EP204" s="460">
        <f t="shared" si="573"/>
        <v>11.222461251897073</v>
      </c>
      <c r="EQ204" s="460"/>
      <c r="ER204" s="460">
        <f t="shared" si="593"/>
        <v>3781.899742322033</v>
      </c>
      <c r="ES204" s="528">
        <f t="shared" si="574"/>
        <v>6.5799999999999983</v>
      </c>
      <c r="EV204" s="460">
        <f t="shared" si="494"/>
        <v>6579.9999999999982</v>
      </c>
      <c r="EW204" s="528">
        <f t="shared" si="575"/>
        <v>4.9207209411087494</v>
      </c>
      <c r="EX204" s="528">
        <f t="shared" si="576"/>
        <v>6.0710193429263803</v>
      </c>
      <c r="EY204" s="528">
        <f t="shared" si="577"/>
        <v>0.66881589702681343</v>
      </c>
      <c r="EZ204" s="528"/>
      <c r="FA204" s="528">
        <f t="shared" si="578"/>
        <v>2.3499999999999993E-2</v>
      </c>
      <c r="FB204" s="460">
        <f t="shared" si="579"/>
        <v>11684.056181061944</v>
      </c>
      <c r="FC204" s="173">
        <f t="shared" si="580"/>
        <v>22.045955923383975</v>
      </c>
      <c r="FD204" s="5">
        <f t="shared" si="581"/>
        <v>140.99999999999997</v>
      </c>
      <c r="FE204" s="173">
        <f t="shared" si="582"/>
        <v>0.86478685841344338</v>
      </c>
      <c r="FF204" s="5">
        <f t="shared" si="583"/>
        <v>86.478685841344344</v>
      </c>
      <c r="FI204" s="562">
        <f t="shared" si="584"/>
        <v>-50</v>
      </c>
      <c r="FJ204">
        <f t="shared" si="585"/>
        <v>-50</v>
      </c>
      <c r="FL204">
        <f t="shared" si="586"/>
        <v>0.55232558139534882</v>
      </c>
    </row>
    <row r="205" spans="5:168">
      <c r="E205" s="170">
        <v>95</v>
      </c>
      <c r="F205" s="217">
        <f t="shared" si="587"/>
        <v>9.5</v>
      </c>
      <c r="G205" s="217"/>
      <c r="H205" s="217">
        <f t="shared" si="495"/>
        <v>142.5</v>
      </c>
      <c r="I205" s="541">
        <f t="shared" si="496"/>
        <v>18.1383498955202</v>
      </c>
      <c r="J205" s="172">
        <f t="shared" si="497"/>
        <v>15.91699006268788</v>
      </c>
      <c r="K205" s="172">
        <f t="shared" si="498"/>
        <v>34.05533995820808</v>
      </c>
      <c r="L205" s="443"/>
      <c r="M205" s="217">
        <f t="shared" si="499"/>
        <v>0.46737054293594738</v>
      </c>
      <c r="N205" s="172">
        <f t="shared" si="500"/>
        <v>212.13459756370401</v>
      </c>
      <c r="O205" s="172">
        <f t="shared" si="599"/>
        <v>142.5</v>
      </c>
      <c r="P205" s="217">
        <f t="shared" si="501"/>
        <v>14.142306504246934</v>
      </c>
      <c r="Q205" s="217">
        <f t="shared" si="502"/>
        <v>15</v>
      </c>
      <c r="R205" s="217"/>
      <c r="S205" s="172">
        <f t="shared" si="503"/>
        <v>29.834121740097363</v>
      </c>
      <c r="T205" s="536">
        <f t="shared" si="504"/>
        <v>15</v>
      </c>
      <c r="U205" s="217">
        <f t="shared" si="505"/>
        <v>35.672078868358781</v>
      </c>
      <c r="V205" s="217">
        <f t="shared" si="506"/>
        <v>23.599993874086014</v>
      </c>
      <c r="W205" s="217">
        <f t="shared" si="507"/>
        <v>26.893586333496689</v>
      </c>
      <c r="X205" s="197">
        <f t="shared" si="508"/>
        <v>70.646760878726226</v>
      </c>
      <c r="Y205" s="443">
        <f t="shared" si="509"/>
        <v>19.726363691519676</v>
      </c>
      <c r="AA205" s="217">
        <f t="shared" si="510"/>
        <v>9.9999999999999982</v>
      </c>
      <c r="AB205" s="173">
        <f t="shared" si="511"/>
        <v>7.5391138354292435</v>
      </c>
      <c r="AC205" s="173">
        <f t="shared" si="512"/>
        <v>2.6630698618453312</v>
      </c>
      <c r="AD205" s="173"/>
      <c r="AE205" s="173">
        <f t="shared" si="513"/>
        <v>7.5391138354292444</v>
      </c>
      <c r="AF205" s="545">
        <f t="shared" si="514"/>
        <v>252.01900932589143</v>
      </c>
      <c r="AG205" s="528">
        <f t="shared" si="515"/>
        <v>2.6630698618453317</v>
      </c>
      <c r="AI205" s="173">
        <f t="shared" si="516"/>
        <v>8.4856014068520196</v>
      </c>
      <c r="AJ205" s="173">
        <f t="shared" si="517"/>
        <v>35.672078868358781</v>
      </c>
      <c r="AK205" s="173">
        <f t="shared" si="518"/>
        <v>20.216354717302799</v>
      </c>
      <c r="AM205" s="545">
        <f t="shared" si="519"/>
        <v>9500</v>
      </c>
      <c r="AN205" s="460">
        <f t="shared" si="520"/>
        <v>19.726363691519676</v>
      </c>
      <c r="AP205">
        <f t="shared" si="521"/>
        <v>9500</v>
      </c>
      <c r="AQ205">
        <f t="shared" si="522"/>
        <v>19.726363691519676</v>
      </c>
      <c r="AS205" s="5">
        <f t="shared" si="600"/>
        <v>50.693580207582713</v>
      </c>
      <c r="AT205" s="5">
        <f t="shared" si="523"/>
        <v>23.599993874086014</v>
      </c>
      <c r="AU205" s="5">
        <f t="shared" si="478"/>
        <v>27.093586333496699</v>
      </c>
      <c r="AV205" s="5"/>
      <c r="AW205" s="173">
        <f t="shared" si="479"/>
        <v>0.46554206227785705</v>
      </c>
      <c r="AX205" s="173">
        <f t="shared" si="596"/>
        <v>150.61045665897592</v>
      </c>
      <c r="AY205" s="173">
        <f t="shared" si="597"/>
        <v>9.5326128531223357</v>
      </c>
      <c r="AZ205" s="173">
        <f t="shared" si="601"/>
        <v>15.799493693866378</v>
      </c>
      <c r="BA205" s="460">
        <f t="shared" si="594"/>
        <v>1494.666278692114</v>
      </c>
      <c r="BB205" s="5">
        <f t="shared" si="595"/>
        <v>59.126351912481219</v>
      </c>
      <c r="BD205" s="173">
        <f t="shared" si="602"/>
        <v>14.052294898629997</v>
      </c>
      <c r="BE205" s="173">
        <f t="shared" si="598"/>
        <v>15.056518356249352</v>
      </c>
      <c r="BG205" s="528">
        <f t="shared" si="480"/>
        <v>3.9493398383612526</v>
      </c>
      <c r="BH205" s="528">
        <f t="shared" si="524"/>
        <v>0.44932641171109877</v>
      </c>
      <c r="BI205" s="528">
        <f t="shared" si="525"/>
        <v>8.9450921700767339E-3</v>
      </c>
      <c r="BJ205" s="528">
        <f t="shared" si="481"/>
        <v>2.2877969457277491E-3</v>
      </c>
      <c r="BK205">
        <f t="shared" si="482"/>
        <v>8.1622574529840904E-3</v>
      </c>
      <c r="BL205" s="460">
        <f t="shared" si="588"/>
        <v>17.107349623060827</v>
      </c>
      <c r="BM205" s="528">
        <f t="shared" si="526"/>
        <v>88.701408534235696</v>
      </c>
      <c r="BN205" s="460">
        <f t="shared" si="527"/>
        <v>88701.408534235699</v>
      </c>
      <c r="BO205" s="528">
        <f t="shared" si="483"/>
        <v>6.6499999999999995</v>
      </c>
      <c r="BR205" s="460">
        <f t="shared" si="484"/>
        <v>6649.9999999999991</v>
      </c>
      <c r="BS205" s="528">
        <f t="shared" si="485"/>
        <v>5.9240097575418789</v>
      </c>
      <c r="BT205" s="528">
        <f t="shared" si="486"/>
        <v>6.8009623503622105</v>
      </c>
      <c r="BU205" s="528">
        <f t="shared" si="487"/>
        <v>0.65676294687153103</v>
      </c>
      <c r="BV205" s="528"/>
      <c r="BW205" s="528">
        <f t="shared" si="488"/>
        <v>2.5101742776495985E-2</v>
      </c>
      <c r="BX205" s="460">
        <f t="shared" si="489"/>
        <v>13406.836797552118</v>
      </c>
      <c r="BY205" s="173">
        <f t="shared" si="490"/>
        <v>24.474898194193255</v>
      </c>
      <c r="BZ205" s="5">
        <f t="shared" si="491"/>
        <v>142.5</v>
      </c>
      <c r="CA205" s="173">
        <f t="shared" si="492"/>
        <v>0.85342169117103617</v>
      </c>
      <c r="CB205" s="5">
        <f t="shared" si="493"/>
        <v>85.342169117103623</v>
      </c>
      <c r="CE205" s="562">
        <f t="shared" si="528"/>
        <v>-50</v>
      </c>
      <c r="CF205">
        <f t="shared" si="529"/>
        <v>-50</v>
      </c>
      <c r="CG205" s="173">
        <f t="shared" si="530"/>
        <v>0.55126784936301898</v>
      </c>
      <c r="CI205" s="170">
        <v>95</v>
      </c>
      <c r="CJ205" s="217">
        <f t="shared" si="589"/>
        <v>9.5</v>
      </c>
      <c r="CK205" s="217"/>
      <c r="CL205" s="217">
        <f t="shared" si="531"/>
        <v>142.5</v>
      </c>
      <c r="CM205" s="541">
        <f t="shared" si="532"/>
        <v>19</v>
      </c>
      <c r="CN205" s="443">
        <f t="shared" si="533"/>
        <v>15.4</v>
      </c>
      <c r="CO205" s="443">
        <f t="shared" si="534"/>
        <v>34.4</v>
      </c>
      <c r="CP205" s="443"/>
      <c r="CQ205" s="217">
        <f t="shared" si="535"/>
        <v>0.44767441860465118</v>
      </c>
      <c r="CR205" s="172">
        <f t="shared" si="590"/>
        <v>212.84736191860466</v>
      </c>
      <c r="CS205" s="172">
        <f t="shared" si="536"/>
        <v>142.5</v>
      </c>
      <c r="CT205" s="217">
        <f t="shared" si="537"/>
        <v>14.189824127906977</v>
      </c>
      <c r="CU205" s="217">
        <f t="shared" si="538"/>
        <v>15</v>
      </c>
      <c r="CV205" s="217"/>
      <c r="CW205" s="172">
        <f t="shared" si="539"/>
        <v>31.240200751558937</v>
      </c>
      <c r="CX205" s="536">
        <f t="shared" si="540"/>
        <v>15</v>
      </c>
      <c r="CY205" s="217">
        <f t="shared" si="541"/>
        <v>33.506493506493506</v>
      </c>
      <c r="CZ205" s="217">
        <f t="shared" si="542"/>
        <v>21.161995898838004</v>
      </c>
      <c r="DA205" s="217">
        <f t="shared" si="543"/>
        <v>26.108955979085849</v>
      </c>
      <c r="DB205" s="197">
        <f t="shared" si="544"/>
        <v>70.881782945736433</v>
      </c>
      <c r="DC205" s="443">
        <f t="shared" si="545"/>
        <v>21.154640646595759</v>
      </c>
      <c r="DE205" s="217">
        <f t="shared" si="546"/>
        <v>10.000000000000002</v>
      </c>
      <c r="DF205" s="173">
        <f t="shared" si="547"/>
        <v>7.792207792207793</v>
      </c>
      <c r="DG205" s="173">
        <f t="shared" si="548"/>
        <v>2.7616279069767451</v>
      </c>
      <c r="DH205" s="173"/>
      <c r="DI205" s="173">
        <f t="shared" si="549"/>
        <v>7.7922077922077913</v>
      </c>
      <c r="DJ205" s="545">
        <f t="shared" si="550"/>
        <v>243.83333333333334</v>
      </c>
      <c r="DK205" s="528">
        <f t="shared" si="551"/>
        <v>2.7616279069767442</v>
      </c>
      <c r="DM205" s="173">
        <f t="shared" si="552"/>
        <v>8.3466560170326094</v>
      </c>
      <c r="DN205" s="173">
        <f t="shared" si="553"/>
        <v>33.506493506493506</v>
      </c>
      <c r="DO205" s="173">
        <f t="shared" si="554"/>
        <v>18.612217412217412</v>
      </c>
      <c r="DQ205" s="545">
        <f t="shared" si="555"/>
        <v>9500</v>
      </c>
      <c r="DR205" s="460">
        <f t="shared" si="556"/>
        <v>21.154640646595759</v>
      </c>
      <c r="DT205">
        <f t="shared" si="591"/>
        <v>9500</v>
      </c>
      <c r="DU205">
        <f t="shared" si="592"/>
        <v>21.154640646595759</v>
      </c>
      <c r="DW205" s="5">
        <f t="shared" si="557"/>
        <v>47.270951877923849</v>
      </c>
      <c r="DX205" s="5">
        <f t="shared" si="558"/>
        <v>21.161995898838004</v>
      </c>
      <c r="DY205" s="5">
        <f t="shared" si="559"/>
        <v>26.108955979085845</v>
      </c>
      <c r="DZ205" s="5"/>
      <c r="EA205" s="173">
        <f t="shared" si="560"/>
        <v>0.44767441860465118</v>
      </c>
      <c r="EB205" s="173">
        <f t="shared" si="561"/>
        <v>142.50000000000003</v>
      </c>
      <c r="EC205" s="173">
        <f t="shared" si="562"/>
        <v>9.2532467532467528</v>
      </c>
      <c r="ED205" s="173">
        <f t="shared" si="563"/>
        <v>15.400000000000004</v>
      </c>
      <c r="EE205" s="460">
        <f t="shared" si="564"/>
        <v>1340.2597402597403</v>
      </c>
      <c r="EF205" s="5">
        <f t="shared" si="565"/>
        <v>54.393658289762172</v>
      </c>
      <c r="EH205" s="173">
        <f t="shared" si="566"/>
        <v>12.943433374976964</v>
      </c>
      <c r="EI205" s="173">
        <f t="shared" si="567"/>
        <v>14.376922532346633</v>
      </c>
      <c r="EK205" s="528">
        <f t="shared" si="568"/>
        <v>3.3506493506493515</v>
      </c>
      <c r="EL205" s="528">
        <f t="shared" si="569"/>
        <v>0.48766666666666664</v>
      </c>
      <c r="EM205" s="528">
        <f t="shared" si="570"/>
        <v>2.6443300808244698E-3</v>
      </c>
      <c r="EN205" s="528">
        <f t="shared" si="571"/>
        <v>2.5033555555555556E-3</v>
      </c>
      <c r="EO205">
        <f t="shared" si="572"/>
        <v>8.5500000000000003E-3</v>
      </c>
      <c r="EP205" s="460">
        <f t="shared" si="573"/>
        <v>11.194330080824471</v>
      </c>
      <c r="EQ205" s="460"/>
      <c r="ER205" s="460">
        <f t="shared" si="593"/>
        <v>3852.0137029523985</v>
      </c>
      <c r="ES205" s="528">
        <f t="shared" si="574"/>
        <v>6.6499999999999995</v>
      </c>
      <c r="EV205" s="460">
        <f t="shared" si="494"/>
        <v>6649.9999999999991</v>
      </c>
      <c r="EW205" s="528">
        <f t="shared" si="575"/>
        <v>5.0259740259740271</v>
      </c>
      <c r="EX205" s="528">
        <f t="shared" si="576"/>
        <v>6.2008770450328896</v>
      </c>
      <c r="EY205" s="528">
        <f t="shared" si="577"/>
        <v>0.66881589702681299</v>
      </c>
      <c r="EZ205" s="528"/>
      <c r="FA205" s="528">
        <f t="shared" si="578"/>
        <v>2.3750000000000004E-2</v>
      </c>
      <c r="FB205" s="460">
        <f t="shared" si="579"/>
        <v>11919.416968033727</v>
      </c>
      <c r="FC205" s="173">
        <f t="shared" si="580"/>
        <v>22.42143067098613</v>
      </c>
      <c r="FD205" s="5">
        <f t="shared" si="581"/>
        <v>142.5</v>
      </c>
      <c r="FE205" s="173">
        <f t="shared" si="582"/>
        <v>0.86404780397693559</v>
      </c>
      <c r="FF205" s="5">
        <f t="shared" si="583"/>
        <v>86.404780397693557</v>
      </c>
      <c r="FI205" s="562">
        <f t="shared" si="584"/>
        <v>-50</v>
      </c>
      <c r="FJ205">
        <f t="shared" si="585"/>
        <v>-50</v>
      </c>
      <c r="FL205">
        <f t="shared" si="586"/>
        <v>0.55232558139534882</v>
      </c>
    </row>
    <row r="206" spans="5:168">
      <c r="E206" s="170">
        <v>96</v>
      </c>
      <c r="F206" s="217">
        <f t="shared" si="587"/>
        <v>9.6</v>
      </c>
      <c r="G206" s="217"/>
      <c r="H206" s="217">
        <f>F206*Vout</f>
        <v>144</v>
      </c>
      <c r="I206" s="541">
        <f t="shared" si="496"/>
        <v>18.129297296920786</v>
      </c>
      <c r="J206" s="172">
        <f t="shared" si="497"/>
        <v>15.922421621847528</v>
      </c>
      <c r="K206" s="172">
        <f t="shared" si="498"/>
        <v>34.051718918768316</v>
      </c>
      <c r="L206" s="443"/>
      <c r="M206" s="217">
        <f t="shared" si="499"/>
        <v>0.46757975833612569</v>
      </c>
      <c r="N206" s="172">
        <f>M206*I206*(Isw_max+VIN_min/Lmag*ILIM_delay)*0.5*Efficiency</f>
        <v>212.12363741811126</v>
      </c>
      <c r="O206" s="172">
        <f t="shared" si="599"/>
        <v>144</v>
      </c>
      <c r="P206" s="217">
        <f>N206/Vout</f>
        <v>14.141575827874084</v>
      </c>
      <c r="Q206" s="217">
        <f t="shared" si="502"/>
        <v>15</v>
      </c>
      <c r="R206" s="217"/>
      <c r="S206" s="172">
        <f t="shared" si="503"/>
        <v>29.326363490230474</v>
      </c>
      <c r="T206" s="536">
        <f>MIN(Vout, S206)</f>
        <v>15</v>
      </c>
      <c r="U206" s="217">
        <f t="shared" si="505"/>
        <v>36.061739388415809</v>
      </c>
      <c r="V206" s="217">
        <f>L*U206/I206*1000000</f>
        <v>23.869699171102987</v>
      </c>
      <c r="W206" s="217">
        <f t="shared" si="507"/>
        <v>27.178081509110136</v>
      </c>
      <c r="X206" s="197">
        <f t="shared" si="508"/>
        <v>70.643109079164873</v>
      </c>
      <c r="Y206" s="443">
        <f t="shared" si="509"/>
        <v>19.513040110751607</v>
      </c>
      <c r="AA206" s="217">
        <f t="shared" si="510"/>
        <v>10</v>
      </c>
      <c r="AB206" s="173">
        <f>L*AA206/J206*1000000</f>
        <v>7.5365420442921316</v>
      </c>
      <c r="AC206" s="173">
        <f>0.5*AB206*AA206*Nps*X206/1000</f>
        <v>2.6620238085732066</v>
      </c>
      <c r="AD206" s="173"/>
      <c r="AE206" s="173">
        <f t="shared" si="513"/>
        <v>7.5365420442921316</v>
      </c>
      <c r="AF206" s="545">
        <f>MAX(12000,F206/(0.5*AE206/1000000*Isw_min*Nps))/1000</f>
        <v>254.75874594956042</v>
      </c>
      <c r="AG206" s="528">
        <f t="shared" si="515"/>
        <v>2.6620238085732066</v>
      </c>
      <c r="AI206" s="173">
        <f t="shared" si="516"/>
        <v>8.5316008537932575</v>
      </c>
      <c r="AJ206" s="173">
        <f>MAX(IF(F206&gt;AC206,U206,AI206),Isw_min)</f>
        <v>36.061739388415809</v>
      </c>
      <c r="AK206" s="173">
        <f>IF(F206&gt;AG206, (AJ206-Isw_min)/1.08*0.8+1.2, AF206*0.2/350+1)</f>
        <v>20.504992139567264</v>
      </c>
      <c r="AM206" s="545">
        <f t="shared" si="519"/>
        <v>9600</v>
      </c>
      <c r="AN206" s="460">
        <f t="shared" si="520"/>
        <v>19.513040110751607</v>
      </c>
      <c r="AP206">
        <f t="shared" si="521"/>
        <v>9600</v>
      </c>
      <c r="AQ206">
        <f t="shared" si="522"/>
        <v>19.513040110751607</v>
      </c>
      <c r="AS206" s="5">
        <f t="shared" si="600"/>
        <v>51.247780680213125</v>
      </c>
      <c r="AT206" s="5">
        <f t="shared" si="523"/>
        <v>23.869699171102987</v>
      </c>
      <c r="AU206" s="5">
        <f t="shared" si="478"/>
        <v>27.378081509110139</v>
      </c>
      <c r="AV206" s="5"/>
      <c r="AW206" s="173">
        <f t="shared" si="479"/>
        <v>0.46577039735730696</v>
      </c>
      <c r="AX206" s="173">
        <f t="shared" si="596"/>
        <v>152.25428658066275</v>
      </c>
      <c r="AY206" s="173">
        <f t="shared" si="597"/>
        <v>9.6326243520388655</v>
      </c>
      <c r="AZ206" s="173">
        <f t="shared" si="601"/>
        <v>15.806106520538842</v>
      </c>
      <c r="BA206" s="460">
        <f t="shared" si="594"/>
        <v>1527.6607469505909</v>
      </c>
      <c r="BB206" s="5">
        <f t="shared" si="595"/>
        <v>60.406271816746553</v>
      </c>
      <c r="BD206" s="173">
        <f t="shared" si="602"/>
        <v>14.209277130318226</v>
      </c>
      <c r="BE206" s="173">
        <f t="shared" si="598"/>
        <v>15.217735026600449</v>
      </c>
      <c r="BG206" s="528">
        <f t="shared" si="480"/>
        <v>4.038071131323691</v>
      </c>
      <c r="BH206" s="528">
        <f t="shared" si="524"/>
        <v>0.44927465531582905</v>
      </c>
      <c r="BI206" s="528">
        <f t="shared" si="525"/>
        <v>8.8439426333638983E-3</v>
      </c>
      <c r="BJ206" s="528">
        <f t="shared" si="481"/>
        <v>2.2625751709292987E-3</v>
      </c>
      <c r="BK206">
        <f t="shared" si="482"/>
        <v>8.1581837836143534E-3</v>
      </c>
      <c r="BL206" s="460">
        <f t="shared" si="588"/>
        <v>17.00212641697825</v>
      </c>
      <c r="BM206" s="528">
        <f t="shared" si="526"/>
        <v>137.59053115663377</v>
      </c>
      <c r="BN206" s="460">
        <f t="shared" si="527"/>
        <v>137590.53115663378</v>
      </c>
      <c r="BO206" s="528">
        <f t="shared" si="483"/>
        <v>6.72</v>
      </c>
      <c r="BR206" s="460">
        <f t="shared" si="484"/>
        <v>6720</v>
      </c>
      <c r="BS206" s="528">
        <f t="shared" si="485"/>
        <v>6.0571066969855369</v>
      </c>
      <c r="BT206" s="528">
        <f t="shared" si="486"/>
        <v>6.9473837801946647</v>
      </c>
      <c r="BU206" s="528">
        <f t="shared" si="487"/>
        <v>0.65674840052795991</v>
      </c>
      <c r="BV206" s="528"/>
      <c r="BW206" s="528">
        <f t="shared" si="488"/>
        <v>2.5375714430110462E-2</v>
      </c>
      <c r="BX206" s="460">
        <f t="shared" si="489"/>
        <v>13686.614592138272</v>
      </c>
      <c r="BY206" s="173">
        <f t="shared" si="490"/>
        <v>24.913225080365699</v>
      </c>
      <c r="BZ206" s="5">
        <f t="shared" si="491"/>
        <v>144</v>
      </c>
      <c r="CA206" s="173">
        <f t="shared" si="492"/>
        <v>0.85250873595887799</v>
      </c>
      <c r="CB206" s="5">
        <f t="shared" si="493"/>
        <v>85.250873595887796</v>
      </c>
      <c r="CE206" s="562">
        <f t="shared" si="528"/>
        <v>-50</v>
      </c>
      <c r="CF206">
        <f t="shared" si="529"/>
        <v>-50</v>
      </c>
      <c r="CG206" s="173">
        <f t="shared" si="530"/>
        <v>0.55127886740502252</v>
      </c>
      <c r="CI206" s="170">
        <v>96</v>
      </c>
      <c r="CJ206" s="217">
        <f t="shared" si="589"/>
        <v>9.6</v>
      </c>
      <c r="CK206" s="217"/>
      <c r="CL206" s="217">
        <f t="shared" si="531"/>
        <v>144</v>
      </c>
      <c r="CM206" s="541">
        <f t="shared" si="532"/>
        <v>19</v>
      </c>
      <c r="CN206" s="443">
        <f t="shared" si="533"/>
        <v>15.4</v>
      </c>
      <c r="CO206" s="443">
        <f t="shared" si="534"/>
        <v>34.4</v>
      </c>
      <c r="CP206" s="443"/>
      <c r="CQ206" s="217">
        <f t="shared" si="535"/>
        <v>0.44767441860465118</v>
      </c>
      <c r="CR206" s="172">
        <f t="shared" si="590"/>
        <v>212.84736191860466</v>
      </c>
      <c r="CS206" s="172">
        <f t="shared" si="536"/>
        <v>144</v>
      </c>
      <c r="CT206" s="217">
        <f t="shared" si="537"/>
        <v>14.189824127906977</v>
      </c>
      <c r="CU206" s="217">
        <f t="shared" si="538"/>
        <v>15</v>
      </c>
      <c r="CV206" s="217"/>
      <c r="CW206" s="172">
        <f t="shared" si="539"/>
        <v>30.723356269299487</v>
      </c>
      <c r="CX206" s="536">
        <f t="shared" si="540"/>
        <v>15</v>
      </c>
      <c r="CY206" s="217">
        <f t="shared" si="541"/>
        <v>33.859193438140807</v>
      </c>
      <c r="CZ206" s="217">
        <f t="shared" si="542"/>
        <v>21.38475375040472</v>
      </c>
      <c r="DA206" s="217">
        <f t="shared" si="543"/>
        <v>26.383787094655172</v>
      </c>
      <c r="DB206" s="197">
        <f t="shared" si="544"/>
        <v>70.881782945736433</v>
      </c>
      <c r="DC206" s="443">
        <f t="shared" si="545"/>
        <v>20.934279806527055</v>
      </c>
      <c r="DE206" s="217">
        <f t="shared" si="546"/>
        <v>10.000000000000002</v>
      </c>
      <c r="DF206" s="173">
        <f t="shared" si="547"/>
        <v>7.792207792207793</v>
      </c>
      <c r="DG206" s="173">
        <f t="shared" si="548"/>
        <v>2.7616279069767451</v>
      </c>
      <c r="DH206" s="173"/>
      <c r="DI206" s="173">
        <f t="shared" si="549"/>
        <v>7.7922077922077913</v>
      </c>
      <c r="DJ206" s="545">
        <f t="shared" si="550"/>
        <v>246.4</v>
      </c>
      <c r="DK206" s="528">
        <f t="shared" si="551"/>
        <v>2.7616279069767442</v>
      </c>
      <c r="DM206" s="173">
        <f t="shared" si="552"/>
        <v>8.390470785361213</v>
      </c>
      <c r="DN206" s="173">
        <f t="shared" si="553"/>
        <v>33.859193438140807</v>
      </c>
      <c r="DO206" s="173">
        <f t="shared" si="554"/>
        <v>18.87347662084504</v>
      </c>
      <c r="DQ206" s="545">
        <f t="shared" si="555"/>
        <v>9600</v>
      </c>
      <c r="DR206" s="460">
        <f t="shared" si="556"/>
        <v>20.934279806527055</v>
      </c>
      <c r="DT206">
        <f t="shared" si="591"/>
        <v>9600</v>
      </c>
      <c r="DU206">
        <f t="shared" si="592"/>
        <v>20.934279806527055</v>
      </c>
      <c r="DW206" s="5">
        <f t="shared" si="557"/>
        <v>47.768540845059889</v>
      </c>
      <c r="DX206" s="5">
        <f t="shared" si="558"/>
        <v>21.38475375040472</v>
      </c>
      <c r="DY206" s="5">
        <f t="shared" si="559"/>
        <v>26.383787094655169</v>
      </c>
      <c r="DZ206" s="5"/>
      <c r="EA206" s="173">
        <f t="shared" si="560"/>
        <v>0.44767441860465118</v>
      </c>
      <c r="EB206" s="173">
        <f t="shared" si="561"/>
        <v>144.00000000000003</v>
      </c>
      <c r="EC206" s="173">
        <f t="shared" si="562"/>
        <v>9.3506493506493502</v>
      </c>
      <c r="ED206" s="173">
        <f t="shared" si="563"/>
        <v>15.400000000000004</v>
      </c>
      <c r="EE206" s="460">
        <f t="shared" si="564"/>
        <v>1368.6242400259018</v>
      </c>
      <c r="EF206" s="5">
        <f t="shared" si="565"/>
        <v>55.54481493611614</v>
      </c>
      <c r="EH206" s="173">
        <f t="shared" si="566"/>
        <v>13.079680042081984</v>
      </c>
      <c r="EI206" s="173">
        <f t="shared" si="567"/>
        <v>14.528258559002913</v>
      </c>
      <c r="EK206" s="528">
        <f t="shared" si="568"/>
        <v>3.4215606000647552</v>
      </c>
      <c r="EL206" s="528">
        <f t="shared" si="569"/>
        <v>0.48766666666666675</v>
      </c>
      <c r="EM206" s="528">
        <f t="shared" si="570"/>
        <v>2.6167849758158821E-3</v>
      </c>
      <c r="EN206" s="528">
        <f t="shared" si="571"/>
        <v>2.4772789351851857E-3</v>
      </c>
      <c r="EO206">
        <f t="shared" si="572"/>
        <v>8.5500000000000003E-3</v>
      </c>
      <c r="EP206" s="460">
        <f t="shared" si="573"/>
        <v>11.166784975815881</v>
      </c>
      <c r="EQ206" s="460"/>
      <c r="ER206" s="460">
        <f t="shared" si="593"/>
        <v>3922.8713306424229</v>
      </c>
      <c r="ES206" s="528">
        <f t="shared" si="574"/>
        <v>6.72</v>
      </c>
      <c r="EV206" s="460">
        <f t="shared" si="494"/>
        <v>6720</v>
      </c>
      <c r="EW206" s="528">
        <f t="shared" si="575"/>
        <v>5.132340900097133</v>
      </c>
      <c r="EX206" s="528">
        <f t="shared" si="576"/>
        <v>6.3321089027172413</v>
      </c>
      <c r="EY206" s="528">
        <f t="shared" si="577"/>
        <v>0.66881589702681232</v>
      </c>
      <c r="EZ206" s="528"/>
      <c r="FA206" s="528">
        <f t="shared" si="578"/>
        <v>2.4000000000000007E-2</v>
      </c>
      <c r="FB206" s="460">
        <f t="shared" si="579"/>
        <v>12157.265699841186</v>
      </c>
      <c r="FC206" s="173">
        <f t="shared" si="580"/>
        <v>22.800137030483612</v>
      </c>
      <c r="FD206" s="5">
        <f t="shared" si="581"/>
        <v>144</v>
      </c>
      <c r="FE206" s="173">
        <f t="shared" si="582"/>
        <v>0.86330864328776447</v>
      </c>
      <c r="FF206" s="5">
        <f t="shared" si="583"/>
        <v>86.330864328776443</v>
      </c>
      <c r="FI206" s="562">
        <f t="shared" si="584"/>
        <v>-50</v>
      </c>
      <c r="FJ206">
        <f t="shared" si="585"/>
        <v>-50</v>
      </c>
      <c r="FL206">
        <f t="shared" si="586"/>
        <v>0.55232558139534882</v>
      </c>
    </row>
    <row r="207" spans="5:168">
      <c r="E207" s="170">
        <v>97</v>
      </c>
      <c r="F207" s="217">
        <f>IF(PLOT_TYPE=1, E207/100*Iout_max, min_I*EXP(N207*rr/100))</f>
        <v>9.6999999999999993</v>
      </c>
      <c r="G207" s="217"/>
      <c r="H207" s="217">
        <f>F207*Vout</f>
        <v>145.5</v>
      </c>
      <c r="I207" s="541">
        <f t="shared" si="496"/>
        <v>18.120244697640107</v>
      </c>
      <c r="J207" s="172">
        <f t="shared" si="497"/>
        <v>15.927853181415937</v>
      </c>
      <c r="K207" s="172">
        <f t="shared" si="498"/>
        <v>34.048097879056044</v>
      </c>
      <c r="L207" s="443"/>
      <c r="M207" s="217">
        <f t="shared" si="499"/>
        <v>0.46778901824712832</v>
      </c>
      <c r="N207" s="172">
        <f>M207*I207*(Isw_max+VIN_min/Lmag*ILIM_delay)*0.5*Efficiency</f>
        <v>212.11260266026073</v>
      </c>
      <c r="O207" s="172">
        <f t="shared" si="599"/>
        <v>145.5</v>
      </c>
      <c r="P207" s="217">
        <f>N207/Vout</f>
        <v>14.140840177350716</v>
      </c>
      <c r="Q207" s="217">
        <f t="shared" si="502"/>
        <v>15</v>
      </c>
      <c r="R207" s="217"/>
      <c r="S207" s="172">
        <f t="shared" si="503"/>
        <v>28.829389839218308</v>
      </c>
      <c r="T207" s="536">
        <f>MIN(Vout, S207)</f>
        <v>15</v>
      </c>
      <c r="U207" s="217">
        <f t="shared" si="505"/>
        <v>36.451709312921047</v>
      </c>
      <c r="V207" s="217">
        <f>L*U207/I207*1000000</f>
        <v>24.139878851195654</v>
      </c>
      <c r="W207" s="217">
        <f t="shared" si="507"/>
        <v>27.462615756994769</v>
      </c>
      <c r="X207" s="197">
        <f t="shared" si="508"/>
        <v>70.639432433825363</v>
      </c>
      <c r="Y207" s="443">
        <f t="shared" si="509"/>
        <v>19.304089649804073</v>
      </c>
      <c r="AA207" s="217">
        <f t="shared" si="510"/>
        <v>10</v>
      </c>
      <c r="AB207" s="173">
        <f>L*AA207/J207*1000000</f>
        <v>7.5339720069752909</v>
      </c>
      <c r="AC207" s="173">
        <f>0.5*AB207*AA207*Nps*X207/1000</f>
        <v>2.6609775327253136</v>
      </c>
      <c r="AD207" s="173"/>
      <c r="AE207" s="173">
        <f t="shared" si="513"/>
        <v>7.5339720069752909</v>
      </c>
      <c r="AF207" s="545">
        <f>MAX(12000,F207/(0.5*AE207/1000000*Isw_min*Nps))/1000</f>
        <v>257.50029309955761</v>
      </c>
      <c r="AG207" s="528">
        <f t="shared" si="515"/>
        <v>2.6609775327253136</v>
      </c>
      <c r="AI207" s="173">
        <f t="shared" si="516"/>
        <v>8.5773837686184553</v>
      </c>
      <c r="AJ207" s="173">
        <f>MAX(IF(F207&gt;AC207,U207,AI207),Isw_min)</f>
        <v>36.451709312921047</v>
      </c>
      <c r="AK207" s="173">
        <f>IF(F207&gt;AG207, (AJ207-Isw_min)/1.08*0.8+1.2, AF207*0.2/350+1)</f>
        <v>20.793858750311884</v>
      </c>
      <c r="AM207" s="545">
        <f t="shared" si="519"/>
        <v>9700</v>
      </c>
      <c r="AN207" s="460">
        <f t="shared" si="520"/>
        <v>19.304089649804073</v>
      </c>
      <c r="AP207">
        <f t="shared" si="521"/>
        <v>9700</v>
      </c>
      <c r="AQ207">
        <f t="shared" si="522"/>
        <v>19.304089649804073</v>
      </c>
      <c r="AS207" s="5">
        <f t="shared" si="600"/>
        <v>51.802494608190422</v>
      </c>
      <c r="AT207" s="5">
        <f t="shared" si="523"/>
        <v>24.139878851195654</v>
      </c>
      <c r="AU207" s="5">
        <f t="shared" si="478"/>
        <v>27.662615756994768</v>
      </c>
      <c r="AV207" s="5"/>
      <c r="AW207" s="173">
        <f t="shared" si="479"/>
        <v>0.46599838547889028</v>
      </c>
      <c r="AX207" s="173">
        <f t="shared" si="596"/>
        <v>153.89920372177735</v>
      </c>
      <c r="AY207" s="173">
        <f t="shared" si="597"/>
        <v>9.7326358125770049</v>
      </c>
      <c r="AZ207" s="173">
        <f t="shared" si="601"/>
        <v>15.812695212832377</v>
      </c>
      <c r="BA207" s="460">
        <f t="shared" si="594"/>
        <v>1561.0454990439855</v>
      </c>
      <c r="BB207" s="5">
        <f t="shared" si="595"/>
        <v>61.700641400507436</v>
      </c>
      <c r="BD207" s="173">
        <f t="shared" si="602"/>
        <v>14.366450371804101</v>
      </c>
      <c r="BE207" s="173">
        <f t="shared" si="598"/>
        <v>15.379016255677346</v>
      </c>
      <c r="BG207" s="528">
        <f t="shared" si="480"/>
        <v>4.1278979257102035</v>
      </c>
      <c r="BH207" s="528">
        <f t="shared" si="524"/>
        <v>0.44922234534712585</v>
      </c>
      <c r="BI207" s="528">
        <f t="shared" si="525"/>
        <v>8.7448707029907872E-3</v>
      </c>
      <c r="BJ207" s="528">
        <f t="shared" si="481"/>
        <v>2.237870932567965E-3</v>
      </c>
      <c r="BK207">
        <f t="shared" si="482"/>
        <v>8.1541101139380474E-3</v>
      </c>
      <c r="BL207" s="460">
        <f t="shared" si="588"/>
        <v>16.898980816928834</v>
      </c>
      <c r="BM207" s="528">
        <f t="shared" si="526"/>
        <v>296.3800096752941</v>
      </c>
      <c r="BN207" s="460">
        <f t="shared" si="527"/>
        <v>296380.0096752941</v>
      </c>
      <c r="BO207" s="528">
        <f t="shared" si="483"/>
        <v>6.7899999999999991</v>
      </c>
      <c r="BR207" s="460">
        <f t="shared" si="484"/>
        <v>6789.9999999999991</v>
      </c>
      <c r="BS207" s="528">
        <f t="shared" si="485"/>
        <v>6.1918468885653057</v>
      </c>
      <c r="BT207" s="528">
        <f t="shared" si="486"/>
        <v>7.0954242297716421</v>
      </c>
      <c r="BU207" s="528">
        <f t="shared" si="487"/>
        <v>0.65673182808034936</v>
      </c>
      <c r="BV207" s="528"/>
      <c r="BW207" s="528">
        <f t="shared" si="488"/>
        <v>2.5649867286962894E-2</v>
      </c>
      <c r="BX207" s="460">
        <f t="shared" si="489"/>
        <v>13969.652813704261</v>
      </c>
      <c r="BY207" s="173">
        <f t="shared" si="490"/>
        <v>25.355909936511082</v>
      </c>
      <c r="BZ207" s="5">
        <f t="shared" si="491"/>
        <v>145.5</v>
      </c>
      <c r="CA207" s="173">
        <f t="shared" si="492"/>
        <v>0.85159477394763128</v>
      </c>
      <c r="CB207" s="5">
        <f t="shared" si="493"/>
        <v>85.15947739476313</v>
      </c>
      <c r="CE207" s="562">
        <f t="shared" si="528"/>
        <v>-50</v>
      </c>
      <c r="CF207">
        <f t="shared" si="529"/>
        <v>-50</v>
      </c>
      <c r="CG207" s="173">
        <f t="shared" si="530"/>
        <v>0.55128965827090226</v>
      </c>
      <c r="CI207" s="170">
        <v>97</v>
      </c>
      <c r="CJ207" s="217">
        <f t="shared" si="589"/>
        <v>9.6999999999999993</v>
      </c>
      <c r="CK207" s="217"/>
      <c r="CL207" s="217">
        <f t="shared" si="531"/>
        <v>145.5</v>
      </c>
      <c r="CM207" s="541">
        <f t="shared" si="532"/>
        <v>19</v>
      </c>
      <c r="CN207" s="443">
        <f t="shared" si="533"/>
        <v>15.4</v>
      </c>
      <c r="CO207" s="443">
        <f t="shared" si="534"/>
        <v>34.4</v>
      </c>
      <c r="CP207" s="443"/>
      <c r="CQ207" s="217">
        <f t="shared" si="535"/>
        <v>0.44767441860465118</v>
      </c>
      <c r="CR207" s="172">
        <f t="shared" si="590"/>
        <v>212.84736191860466</v>
      </c>
      <c r="CS207" s="172">
        <f t="shared" si="536"/>
        <v>145.5</v>
      </c>
      <c r="CT207" s="217">
        <f t="shared" si="537"/>
        <v>14.189824127906977</v>
      </c>
      <c r="CU207" s="217">
        <f t="shared" si="538"/>
        <v>15</v>
      </c>
      <c r="CV207" s="217"/>
      <c r="CW207" s="172">
        <f t="shared" si="539"/>
        <v>30.217297858642542</v>
      </c>
      <c r="CX207" s="536">
        <f t="shared" si="540"/>
        <v>15</v>
      </c>
      <c r="CY207" s="217">
        <f t="shared" si="541"/>
        <v>34.211893369788108</v>
      </c>
      <c r="CZ207" s="217">
        <f t="shared" si="542"/>
        <v>21.607511601971439</v>
      </c>
      <c r="DA207" s="217">
        <f t="shared" si="543"/>
        <v>26.6586182102245</v>
      </c>
      <c r="DB207" s="197">
        <f t="shared" si="544"/>
        <v>70.881782945736433</v>
      </c>
      <c r="DC207" s="443">
        <f t="shared" si="545"/>
        <v>20.718462488933987</v>
      </c>
      <c r="DE207" s="217">
        <f t="shared" si="546"/>
        <v>10.000000000000002</v>
      </c>
      <c r="DF207" s="173">
        <f t="shared" si="547"/>
        <v>7.792207792207793</v>
      </c>
      <c r="DG207" s="173">
        <f t="shared" si="548"/>
        <v>2.7616279069767451</v>
      </c>
      <c r="DH207" s="173"/>
      <c r="DI207" s="173">
        <f t="shared" si="549"/>
        <v>7.7922077922077913</v>
      </c>
      <c r="DJ207" s="545">
        <f t="shared" si="550"/>
        <v>248.96666666666667</v>
      </c>
      <c r="DK207" s="528">
        <f t="shared" si="551"/>
        <v>2.7616279069767442</v>
      </c>
      <c r="DM207" s="173">
        <f t="shared" si="552"/>
        <v>8.4340579398847701</v>
      </c>
      <c r="DN207" s="173">
        <f t="shared" si="553"/>
        <v>34.211893369788108</v>
      </c>
      <c r="DO207" s="173">
        <f t="shared" si="554"/>
        <v>19.134735829472671</v>
      </c>
      <c r="DQ207" s="545">
        <f t="shared" si="555"/>
        <v>9700</v>
      </c>
      <c r="DR207" s="460">
        <f t="shared" si="556"/>
        <v>20.718462488933987</v>
      </c>
      <c r="DT207">
        <f t="shared" si="591"/>
        <v>9700</v>
      </c>
      <c r="DU207">
        <f t="shared" si="592"/>
        <v>20.718462488933987</v>
      </c>
      <c r="DW207" s="5">
        <f t="shared" si="557"/>
        <v>48.266129812195942</v>
      </c>
      <c r="DX207" s="5">
        <f t="shared" si="558"/>
        <v>21.607511601971439</v>
      </c>
      <c r="DY207" s="5">
        <f t="shared" si="559"/>
        <v>26.658618210224503</v>
      </c>
      <c r="DZ207" s="5"/>
      <c r="EA207" s="173">
        <f t="shared" si="560"/>
        <v>0.44767441860465113</v>
      </c>
      <c r="EB207" s="173">
        <f t="shared" si="561"/>
        <v>145.50000000000003</v>
      </c>
      <c r="EC207" s="173">
        <f t="shared" si="562"/>
        <v>9.4480519480519494</v>
      </c>
      <c r="ED207" s="173">
        <f t="shared" si="563"/>
        <v>15.4</v>
      </c>
      <c r="EE207" s="460">
        <f t="shared" si="564"/>
        <v>1397.2857502608197</v>
      </c>
      <c r="EF207" s="5">
        <f t="shared" si="565"/>
        <v>56.708025578767035</v>
      </c>
      <c r="EH207" s="173">
        <f t="shared" si="566"/>
        <v>13.215926709187004</v>
      </c>
      <c r="EI207" s="173">
        <f t="shared" si="567"/>
        <v>14.679594585659194</v>
      </c>
      <c r="EK207" s="528">
        <f t="shared" si="568"/>
        <v>3.4932143756520486</v>
      </c>
      <c r="EL207" s="528">
        <f t="shared" si="569"/>
        <v>0.48766666666666664</v>
      </c>
      <c r="EM207" s="528">
        <f t="shared" si="570"/>
        <v>2.5898078111167484E-3</v>
      </c>
      <c r="EN207" s="528">
        <f t="shared" si="571"/>
        <v>2.4517399770904924E-3</v>
      </c>
      <c r="EO207">
        <f t="shared" si="572"/>
        <v>8.5500000000000003E-3</v>
      </c>
      <c r="EP207" s="460">
        <f t="shared" si="573"/>
        <v>11.139807811116748</v>
      </c>
      <c r="EQ207" s="460"/>
      <c r="ER207" s="460">
        <f t="shared" si="593"/>
        <v>3994.4725901069223</v>
      </c>
      <c r="ES207" s="528">
        <f t="shared" si="574"/>
        <v>6.7899999999999991</v>
      </c>
      <c r="EV207" s="460">
        <f t="shared" si="494"/>
        <v>6789.9999999999991</v>
      </c>
      <c r="EW207" s="528">
        <f t="shared" si="575"/>
        <v>5.2398215634780732</v>
      </c>
      <c r="EX207" s="528">
        <f t="shared" si="576"/>
        <v>6.4647149159794415</v>
      </c>
      <c r="EY207" s="528">
        <f t="shared" si="577"/>
        <v>0.66881589702681166</v>
      </c>
      <c r="EZ207" s="528"/>
      <c r="FA207" s="528">
        <f t="shared" si="578"/>
        <v>2.4250000000000004E-2</v>
      </c>
      <c r="FB207" s="460">
        <f t="shared" si="579"/>
        <v>12397.602376484327</v>
      </c>
      <c r="FC207" s="173">
        <f t="shared" si="580"/>
        <v>23.182074966591248</v>
      </c>
      <c r="FD207" s="5">
        <f t="shared" si="581"/>
        <v>145.5</v>
      </c>
      <c r="FE207" s="173">
        <f t="shared" si="582"/>
        <v>0.86256942255907965</v>
      </c>
      <c r="FF207" s="5">
        <f t="shared" si="583"/>
        <v>86.256942255907958</v>
      </c>
      <c r="FI207" s="562">
        <f t="shared" si="584"/>
        <v>-50</v>
      </c>
      <c r="FJ207">
        <f t="shared" si="585"/>
        <v>-50</v>
      </c>
      <c r="FL207">
        <f t="shared" si="586"/>
        <v>0.55232558139534893</v>
      </c>
    </row>
    <row r="208" spans="5:168">
      <c r="E208" s="170">
        <v>98</v>
      </c>
      <c r="F208" s="217">
        <f>IF(PLOT_TYPE=1, E208/100*Iout_max, min_I*EXP(N208*rr/100))</f>
        <v>9.8000000000000007</v>
      </c>
      <c r="G208" s="217"/>
      <c r="H208" s="217">
        <f>F208*Vout</f>
        <v>147</v>
      </c>
      <c r="I208" s="541">
        <f t="shared" si="496"/>
        <v>18.11119209769905</v>
      </c>
      <c r="J208" s="172">
        <f t="shared" si="497"/>
        <v>15.93328474138057</v>
      </c>
      <c r="K208" s="172">
        <f t="shared" si="498"/>
        <v>34.044476839079621</v>
      </c>
      <c r="L208" s="443"/>
      <c r="M208" s="217">
        <f t="shared" si="499"/>
        <v>0.46799832268288405</v>
      </c>
      <c r="N208" s="172">
        <f>M208*I208*(Isw_max+VIN_min/Lmag*ILIM_delay)*0.5*Efficiency</f>
        <v>212.10149326644986</v>
      </c>
      <c r="O208" s="172">
        <f t="shared" si="599"/>
        <v>147</v>
      </c>
      <c r="P208" s="217">
        <f>N208/Vout</f>
        <v>14.140099551096657</v>
      </c>
      <c r="Q208" s="217">
        <f t="shared" si="502"/>
        <v>15</v>
      </c>
      <c r="R208" s="217"/>
      <c r="S208" s="172">
        <f t="shared" si="503"/>
        <v>28.342872844837618</v>
      </c>
      <c r="T208" s="536">
        <f>MIN(Vout, S208)</f>
        <v>15</v>
      </c>
      <c r="U208" s="217">
        <f t="shared" si="505"/>
        <v>36.841989105829114</v>
      </c>
      <c r="V208" s="217">
        <f>L*U208/I208*1000000</f>
        <v>24.410533933109615</v>
      </c>
      <c r="W208" s="217">
        <f t="shared" si="507"/>
        <v>27.747189386614984</v>
      </c>
      <c r="X208" s="197">
        <f t="shared" si="508"/>
        <v>70.635730934782771</v>
      </c>
      <c r="Y208" s="443">
        <f t="shared" si="509"/>
        <v>19.099378975924118</v>
      </c>
      <c r="AA208" s="217">
        <f t="shared" si="510"/>
        <v>10</v>
      </c>
      <c r="AB208" s="173">
        <f>L*AA208/J208*1000000</f>
        <v>7.5314037216912482</v>
      </c>
      <c r="AC208" s="173">
        <f>0.5*AB208*AA208*Nps*X208/1000</f>
        <v>2.6599310342330229</v>
      </c>
      <c r="AD208" s="173"/>
      <c r="AE208" s="173">
        <f t="shared" si="513"/>
        <v>7.5314037216912482</v>
      </c>
      <c r="AF208" s="545">
        <f>MAX(12000,F208/(0.5*AE208/1000000*Isw_min*Nps))/1000</f>
        <v>260.24365077588266</v>
      </c>
      <c r="AG208" s="528">
        <f t="shared" si="515"/>
        <v>2.6599310342330229</v>
      </c>
      <c r="AI208" s="173">
        <f t="shared" si="516"/>
        <v>8.6229536003105878</v>
      </c>
      <c r="AJ208" s="173">
        <f>MAX(IF(F208&gt;AC208,U208,AI208),Isw_min)</f>
        <v>36.841989105829114</v>
      </c>
      <c r="AK208" s="173">
        <f>IF(F208&gt;AG208, (AJ208-Isw_min)/1.08*0.8+1.2, AF208*0.2/350+1)</f>
        <v>21.08295489320675</v>
      </c>
      <c r="AM208" s="545">
        <f t="shared" si="519"/>
        <v>9800</v>
      </c>
      <c r="AN208" s="460">
        <f t="shared" si="520"/>
        <v>19.099378975924118</v>
      </c>
      <c r="AP208">
        <f t="shared" si="521"/>
        <v>9800</v>
      </c>
      <c r="AQ208">
        <f t="shared" si="522"/>
        <v>19.099378975924118</v>
      </c>
      <c r="AS208" s="5">
        <f t="shared" si="600"/>
        <v>52.357723319724606</v>
      </c>
      <c r="AT208" s="5">
        <f t="shared" si="523"/>
        <v>24.410533933109615</v>
      </c>
      <c r="AU208" s="5">
        <f t="shared" si="478"/>
        <v>27.947189386614991</v>
      </c>
      <c r="AV208" s="5"/>
      <c r="AW208" s="173">
        <f t="shared" si="479"/>
        <v>0.46622603859311601</v>
      </c>
      <c r="AX208" s="173">
        <f t="shared" si="596"/>
        <v>155.54520806629725</v>
      </c>
      <c r="AY208" s="173">
        <f t="shared" si="597"/>
        <v>9.8326472355638348</v>
      </c>
      <c r="AZ208" s="173">
        <f t="shared" si="601"/>
        <v>15.819260504302816</v>
      </c>
      <c r="BA208" s="460">
        <f t="shared" si="594"/>
        <v>1594.8215502964952</v>
      </c>
      <c r="BB208" s="5">
        <f t="shared" si="595"/>
        <v>63.009485725593244</v>
      </c>
      <c r="BD208" s="173">
        <f t="shared" si="602"/>
        <v>14.523814886888639</v>
      </c>
      <c r="BE208" s="173">
        <f t="shared" si="598"/>
        <v>15.540362122209453</v>
      </c>
      <c r="BG208" s="528">
        <f t="shared" si="480"/>
        <v>4.2188239773721605</v>
      </c>
      <c r="BH208" s="528">
        <f t="shared" si="524"/>
        <v>0.44916949399702011</v>
      </c>
      <c r="BI208" s="528">
        <f t="shared" si="525"/>
        <v>8.6478130394929062E-3</v>
      </c>
      <c r="BJ208" s="528">
        <f t="shared" si="481"/>
        <v>2.213668451870961E-3</v>
      </c>
      <c r="BK208">
        <f t="shared" si="482"/>
        <v>8.1500364439645728E-3</v>
      </c>
      <c r="BL208" s="460">
        <f t="shared" si="588"/>
        <v>16.79784948345748</v>
      </c>
      <c r="BM208" s="528">
        <f t="shared" si="526"/>
        <v>-2428.0470623717665</v>
      </c>
      <c r="BN208" s="460">
        <f t="shared" si="527"/>
        <v>-2428047.0623717667</v>
      </c>
      <c r="BO208" s="528">
        <f t="shared" si="483"/>
        <v>6.86</v>
      </c>
      <c r="BR208" s="460">
        <f t="shared" si="484"/>
        <v>6860</v>
      </c>
      <c r="BS208" s="528">
        <f t="shared" si="485"/>
        <v>6.3282359660582408</v>
      </c>
      <c r="BT208" s="528">
        <f t="shared" si="486"/>
        <v>7.2450856466820683</v>
      </c>
      <c r="BU208" s="528">
        <f t="shared" si="487"/>
        <v>0.65671327353751585</v>
      </c>
      <c r="BV208" s="528"/>
      <c r="BW208" s="528">
        <f t="shared" si="488"/>
        <v>2.5924201344382874E-2</v>
      </c>
      <c r="BX208" s="460">
        <f t="shared" si="489"/>
        <v>14255.959087622206</v>
      </c>
      <c r="BY208" s="173">
        <f t="shared" si="490"/>
        <v>25.802964076926717</v>
      </c>
      <c r="BZ208" s="5">
        <f t="shared" si="491"/>
        <v>147</v>
      </c>
      <c r="CA208" s="173">
        <f t="shared" si="492"/>
        <v>0.85067985254327005</v>
      </c>
      <c r="CB208" s="5">
        <f t="shared" si="493"/>
        <v>85.067985254326999</v>
      </c>
      <c r="CE208" s="562">
        <f t="shared" si="528"/>
        <v>-50</v>
      </c>
      <c r="CF208">
        <f t="shared" si="529"/>
        <v>-50</v>
      </c>
      <c r="CG208" s="173">
        <f t="shared" si="530"/>
        <v>0.55130022891502906</v>
      </c>
      <c r="CI208" s="170">
        <v>98</v>
      </c>
      <c r="CJ208" s="217">
        <f t="shared" si="589"/>
        <v>9.8000000000000007</v>
      </c>
      <c r="CK208" s="217"/>
      <c r="CL208" s="217">
        <f t="shared" si="531"/>
        <v>147</v>
      </c>
      <c r="CM208" s="541">
        <f t="shared" si="532"/>
        <v>19</v>
      </c>
      <c r="CN208" s="443">
        <f t="shared" si="533"/>
        <v>15.4</v>
      </c>
      <c r="CO208" s="443">
        <f t="shared" si="534"/>
        <v>34.4</v>
      </c>
      <c r="CP208" s="443"/>
      <c r="CQ208" s="217">
        <f t="shared" si="535"/>
        <v>0.44767441860465118</v>
      </c>
      <c r="CR208" s="172">
        <f t="shared" si="590"/>
        <v>212.84736191860466</v>
      </c>
      <c r="CS208" s="172">
        <f t="shared" si="536"/>
        <v>147</v>
      </c>
      <c r="CT208" s="217">
        <f t="shared" si="537"/>
        <v>14.189824127906977</v>
      </c>
      <c r="CU208" s="217">
        <f t="shared" si="538"/>
        <v>15</v>
      </c>
      <c r="CV208" s="217"/>
      <c r="CW208" s="172">
        <f t="shared" si="539"/>
        <v>29.721697572031374</v>
      </c>
      <c r="CX208" s="536">
        <f t="shared" si="540"/>
        <v>15</v>
      </c>
      <c r="CY208" s="217">
        <f t="shared" si="541"/>
        <v>34.564593301435401</v>
      </c>
      <c r="CZ208" s="217">
        <f t="shared" si="542"/>
        <v>21.830269453538151</v>
      </c>
      <c r="DA208" s="217">
        <f t="shared" si="543"/>
        <v>26.933449325793816</v>
      </c>
      <c r="DB208" s="197">
        <f t="shared" si="544"/>
        <v>70.881782945736433</v>
      </c>
      <c r="DC208" s="443">
        <f t="shared" si="545"/>
        <v>20.507049606393853</v>
      </c>
      <c r="DE208" s="217">
        <f t="shared" si="546"/>
        <v>10.000000000000002</v>
      </c>
      <c r="DF208" s="173">
        <f t="shared" si="547"/>
        <v>7.792207792207793</v>
      </c>
      <c r="DG208" s="173">
        <f t="shared" si="548"/>
        <v>2.7616279069767451</v>
      </c>
      <c r="DH208" s="173"/>
      <c r="DI208" s="173">
        <f t="shared" si="549"/>
        <v>7.7922077922077913</v>
      </c>
      <c r="DJ208" s="545">
        <f t="shared" si="550"/>
        <v>251.53333333333336</v>
      </c>
      <c r="DK208" s="528">
        <f t="shared" si="551"/>
        <v>2.7616279069767442</v>
      </c>
      <c r="DM208" s="173">
        <f t="shared" si="552"/>
        <v>8.477420991472977</v>
      </c>
      <c r="DN208" s="173">
        <f t="shared" si="553"/>
        <v>34.564593301435401</v>
      </c>
      <c r="DO208" s="173">
        <f t="shared" si="554"/>
        <v>19.395995038100295</v>
      </c>
      <c r="DQ208" s="545">
        <f t="shared" si="555"/>
        <v>9800</v>
      </c>
      <c r="DR208" s="460">
        <f t="shared" si="556"/>
        <v>20.507049606393853</v>
      </c>
      <c r="DT208">
        <f t="shared" si="591"/>
        <v>9800</v>
      </c>
      <c r="DU208">
        <f t="shared" si="592"/>
        <v>20.507049606393853</v>
      </c>
      <c r="DW208" s="5">
        <f t="shared" si="557"/>
        <v>48.76371877933196</v>
      </c>
      <c r="DX208" s="5">
        <f t="shared" si="558"/>
        <v>21.830269453538151</v>
      </c>
      <c r="DY208" s="5">
        <f t="shared" si="559"/>
        <v>26.933449325793809</v>
      </c>
      <c r="DZ208" s="5"/>
      <c r="EA208" s="173">
        <f t="shared" si="560"/>
        <v>0.44767441860465129</v>
      </c>
      <c r="EB208" s="173">
        <f t="shared" si="561"/>
        <v>147.00000000000003</v>
      </c>
      <c r="EC208" s="173">
        <f t="shared" si="562"/>
        <v>9.5454545454545414</v>
      </c>
      <c r="ED208" s="173">
        <f t="shared" si="563"/>
        <v>15.400000000000009</v>
      </c>
      <c r="EE208" s="460">
        <f t="shared" si="564"/>
        <v>1426.2442709644927</v>
      </c>
      <c r="EF208" s="5">
        <f t="shared" si="565"/>
        <v>57.883290217714759</v>
      </c>
      <c r="EH208" s="173">
        <f t="shared" si="566"/>
        <v>13.352173376292026</v>
      </c>
      <c r="EI208" s="173">
        <f t="shared" si="567"/>
        <v>14.83093061231547</v>
      </c>
      <c r="EK208" s="528">
        <f t="shared" si="568"/>
        <v>3.5656106774112319</v>
      </c>
      <c r="EL208" s="528">
        <f t="shared" si="569"/>
        <v>0.48766666666666675</v>
      </c>
      <c r="EM208" s="528">
        <f t="shared" si="570"/>
        <v>2.5633812007992314E-3</v>
      </c>
      <c r="EN208" s="528">
        <f t="shared" si="571"/>
        <v>2.4267222222222229E-3</v>
      </c>
      <c r="EO208">
        <f t="shared" si="572"/>
        <v>8.5500000000000003E-3</v>
      </c>
      <c r="EP208" s="460">
        <f t="shared" si="573"/>
        <v>11.113381200799232</v>
      </c>
      <c r="EQ208" s="460"/>
      <c r="ER208" s="460">
        <f t="shared" si="593"/>
        <v>4066.81744750092</v>
      </c>
      <c r="ES208" s="528">
        <f t="shared" si="574"/>
        <v>6.86</v>
      </c>
      <c r="EV208" s="460">
        <f t="shared" si="494"/>
        <v>6860</v>
      </c>
      <c r="EW208" s="528">
        <f t="shared" si="575"/>
        <v>5.3484160161168477</v>
      </c>
      <c r="EX208" s="528">
        <f t="shared" si="576"/>
        <v>6.5986950848194832</v>
      </c>
      <c r="EY208" s="528">
        <f t="shared" si="577"/>
        <v>0.66881589702681221</v>
      </c>
      <c r="EZ208" s="528"/>
      <c r="FA208" s="528">
        <f t="shared" si="578"/>
        <v>2.4500000000000001E-2</v>
      </c>
      <c r="FB208" s="460">
        <f t="shared" si="579"/>
        <v>12640.426997963143</v>
      </c>
      <c r="FC208" s="173">
        <f t="shared" si="580"/>
        <v>23.567244445464059</v>
      </c>
      <c r="FD208" s="5">
        <f t="shared" si="581"/>
        <v>147</v>
      </c>
      <c r="FE208" s="173">
        <f t="shared" si="582"/>
        <v>0.8618301859651647</v>
      </c>
      <c r="FF208" s="5">
        <f t="shared" si="583"/>
        <v>86.183018596516476</v>
      </c>
      <c r="FI208" s="562">
        <f t="shared" si="584"/>
        <v>-50</v>
      </c>
      <c r="FJ208">
        <f t="shared" si="585"/>
        <v>-50</v>
      </c>
      <c r="FL208">
        <f t="shared" si="586"/>
        <v>0.55232558139534871</v>
      </c>
    </row>
    <row r="209" spans="5:168">
      <c r="E209" s="170">
        <v>99</v>
      </c>
      <c r="F209" s="217">
        <f>IF(PLOT_TYPE=1, E209/100*Iout_max, min_I*EXP(N209*rr/100))</f>
        <v>9.9</v>
      </c>
      <c r="G209" s="217"/>
      <c r="H209" s="217">
        <f>F209*Vout</f>
        <v>148.5</v>
      </c>
      <c r="I209" s="541">
        <f t="shared" si="496"/>
        <v>18.102139497117669</v>
      </c>
      <c r="J209" s="172">
        <f t="shared" si="497"/>
        <v>15.938716301729398</v>
      </c>
      <c r="K209" s="172">
        <f t="shared" si="498"/>
        <v>34.040855798847069</v>
      </c>
      <c r="L209" s="443"/>
      <c r="M209" s="217">
        <f t="shared" si="499"/>
        <v>0.46820767165733801</v>
      </c>
      <c r="N209" s="172">
        <f>M209*I209*(Isw_max+VIN_min/Lmag*ILIM_delay)*0.5*Efficiency</f>
        <v>212.09030921296159</v>
      </c>
      <c r="O209" s="172">
        <f t="shared" si="599"/>
        <v>148.5</v>
      </c>
      <c r="P209" s="217">
        <f>N209/Vout</f>
        <v>14.139353947530772</v>
      </c>
      <c r="Q209" s="217">
        <f t="shared" si="502"/>
        <v>15</v>
      </c>
      <c r="R209" s="217"/>
      <c r="S209" s="172">
        <f t="shared" si="503"/>
        <v>27.866497861605737</v>
      </c>
      <c r="T209" s="536">
        <f>MIN(Vout, S209)</f>
        <v>15</v>
      </c>
      <c r="U209" s="217">
        <f t="shared" si="505"/>
        <v>37.232579232022715</v>
      </c>
      <c r="V209" s="217">
        <f>L*U209/I209*1000000</f>
        <v>24.681665438243545</v>
      </c>
      <c r="W209" s="217">
        <f t="shared" si="507"/>
        <v>28.031802707712064</v>
      </c>
      <c r="X209" s="197">
        <f t="shared" si="508"/>
        <v>70.63200457410872</v>
      </c>
      <c r="Y209" s="443">
        <f t="shared" si="509"/>
        <v>18.89878012232381</v>
      </c>
      <c r="AA209" s="217">
        <f t="shared" si="510"/>
        <v>10</v>
      </c>
      <c r="AB209" s="173">
        <f>L*AA209/J209*1000000</f>
        <v>7.528837186654715</v>
      </c>
      <c r="AC209" s="173">
        <f>0.5*AB209*AA209*Nps*X209/1000</f>
        <v>2.6588843130275781</v>
      </c>
      <c r="AD209" s="173"/>
      <c r="AE209" s="173">
        <f t="shared" si="513"/>
        <v>7.528837186654715</v>
      </c>
      <c r="AF209" s="545">
        <f>MAX(12000,F209/(0.5*AE209/1000000*Isw_min*Nps))/1000</f>
        <v>262.98881897853505</v>
      </c>
      <c r="AG209" s="528">
        <f t="shared" si="515"/>
        <v>2.6588843130275781</v>
      </c>
      <c r="AI209" s="173">
        <f t="shared" si="516"/>
        <v>8.6683137094417475</v>
      </c>
      <c r="AJ209" s="173">
        <f>MAX(IF(F209&gt;AC209,U209,AI209),Isw_min)</f>
        <v>37.232579232022715</v>
      </c>
      <c r="AK209" s="173">
        <f>IF(F209&gt;AG209, (AJ209-Isw_min)/1.08*0.8+1.2, AF209*0.2/350+1)</f>
        <v>21.372280912609419</v>
      </c>
      <c r="AM209" s="545">
        <f t="shared" si="519"/>
        <v>9900</v>
      </c>
      <c r="AN209" s="460">
        <f t="shared" si="520"/>
        <v>18.89878012232381</v>
      </c>
      <c r="AP209">
        <f t="shared" si="521"/>
        <v>9900</v>
      </c>
      <c r="AQ209">
        <f t="shared" si="522"/>
        <v>18.89878012232381</v>
      </c>
      <c r="AS209" s="5">
        <f t="shared" si="600"/>
        <v>52.913468145955605</v>
      </c>
      <c r="AT209" s="5">
        <f t="shared" si="523"/>
        <v>24.681665438243545</v>
      </c>
      <c r="AU209" s="5">
        <f t="shared" si="478"/>
        <v>28.23180270771206</v>
      </c>
      <c r="AV209" s="5"/>
      <c r="AW209" s="173">
        <f t="shared" si="479"/>
        <v>0.46645336817012373</v>
      </c>
      <c r="AX209" s="173">
        <f t="shared" si="596"/>
        <v>157.19229959884686</v>
      </c>
      <c r="AY209" s="173">
        <f t="shared" si="597"/>
        <v>9.9326586217923598</v>
      </c>
      <c r="AZ209" s="173">
        <f t="shared" si="601"/>
        <v>15.825803099078152</v>
      </c>
      <c r="BA209" s="460">
        <f t="shared" si="594"/>
        <v>1628.9899189240739</v>
      </c>
      <c r="BB209" s="5">
        <f t="shared" si="595"/>
        <v>64.332829933088902</v>
      </c>
      <c r="BD209" s="173">
        <f t="shared" si="602"/>
        <v>14.681370939933981</v>
      </c>
      <c r="BE209" s="173">
        <f t="shared" si="598"/>
        <v>15.70177270502745</v>
      </c>
      <c r="BG209" s="528">
        <f t="shared" si="480"/>
        <v>4.3108530535187599</v>
      </c>
      <c r="BH209" s="528">
        <f t="shared" si="524"/>
        <v>0.44911611296687476</v>
      </c>
      <c r="BI209" s="528">
        <f t="shared" si="525"/>
        <v>8.5527088524915019E-3</v>
      </c>
      <c r="BJ209" s="528">
        <f t="shared" si="481"/>
        <v>2.1899525850801187E-3</v>
      </c>
      <c r="BK209">
        <f t="shared" si="482"/>
        <v>8.1459627737029503E-3</v>
      </c>
      <c r="BL209" s="460">
        <f t="shared" si="588"/>
        <v>16.698671626194454</v>
      </c>
      <c r="BM209" s="528">
        <f t="shared" si="526"/>
        <v>-244.28732709355458</v>
      </c>
      <c r="BN209" s="460">
        <f t="shared" si="527"/>
        <v>-244287.32709355457</v>
      </c>
      <c r="BO209" s="528">
        <f t="shared" si="483"/>
        <v>6.93</v>
      </c>
      <c r="BR209" s="460">
        <f t="shared" si="484"/>
        <v>6930</v>
      </c>
      <c r="BS209" s="528">
        <f t="shared" si="485"/>
        <v>6.4662795802781385</v>
      </c>
      <c r="BT209" s="528">
        <f t="shared" si="486"/>
        <v>7.3963699824103504</v>
      </c>
      <c r="BU209" s="528">
        <f t="shared" si="487"/>
        <v>0.65669277914131186</v>
      </c>
      <c r="BV209" s="528"/>
      <c r="BW209" s="528">
        <f t="shared" si="488"/>
        <v>2.6198716599807811E-2</v>
      </c>
      <c r="BX209" s="460">
        <f t="shared" si="489"/>
        <v>14545.541058429608</v>
      </c>
      <c r="BY209" s="173">
        <f t="shared" si="490"/>
        <v>26.25439884912652</v>
      </c>
      <c r="BZ209" s="5">
        <f t="shared" si="491"/>
        <v>148.5</v>
      </c>
      <c r="CA209" s="173">
        <f t="shared" si="492"/>
        <v>0.84976401726062911</v>
      </c>
      <c r="CB209" s="5">
        <f t="shared" si="493"/>
        <v>84.976401726062917</v>
      </c>
      <c r="CE209" s="562">
        <f t="shared" si="528"/>
        <v>-50</v>
      </c>
      <c r="CF209">
        <f t="shared" si="529"/>
        <v>-50</v>
      </c>
      <c r="CG209" s="173">
        <f t="shared" si="530"/>
        <v>0.55131058601078997</v>
      </c>
      <c r="CI209" s="170">
        <v>99</v>
      </c>
      <c r="CJ209" s="217">
        <f t="shared" si="589"/>
        <v>9.9</v>
      </c>
      <c r="CK209" s="217"/>
      <c r="CL209" s="217">
        <f t="shared" si="531"/>
        <v>148.5</v>
      </c>
      <c r="CM209" s="541">
        <f t="shared" si="532"/>
        <v>19</v>
      </c>
      <c r="CN209" s="443">
        <f t="shared" si="533"/>
        <v>15.4</v>
      </c>
      <c r="CO209" s="443">
        <f t="shared" si="534"/>
        <v>34.4</v>
      </c>
      <c r="CP209" s="443"/>
      <c r="CQ209" s="217">
        <f t="shared" si="535"/>
        <v>0.44767441860465118</v>
      </c>
      <c r="CR209" s="172">
        <f t="shared" si="590"/>
        <v>212.84736191860466</v>
      </c>
      <c r="CS209" s="172">
        <f t="shared" si="536"/>
        <v>148.5</v>
      </c>
      <c r="CT209" s="217">
        <f t="shared" si="537"/>
        <v>14.189824127906977</v>
      </c>
      <c r="CU209" s="217">
        <f t="shared" si="538"/>
        <v>15</v>
      </c>
      <c r="CV209" s="217"/>
      <c r="CW209" s="172">
        <f t="shared" si="539"/>
        <v>29.236240760828601</v>
      </c>
      <c r="CX209" s="536">
        <f t="shared" si="540"/>
        <v>15</v>
      </c>
      <c r="CY209" s="217">
        <f t="shared" si="541"/>
        <v>34.917293233082702</v>
      </c>
      <c r="CZ209" s="217">
        <f t="shared" si="542"/>
        <v>22.053027305104866</v>
      </c>
      <c r="DA209" s="217">
        <f t="shared" si="543"/>
        <v>27.208280441363147</v>
      </c>
      <c r="DB209" s="197">
        <f t="shared" si="544"/>
        <v>70.881782945736433</v>
      </c>
      <c r="DC209" s="443">
        <f t="shared" si="545"/>
        <v>20.299907691177751</v>
      </c>
      <c r="DE209" s="217">
        <f t="shared" si="546"/>
        <v>10.000000000000002</v>
      </c>
      <c r="DF209" s="173">
        <f t="shared" si="547"/>
        <v>7.792207792207793</v>
      </c>
      <c r="DG209" s="173">
        <f t="shared" si="548"/>
        <v>2.7616279069767451</v>
      </c>
      <c r="DH209" s="173"/>
      <c r="DI209" s="173">
        <f t="shared" si="549"/>
        <v>7.7922077922077913</v>
      </c>
      <c r="DJ209" s="545">
        <f t="shared" si="550"/>
        <v>254.10000000000002</v>
      </c>
      <c r="DK209" s="528">
        <f t="shared" si="551"/>
        <v>2.7616279069767442</v>
      </c>
      <c r="DM209" s="173">
        <f t="shared" si="552"/>
        <v>8.5205633616563183</v>
      </c>
      <c r="DN209" s="173">
        <f t="shared" si="553"/>
        <v>34.917293233082702</v>
      </c>
      <c r="DO209" s="173">
        <f t="shared" si="554"/>
        <v>19.657254246727927</v>
      </c>
      <c r="DQ209" s="545">
        <f t="shared" si="555"/>
        <v>9900</v>
      </c>
      <c r="DR209" s="460">
        <f t="shared" si="556"/>
        <v>20.299907691177751</v>
      </c>
      <c r="DT209">
        <f t="shared" si="591"/>
        <v>9900</v>
      </c>
      <c r="DU209">
        <f t="shared" si="592"/>
        <v>20.299907691177751</v>
      </c>
      <c r="DW209" s="5">
        <f t="shared" si="557"/>
        <v>49.261307746468013</v>
      </c>
      <c r="DX209" s="5">
        <f t="shared" si="558"/>
        <v>22.053027305104866</v>
      </c>
      <c r="DY209" s="5">
        <f t="shared" si="559"/>
        <v>27.208280441363147</v>
      </c>
      <c r="DZ209" s="5"/>
      <c r="EA209" s="173">
        <f t="shared" si="560"/>
        <v>0.44767441860465118</v>
      </c>
      <c r="EB209" s="173">
        <f t="shared" si="561"/>
        <v>148.5</v>
      </c>
      <c r="EC209" s="173">
        <f t="shared" si="562"/>
        <v>9.6428571428571406</v>
      </c>
      <c r="ED209" s="173">
        <f t="shared" si="563"/>
        <v>15.400000000000004</v>
      </c>
      <c r="EE209" s="460">
        <f t="shared" si="564"/>
        <v>1455.4998021369213</v>
      </c>
      <c r="EF209" s="5">
        <f t="shared" si="565"/>
        <v>59.070608852959467</v>
      </c>
      <c r="EH209" s="173">
        <f t="shared" si="566"/>
        <v>13.488420043397044</v>
      </c>
      <c r="EI209" s="173">
        <f t="shared" si="567"/>
        <v>14.982266638971753</v>
      </c>
      <c r="EK209" s="528">
        <f t="shared" si="568"/>
        <v>3.638749505342302</v>
      </c>
      <c r="EL209" s="528">
        <f t="shared" si="569"/>
        <v>0.48766666666666664</v>
      </c>
      <c r="EM209" s="528">
        <f t="shared" si="570"/>
        <v>2.5374884613972187E-3</v>
      </c>
      <c r="EN209" s="528">
        <f t="shared" si="571"/>
        <v>2.4022098765432102E-3</v>
      </c>
      <c r="EO209">
        <f t="shared" si="572"/>
        <v>8.5500000000000003E-3</v>
      </c>
      <c r="EP209" s="460">
        <f t="shared" si="573"/>
        <v>11.087488461397218</v>
      </c>
      <c r="EQ209" s="460"/>
      <c r="ER209" s="460">
        <f t="shared" si="593"/>
        <v>4139.9058703469082</v>
      </c>
      <c r="ES209" s="528">
        <f t="shared" si="574"/>
        <v>6.93</v>
      </c>
      <c r="EV209" s="460">
        <f t="shared" si="494"/>
        <v>6930</v>
      </c>
      <c r="EW209" s="528">
        <f t="shared" si="575"/>
        <v>5.458124258013453</v>
      </c>
      <c r="EX209" s="528">
        <f t="shared" si="576"/>
        <v>6.7340494092373779</v>
      </c>
      <c r="EY209" s="528">
        <f t="shared" si="577"/>
        <v>0.66881589702681288</v>
      </c>
      <c r="EZ209" s="528"/>
      <c r="FA209" s="528">
        <f t="shared" si="578"/>
        <v>2.4750000000000001E-2</v>
      </c>
      <c r="FB209" s="460">
        <f t="shared" si="579"/>
        <v>12885.739564277643</v>
      </c>
      <c r="FC209" s="173">
        <f t="shared" si="580"/>
        <v>23.955645434624554</v>
      </c>
      <c r="FD209" s="5">
        <f t="shared" si="581"/>
        <v>148.5</v>
      </c>
      <c r="FE209" s="173">
        <f t="shared" si="582"/>
        <v>0.86109097574479931</v>
      </c>
      <c r="FF209" s="5">
        <f t="shared" si="583"/>
        <v>86.109097574479932</v>
      </c>
      <c r="FI209" s="562">
        <f t="shared" si="584"/>
        <v>-50</v>
      </c>
      <c r="FJ209">
        <f t="shared" si="585"/>
        <v>-50</v>
      </c>
      <c r="FL209">
        <f t="shared" si="586"/>
        <v>0.55232558139534882</v>
      </c>
    </row>
    <row r="210" spans="5:168">
      <c r="E210" s="170">
        <v>100</v>
      </c>
      <c r="F210" s="217">
        <f>IF(PLOT_TYPE=1, E210/100*Iout_max, min_I*EXP(N210*rr/100))</f>
        <v>10</v>
      </c>
      <c r="G210" s="217"/>
      <c r="H210" s="217">
        <f>F210*Vout</f>
        <v>150</v>
      </c>
      <c r="I210" s="541">
        <f t="shared" si="496"/>
        <v>18.093086895915206</v>
      </c>
      <c r="J210" s="172">
        <f t="shared" si="497"/>
        <v>15.944147862450876</v>
      </c>
      <c r="K210" s="172">
        <f t="shared" si="498"/>
        <v>34.037234758366083</v>
      </c>
      <c r="L210" s="443"/>
      <c r="M210" s="217">
        <f>(Vout+Vfwd1+F210/FL210*Rdcr_sec)*Nps/((Vout+Vfwd1+F210/FL210*Rdcr_sec)*Nps+I210)</f>
        <v>0.46841706518445247</v>
      </c>
      <c r="N210" s="172">
        <f>M210*I210*(Isw_max+VIN_min/Lmag*ILIM_delay)*0.5*Efficiency</f>
        <v>212.07905047606479</v>
      </c>
      <c r="O210" s="172">
        <f t="shared" si="599"/>
        <v>150</v>
      </c>
      <c r="P210" s="217">
        <f>N210/Vout</f>
        <v>14.138603365070987</v>
      </c>
      <c r="Q210" s="217">
        <f t="shared" si="502"/>
        <v>15</v>
      </c>
      <c r="R210" s="217"/>
      <c r="S210" s="172">
        <f t="shared" si="503"/>
        <v>27.399962877062535</v>
      </c>
      <c r="T210" s="536">
        <f>MIN(Vout, S210)</f>
        <v>15</v>
      </c>
      <c r="U210" s="217">
        <f>MIN(2*(Vout+Vfwd1+F210/FL210*Rdcr_sec)*F210/(I210*M210), Isw_max)</f>
        <v>37.623480157314958</v>
      </c>
      <c r="V210" s="217">
        <f>L*U210/I210*1000000</f>
        <v>24.953274390657377</v>
      </c>
      <c r="W210" s="217">
        <f t="shared" si="507"/>
        <v>28.316456030305492</v>
      </c>
      <c r="X210" s="197">
        <f t="shared" si="508"/>
        <v>70.62825334387135</v>
      </c>
      <c r="Y210" s="443">
        <f>MIN(1/(V210+W210+0.2)*1000, 350)</f>
        <v>18.702170220928377</v>
      </c>
      <c r="AA210" s="217">
        <f t="shared" si="510"/>
        <v>10</v>
      </c>
      <c r="AB210" s="173">
        <f>L*AA210/J210*1000000</f>
        <v>7.5262724000825996</v>
      </c>
      <c r="AC210" s="173">
        <f>0.5*AB210*AA210*Nps*X210/1000</f>
        <v>2.6578373690401027</v>
      </c>
      <c r="AD210" s="173"/>
      <c r="AE210" s="173">
        <f t="shared" si="513"/>
        <v>7.5262724000825996</v>
      </c>
      <c r="AF210" s="545">
        <f>MAX(12000,F210/(0.5*AE210/1000000*Isw_min*Nps))/1000</f>
        <v>265.73579770751462</v>
      </c>
      <c r="AG210" s="528">
        <f t="shared" si="515"/>
        <v>2.6578373690401023</v>
      </c>
      <c r="AI210" s="173">
        <f t="shared" si="516"/>
        <v>8.7134673713005011</v>
      </c>
      <c r="AJ210" s="173">
        <f>MAX(IF(F210&gt;AC210,U210,AI210),Isw_min)</f>
        <v>37.623480157314958</v>
      </c>
      <c r="AK210" s="173">
        <f>IF(F210&gt;AG210, (AJ210-Isw_min)/1.08*0.8+1.2, AF210*0.2/350+1)</f>
        <v>21.661837153566633</v>
      </c>
      <c r="AM210" s="545">
        <f t="shared" si="519"/>
        <v>10000</v>
      </c>
      <c r="AN210" s="460">
        <f t="shared" si="520"/>
        <v>18.702170220928377</v>
      </c>
      <c r="AP210">
        <f t="shared" si="521"/>
        <v>10000</v>
      </c>
      <c r="AQ210">
        <f t="shared" si="522"/>
        <v>18.702170220928377</v>
      </c>
      <c r="AS210" s="5">
        <f t="shared" si="600"/>
        <v>53.469730420962875</v>
      </c>
      <c r="AT210" s="5">
        <f t="shared" si="523"/>
        <v>24.953274390657377</v>
      </c>
      <c r="AU210" s="5">
        <f t="shared" si="478"/>
        <v>28.516456030305498</v>
      </c>
      <c r="AV210" s="5"/>
      <c r="AW210" s="173">
        <f t="shared" si="479"/>
        <v>0.46668038522360705</v>
      </c>
      <c r="AX210" s="173">
        <f t="shared" si="596"/>
        <v>158.84047830466491</v>
      </c>
      <c r="AY210" s="173">
        <f t="shared" si="597"/>
        <v>10.032669972023239</v>
      </c>
      <c r="AZ210" s="173">
        <f t="shared" si="601"/>
        <v>15.83232367331947</v>
      </c>
      <c r="BA210" s="460">
        <f t="shared" si="594"/>
        <v>1663.5516260438253</v>
      </c>
      <c r="BB210" s="5">
        <f t="shared" si="595"/>
        <v>65.670699243568379</v>
      </c>
      <c r="BD210" s="173">
        <f t="shared" si="602"/>
        <v>14.839118795863637</v>
      </c>
      <c r="BE210" s="173">
        <f t="shared" si="598"/>
        <v>15.863248083065164</v>
      </c>
      <c r="BG210" s="528">
        <f t="shared" si="480"/>
        <v>4.4039889327550696</v>
      </c>
      <c r="BH210" s="528">
        <f t="shared" si="524"/>
        <v>0.44906221349182157</v>
      </c>
      <c r="BI210" s="528">
        <f t="shared" si="525"/>
        <v>8.4594997737363706E-3</v>
      </c>
      <c r="BJ210" s="528">
        <f t="shared" si="481"/>
        <v>2.1667087918249904E-3</v>
      </c>
      <c r="BK210">
        <f t="shared" si="482"/>
        <v>8.141889103161843E-3</v>
      </c>
      <c r="BL210" s="460">
        <f t="shared" si="588"/>
        <v>16.601388876898216</v>
      </c>
      <c r="BM210" s="528">
        <f t="shared" si="526"/>
        <v>-130.29931837244015</v>
      </c>
      <c r="BN210" s="460">
        <f t="shared" si="527"/>
        <v>-130299.31837244016</v>
      </c>
      <c r="BO210" s="528">
        <f t="shared" si="483"/>
        <v>7</v>
      </c>
      <c r="BR210" s="460">
        <f t="shared" si="484"/>
        <v>7000</v>
      </c>
      <c r="BS210" s="528">
        <f t="shared" si="485"/>
        <v>6.6059833991326045</v>
      </c>
      <c r="BT210" s="528">
        <f t="shared" si="486"/>
        <v>7.5492791923461171</v>
      </c>
      <c r="BU210" s="528">
        <f t="shared" si="487"/>
        <v>0.6566703854544037</v>
      </c>
      <c r="BV210" s="528"/>
      <c r="BW210" s="528">
        <f t="shared" si="488"/>
        <v>2.6473413050777484E-2</v>
      </c>
      <c r="BX210" s="460">
        <f t="shared" si="489"/>
        <v>14838.406389983902</v>
      </c>
      <c r="BY210" s="173">
        <f t="shared" si="490"/>
        <v>26.710225633899515</v>
      </c>
      <c r="BZ210" s="5">
        <f t="shared" si="491"/>
        <v>150</v>
      </c>
      <c r="CA210" s="173">
        <f t="shared" si="492"/>
        <v>0.84884731181750295</v>
      </c>
      <c r="CB210" s="5">
        <f t="shared" si="493"/>
        <v>84.884731181750297</v>
      </c>
      <c r="CE210" s="562">
        <f t="shared" si="528"/>
        <v>-50</v>
      </c>
      <c r="CF210">
        <f t="shared" si="529"/>
        <v>-50</v>
      </c>
      <c r="CG210" s="173">
        <f t="shared" si="530"/>
        <v>0.55132073596463538</v>
      </c>
      <c r="CI210" s="170">
        <v>100</v>
      </c>
      <c r="CJ210" s="217">
        <f t="shared" si="589"/>
        <v>10</v>
      </c>
      <c r="CK210" s="217"/>
      <c r="CL210" s="217">
        <f t="shared" si="531"/>
        <v>150</v>
      </c>
      <c r="CM210" s="541">
        <f t="shared" si="532"/>
        <v>19</v>
      </c>
      <c r="CN210" s="443">
        <f t="shared" si="533"/>
        <v>15.4</v>
      </c>
      <c r="CO210" s="443">
        <f t="shared" si="534"/>
        <v>34.4</v>
      </c>
      <c r="CP210" s="443"/>
      <c r="CQ210" s="217">
        <f t="shared" si="535"/>
        <v>0.44767441860465118</v>
      </c>
      <c r="CR210" s="172">
        <f t="shared" si="590"/>
        <v>212.84736191860466</v>
      </c>
      <c r="CS210" s="172">
        <f t="shared" si="536"/>
        <v>150</v>
      </c>
      <c r="CT210" s="217">
        <f t="shared" si="537"/>
        <v>14.189824127906977</v>
      </c>
      <c r="CU210" s="217">
        <f t="shared" si="538"/>
        <v>15</v>
      </c>
      <c r="CV210" s="217"/>
      <c r="CW210" s="172">
        <f t="shared" si="539"/>
        <v>28.760625411586012</v>
      </c>
      <c r="CX210" s="536">
        <f t="shared" si="540"/>
        <v>15</v>
      </c>
      <c r="CY210" s="217">
        <f t="shared" si="541"/>
        <v>35.269993164730003</v>
      </c>
      <c r="CZ210" s="217">
        <f t="shared" si="542"/>
        <v>22.275785156671581</v>
      </c>
      <c r="DA210" s="217">
        <f t="shared" si="543"/>
        <v>27.483111556932467</v>
      </c>
      <c r="DB210" s="197">
        <f t="shared" si="544"/>
        <v>70.881782945736433</v>
      </c>
      <c r="DC210" s="443">
        <f t="shared" si="545"/>
        <v>20.096908614265974</v>
      </c>
      <c r="DE210" s="217">
        <f t="shared" si="546"/>
        <v>10.000000000000002</v>
      </c>
      <c r="DF210" s="173">
        <f t="shared" si="547"/>
        <v>7.792207792207793</v>
      </c>
      <c r="DG210" s="173">
        <f t="shared" si="548"/>
        <v>2.7616279069767451</v>
      </c>
      <c r="DH210" s="173"/>
      <c r="DI210" s="173">
        <f t="shared" si="549"/>
        <v>7.7922077922077913</v>
      </c>
      <c r="DJ210" s="545">
        <f t="shared" si="550"/>
        <v>256.66666666666669</v>
      </c>
      <c r="DK210" s="528">
        <f t="shared" si="551"/>
        <v>2.7616279069767442</v>
      </c>
      <c r="DM210" s="173">
        <f t="shared" si="552"/>
        <v>8.5634883857767541</v>
      </c>
      <c r="DN210" s="173">
        <f t="shared" si="553"/>
        <v>35.269993164730003</v>
      </c>
      <c r="DO210" s="173">
        <f t="shared" si="554"/>
        <v>19.918513455355559</v>
      </c>
      <c r="DQ210" s="545">
        <f t="shared" si="555"/>
        <v>10000</v>
      </c>
      <c r="DR210" s="460">
        <f t="shared" si="556"/>
        <v>20.096908614265974</v>
      </c>
      <c r="DT210">
        <f>IF(CL210&gt;CR210, " ",DQ210)</f>
        <v>10000</v>
      </c>
      <c r="DU210">
        <f>IF(CL210&gt;CR210, " ",DR210)</f>
        <v>20.096908614265974</v>
      </c>
      <c r="DW210" s="5">
        <f t="shared" si="557"/>
        <v>49.758896713604045</v>
      </c>
      <c r="DX210" s="5">
        <f t="shared" si="558"/>
        <v>22.275785156671581</v>
      </c>
      <c r="DY210" s="5">
        <f t="shared" si="559"/>
        <v>27.483111556932464</v>
      </c>
      <c r="DZ210" s="5"/>
      <c r="EA210" s="173">
        <f t="shared" si="560"/>
        <v>0.44767441860465124</v>
      </c>
      <c r="EB210" s="173">
        <f t="shared" si="561"/>
        <v>150</v>
      </c>
      <c r="EC210" s="173">
        <f t="shared" si="562"/>
        <v>9.7402597402597362</v>
      </c>
      <c r="ED210" s="173">
        <f t="shared" si="563"/>
        <v>15.400000000000006</v>
      </c>
      <c r="EE210" s="460">
        <f t="shared" si="564"/>
        <v>1485.0523437781055</v>
      </c>
      <c r="EF210" s="5">
        <f t="shared" si="565"/>
        <v>60.26998148450101</v>
      </c>
      <c r="EH210" s="173">
        <f t="shared" si="566"/>
        <v>13.624666710502066</v>
      </c>
      <c r="EI210" s="173">
        <f t="shared" si="567"/>
        <v>15.133602665628031</v>
      </c>
      <c r="EK210" s="528">
        <f t="shared" si="568"/>
        <v>3.7126308594452633</v>
      </c>
      <c r="EL210" s="528">
        <f t="shared" si="569"/>
        <v>0.48766666666666675</v>
      </c>
      <c r="EM210" s="528">
        <f t="shared" si="570"/>
        <v>2.5121135767832464E-3</v>
      </c>
      <c r="EN210" s="528">
        <f t="shared" si="571"/>
        <v>2.3781877777777783E-3</v>
      </c>
      <c r="EO210">
        <f t="shared" si="572"/>
        <v>8.5500000000000003E-3</v>
      </c>
      <c r="EP210" s="460">
        <f t="shared" si="573"/>
        <v>11.062113576783247</v>
      </c>
      <c r="EQ210" s="460"/>
      <c r="ER210" s="460">
        <f t="shared" si="593"/>
        <v>4213.7378274664898</v>
      </c>
      <c r="ES210" s="528">
        <f t="shared" si="574"/>
        <v>7</v>
      </c>
      <c r="EV210" s="460">
        <f t="shared" si="494"/>
        <v>7000</v>
      </c>
      <c r="EW210" s="528">
        <f t="shared" si="575"/>
        <v>5.5689462891678945</v>
      </c>
      <c r="EX210" s="528">
        <f t="shared" si="576"/>
        <v>6.8707778892331151</v>
      </c>
      <c r="EY210" s="528">
        <f t="shared" si="577"/>
        <v>0.66881589702681232</v>
      </c>
      <c r="EZ210" s="528"/>
      <c r="FA210" s="528">
        <f t="shared" si="578"/>
        <v>2.5000000000000001E-2</v>
      </c>
      <c r="FB210" s="460">
        <f t="shared" si="579"/>
        <v>13133.540075427822</v>
      </c>
      <c r="FC210" s="173">
        <f t="shared" si="580"/>
        <v>24.347277902894312</v>
      </c>
      <c r="FD210" s="5">
        <f t="shared" si="581"/>
        <v>150</v>
      </c>
      <c r="FE210" s="173">
        <f t="shared" si="582"/>
        <v>0.86035183229843748</v>
      </c>
      <c r="FF210" s="5">
        <f t="shared" si="583"/>
        <v>86.035183229843753</v>
      </c>
      <c r="FI210" s="562">
        <f t="shared" si="584"/>
        <v>-50</v>
      </c>
      <c r="FJ210">
        <f t="shared" si="585"/>
        <v>-50</v>
      </c>
      <c r="FL210">
        <f t="shared" si="586"/>
        <v>0.55232558139534871</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14.189823843315455</v>
      </c>
      <c r="G212" s="217"/>
      <c r="H212" s="217">
        <f>F212*Vout</f>
        <v>212.84735764973183</v>
      </c>
      <c r="I212" s="541">
        <f>VIN_min-F212*(Rdcr_pri+RON/1000)/CG212/Nps</f>
        <v>17.713106281184238</v>
      </c>
      <c r="J212" s="172">
        <f>(T212+Vfwd1+F212/CG212*Rdcr_sec)*Nps</f>
        <v>15.15892303363524</v>
      </c>
      <c r="K212" s="172">
        <f>(Vout+Vfwd1+F212/CG212*Rdcr_sec)*Nps++I212</f>
        <v>33.885242512473695</v>
      </c>
      <c r="L212" s="443"/>
      <c r="M212" s="217">
        <f>(Vout+Vfwd1+F212/FL212*Rdcr_sec)*Nps/((Vout+Vfwd1+F212/FL212*Rdcr_sec)*Nps+I212)</f>
        <v>0.47724025821239519</v>
      </c>
      <c r="N212" s="172">
        <f>M212*I212*(Isw_max+VIN_min/Lmag*ILIM_delay)*0.5*Efficiency</f>
        <v>211.53595381051431</v>
      </c>
      <c r="O212" s="172">
        <f>T212*F212</f>
        <v>198.47004085929612</v>
      </c>
      <c r="P212" s="217">
        <f>N212/Vout</f>
        <v>14.102396920700954</v>
      </c>
      <c r="Q212" s="217">
        <f>MIN(Vout,N212/F212)</f>
        <v>14.907581386936295</v>
      </c>
      <c r="R212" s="217"/>
      <c r="S212" s="172">
        <f>(SQRT(Isw_max^2*Nps^2*I212^2+4*Isw_max*F212/Efficiency*(Nps^2*Vfwd1*I212-Nps*I212^2)+4*(F212/Efficiency)^2*Nps^2*Vfwd1^2+8*(F212/Efficiency)^2*Nps*Vfwd1*I212+4*(F212/Efficiency)^2*I212^2)-2*F212/Efficiency*I212-2*F212/Efficiency*Nps*Vfwd1+Isw_max*Nps*I212)/(4*F212/Efficiency*Nps)</f>
        <v>13.986786802345783</v>
      </c>
      <c r="T212" s="536">
        <f>MIN(Vout, S212)</f>
        <v>13.986786802345783</v>
      </c>
      <c r="U212" s="217">
        <f>MIN(2*(Vout+Vfwd1+F212/FL212*Rdcr_sec)*F212/(I212*M212), Isw_max)</f>
        <v>50</v>
      </c>
      <c r="V212" s="217">
        <f>L*U212/I212*1000000</f>
        <v>33.873223051642306</v>
      </c>
      <c r="W212" s="217">
        <f>L*U212/J212*1000000</f>
        <v>39.580648220767102</v>
      </c>
      <c r="X212" s="197">
        <f>IF(1/((350000*L)*(1/I212+1/J212))&gt;Isw_min, 350, 0.001/((Isw_min*L)*(1/I212+1/J212)))</f>
        <v>68.069931691647824</v>
      </c>
      <c r="Y212" s="443">
        <f>MIN(1/(V212+W212+0.2)*1000, 350)</f>
        <v>13.577018868451495</v>
      </c>
      <c r="AA212" s="217">
        <f>1/((X212*1000*L)*(1/I212+1/J212))</f>
        <v>10</v>
      </c>
      <c r="AB212" s="173">
        <f>L*AA212/J212*1000000</f>
        <v>7.9161296441534192</v>
      </c>
      <c r="AC212" s="173">
        <f>0.5*AB212*AA212*Nps*X212/1000</f>
        <v>2.6942520206987584</v>
      </c>
      <c r="AD212" s="173"/>
      <c r="AE212" s="173">
        <f>L*Isw_min/J212*1000000</f>
        <v>7.9161296441534192</v>
      </c>
      <c r="AF212" s="545">
        <f>MAX(12000,F212/(0.5*AE212/1000000*Isw_min*Nps))/1000</f>
        <v>358.50407916943527</v>
      </c>
      <c r="AG212" s="528">
        <f>0.5*AE212/1000000*Isw_min*Nps*X212*1000</f>
        <v>2.6942520206987584</v>
      </c>
      <c r="AI212" s="173">
        <f>SQRT(F212/(0.5*L/J212*Fsw_DCM*Nps))</f>
        <v>10.120757723883766</v>
      </c>
      <c r="AJ212" s="173">
        <f>MAX(IF(F212&gt;AC212,U212,AI212),Isw_min)</f>
        <v>50</v>
      </c>
      <c r="AK212" s="173">
        <f>IF(F212&gt;AG212, (AJ212-Isw_min)/1.08*0.8+1.2, AF212*0.2/350+1)</f>
        <v>30.829629629629633</v>
      </c>
      <c r="AM212" s="545">
        <f>F212*1000</f>
        <v>14189.823843315455</v>
      </c>
      <c r="AN212" s="460">
        <f>IF(F212&gt;AG212, Y212, AF212)</f>
        <v>13.577018868451495</v>
      </c>
      <c r="AP212" t="str">
        <f>IF(H212&gt;N212, "",AM212)</f>
        <v/>
      </c>
      <c r="AQ212" t="str">
        <f>IF(H212&gt;N212, "",AN212)</f>
        <v/>
      </c>
      <c r="AS212" s="5">
        <f>1/AN212*1000</f>
        <v>73.653871272409404</v>
      </c>
      <c r="AT212" s="5">
        <f>L*AJ212/I212*1000000</f>
        <v>33.873223051642306</v>
      </c>
      <c r="AU212" s="5">
        <f>AS212-AT212</f>
        <v>39.780648220767098</v>
      </c>
      <c r="AV212" s="5"/>
      <c r="AW212" s="173">
        <f>AT212/AS212</f>
        <v>0.45989738850741374</v>
      </c>
      <c r="AX212" s="173">
        <f>0.5*L*AJ212^2*AN212*1000</f>
        <v>203.65528302677245</v>
      </c>
      <c r="AY212" s="173">
        <f>AJ212*Nps/2*(1-AW212)</f>
        <v>13.502565287314654</v>
      </c>
      <c r="AZ212" s="173">
        <f>AX212/AY212</f>
        <v>15.082710484510809</v>
      </c>
      <c r="BA212" s="460">
        <f>F212*AT212/Vout_ripple*1000</f>
        <v>3204.3671207209109</v>
      </c>
      <c r="BB212" s="5">
        <f>H212/Efficiency/I212*AU212/Vinripple1</f>
        <v>132.78312624957385</v>
      </c>
      <c r="BD212" s="173">
        <f>AJ212*SQRT(AW212/3)</f>
        <v>19.576716368078127</v>
      </c>
      <c r="BE212" s="173">
        <f>AJ212*Nps*SQRT((1-AW212)/3)</f>
        <v>21.215218819921589</v>
      </c>
      <c r="BG212" s="528">
        <f>Rdson*BD212^2</f>
        <v>7.664956475123561</v>
      </c>
      <c r="BH212" s="528">
        <f>0.5*K212*AJ212*AN212*1000*Tfall</f>
        <v>0.43130679089429075</v>
      </c>
      <c r="BI212" s="528">
        <f>Qg*Vdd*AN212*1000*0+Qg*I212*AN212*1000</f>
        <v>6.0122794549631268E-3</v>
      </c>
      <c r="BJ212" s="528">
        <f>0.5*(Coss+Csw)*K212^2*AN212*1000</f>
        <v>1.5589264220511811E-3</v>
      </c>
      <c r="BK212">
        <f>I212*IQ</f>
        <v>7.9708978265329074E-3</v>
      </c>
      <c r="BL212" s="460">
        <f>(BK212+BI212)*1000</f>
        <v>13.983177281496035</v>
      </c>
      <c r="BM212" s="528">
        <f>(BH212+BI212*0+BJ212+BK212*0+BG212*(1+RdsonTC*(Ta-25)))/(1-BG212*RdsonTC*ThetaJA)</f>
        <v>-12.381196975420906</v>
      </c>
      <c r="BN212" s="460">
        <f>BM212*1000</f>
        <v>-12381.196975420906</v>
      </c>
      <c r="BO212" s="528">
        <f>Vfwd2*F212</f>
        <v>9.9328766903208177</v>
      </c>
      <c r="BR212" s="460">
        <f>SUM(BO212:BQ212)*1000</f>
        <v>9932.8766903208179</v>
      </c>
      <c r="BS212" s="528">
        <f>Rdcr_pri*BD212^2</f>
        <v>11.49743471268534</v>
      </c>
      <c r="BT212" s="528">
        <f>Rdcr_sec*BE212^2</f>
        <v>13.502565287314654</v>
      </c>
      <c r="BU212" s="528">
        <f>AJ212^2.5*AN212^2.5*k_core</f>
        <v>0.6003521483212152</v>
      </c>
      <c r="BV212" s="528"/>
      <c r="BW212" s="528">
        <f>0.5*Lleak*0.000000001*AJ212^2*AN212*1000</f>
        <v>3.394254717112874E-2</v>
      </c>
      <c r="BX212" s="460">
        <f>SUM(BS212:BW212)*1000</f>
        <v>25634.294695492335</v>
      </c>
      <c r="BY212" s="173">
        <f>SUM(BG212:BK212,BO212:BQ212,BS212:BW212)</f>
        <v>43.678976755534556</v>
      </c>
      <c r="BZ212" s="5">
        <f>MIN(H212,O212)</f>
        <v>198.47004085929612</v>
      </c>
      <c r="CA212" s="173">
        <f>BZ212/(BZ212+BY212)</f>
        <v>0.81961943440542206</v>
      </c>
      <c r="CB212" s="5">
        <f>CA212*100</f>
        <v>81.9619434405422</v>
      </c>
      <c r="CE212" s="562">
        <f>IF(ABS(F212-Ioutmax_Vinmin)&lt;Iout/200, AN212, -50)</f>
        <v>13.577018868451495</v>
      </c>
      <c r="CF212">
        <f>IF(ABS(F212-Ioutmax_Vinmin)&lt;Iout/200, N212*CA212, -50)</f>
        <v>173.37897881858524</v>
      </c>
      <c r="CG212" s="173">
        <f>MIN(SQRT(2*DU212*1000*Ls1_*CL212)/CU212,1-EA212-0.00000005*DU212*1000)</f>
        <v>0.55132073596463538</v>
      </c>
      <c r="CI212" s="170">
        <v>100</v>
      </c>
      <c r="CJ212" s="217">
        <f>IF(PLOT_TYPE=1, CI212/100*Iout_max, min_I*EXP(CR212*rr/100))</f>
        <v>10</v>
      </c>
      <c r="CK212" s="217"/>
      <c r="CL212" s="217">
        <f>CJ212*Vout</f>
        <v>150</v>
      </c>
      <c r="CM212" s="541">
        <f t="shared" si="532"/>
        <v>19</v>
      </c>
      <c r="CN212" s="443">
        <f>(CX212+Vfwd1)*Nps</f>
        <v>15.4</v>
      </c>
      <c r="CO212" s="443">
        <f>(Vout+Vfwd1)*Nps+CM212</f>
        <v>34.4</v>
      </c>
      <c r="CP212" s="443"/>
      <c r="CQ212" s="217">
        <f>(Vout+Vfwd1)*Nps/((Vout+Vfwd1)*Nps+CM212)</f>
        <v>0.44767441860465118</v>
      </c>
      <c r="CR212" s="172">
        <f>CQ212*CM212*(Isw_max+VIN_min/Lmag*ILIM_delay)*0.5*Efficiency</f>
        <v>212.84736191860466</v>
      </c>
      <c r="CS212" s="172">
        <f>CX212*CJ212</f>
        <v>150</v>
      </c>
      <c r="CT212" s="217">
        <f>CR212/Vout</f>
        <v>14.189824127906977</v>
      </c>
      <c r="CU212" s="217">
        <f>MIN(Vout,CR212/CJ212)</f>
        <v>15</v>
      </c>
      <c r="CV212" s="217"/>
      <c r="CW212" s="172">
        <f>(SQRT(Isw_max^2*Nps^2*CM212^2+4*Isw_max*CJ212/Efficiency*(Nps^2*Vfwd1*CM212-Nps*CM212^2)+4*(CJ212/Efficiency)^2*Nps^2*Vfwd1^2+8*(CJ212/Efficiency)^2*Nps*Vfwd1*CM212+4*(CJ212/Efficiency)^2*CM212^2)-2*CJ212/Efficiency*CM212-2*CJ212/Efficiency*Nps*Vfwd1+Isw_max*Nps*CM212)/(4*CJ212/Efficiency*Nps)</f>
        <v>28.760625411586012</v>
      </c>
      <c r="CX212" s="536">
        <f>MIN(Vout, CW212)</f>
        <v>15</v>
      </c>
      <c r="CY212" s="217">
        <f>MIN(2*Vout*CJ212/(Efficiency*CM212*CQ212), Isw_max)</f>
        <v>35.269993164730003</v>
      </c>
      <c r="CZ212" s="217">
        <f>L*CY212/CM212*1000000</f>
        <v>22.275785156671581</v>
      </c>
      <c r="DA212" s="217">
        <f>L*CY212/CN212*1000000</f>
        <v>27.483111556932467</v>
      </c>
      <c r="DB212" s="197">
        <f>IF(1/((350000*L)*(1/CM212+1/CN212))&gt;Isw_min, 350, 0.001/((Isw_min*L)*(1/CM212+1/CN212)))</f>
        <v>70.881782945736433</v>
      </c>
      <c r="DC212" s="443">
        <f>MIN(1/(CZ212+DA212)*1000, 350)</f>
        <v>20.096908614265974</v>
      </c>
      <c r="DE212" s="217">
        <f>1/((DB212*1000*L)*(1/CM212+1/CN212))</f>
        <v>10.000000000000002</v>
      </c>
      <c r="DF212" s="173">
        <f>L*DE212/CN212*1000000</f>
        <v>7.792207792207793</v>
      </c>
      <c r="DG212" s="173">
        <f>0.5*DF212*DE212*Nps*DB212/1000</f>
        <v>2.7616279069767451</v>
      </c>
      <c r="DH212" s="173"/>
      <c r="DI212" s="173">
        <f>L*Isw_min/CN212*1000000</f>
        <v>7.7922077922077913</v>
      </c>
      <c r="DJ212" s="545">
        <f>MAX(12000,CJ212/(0.5*DI212/1000000*Isw_min*Nps))/1000</f>
        <v>256.66666666666669</v>
      </c>
      <c r="DK212" s="528">
        <f>0.5*DI212/1000000*Isw_min*Nps*DB212*1000</f>
        <v>2.7616279069767442</v>
      </c>
      <c r="DM212" s="173">
        <f>SQRT(CJ212/(0.5*L/CN212*Fsw_DCM*Nps))</f>
        <v>8.5634883857767541</v>
      </c>
      <c r="DN212" s="173">
        <f>MAX(IF(CJ212&gt;DG212,CY212,DM212),Isw_min)</f>
        <v>35.269993164730003</v>
      </c>
      <c r="DO212" s="173">
        <f>IF(CJ212&gt;DK212, (DN212-Isw_min)/1.08*0.8+1.2, DJ212*0.2/350+1)</f>
        <v>19.918513455355559</v>
      </c>
      <c r="DQ212" s="545">
        <f>CJ212*1000</f>
        <v>10000</v>
      </c>
      <c r="DR212" s="460">
        <f>IF(CJ212&gt;DK212, DC212, DJ212)</f>
        <v>20.096908614265974</v>
      </c>
      <c r="DT212">
        <f>IF(CL212&gt;CR212, " ",DQ212)</f>
        <v>10000</v>
      </c>
      <c r="DU212">
        <f>IF(CL212&gt;CR212, " ",DR212)</f>
        <v>20.096908614265974</v>
      </c>
      <c r="DW212" s="5">
        <f>1/DR212*1000</f>
        <v>49.758896713604045</v>
      </c>
      <c r="DX212" s="5">
        <f>L*DN212/CM212*1000000</f>
        <v>22.275785156671581</v>
      </c>
      <c r="DY212" s="5">
        <f>DW212-DX212</f>
        <v>27.483111556932464</v>
      </c>
      <c r="DZ212" s="5"/>
      <c r="EA212" s="173">
        <f>DX212/DW212</f>
        <v>0.44767441860465124</v>
      </c>
      <c r="EB212" s="173">
        <f>0.5*L*DN212^2*DR212*1000</f>
        <v>150</v>
      </c>
      <c r="EC212" s="173">
        <f>DN212*Nps/2*(1-EA212)</f>
        <v>9.7402597402597362</v>
      </c>
      <c r="ED212" s="173">
        <f>EB212/EC212</f>
        <v>15.400000000000006</v>
      </c>
      <c r="EE212" s="460">
        <f>CJ212*DX212/Vout_ripple*1000</f>
        <v>1485.0523437781055</v>
      </c>
      <c r="EF212" s="5">
        <f>CL212/Efficiency/CM212*DY212/Vinripple1</f>
        <v>60.26998148450101</v>
      </c>
      <c r="EH212" s="173">
        <f>DN212*SQRT(EA212/3)</f>
        <v>13.624666710502066</v>
      </c>
      <c r="EI212" s="173">
        <f>DN212*Nps*SQRT((1-EA212)/3)</f>
        <v>15.133602665628031</v>
      </c>
      <c r="EK212" s="528">
        <f>Rdson*EH212^2</f>
        <v>3.7126308594452633</v>
      </c>
      <c r="EL212" s="528">
        <f>0.5*CO212*DN212*DR212*1000*Trise</f>
        <v>0.48766666666666675</v>
      </c>
      <c r="EM212" s="528">
        <f>Qg*Vdd*DR212*1000</f>
        <v>2.5121135767832464E-3</v>
      </c>
      <c r="EN212" s="528">
        <f>0.5*(Coss+Csw)*CO212^2*DR212*1000</f>
        <v>2.3781877777777783E-3</v>
      </c>
      <c r="EO212">
        <f>CM212*IQ</f>
        <v>8.5500000000000003E-3</v>
      </c>
      <c r="EP212" s="460">
        <f>(EO212+EM212)*1000</f>
        <v>11.062113576783247</v>
      </c>
      <c r="EQ212" s="460"/>
      <c r="ER212" s="460">
        <f>SUM(EK212:EO212)*1000</f>
        <v>4213.7378274664898</v>
      </c>
      <c r="ES212" s="528">
        <f>Vfwd2*CJ212</f>
        <v>7</v>
      </c>
      <c r="EV212" s="460">
        <f>SUM(ES212:EU212)*1000</f>
        <v>7000</v>
      </c>
      <c r="EW212" s="528">
        <f>Rdcr_pri*EH212^2</f>
        <v>5.5689462891678945</v>
      </c>
      <c r="EX212" s="528">
        <f>Rdcr_sec*EI212^2</f>
        <v>6.8707778892331151</v>
      </c>
      <c r="EY212" s="528">
        <f>DN212^2.5*DR212^2.5*k_core</f>
        <v>0.66881589702681232</v>
      </c>
      <c r="EZ212" s="528"/>
      <c r="FA212" s="528">
        <f>0.5*Lleak*0.000000001*DN212^2*DR212*1000</f>
        <v>2.5000000000000001E-2</v>
      </c>
      <c r="FB212" s="460">
        <f>SUM(EW212:FA212)*1000</f>
        <v>13133.540075427822</v>
      </c>
      <c r="FC212" s="173">
        <f>SUM(EK212:EO212,ES212:EU212,EW212:FA212)</f>
        <v>24.347277902894312</v>
      </c>
      <c r="FD212" s="5">
        <f>MIN(CL212,CS212)</f>
        <v>150</v>
      </c>
      <c r="FE212" s="173">
        <f>FD212/(FD212+FC212)</f>
        <v>0.86035183229843748</v>
      </c>
      <c r="FF212" s="5">
        <f>FE212*100</f>
        <v>86.035183229843753</v>
      </c>
      <c r="FI212" s="562">
        <f>IF(ABS(CJ212-Ioutmax_Vinmin)&lt;Iout/200, DR212, -50)</f>
        <v>-50</v>
      </c>
      <c r="FJ212">
        <f>IF(ABS(CJ212-Ioutmax_Vinmin)&lt;Iout/200, CR212*FE212, -50)</f>
        <v>-50</v>
      </c>
      <c r="FL212">
        <f>MIN(SQRT(2*L*DR212*1000*CJ212*(CX212+Vfwd1))/(Nps*(CX212+Vfwd1)), 1-EA212)</f>
        <v>0.55232558139534871</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1.5000000000000002E-8</v>
      </c>
      <c r="I216" s="541">
        <f t="shared" ref="I216:I247" si="604">VIN_max-F216*(Rdcr_pri+RON/1000)/CG216/Nps</f>
        <v>84.999988589113386</v>
      </c>
      <c r="J216" s="172">
        <f t="shared" ref="J216:J247" si="605">(T216+Vfwd1+F216/CG216*Rdcr_sec)*Nps</f>
        <v>15.400006846531969</v>
      </c>
      <c r="K216" s="172">
        <f t="shared" ref="K216:K247" si="606">(Vout+Vfwd1+F216/CG216*Rdcr_sec)*Nps+I216</f>
        <v>100.39999543564535</v>
      </c>
      <c r="L216" s="443"/>
      <c r="M216" s="217">
        <f t="shared" ref="M216:M247" si="607">(Vout+Vfwd1+F216/FL216*Rdcr_sec)*Nps/((Vout+Vfwd1+F216/FL216*Rdcr_sec)*Nps+I216)</f>
        <v>0.15338653011373404</v>
      </c>
      <c r="N216" s="172">
        <f t="shared" ref="N216:N247" si="608">M216*I216*(Isw_max+VIN_max/Lmag*ILIM_delay)*0.5*Efficiency</f>
        <v>327.33160464890005</v>
      </c>
      <c r="O216" s="172">
        <f t="shared" si="599"/>
        <v>1.5000000000000002E-8</v>
      </c>
      <c r="P216" s="217">
        <f t="shared" ref="P216:P247" si="609">N216/Vout</f>
        <v>21.822106976593336</v>
      </c>
      <c r="Q216" s="217">
        <f t="shared" ref="Q216:Q247" si="610">MIN(Vout,N216/F216)</f>
        <v>15</v>
      </c>
      <c r="R216" s="217"/>
      <c r="S216" s="172">
        <f t="shared" ref="S216:S247" si="611">(SQRT(Isw_max^2*Nps^2*I216^2+4*Isw_max*F216/Efficiency*(Nps^2*Vfwd1*I216-Nps*I216^2)+4*(F216/Efficiency)^2*Nps^2*Vfwd1^2+8*(F216/Efficiency)^2*Nps*Vfwd1*I216+4*(F216/Efficiency)^2*I216^2)-2*F216/Efficiency*I216-2*F216/Efficiency*Nps*Vfwd1+Isw_max*Nps*I216)/(4*F216/Efficiency*Nps)</f>
        <v>2124999714642.8345</v>
      </c>
      <c r="T216" s="172">
        <f t="shared" ref="T216:T247" si="612">MIN(Vout, S216)</f>
        <v>15</v>
      </c>
      <c r="U216" s="217">
        <f t="shared" ref="U216:U247" si="613">MIN(2*(Vout+Vfwd1+F216/FL216*Rdcr_sec)*F216/(I216*M216), Isw_max)</f>
        <v>2.3623531530495018E-9</v>
      </c>
      <c r="V216" s="217">
        <f t="shared" ref="V216:V247" si="614">L*U216/I216*1000000</f>
        <v>3.3350872520263849E-10</v>
      </c>
      <c r="W216" s="217">
        <f t="shared" ref="W216:W247" si="615">L*U216/J216*1000000</f>
        <v>1.840793846333773E-9</v>
      </c>
      <c r="X216" s="197">
        <f t="shared" ref="X216:X247" si="616">IF(1/((350000*L)*(1/I216+1/J216))&gt;Isw_min, 350, 0.001/((Isw_min*L)*(1/I216+1/J216)))</f>
        <v>108.6487770365929</v>
      </c>
      <c r="Y216" s="443">
        <f>MIN(1/(V216+W216+0.2)*1000, 350)</f>
        <v>350</v>
      </c>
      <c r="AA216" s="217">
        <f t="shared" ref="AA216:AA247" si="617">1/((X216*1000*L)*(1/I216+1/J216))</f>
        <v>10</v>
      </c>
      <c r="AB216" s="173">
        <f t="shared" ref="AB216:AB247" si="618">L*AA216/J216*1000000</f>
        <v>7.7922043279496078</v>
      </c>
      <c r="AC216" s="173">
        <f t="shared" ref="AC216:AC247" si="619">0.5*AB216*AA216*Nps*X216/1000</f>
        <v>4.2330673532548566</v>
      </c>
      <c r="AD216" s="173"/>
      <c r="AE216" s="173">
        <f t="shared" ref="AE216:AE247" si="620">L*Isw_min/J216*1000000</f>
        <v>7.7922043279496078</v>
      </c>
      <c r="AF216" s="545">
        <f t="shared" ref="AF216:AF247" si="621">MAX(12000,F216/(0.5*AE216/1000000*Isw_min*Nps))/1000</f>
        <v>12</v>
      </c>
      <c r="AG216" s="528">
        <f t="shared" ref="AG216:AG247" si="622">0.5*AE216/1000000*Isw_min*Nps*X216*1000</f>
        <v>4.2330673532548557</v>
      </c>
      <c r="AI216" s="173">
        <f t="shared" ref="AI216:AI247" si="623">SQRT(F216/(0.5*L/J216*Fsw_DCM*Nps))</f>
        <v>8.5634902893543663E-5</v>
      </c>
      <c r="AJ216" s="173">
        <f t="shared" ref="AJ216:AJ247" si="624">MAX(IF(F216&gt;AC216,U216,AI216),Isw_min)</f>
        <v>10</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1.4117648954057547</v>
      </c>
      <c r="AU216" s="5">
        <f t="shared" si="478"/>
        <v>81.921568437927576</v>
      </c>
      <c r="AV216" s="5"/>
      <c r="AW216" s="173">
        <f t="shared" si="479"/>
        <v>1.6941178744869057E-2</v>
      </c>
      <c r="AX216" s="173">
        <f t="shared" ref="AX216:AX279" si="631">0.5*L*AJ216^2*AN216*1000</f>
        <v>7.2000000000000011</v>
      </c>
      <c r="AY216" s="173">
        <f t="shared" ref="AY216:AY279" si="632">AJ216*Nps/2*(1-AW216)</f>
        <v>4.9152941062756552</v>
      </c>
      <c r="AZ216" s="173">
        <f t="shared" ref="AZ216:AZ279" si="633">AX216/AY216</f>
        <v>1.4648157046812973</v>
      </c>
      <c r="BA216" s="460">
        <f t="shared" si="594"/>
        <v>9.4117659693716989E-9</v>
      </c>
      <c r="BB216" s="5">
        <f t="shared" si="595"/>
        <v>4.0157636978210492E-9</v>
      </c>
      <c r="BD216" s="173">
        <f>AJ216*SQRT(AW216/3)</f>
        <v>0.75146919974294479</v>
      </c>
      <c r="BE216" s="173">
        <f>AJ216*Nps*SQRT((1-AW216)/3)</f>
        <v>5.7243888211031777</v>
      </c>
      <c r="BG216" s="528">
        <f>Rdson*BD216^2</f>
        <v>1.1294119163246037E-2</v>
      </c>
      <c r="BH216" s="528">
        <f t="shared" ref="BH216:BH247" si="634">0.5*K216*AJ216*AN216*1000*Tfall</f>
        <v>0.22589998973020201</v>
      </c>
      <c r="BI216" s="528">
        <f t="shared" ref="BI216:BI247" si="635">Qg*Vdd*AN216*1000*0+Qg*I216*AN216*1000</f>
        <v>2.5499996576734015E-2</v>
      </c>
      <c r="BJ216" s="528">
        <f>0.5*(Coss+Csw)*K216^2*AN216*1000</f>
        <v>1.209619090017313E-2</v>
      </c>
      <c r="BK216">
        <f>I216*IQ</f>
        <v>3.8249994865101021E-2</v>
      </c>
      <c r="BL216" s="460">
        <f>(BK216+BI216)*1000</f>
        <v>63.749991441835036</v>
      </c>
      <c r="BM216" s="528">
        <f t="shared" ref="BM216:BM247" si="636">(BH216+BI216*0+BJ216+BK216*0+BG216*(1+RdsonTC*(Ta-25)))/(1-BG216*RdsonTC*ThetaJA)</f>
        <v>0.25301868323025944</v>
      </c>
      <c r="BN216" s="460">
        <f>BM216*1000</f>
        <v>253.01868323025946</v>
      </c>
      <c r="BO216" s="528">
        <f t="shared" ref="BO216:BO279" si="637">Vfwd2*F216</f>
        <v>6.9999999999999996E-10</v>
      </c>
      <c r="BR216" s="460">
        <f>SUM(BO216:BQ216)*1000</f>
        <v>6.9999999999999997E-7</v>
      </c>
      <c r="BS216" s="528">
        <f>Rdcr_pri*BD216^2</f>
        <v>1.6941178744869053E-2</v>
      </c>
      <c r="BT216" s="528">
        <f>Rdcr_sec*BE216^2</f>
        <v>0.98305882125513078</v>
      </c>
      <c r="BU216" s="528">
        <f>AJ216^2.5*AN216^2.5*k_core</f>
        <v>7.8872048280743991E-3</v>
      </c>
      <c r="BV216" s="528"/>
      <c r="BW216" s="528">
        <f>0.5*Lleak*0.000000001*AJ216^2*AN216*1000</f>
        <v>1.2000000000000001E-3</v>
      </c>
      <c r="BX216" s="460">
        <f>SUM(BS216:BW216)*1000</f>
        <v>1009.0872048280744</v>
      </c>
      <c r="BY216" s="173">
        <f>SUM(BG216:BK216,BO216:BQ216,BS216:BW216)</f>
        <v>1.3221274967635306</v>
      </c>
      <c r="BZ216" s="5">
        <f>MIN(H216,O216)</f>
        <v>1.5000000000000002E-8</v>
      </c>
      <c r="CA216" s="173">
        <f>BZ216/(BZ216+BY216)</f>
        <v>1.1345350479842999E-8</v>
      </c>
      <c r="CB216" s="5">
        <f>CA216*100</f>
        <v>1.1345350479842998E-6</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4.3817804600413293E-6</v>
      </c>
      <c r="CI216" s="170">
        <v>0.1</v>
      </c>
      <c r="CJ216" s="217">
        <v>1.0000000000000001E-9</v>
      </c>
      <c r="CK216" s="217"/>
      <c r="CL216" s="217">
        <f t="shared" ref="CL216:CL279" si="641">CJ216*Vout</f>
        <v>1.5000000000000002E-8</v>
      </c>
      <c r="CM216" s="541">
        <f t="shared" ref="CM216:CM279" si="642">VIN_max</f>
        <v>85</v>
      </c>
      <c r="CN216" s="443">
        <f t="shared" ref="CN216:CN279" si="643">(CX216+Vfwd1)*Nps</f>
        <v>15.4</v>
      </c>
      <c r="CO216" s="443">
        <f t="shared" ref="CO216:CO279" si="644">(Vout+Vfwd1)*Nps+CM216</f>
        <v>100.4</v>
      </c>
      <c r="CP216" s="443"/>
      <c r="CQ216" s="217">
        <f t="shared" ref="CQ216:CQ279" si="645">(Vout+Vfwd1)*Nps/((Vout+Vfwd1)*Nps+CM216)</f>
        <v>0.15338645418326693</v>
      </c>
      <c r="CR216" s="172">
        <f t="shared" ref="CR216:CR279" si="646">CQ216*CM216*(Isw_max+VIN_max/Lmag*ILIM_delay)*0.5*Efficiency</f>
        <v>327.33148655378488</v>
      </c>
      <c r="CS216" s="172">
        <f t="shared" ref="CS216:CS279" si="647">CX216*CJ216</f>
        <v>1.5000000000000002E-8</v>
      </c>
      <c r="CT216" s="217">
        <f t="shared" ref="CT216:CT279" si="648">CR216/Vout</f>
        <v>21.822099103585661</v>
      </c>
      <c r="CU216" s="217">
        <f t="shared" ref="CU216:CU279" si="649">MIN(Vout,CR216/CJ216)</f>
        <v>15</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2124999999914.9998</v>
      </c>
      <c r="CX216" s="172">
        <f t="shared" ref="CX216:CX279" si="651">MIN(Vout, CW216)</f>
        <v>15</v>
      </c>
      <c r="CY216" s="217">
        <f t="shared" ref="CY216:CY279" si="652">MIN(2*Vout*CJ216/(Efficiency*CM216*CQ216), Isw_max)</f>
        <v>2.3009931245225366E-9</v>
      </c>
      <c r="CZ216" s="217">
        <f t="shared" ref="CZ216:CZ279" si="653">L*CY216/CM216*1000000</f>
        <v>3.2484608816788751E-10</v>
      </c>
      <c r="DA216" s="217">
        <f t="shared" ref="DA216:DA279" si="654">L*CY216/CN216*1000000</f>
        <v>1.7929816554721063E-9</v>
      </c>
      <c r="DB216" s="197">
        <f t="shared" ref="DB216:DB279" si="655">IF(1/((350000*L)*(1/CM216+1/CN216))&gt;Isw_min, 350, 0.001/((Isw_min*L)*(1/CM216+1/CN216)))</f>
        <v>108.64873837981409</v>
      </c>
      <c r="DC216" s="443">
        <f t="shared" ref="DC216:DC279" si="656">MIN(1/(CZ216+DA216)*1000, 350)</f>
        <v>350</v>
      </c>
      <c r="DE216" s="217">
        <f t="shared" ref="DE216:DE279" si="657">1/((DB216*1000*L)*(1/CM216+1/CN216))</f>
        <v>10</v>
      </c>
      <c r="DF216" s="173">
        <f t="shared" ref="DF216:DF279" si="658">L*DE216/CN216*1000000</f>
        <v>7.7922077922077913</v>
      </c>
      <c r="DG216" s="173">
        <f t="shared" ref="DG216:DG279" si="659">0.5*DF216*DE216*Nps*DB216/1000</f>
        <v>4.2330677290836656</v>
      </c>
      <c r="DH216" s="173"/>
      <c r="DI216" s="173">
        <f t="shared" ref="DI216:DI279" si="660">L*Isw_min/CN216*1000000</f>
        <v>7.7922077922077913</v>
      </c>
      <c r="DJ216" s="545">
        <f t="shared" ref="DJ216:DJ279" si="661">MAX(12000,CJ216/(0.5*DI216/1000000*Isw_min*Nps))/1000</f>
        <v>12</v>
      </c>
      <c r="DK216" s="528">
        <f t="shared" ref="DK216:DK279" si="662">0.5*DI216/1000000*Isw_min*Nps*DB216*1000</f>
        <v>4.2330677290836656</v>
      </c>
      <c r="DM216" s="173">
        <f t="shared" ref="DM216:DM279" si="663">SQRT(CJ216/(0.5*L/CN216*Fsw_DCM*Nps))</f>
        <v>8.5634883857767534E-5</v>
      </c>
      <c r="DN216" s="173">
        <f t="shared" ref="DN216:DN279" si="664">MAX(IF(CJ216&gt;DG216,CY216,DM216),Isw_min)</f>
        <v>10</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1.4117647058823528</v>
      </c>
      <c r="DY216" s="5">
        <f t="shared" ref="DY216:DY279" si="672">DW216-DX216</f>
        <v>81.921568627450981</v>
      </c>
      <c r="DZ216" s="5"/>
      <c r="EA216" s="173">
        <f t="shared" ref="EA216:EA279" si="673">DX216/DW216</f>
        <v>1.6941176470588234E-2</v>
      </c>
      <c r="EB216" s="173">
        <f>0.5*L*DN216^2*DR216*1000</f>
        <v>7.2000000000000011</v>
      </c>
      <c r="EC216" s="173">
        <f>DN216*Nps/2*(1-EA216)</f>
        <v>4.9152941176470586</v>
      </c>
      <c r="ED216" s="173">
        <f>EB216/EC216</f>
        <v>1.4648157012924847</v>
      </c>
      <c r="EE216" s="460">
        <f t="shared" ref="EE216:EE279" si="674">CJ216*DX216/Vout_ripple*1000</f>
        <v>9.4117647058823523E-9</v>
      </c>
      <c r="EF216" s="5">
        <f t="shared" ref="EF216:EF279" si="675">CL216/Efficiency/CM216*DY216/Vinripple1</f>
        <v>4.0157631680123037E-9</v>
      </c>
      <c r="EH216" s="173">
        <f>DN216*SQRT(EA216/3)</f>
        <v>0.75146914930217945</v>
      </c>
      <c r="EI216" s="173">
        <f>DN216*Nps*SQRT((1-EA216)/3)</f>
        <v>5.7243888277247903</v>
      </c>
      <c r="EK216" s="528">
        <f>Rdson*EH216^2</f>
        <v>1.1294117647058826E-2</v>
      </c>
      <c r="EL216" s="528">
        <f>0.5*CO216*DN216*DR216*1000*Trise</f>
        <v>0.24096000000000001</v>
      </c>
      <c r="EM216" s="528">
        <f>Qg*Vdd*DR216*1000</f>
        <v>1.5E-3</v>
      </c>
      <c r="EN216" s="528">
        <f>0.5*(Coss+Csw)*CO216^2*DR216*1000</f>
        <v>1.2096192000000002E-2</v>
      </c>
      <c r="EO216">
        <f>CM216*IQ</f>
        <v>3.8249999999999999E-2</v>
      </c>
      <c r="EP216" s="460">
        <f>(EO216+EM216)*1000</f>
        <v>39.75</v>
      </c>
      <c r="EQ216" s="460"/>
      <c r="ER216" s="460">
        <f>SUM(EK216:EO216)*1000</f>
        <v>304.10030964705885</v>
      </c>
      <c r="ES216" s="528">
        <f>Vfwd2*CJ216</f>
        <v>6.9999999999999996E-10</v>
      </c>
      <c r="EV216" s="460">
        <f>SUM(ES216:EU216)*1000</f>
        <v>6.9999999999999997E-7</v>
      </c>
      <c r="EW216" s="528">
        <f>Rdcr_pri*EH216^2</f>
        <v>1.6941176470588237E-2</v>
      </c>
      <c r="EX216" s="528">
        <f>Rdcr_sec*EI216^2</f>
        <v>0.98305882352941187</v>
      </c>
      <c r="EY216" s="528">
        <f>DN216^2.5*DR216^2.5*k_core</f>
        <v>7.8872048280743991E-3</v>
      </c>
      <c r="EZ216" s="528"/>
      <c r="FA216" s="528">
        <f>0.5*Lleak*0.000000001*DN216^2*DR216*1000</f>
        <v>1.2000000000000001E-3</v>
      </c>
      <c r="FB216" s="460">
        <f>SUM(EW216:FA216)*1000</f>
        <v>1009.0872048280746</v>
      </c>
      <c r="FC216" s="173">
        <f>SUM(EK216:EO216,ES216:EU216,EW216:FA216)</f>
        <v>1.3131875151751335</v>
      </c>
      <c r="FD216" s="5">
        <f>MIN(CL216,CS216)</f>
        <v>1.5000000000000002E-8</v>
      </c>
      <c r="FE216" s="173">
        <f>FD216/(FD216+FC216)</f>
        <v>1.1422587905628015E-8</v>
      </c>
      <c r="FF216" s="5">
        <f>FE216*100</f>
        <v>1.1422587905628014E-6</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4.3244998209386832E-6</v>
      </c>
    </row>
    <row r="217" spans="5:168">
      <c r="E217" s="170">
        <v>1</v>
      </c>
      <c r="F217" s="217">
        <f t="shared" ref="F217:F248" si="679">IF(PLOT_TYPE=1, E217/100*Iout_max, min_I*EXP(N217*rr/100))</f>
        <v>0.1</v>
      </c>
      <c r="G217" s="217"/>
      <c r="H217" s="217">
        <f t="shared" si="603"/>
        <v>1.5</v>
      </c>
      <c r="I217" s="541">
        <f t="shared" si="604"/>
        <v>84.885891133853093</v>
      </c>
      <c r="J217" s="172">
        <f t="shared" si="605"/>
        <v>15.468465319688146</v>
      </c>
      <c r="K217" s="172">
        <f t="shared" si="606"/>
        <v>100.35435645354124</v>
      </c>
      <c r="L217" s="443"/>
      <c r="M217" s="217">
        <f t="shared" si="607"/>
        <v>0.15414609730567899</v>
      </c>
      <c r="N217" s="172">
        <f t="shared" si="608"/>
        <v>328.51098392863088</v>
      </c>
      <c r="O217" s="172">
        <f t="shared" si="599"/>
        <v>1.5</v>
      </c>
      <c r="P217" s="217">
        <f t="shared" si="609"/>
        <v>21.900732261908725</v>
      </c>
      <c r="Q217" s="217">
        <f t="shared" si="610"/>
        <v>15</v>
      </c>
      <c r="R217" s="217"/>
      <c r="S217" s="172">
        <f t="shared" si="611"/>
        <v>21136.588498724603</v>
      </c>
      <c r="T217" s="172">
        <f t="shared" si="612"/>
        <v>15</v>
      </c>
      <c r="U217" s="217">
        <f t="shared" si="613"/>
        <v>0.23644745193340683</v>
      </c>
      <c r="V217" s="217">
        <f t="shared" si="614"/>
        <v>3.3425689302439561E-2</v>
      </c>
      <c r="W217" s="217">
        <f t="shared" si="615"/>
        <v>0.18342927786051921</v>
      </c>
      <c r="X217" s="197">
        <f t="shared" si="616"/>
        <v>109.03483329285469</v>
      </c>
      <c r="Y217" s="443">
        <f t="shared" ref="Y217:Y280" si="680">MIN(1/(V217+W217+0.2)*1000, 350)</f>
        <v>350</v>
      </c>
      <c r="AA217" s="217">
        <f t="shared" si="617"/>
        <v>10</v>
      </c>
      <c r="AB217" s="173">
        <f t="shared" si="618"/>
        <v>7.757718527336058</v>
      </c>
      <c r="AC217" s="173">
        <f t="shared" si="619"/>
        <v>4.2293077318048864</v>
      </c>
      <c r="AD217" s="173"/>
      <c r="AE217" s="173">
        <f t="shared" si="620"/>
        <v>7.757718527336058</v>
      </c>
      <c r="AF217" s="545">
        <f t="shared" si="621"/>
        <v>12</v>
      </c>
      <c r="AG217" s="528">
        <f t="shared" si="622"/>
        <v>4.2293077318048864</v>
      </c>
      <c r="AI217" s="173">
        <f t="shared" si="623"/>
        <v>0.85825030536074765</v>
      </c>
      <c r="AJ217" s="173">
        <f t="shared" si="624"/>
        <v>10</v>
      </c>
      <c r="AK217" s="173">
        <f t="shared" si="625"/>
        <v>1.0068571428571429</v>
      </c>
      <c r="AM217" s="545">
        <f t="shared" si="626"/>
        <v>100</v>
      </c>
      <c r="AN217" s="460">
        <f t="shared" si="627"/>
        <v>12</v>
      </c>
      <c r="AP217">
        <f t="shared" si="628"/>
        <v>100</v>
      </c>
      <c r="AQ217">
        <f t="shared" si="629"/>
        <v>12</v>
      </c>
      <c r="AS217" s="5">
        <f t="shared" si="600"/>
        <v>83.333333333333329</v>
      </c>
      <c r="AT217" s="5">
        <f t="shared" si="630"/>
        <v>1.4136624873358155</v>
      </c>
      <c r="AU217" s="5">
        <f t="shared" si="478"/>
        <v>81.919670845997516</v>
      </c>
      <c r="AV217" s="5"/>
      <c r="AW217" s="173">
        <f t="shared" si="479"/>
        <v>1.6963949848029788E-2</v>
      </c>
      <c r="AX217" s="173">
        <f t="shared" si="631"/>
        <v>7.2000000000000011</v>
      </c>
      <c r="AY217" s="173">
        <f t="shared" si="632"/>
        <v>4.9151802507598514</v>
      </c>
      <c r="AZ217" s="173">
        <f t="shared" si="633"/>
        <v>1.4648496357558674</v>
      </c>
      <c r="BA217" s="460">
        <f t="shared" si="594"/>
        <v>0.94244165822387704</v>
      </c>
      <c r="BB217" s="5">
        <f t="shared" si="595"/>
        <v>0.40210682517320873</v>
      </c>
      <c r="BD217" s="173">
        <f t="shared" ref="BD217:BD280" si="681">AJ217*SQRT(AW217/3)</f>
        <v>0.7519740653335899</v>
      </c>
      <c r="BE217" s="173">
        <f t="shared" ref="BE217:BE280" si="682">AJ217*Nps*SQRT((1-AW217)/3)</f>
        <v>5.7243225222203371</v>
      </c>
      <c r="BG217" s="528">
        <f t="shared" ref="BG217:BG280" si="683">Rdson*BD217^2</f>
        <v>1.1309299898686523E-2</v>
      </c>
      <c r="BH217" s="528">
        <f t="shared" si="634"/>
        <v>0.2257973020204678</v>
      </c>
      <c r="BI217" s="528">
        <f t="shared" si="635"/>
        <v>2.5465767340155928E-2</v>
      </c>
      <c r="BJ217" s="528">
        <f t="shared" ref="BJ217:BJ280" si="684">0.5*(Coss+Csw)*K217^2*AN217*1000</f>
        <v>1.2085196231045299E-2</v>
      </c>
      <c r="BK217">
        <f t="shared" ref="BK217:BK280" si="685">I217*IQ</f>
        <v>3.819865101023389E-2</v>
      </c>
      <c r="BL217" s="460">
        <f t="shared" ref="BL217:BL280" si="686">(BK217+BI217)*1000</f>
        <v>63.664418350389816</v>
      </c>
      <c r="BM217" s="528">
        <f t="shared" si="636"/>
        <v>0.25292494111584352</v>
      </c>
      <c r="BN217" s="460">
        <f t="shared" ref="BN217:BN280" si="687">BM217*1000</f>
        <v>252.92494111584352</v>
      </c>
      <c r="BO217" s="528">
        <f t="shared" si="637"/>
        <v>6.9999999999999993E-2</v>
      </c>
      <c r="BR217" s="460">
        <f t="shared" ref="BR217:BR280" si="688">SUM(BO217:BQ217)*1000</f>
        <v>69.999999999999986</v>
      </c>
      <c r="BS217" s="528">
        <f t="shared" ref="BS217:BS280" si="689">Rdcr_pri*BD217^2</f>
        <v>1.6963949848029784E-2</v>
      </c>
      <c r="BT217" s="528">
        <f t="shared" ref="BT217:BT280" si="690">Rdcr_sec*BE217^2</f>
        <v>0.98303605015197015</v>
      </c>
      <c r="BU217" s="528">
        <f t="shared" ref="BU217:BU280" si="691">AJ217^2.5*AN217^2.5*k_core</f>
        <v>7.8872048280743991E-3</v>
      </c>
      <c r="BV217" s="528"/>
      <c r="BW217" s="528">
        <f t="shared" ref="BW217:BW280" si="692">0.5*Lleak*0.000000001*AJ217^2*AN217*1000</f>
        <v>1.2000000000000001E-3</v>
      </c>
      <c r="BX217" s="460">
        <f t="shared" ref="BX217:BX280" si="693">SUM(BS217:BW217)*1000</f>
        <v>1009.0872048280744</v>
      </c>
      <c r="BY217" s="173">
        <f t="shared" ref="BY217:BY280" si="694">SUM(BG217:BK217,BO217:BQ217,BS217:BW217)</f>
        <v>1.3919434213286639</v>
      </c>
      <c r="BZ217" s="5">
        <f t="shared" ref="BZ217:BZ280" si="695">MIN(H217,O217)</f>
        <v>1.5</v>
      </c>
      <c r="CA217" s="173">
        <f t="shared" ref="CA217:CA280" si="696">BZ217/(BZ217+BY217)</f>
        <v>0.51868234659682433</v>
      </c>
      <c r="CB217" s="5">
        <f t="shared" ref="CB217:CB280" si="697">CA217*100</f>
        <v>51.868234659682436</v>
      </c>
      <c r="CE217" s="562">
        <f t="shared" si="638"/>
        <v>-50</v>
      </c>
      <c r="CF217">
        <f t="shared" si="639"/>
        <v>-50</v>
      </c>
      <c r="CG217" s="173">
        <f t="shared" si="640"/>
        <v>4.381780460041329E-2</v>
      </c>
      <c r="CI217" s="170">
        <v>1</v>
      </c>
      <c r="CJ217" s="217">
        <f t="shared" ref="CJ217:CJ280" si="698">IF(PLOT_TYPE=1, CI217/100*Iout_max, min_I*EXP(CR217*rr/100))</f>
        <v>0.1</v>
      </c>
      <c r="CK217" s="217"/>
      <c r="CL217" s="217">
        <f t="shared" si="641"/>
        <v>1.5</v>
      </c>
      <c r="CM217" s="541">
        <f t="shared" si="642"/>
        <v>85</v>
      </c>
      <c r="CN217" s="443">
        <f t="shared" si="643"/>
        <v>15.4</v>
      </c>
      <c r="CO217" s="443">
        <f t="shared" si="644"/>
        <v>100.4</v>
      </c>
      <c r="CP217" s="443"/>
      <c r="CQ217" s="217">
        <f t="shared" si="645"/>
        <v>0.15338645418326693</v>
      </c>
      <c r="CR217" s="172">
        <f t="shared" si="646"/>
        <v>327.33148655378488</v>
      </c>
      <c r="CS217" s="172">
        <f t="shared" si="647"/>
        <v>1.5</v>
      </c>
      <c r="CT217" s="217">
        <f t="shared" si="648"/>
        <v>21.822099103585661</v>
      </c>
      <c r="CU217" s="217">
        <f t="shared" si="649"/>
        <v>15</v>
      </c>
      <c r="CV217" s="217"/>
      <c r="CW217" s="172">
        <f t="shared" si="650"/>
        <v>21165.001606395221</v>
      </c>
      <c r="CX217" s="172">
        <f t="shared" si="651"/>
        <v>15</v>
      </c>
      <c r="CY217" s="217">
        <f t="shared" si="652"/>
        <v>0.23009931245225362</v>
      </c>
      <c r="CZ217" s="217">
        <f t="shared" si="653"/>
        <v>3.2484608816788746E-2</v>
      </c>
      <c r="DA217" s="217">
        <f t="shared" si="654"/>
        <v>0.17929816554721062</v>
      </c>
      <c r="DB217" s="197">
        <f t="shared" si="655"/>
        <v>108.64873837981409</v>
      </c>
      <c r="DC217" s="443">
        <f t="shared" si="656"/>
        <v>350</v>
      </c>
      <c r="DE217" s="217">
        <f t="shared" si="657"/>
        <v>10</v>
      </c>
      <c r="DF217" s="173">
        <f t="shared" si="658"/>
        <v>7.7922077922077913</v>
      </c>
      <c r="DG217" s="173">
        <f t="shared" si="659"/>
        <v>4.2330677290836656</v>
      </c>
      <c r="DH217" s="173"/>
      <c r="DI217" s="173">
        <f t="shared" si="660"/>
        <v>7.7922077922077913</v>
      </c>
      <c r="DJ217" s="545">
        <f t="shared" si="661"/>
        <v>12</v>
      </c>
      <c r="DK217" s="528">
        <f t="shared" si="662"/>
        <v>4.2330677290836656</v>
      </c>
      <c r="DM217" s="173">
        <f t="shared" si="663"/>
        <v>0.8563488385776753</v>
      </c>
      <c r="DN217" s="173">
        <f t="shared" si="664"/>
        <v>10</v>
      </c>
      <c r="DO217" s="173">
        <f t="shared" si="665"/>
        <v>1.0068571428571429</v>
      </c>
      <c r="DQ217" s="545">
        <f t="shared" si="666"/>
        <v>100</v>
      </c>
      <c r="DR217" s="460">
        <f t="shared" si="667"/>
        <v>12</v>
      </c>
      <c r="DT217">
        <f t="shared" si="668"/>
        <v>100</v>
      </c>
      <c r="DU217">
        <f t="shared" si="669"/>
        <v>12</v>
      </c>
      <c r="DW217" s="5">
        <f t="shared" si="670"/>
        <v>83.333333333333329</v>
      </c>
      <c r="DX217" s="5">
        <f t="shared" si="671"/>
        <v>1.4117647058823528</v>
      </c>
      <c r="DY217" s="5">
        <f t="shared" si="672"/>
        <v>81.921568627450981</v>
      </c>
      <c r="DZ217" s="5"/>
      <c r="EA217" s="173">
        <f t="shared" si="673"/>
        <v>1.6941176470588234E-2</v>
      </c>
      <c r="EB217" s="173">
        <f t="shared" ref="EB217:EB280" si="699">0.5*L*DN217^2*DR217*1000</f>
        <v>7.2000000000000011</v>
      </c>
      <c r="EC217" s="173">
        <f t="shared" ref="EC217:EC280" si="700">DN217*Nps/2*(1-EA217)</f>
        <v>4.9152941176470586</v>
      </c>
      <c r="ED217" s="173">
        <f t="shared" ref="ED217:ED280" si="701">EB217/EC217</f>
        <v>1.4648157012924847</v>
      </c>
      <c r="EE217" s="460">
        <f t="shared" si="674"/>
        <v>0.94117647058823528</v>
      </c>
      <c r="EF217" s="5">
        <f t="shared" si="675"/>
        <v>0.40157631680123029</v>
      </c>
      <c r="EH217" s="173">
        <f t="shared" ref="EH217:EH280" si="702">DN217*SQRT(EA217/3)</f>
        <v>0.75146914930217945</v>
      </c>
      <c r="EI217" s="173">
        <f t="shared" ref="EI217:EI280" si="703">DN217*Nps*SQRT((1-EA217)/3)</f>
        <v>5.7243888277247903</v>
      </c>
      <c r="EK217" s="528">
        <f t="shared" ref="EK217:EK280" si="704">Rdson*EH217^2</f>
        <v>1.1294117647058826E-2</v>
      </c>
      <c r="EL217" s="528">
        <f t="shared" ref="EL217:EL280" si="705">0.5*CO217*DN217*DR217*1000*Trise</f>
        <v>0.24096000000000001</v>
      </c>
      <c r="EM217" s="528">
        <f t="shared" ref="EM217:EM280" si="706">Qg*Vdd*DR217*1000</f>
        <v>1.5E-3</v>
      </c>
      <c r="EN217" s="528">
        <f t="shared" ref="EN217:EN280" si="707">0.5*(Coss+Csw)*CO217^2*DR217*1000</f>
        <v>1.2096192000000002E-2</v>
      </c>
      <c r="EO217">
        <f t="shared" ref="EO217:EO280" si="708">CM217*IQ</f>
        <v>3.8249999999999999E-2</v>
      </c>
      <c r="EP217" s="460">
        <f t="shared" ref="EP217:EP280" si="709">(EO217+EM217)*1000</f>
        <v>39.75</v>
      </c>
      <c r="EQ217" s="460"/>
      <c r="ER217" s="460">
        <f t="shared" ref="ER217:ER280" si="710">SUM(EK217:EO217)*1000</f>
        <v>304.10030964705885</v>
      </c>
      <c r="ES217" s="528">
        <f t="shared" ref="ES217:ES280" si="711">Vfwd2*CJ217</f>
        <v>6.9999999999999993E-2</v>
      </c>
      <c r="EV217" s="460">
        <f t="shared" ref="EV217:EV280" si="712">SUM(ES217:EU217)*1000</f>
        <v>69.999999999999986</v>
      </c>
      <c r="EW217" s="528">
        <f t="shared" ref="EW217:EW280" si="713">Rdcr_pri*EH217^2</f>
        <v>1.6941176470588237E-2</v>
      </c>
      <c r="EX217" s="528">
        <f t="shared" ref="EX217:EX280" si="714">Rdcr_sec*EI217^2</f>
        <v>0.98305882352941187</v>
      </c>
      <c r="EY217" s="528">
        <f t="shared" ref="EY217:EY280" si="715">DN217^2.5*DR217^2.5*k_core</f>
        <v>7.8872048280743991E-3</v>
      </c>
      <c r="EZ217" s="528"/>
      <c r="FA217" s="528">
        <f t="shared" ref="FA217:FA280" si="716">0.5*Lleak*0.000000001*DN217^2*DR217*1000</f>
        <v>1.2000000000000001E-3</v>
      </c>
      <c r="FB217" s="460">
        <f t="shared" ref="FB217:FB280" si="717">SUM(EW217:FA217)*1000</f>
        <v>1009.0872048280746</v>
      </c>
      <c r="FC217" s="173">
        <f t="shared" ref="FC217:FC280" si="718">SUM(EK217:EO217,ES217:EU217,EW217:FA217)</f>
        <v>1.3831875144751336</v>
      </c>
      <c r="FD217" s="5">
        <f t="shared" ref="FD217:FD280" si="719">MIN(CL217,CS217)</f>
        <v>1.5</v>
      </c>
      <c r="FE217" s="173">
        <f t="shared" ref="FE217:FE280" si="720">FD217/(FD217+FC217)</f>
        <v>0.52025752486413135</v>
      </c>
      <c r="FF217" s="5">
        <f t="shared" ref="FF217:FF280" si="721">FE217*100</f>
        <v>52.025752486413133</v>
      </c>
      <c r="FI217" s="562">
        <f t="shared" si="676"/>
        <v>-50</v>
      </c>
      <c r="FJ217">
        <f t="shared" si="677"/>
        <v>-50</v>
      </c>
      <c r="FL217">
        <f t="shared" si="678"/>
        <v>4.3244998209386834E-2</v>
      </c>
    </row>
    <row r="218" spans="5:168">
      <c r="E218" s="170">
        <v>2</v>
      </c>
      <c r="F218" s="217">
        <f t="shared" si="679"/>
        <v>0.2</v>
      </c>
      <c r="G218" s="217"/>
      <c r="H218" s="217">
        <f t="shared" si="603"/>
        <v>3</v>
      </c>
      <c r="I218" s="541">
        <f t="shared" si="604"/>
        <v>84.838625693908028</v>
      </c>
      <c r="J218" s="172">
        <f t="shared" si="605"/>
        <v>15.496824583655187</v>
      </c>
      <c r="K218" s="172">
        <f t="shared" si="606"/>
        <v>100.33545027756321</v>
      </c>
      <c r="L218" s="443"/>
      <c r="M218" s="217">
        <f t="shared" si="607"/>
        <v>0.15446095019460071</v>
      </c>
      <c r="N218" s="172">
        <f t="shared" si="608"/>
        <v>328.99869551302777</v>
      </c>
      <c r="O218" s="172">
        <f t="shared" si="599"/>
        <v>3</v>
      </c>
      <c r="P218" s="217">
        <f t="shared" si="609"/>
        <v>21.933246367535183</v>
      </c>
      <c r="Q218" s="217">
        <f t="shared" si="610"/>
        <v>15</v>
      </c>
      <c r="R218" s="217"/>
      <c r="S218" s="172">
        <f t="shared" si="611"/>
        <v>10519.992811727408</v>
      </c>
      <c r="T218" s="172">
        <f t="shared" si="612"/>
        <v>15</v>
      </c>
      <c r="U218" s="217">
        <f t="shared" si="613"/>
        <v>0.47307099546976572</v>
      </c>
      <c r="V218" s="217">
        <f t="shared" si="614"/>
        <v>6.6913530237027674E-2</v>
      </c>
      <c r="W218" s="217">
        <f t="shared" si="615"/>
        <v>0.36632355970684982</v>
      </c>
      <c r="X218" s="197">
        <f t="shared" si="616"/>
        <v>109.1944818323492</v>
      </c>
      <c r="Y218" s="443">
        <f t="shared" si="680"/>
        <v>350</v>
      </c>
      <c r="AA218" s="217">
        <f t="shared" si="617"/>
        <v>10</v>
      </c>
      <c r="AB218" s="173">
        <f t="shared" si="618"/>
        <v>7.7435218648965307</v>
      </c>
      <c r="AC218" s="173">
        <f t="shared" si="619"/>
        <v>4.2277492879742145</v>
      </c>
      <c r="AD218" s="173"/>
      <c r="AE218" s="173">
        <f t="shared" si="620"/>
        <v>7.7435218648965307</v>
      </c>
      <c r="AF218" s="545">
        <f t="shared" si="621"/>
        <v>12</v>
      </c>
      <c r="AG218" s="528">
        <f t="shared" si="622"/>
        <v>4.2277492879742145</v>
      </c>
      <c r="AI218" s="173">
        <f t="shared" si="623"/>
        <v>1.2148613318342998</v>
      </c>
      <c r="AJ218" s="173">
        <f t="shared" si="624"/>
        <v>10</v>
      </c>
      <c r="AK218" s="173">
        <f t="shared" si="625"/>
        <v>1.0068571428571429</v>
      </c>
      <c r="AM218" s="545">
        <f t="shared" si="626"/>
        <v>200</v>
      </c>
      <c r="AN218" s="460">
        <f t="shared" si="627"/>
        <v>12</v>
      </c>
      <c r="AP218">
        <f t="shared" si="628"/>
        <v>200</v>
      </c>
      <c r="AQ218">
        <f t="shared" si="629"/>
        <v>12</v>
      </c>
      <c r="AS218" s="5">
        <f t="shared" si="600"/>
        <v>83.333333333333329</v>
      </c>
      <c r="AT218" s="5">
        <f t="shared" si="630"/>
        <v>1.4144500693935309</v>
      </c>
      <c r="AU218" s="5">
        <f t="shared" si="478"/>
        <v>81.918883263939804</v>
      </c>
      <c r="AV218" s="5"/>
      <c r="AW218" s="173">
        <f t="shared" si="479"/>
        <v>1.6973400832722373E-2</v>
      </c>
      <c r="AX218" s="173">
        <f t="shared" si="631"/>
        <v>7.2000000000000011</v>
      </c>
      <c r="AY218" s="173">
        <f t="shared" si="632"/>
        <v>4.9151329958363883</v>
      </c>
      <c r="AZ218" s="173">
        <f t="shared" si="633"/>
        <v>1.4648637190690719</v>
      </c>
      <c r="BA218" s="460">
        <f t="shared" si="594"/>
        <v>1.8859334258580414</v>
      </c>
      <c r="BB218" s="5">
        <f t="shared" si="595"/>
        <v>0.80465395914805704</v>
      </c>
      <c r="BD218" s="173">
        <f t="shared" si="681"/>
        <v>0.7521835067039242</v>
      </c>
      <c r="BE218" s="173">
        <f t="shared" si="682"/>
        <v>5.7242950051142474</v>
      </c>
      <c r="BG218" s="528">
        <f t="shared" si="683"/>
        <v>1.1315600555148249E-2</v>
      </c>
      <c r="BH218" s="528">
        <f t="shared" si="634"/>
        <v>0.2257547631245172</v>
      </c>
      <c r="BI218" s="528">
        <f t="shared" si="635"/>
        <v>2.5451587708172404E-2</v>
      </c>
      <c r="BJ218" s="528">
        <f t="shared" si="684"/>
        <v>1.2080643098881632E-2</v>
      </c>
      <c r="BK218">
        <f t="shared" si="685"/>
        <v>3.8177381562258611E-2</v>
      </c>
      <c r="BL218" s="460">
        <f t="shared" si="686"/>
        <v>63.628969270431021</v>
      </c>
      <c r="BM218" s="528">
        <f t="shared" si="636"/>
        <v>0.25288612519921466</v>
      </c>
      <c r="BN218" s="460">
        <f t="shared" si="687"/>
        <v>252.88612519921466</v>
      </c>
      <c r="BO218" s="528">
        <f t="shared" si="637"/>
        <v>0.13999999999999999</v>
      </c>
      <c r="BR218" s="460">
        <f t="shared" si="688"/>
        <v>139.99999999999997</v>
      </c>
      <c r="BS218" s="528">
        <f t="shared" si="689"/>
        <v>1.6973400832722373E-2</v>
      </c>
      <c r="BT218" s="528">
        <f t="shared" si="690"/>
        <v>0.98302659916727764</v>
      </c>
      <c r="BU218" s="528">
        <f t="shared" si="691"/>
        <v>7.8872048280743991E-3</v>
      </c>
      <c r="BV218" s="528"/>
      <c r="BW218" s="528">
        <f t="shared" si="692"/>
        <v>1.2000000000000001E-3</v>
      </c>
      <c r="BX218" s="460">
        <f t="shared" si="693"/>
        <v>1009.0872048280746</v>
      </c>
      <c r="BY218" s="173">
        <f t="shared" si="694"/>
        <v>1.4618671808770527</v>
      </c>
      <c r="BZ218" s="5">
        <f t="shared" si="695"/>
        <v>3</v>
      </c>
      <c r="CA218" s="173">
        <f t="shared" si="696"/>
        <v>0.67236425433226388</v>
      </c>
      <c r="CB218" s="5">
        <f t="shared" si="697"/>
        <v>67.236425433226387</v>
      </c>
      <c r="CE218" s="562">
        <f t="shared" si="638"/>
        <v>-50</v>
      </c>
      <c r="CF218">
        <f t="shared" si="639"/>
        <v>-50</v>
      </c>
      <c r="CG218" s="173">
        <f t="shared" si="640"/>
        <v>6.1967733539318677E-2</v>
      </c>
      <c r="CI218" s="170">
        <v>2</v>
      </c>
      <c r="CJ218" s="217">
        <f t="shared" si="698"/>
        <v>0.2</v>
      </c>
      <c r="CK218" s="217"/>
      <c r="CL218" s="217">
        <f t="shared" si="641"/>
        <v>3</v>
      </c>
      <c r="CM218" s="541">
        <f t="shared" si="642"/>
        <v>85</v>
      </c>
      <c r="CN218" s="443">
        <f t="shared" si="643"/>
        <v>15.4</v>
      </c>
      <c r="CO218" s="443">
        <f t="shared" si="644"/>
        <v>100.4</v>
      </c>
      <c r="CP218" s="443"/>
      <c r="CQ218" s="217">
        <f t="shared" si="645"/>
        <v>0.15338645418326693</v>
      </c>
      <c r="CR218" s="172">
        <f t="shared" si="646"/>
        <v>327.33148655378488</v>
      </c>
      <c r="CS218" s="172">
        <f t="shared" si="647"/>
        <v>3</v>
      </c>
      <c r="CT218" s="217">
        <f t="shared" si="648"/>
        <v>21.822099103585661</v>
      </c>
      <c r="CU218" s="217">
        <f t="shared" si="649"/>
        <v>15</v>
      </c>
      <c r="CV218" s="217"/>
      <c r="CW218" s="172">
        <f t="shared" si="650"/>
        <v>10540.003225683049</v>
      </c>
      <c r="CX218" s="172">
        <f t="shared" si="651"/>
        <v>15</v>
      </c>
      <c r="CY218" s="217">
        <f t="shared" si="652"/>
        <v>0.46019862490450725</v>
      </c>
      <c r="CZ218" s="217">
        <f t="shared" si="653"/>
        <v>6.4969217633577492E-2</v>
      </c>
      <c r="DA218" s="217">
        <f t="shared" si="654"/>
        <v>0.35859633109442124</v>
      </c>
      <c r="DB218" s="197">
        <f t="shared" si="655"/>
        <v>108.64873837981409</v>
      </c>
      <c r="DC218" s="443">
        <f t="shared" si="656"/>
        <v>350</v>
      </c>
      <c r="DE218" s="217">
        <f t="shared" si="657"/>
        <v>10</v>
      </c>
      <c r="DF218" s="173">
        <f t="shared" si="658"/>
        <v>7.7922077922077913</v>
      </c>
      <c r="DG218" s="173">
        <f t="shared" si="659"/>
        <v>4.2330677290836656</v>
      </c>
      <c r="DH218" s="173"/>
      <c r="DI218" s="173">
        <f t="shared" si="660"/>
        <v>7.7922077922077913</v>
      </c>
      <c r="DJ218" s="545">
        <f t="shared" si="661"/>
        <v>12</v>
      </c>
      <c r="DK218" s="528">
        <f t="shared" si="662"/>
        <v>4.2330677290836656</v>
      </c>
      <c r="DM218" s="173">
        <f t="shared" si="663"/>
        <v>1.2110601416389968</v>
      </c>
      <c r="DN218" s="173">
        <f t="shared" si="664"/>
        <v>10</v>
      </c>
      <c r="DO218" s="173">
        <f t="shared" si="665"/>
        <v>1.0068571428571429</v>
      </c>
      <c r="DQ218" s="545">
        <f t="shared" si="666"/>
        <v>200</v>
      </c>
      <c r="DR218" s="460">
        <f t="shared" si="667"/>
        <v>12</v>
      </c>
      <c r="DT218">
        <f t="shared" si="668"/>
        <v>200</v>
      </c>
      <c r="DU218">
        <f t="shared" si="669"/>
        <v>12</v>
      </c>
      <c r="DW218" s="5">
        <f t="shared" si="670"/>
        <v>83.333333333333329</v>
      </c>
      <c r="DX218" s="5">
        <f t="shared" si="671"/>
        <v>1.4117647058823528</v>
      </c>
      <c r="DY218" s="5">
        <f t="shared" si="672"/>
        <v>81.921568627450981</v>
      </c>
      <c r="DZ218" s="5"/>
      <c r="EA218" s="173">
        <f t="shared" si="673"/>
        <v>1.6941176470588234E-2</v>
      </c>
      <c r="EB218" s="173">
        <f t="shared" si="699"/>
        <v>7.2000000000000011</v>
      </c>
      <c r="EC218" s="173">
        <f t="shared" si="700"/>
        <v>4.9152941176470586</v>
      </c>
      <c r="ED218" s="173">
        <f t="shared" si="701"/>
        <v>1.4648157012924847</v>
      </c>
      <c r="EE218" s="460">
        <f t="shared" si="674"/>
        <v>1.8823529411764706</v>
      </c>
      <c r="EF218" s="5">
        <f t="shared" si="675"/>
        <v>0.80315263360246059</v>
      </c>
      <c r="EH218" s="173">
        <f t="shared" si="702"/>
        <v>0.75146914930217945</v>
      </c>
      <c r="EI218" s="173">
        <f t="shared" si="703"/>
        <v>5.7243888277247903</v>
      </c>
      <c r="EK218" s="528">
        <f t="shared" si="704"/>
        <v>1.1294117647058826E-2</v>
      </c>
      <c r="EL218" s="528">
        <f t="shared" si="705"/>
        <v>0.24096000000000001</v>
      </c>
      <c r="EM218" s="528">
        <f t="shared" si="706"/>
        <v>1.5E-3</v>
      </c>
      <c r="EN218" s="528">
        <f t="shared" si="707"/>
        <v>1.2096192000000002E-2</v>
      </c>
      <c r="EO218">
        <f t="shared" si="708"/>
        <v>3.8249999999999999E-2</v>
      </c>
      <c r="EP218" s="460">
        <f t="shared" si="709"/>
        <v>39.75</v>
      </c>
      <c r="EQ218" s="460"/>
      <c r="ER218" s="460">
        <f t="shared" si="710"/>
        <v>304.10030964705885</v>
      </c>
      <c r="ES218" s="528">
        <f t="shared" si="711"/>
        <v>0.13999999999999999</v>
      </c>
      <c r="EV218" s="460">
        <f t="shared" si="712"/>
        <v>139.99999999999997</v>
      </c>
      <c r="EW218" s="528">
        <f t="shared" si="713"/>
        <v>1.6941176470588237E-2</v>
      </c>
      <c r="EX218" s="528">
        <f t="shared" si="714"/>
        <v>0.98305882352941187</v>
      </c>
      <c r="EY218" s="528">
        <f t="shared" si="715"/>
        <v>7.8872048280743991E-3</v>
      </c>
      <c r="EZ218" s="528"/>
      <c r="FA218" s="528">
        <f t="shared" si="716"/>
        <v>1.2000000000000001E-3</v>
      </c>
      <c r="FB218" s="460">
        <f t="shared" si="717"/>
        <v>1009.0872048280746</v>
      </c>
      <c r="FC218" s="173">
        <f t="shared" si="718"/>
        <v>1.4531875144751334</v>
      </c>
      <c r="FD218" s="5">
        <f t="shared" si="719"/>
        <v>3</v>
      </c>
      <c r="FE218" s="173">
        <f t="shared" si="720"/>
        <v>0.67367475325224191</v>
      </c>
      <c r="FF218" s="5">
        <f t="shared" si="721"/>
        <v>67.367475325224191</v>
      </c>
      <c r="FI218" s="562">
        <f t="shared" si="676"/>
        <v>-50</v>
      </c>
      <c r="FJ218">
        <f t="shared" si="677"/>
        <v>-50</v>
      </c>
      <c r="FL218">
        <f t="shared" si="678"/>
        <v>6.115766297251507E-2</v>
      </c>
    </row>
    <row r="219" spans="5:168">
      <c r="E219" s="170">
        <v>3</v>
      </c>
      <c r="F219" s="217">
        <f t="shared" si="679"/>
        <v>0.3</v>
      </c>
      <c r="G219" s="217"/>
      <c r="H219" s="217">
        <f t="shared" si="603"/>
        <v>4.5</v>
      </c>
      <c r="I219" s="541">
        <f t="shared" si="604"/>
        <v>84.802357646239471</v>
      </c>
      <c r="J219" s="172">
        <f t="shared" si="605"/>
        <v>15.518585412256314</v>
      </c>
      <c r="K219" s="172">
        <f t="shared" si="606"/>
        <v>100.32094305849579</v>
      </c>
      <c r="L219" s="443"/>
      <c r="M219" s="217">
        <f t="shared" si="607"/>
        <v>0.15470262418040792</v>
      </c>
      <c r="N219" s="172">
        <f t="shared" si="608"/>
        <v>329.37259101082753</v>
      </c>
      <c r="O219" s="172">
        <f t="shared" si="599"/>
        <v>4.5</v>
      </c>
      <c r="P219" s="217">
        <f t="shared" si="609"/>
        <v>21.958172734055168</v>
      </c>
      <c r="Q219" s="217">
        <f t="shared" si="610"/>
        <v>15</v>
      </c>
      <c r="R219" s="217"/>
      <c r="S219" s="172">
        <f t="shared" si="611"/>
        <v>6982.0656375582839</v>
      </c>
      <c r="T219" s="172">
        <f t="shared" si="612"/>
        <v>15</v>
      </c>
      <c r="U219" s="217">
        <f t="shared" si="613"/>
        <v>0.70980937261072874</v>
      </c>
      <c r="V219" s="217">
        <f t="shared" si="614"/>
        <v>0.10044193000931809</v>
      </c>
      <c r="W219" s="217">
        <f t="shared" si="615"/>
        <v>0.54887170737879254</v>
      </c>
      <c r="X219" s="197">
        <f t="shared" si="616"/>
        <v>109.31687427141753</v>
      </c>
      <c r="Y219" s="443">
        <f t="shared" si="680"/>
        <v>350</v>
      </c>
      <c r="AA219" s="217">
        <f t="shared" si="617"/>
        <v>10</v>
      </c>
      <c r="AB219" s="173">
        <f t="shared" si="618"/>
        <v>7.7326635651485374</v>
      </c>
      <c r="AC219" s="173">
        <f t="shared" si="619"/>
        <v>4.2265530536725704</v>
      </c>
      <c r="AD219" s="173"/>
      <c r="AE219" s="173">
        <f t="shared" si="620"/>
        <v>7.7326635651485374</v>
      </c>
      <c r="AF219" s="545">
        <f t="shared" si="621"/>
        <v>12</v>
      </c>
      <c r="AG219" s="528">
        <f t="shared" si="622"/>
        <v>4.2265530536725695</v>
      </c>
      <c r="AI219" s="173">
        <f t="shared" si="623"/>
        <v>1.4889394793541721</v>
      </c>
      <c r="AJ219" s="173">
        <f t="shared" si="624"/>
        <v>10</v>
      </c>
      <c r="AK219" s="173">
        <f t="shared" si="625"/>
        <v>1.0068571428571429</v>
      </c>
      <c r="AM219" s="545">
        <f t="shared" si="626"/>
        <v>300</v>
      </c>
      <c r="AN219" s="460">
        <f t="shared" si="627"/>
        <v>12</v>
      </c>
      <c r="AP219">
        <f t="shared" si="628"/>
        <v>300</v>
      </c>
      <c r="AQ219">
        <f t="shared" si="629"/>
        <v>12</v>
      </c>
      <c r="AS219" s="5">
        <f t="shared" si="600"/>
        <v>83.333333333333329</v>
      </c>
      <c r="AT219" s="5">
        <f t="shared" si="630"/>
        <v>1.4150549976521951</v>
      </c>
      <c r="AU219" s="5">
        <f t="shared" si="478"/>
        <v>81.918278335681137</v>
      </c>
      <c r="AV219" s="5"/>
      <c r="AW219" s="173">
        <f t="shared" si="479"/>
        <v>1.6980659971826344E-2</v>
      </c>
      <c r="AX219" s="173">
        <f t="shared" si="631"/>
        <v>7.2000000000000011</v>
      </c>
      <c r="AY219" s="173">
        <f t="shared" si="632"/>
        <v>4.9150967001408681</v>
      </c>
      <c r="AZ219" s="173">
        <f t="shared" si="633"/>
        <v>1.4648745364040645</v>
      </c>
      <c r="BA219" s="460">
        <f t="shared" si="594"/>
        <v>2.8301099953043907</v>
      </c>
      <c r="BB219" s="5">
        <f t="shared" si="595"/>
        <v>1.2074882203955117</v>
      </c>
      <c r="BD219" s="173">
        <f t="shared" si="681"/>
        <v>0.75234433543483137</v>
      </c>
      <c r="BE219" s="173">
        <f t="shared" si="682"/>
        <v>5.7242738696076074</v>
      </c>
      <c r="BG219" s="528">
        <f t="shared" si="683"/>
        <v>1.132043998121756E-2</v>
      </c>
      <c r="BH219" s="528">
        <f t="shared" si="634"/>
        <v>0.22572212188161553</v>
      </c>
      <c r="BI219" s="528">
        <f t="shared" si="635"/>
        <v>2.5440707293871836E-2</v>
      </c>
      <c r="BJ219" s="528">
        <f t="shared" si="684"/>
        <v>1.2077149939375144E-2</v>
      </c>
      <c r="BK219">
        <f t="shared" si="685"/>
        <v>3.8161060940807762E-2</v>
      </c>
      <c r="BL219" s="460">
        <f t="shared" si="686"/>
        <v>63.601768234679597</v>
      </c>
      <c r="BM219" s="528">
        <f t="shared" si="636"/>
        <v>0.252856347554408</v>
      </c>
      <c r="BN219" s="460">
        <f t="shared" si="687"/>
        <v>252.85634755440799</v>
      </c>
      <c r="BO219" s="528">
        <f t="shared" si="637"/>
        <v>0.21</v>
      </c>
      <c r="BR219" s="460">
        <f t="shared" si="688"/>
        <v>210</v>
      </c>
      <c r="BS219" s="528">
        <f t="shared" si="689"/>
        <v>1.698065997182634E-2</v>
      </c>
      <c r="BT219" s="528">
        <f t="shared" si="690"/>
        <v>0.98301934002817348</v>
      </c>
      <c r="BU219" s="528">
        <f t="shared" si="691"/>
        <v>7.8872048280743991E-3</v>
      </c>
      <c r="BV219" s="528"/>
      <c r="BW219" s="528">
        <f t="shared" si="692"/>
        <v>1.2000000000000001E-3</v>
      </c>
      <c r="BX219" s="460">
        <f t="shared" si="693"/>
        <v>1009.0872048280744</v>
      </c>
      <c r="BY219" s="173">
        <f t="shared" si="694"/>
        <v>1.5318086848649621</v>
      </c>
      <c r="BZ219" s="5">
        <f t="shared" si="695"/>
        <v>4.5</v>
      </c>
      <c r="CA219" s="173">
        <f t="shared" si="696"/>
        <v>0.74604488224094667</v>
      </c>
      <c r="CB219" s="5">
        <f t="shared" si="697"/>
        <v>74.604488224094666</v>
      </c>
      <c r="CE219" s="562">
        <f t="shared" si="638"/>
        <v>-50</v>
      </c>
      <c r="CF219">
        <f t="shared" si="639"/>
        <v>-50</v>
      </c>
      <c r="CG219" s="173">
        <f t="shared" si="640"/>
        <v>7.5894663844041116E-2</v>
      </c>
      <c r="CI219" s="170">
        <v>3</v>
      </c>
      <c r="CJ219" s="217">
        <f t="shared" si="698"/>
        <v>0.3</v>
      </c>
      <c r="CK219" s="217"/>
      <c r="CL219" s="217">
        <f t="shared" si="641"/>
        <v>4.5</v>
      </c>
      <c r="CM219" s="541">
        <f t="shared" si="642"/>
        <v>85</v>
      </c>
      <c r="CN219" s="443">
        <f t="shared" si="643"/>
        <v>15.4</v>
      </c>
      <c r="CO219" s="443">
        <f t="shared" si="644"/>
        <v>100.4</v>
      </c>
      <c r="CP219" s="443"/>
      <c r="CQ219" s="217">
        <f t="shared" si="645"/>
        <v>0.15338645418326693</v>
      </c>
      <c r="CR219" s="172">
        <f t="shared" si="646"/>
        <v>327.33148655378488</v>
      </c>
      <c r="CS219" s="172">
        <f t="shared" si="647"/>
        <v>4.5</v>
      </c>
      <c r="CT219" s="217">
        <f t="shared" si="648"/>
        <v>21.822099103585661</v>
      </c>
      <c r="CU219" s="217">
        <f t="shared" si="649"/>
        <v>15</v>
      </c>
      <c r="CV219" s="217"/>
      <c r="CW219" s="172">
        <f t="shared" si="650"/>
        <v>6998.3381913518897</v>
      </c>
      <c r="CX219" s="172">
        <f t="shared" si="651"/>
        <v>15</v>
      </c>
      <c r="CY219" s="217">
        <f t="shared" si="652"/>
        <v>0.69029793735676082</v>
      </c>
      <c r="CZ219" s="217">
        <f t="shared" si="653"/>
        <v>9.7453826450366238E-2</v>
      </c>
      <c r="DA219" s="217">
        <f t="shared" si="654"/>
        <v>0.5378944966416318</v>
      </c>
      <c r="DB219" s="197">
        <f t="shared" si="655"/>
        <v>108.64873837981409</v>
      </c>
      <c r="DC219" s="443">
        <f t="shared" si="656"/>
        <v>350</v>
      </c>
      <c r="DE219" s="217">
        <f t="shared" si="657"/>
        <v>10</v>
      </c>
      <c r="DF219" s="173">
        <f t="shared" si="658"/>
        <v>7.7922077922077913</v>
      </c>
      <c r="DG219" s="173">
        <f t="shared" si="659"/>
        <v>4.2330677290836656</v>
      </c>
      <c r="DH219" s="173"/>
      <c r="DI219" s="173">
        <f t="shared" si="660"/>
        <v>7.7922077922077913</v>
      </c>
      <c r="DJ219" s="545">
        <f t="shared" si="661"/>
        <v>12</v>
      </c>
      <c r="DK219" s="528">
        <f t="shared" si="662"/>
        <v>4.2330677290836656</v>
      </c>
      <c r="DM219" s="173">
        <f t="shared" si="663"/>
        <v>1.4832396974191326</v>
      </c>
      <c r="DN219" s="173">
        <f t="shared" si="664"/>
        <v>10</v>
      </c>
      <c r="DO219" s="173">
        <f t="shared" si="665"/>
        <v>1.0068571428571429</v>
      </c>
      <c r="DQ219" s="545">
        <f t="shared" si="666"/>
        <v>300</v>
      </c>
      <c r="DR219" s="460">
        <f t="shared" si="667"/>
        <v>12</v>
      </c>
      <c r="DT219">
        <f t="shared" si="668"/>
        <v>300</v>
      </c>
      <c r="DU219">
        <f t="shared" si="669"/>
        <v>12</v>
      </c>
      <c r="DW219" s="5">
        <f t="shared" si="670"/>
        <v>83.333333333333329</v>
      </c>
      <c r="DX219" s="5">
        <f t="shared" si="671"/>
        <v>1.4117647058823528</v>
      </c>
      <c r="DY219" s="5">
        <f t="shared" si="672"/>
        <v>81.921568627450981</v>
      </c>
      <c r="DZ219" s="5"/>
      <c r="EA219" s="173">
        <f t="shared" si="673"/>
        <v>1.6941176470588234E-2</v>
      </c>
      <c r="EB219" s="173">
        <f t="shared" si="699"/>
        <v>7.2000000000000011</v>
      </c>
      <c r="EC219" s="173">
        <f t="shared" si="700"/>
        <v>4.9152941176470586</v>
      </c>
      <c r="ED219" s="173">
        <f t="shared" si="701"/>
        <v>1.4648157012924847</v>
      </c>
      <c r="EE219" s="460">
        <f t="shared" si="674"/>
        <v>2.8235294117647056</v>
      </c>
      <c r="EF219" s="5">
        <f t="shared" si="675"/>
        <v>1.2047289504036909</v>
      </c>
      <c r="EH219" s="173">
        <f t="shared" si="702"/>
        <v>0.75146914930217945</v>
      </c>
      <c r="EI219" s="173">
        <f t="shared" si="703"/>
        <v>5.7243888277247903</v>
      </c>
      <c r="EK219" s="528">
        <f t="shared" si="704"/>
        <v>1.1294117647058826E-2</v>
      </c>
      <c r="EL219" s="528">
        <f t="shared" si="705"/>
        <v>0.24096000000000001</v>
      </c>
      <c r="EM219" s="528">
        <f t="shared" si="706"/>
        <v>1.5E-3</v>
      </c>
      <c r="EN219" s="528">
        <f t="shared" si="707"/>
        <v>1.2096192000000002E-2</v>
      </c>
      <c r="EO219">
        <f t="shared" si="708"/>
        <v>3.8249999999999999E-2</v>
      </c>
      <c r="EP219" s="460">
        <f t="shared" si="709"/>
        <v>39.75</v>
      </c>
      <c r="EQ219" s="460"/>
      <c r="ER219" s="460">
        <f t="shared" si="710"/>
        <v>304.10030964705885</v>
      </c>
      <c r="ES219" s="528">
        <f t="shared" si="711"/>
        <v>0.21</v>
      </c>
      <c r="EV219" s="460">
        <f t="shared" si="712"/>
        <v>210</v>
      </c>
      <c r="EW219" s="528">
        <f t="shared" si="713"/>
        <v>1.6941176470588237E-2</v>
      </c>
      <c r="EX219" s="528">
        <f t="shared" si="714"/>
        <v>0.98305882352941187</v>
      </c>
      <c r="EY219" s="528">
        <f t="shared" si="715"/>
        <v>7.8872048280743991E-3</v>
      </c>
      <c r="EZ219" s="528"/>
      <c r="FA219" s="528">
        <f t="shared" si="716"/>
        <v>1.2000000000000001E-3</v>
      </c>
      <c r="FB219" s="460">
        <f t="shared" si="717"/>
        <v>1009.0872048280746</v>
      </c>
      <c r="FC219" s="173">
        <f t="shared" si="718"/>
        <v>1.5231875144751337</v>
      </c>
      <c r="FD219" s="5">
        <f t="shared" si="719"/>
        <v>4.5</v>
      </c>
      <c r="FE219" s="173">
        <f t="shared" si="720"/>
        <v>0.74711271883623809</v>
      </c>
      <c r="FF219" s="5">
        <f t="shared" si="721"/>
        <v>74.711271883623809</v>
      </c>
      <c r="FI219" s="562">
        <f t="shared" si="676"/>
        <v>-50</v>
      </c>
      <c r="FJ219">
        <f t="shared" si="677"/>
        <v>-50</v>
      </c>
      <c r="FL219">
        <f t="shared" si="678"/>
        <v>7.4902534071883117E-2</v>
      </c>
    </row>
    <row r="220" spans="5:168">
      <c r="E220" s="170">
        <v>4</v>
      </c>
      <c r="F220" s="217">
        <f t="shared" si="679"/>
        <v>0.4</v>
      </c>
      <c r="G220" s="217"/>
      <c r="H220" s="217">
        <f t="shared" si="603"/>
        <v>6</v>
      </c>
      <c r="I220" s="541">
        <f t="shared" si="604"/>
        <v>84.771782267706186</v>
      </c>
      <c r="J220" s="172">
        <f t="shared" si="605"/>
        <v>15.536930639376292</v>
      </c>
      <c r="K220" s="172">
        <f t="shared" si="606"/>
        <v>100.30871290708248</v>
      </c>
      <c r="L220" s="443"/>
      <c r="M220" s="217">
        <f t="shared" si="607"/>
        <v>0.15490641800229143</v>
      </c>
      <c r="N220" s="172">
        <f t="shared" si="608"/>
        <v>329.68757086500659</v>
      </c>
      <c r="O220" s="172">
        <f t="shared" si="599"/>
        <v>6</v>
      </c>
      <c r="P220" s="217">
        <f t="shared" si="609"/>
        <v>21.979171391000438</v>
      </c>
      <c r="Q220" s="217">
        <f t="shared" si="610"/>
        <v>15</v>
      </c>
      <c r="R220" s="217"/>
      <c r="S220" s="172">
        <f t="shared" si="611"/>
        <v>5213.4711130218757</v>
      </c>
      <c r="T220" s="172">
        <f t="shared" si="612"/>
        <v>15</v>
      </c>
      <c r="U220" s="217">
        <f t="shared" si="613"/>
        <v>0.9466407236331007</v>
      </c>
      <c r="V220" s="217">
        <f t="shared" si="614"/>
        <v>0.13400318336735836</v>
      </c>
      <c r="W220" s="217">
        <f t="shared" si="615"/>
        <v>0.73114110806465105</v>
      </c>
      <c r="X220" s="197">
        <f t="shared" si="616"/>
        <v>109.41998149998729</v>
      </c>
      <c r="Y220" s="443">
        <f t="shared" si="680"/>
        <v>350</v>
      </c>
      <c r="AA220" s="217">
        <f t="shared" si="617"/>
        <v>10</v>
      </c>
      <c r="AB220" s="173">
        <f t="shared" si="618"/>
        <v>7.7235332245016206</v>
      </c>
      <c r="AC220" s="173">
        <f t="shared" si="619"/>
        <v>4.2255443126975223</v>
      </c>
      <c r="AD220" s="173"/>
      <c r="AE220" s="173">
        <f t="shared" si="620"/>
        <v>7.7235332245016206</v>
      </c>
      <c r="AF220" s="545">
        <f t="shared" si="621"/>
        <v>12</v>
      </c>
      <c r="AG220" s="528">
        <f t="shared" si="622"/>
        <v>4.2255443126975232</v>
      </c>
      <c r="AI220" s="173">
        <f t="shared" si="623"/>
        <v>1.7202951374346203</v>
      </c>
      <c r="AJ220" s="173">
        <f t="shared" si="624"/>
        <v>10</v>
      </c>
      <c r="AK220" s="173">
        <f t="shared" si="625"/>
        <v>1.0068571428571429</v>
      </c>
      <c r="AM220" s="545">
        <f t="shared" si="626"/>
        <v>400</v>
      </c>
      <c r="AN220" s="460">
        <f t="shared" si="627"/>
        <v>12</v>
      </c>
      <c r="AP220">
        <f t="shared" si="628"/>
        <v>400</v>
      </c>
      <c r="AQ220">
        <f t="shared" si="629"/>
        <v>12</v>
      </c>
      <c r="AS220" s="5">
        <f t="shared" si="600"/>
        <v>83.333333333333329</v>
      </c>
      <c r="AT220" s="5">
        <f t="shared" si="630"/>
        <v>1.4155653778877078</v>
      </c>
      <c r="AU220" s="5">
        <f t="shared" si="478"/>
        <v>81.917767955445626</v>
      </c>
      <c r="AV220" s="5"/>
      <c r="AW220" s="173">
        <f t="shared" si="479"/>
        <v>1.6986784534652494E-2</v>
      </c>
      <c r="AX220" s="173">
        <f t="shared" si="631"/>
        <v>7.2000000000000011</v>
      </c>
      <c r="AY220" s="173">
        <f t="shared" si="632"/>
        <v>4.9150660773267374</v>
      </c>
      <c r="AZ220" s="173">
        <f t="shared" si="633"/>
        <v>1.4648836631543354</v>
      </c>
      <c r="BA220" s="460">
        <f t="shared" si="594"/>
        <v>3.7748410077005543</v>
      </c>
      <c r="BB220" s="5">
        <f t="shared" si="595"/>
        <v>1.6105549465495548</v>
      </c>
      <c r="BD220" s="173">
        <f t="shared" si="681"/>
        <v>0.7524800005017297</v>
      </c>
      <c r="BE220" s="173">
        <f t="shared" si="682"/>
        <v>5.7242560374408704</v>
      </c>
      <c r="BG220" s="528">
        <f t="shared" si="683"/>
        <v>1.1324523023101662E-2</v>
      </c>
      <c r="BH220" s="528">
        <f t="shared" si="634"/>
        <v>0.22569460404093561</v>
      </c>
      <c r="BI220" s="528">
        <f t="shared" si="635"/>
        <v>2.5431534680311858E-2</v>
      </c>
      <c r="BJ220" s="528">
        <f t="shared" si="684"/>
        <v>1.2074205462090596E-2</v>
      </c>
      <c r="BK220">
        <f t="shared" si="685"/>
        <v>3.8147302020467781E-2</v>
      </c>
      <c r="BL220" s="460">
        <f t="shared" si="686"/>
        <v>63.57883670077964</v>
      </c>
      <c r="BM220" s="528">
        <f t="shared" si="636"/>
        <v>0.25283124846907851</v>
      </c>
      <c r="BN220" s="460">
        <f t="shared" si="687"/>
        <v>252.8312484690785</v>
      </c>
      <c r="BO220" s="528">
        <f t="shared" si="637"/>
        <v>0.27999999999999997</v>
      </c>
      <c r="BR220" s="460">
        <f t="shared" si="688"/>
        <v>279.99999999999994</v>
      </c>
      <c r="BS220" s="528">
        <f t="shared" si="689"/>
        <v>1.6986784534652494E-2</v>
      </c>
      <c r="BT220" s="528">
        <f t="shared" si="690"/>
        <v>0.9830132154653477</v>
      </c>
      <c r="BU220" s="528">
        <f t="shared" si="691"/>
        <v>7.8872048280743991E-3</v>
      </c>
      <c r="BV220" s="528"/>
      <c r="BW220" s="528">
        <f t="shared" si="692"/>
        <v>1.2000000000000001E-3</v>
      </c>
      <c r="BX220" s="460">
        <f t="shared" si="693"/>
        <v>1009.0872048280748</v>
      </c>
      <c r="BY220" s="173">
        <f t="shared" si="694"/>
        <v>1.6017593740549823</v>
      </c>
      <c r="BZ220" s="5">
        <f t="shared" si="695"/>
        <v>6</v>
      </c>
      <c r="CA220" s="173">
        <f t="shared" si="696"/>
        <v>0.78929096604638238</v>
      </c>
      <c r="CB220" s="5">
        <f t="shared" si="697"/>
        <v>78.929096604638232</v>
      </c>
      <c r="CE220" s="562">
        <f t="shared" si="638"/>
        <v>-50</v>
      </c>
      <c r="CF220">
        <f t="shared" si="639"/>
        <v>-50</v>
      </c>
      <c r="CG220" s="173">
        <f t="shared" si="640"/>
        <v>8.7635609200826581E-2</v>
      </c>
      <c r="CI220" s="170">
        <v>4</v>
      </c>
      <c r="CJ220" s="217">
        <f t="shared" si="698"/>
        <v>0.4</v>
      </c>
      <c r="CK220" s="217"/>
      <c r="CL220" s="217">
        <f t="shared" si="641"/>
        <v>6</v>
      </c>
      <c r="CM220" s="541">
        <f t="shared" si="642"/>
        <v>85</v>
      </c>
      <c r="CN220" s="443">
        <f t="shared" si="643"/>
        <v>15.4</v>
      </c>
      <c r="CO220" s="443">
        <f t="shared" si="644"/>
        <v>100.4</v>
      </c>
      <c r="CP220" s="443"/>
      <c r="CQ220" s="217">
        <f t="shared" si="645"/>
        <v>0.15338645418326693</v>
      </c>
      <c r="CR220" s="172">
        <f t="shared" si="646"/>
        <v>327.33148655378488</v>
      </c>
      <c r="CS220" s="172">
        <f t="shared" si="647"/>
        <v>6</v>
      </c>
      <c r="CT220" s="217">
        <f t="shared" si="648"/>
        <v>21.822099103585661</v>
      </c>
      <c r="CU220" s="217">
        <f t="shared" si="649"/>
        <v>15</v>
      </c>
      <c r="CV220" s="217"/>
      <c r="CW220" s="172">
        <f t="shared" si="650"/>
        <v>5227.506503559307</v>
      </c>
      <c r="CX220" s="172">
        <f t="shared" si="651"/>
        <v>15</v>
      </c>
      <c r="CY220" s="217">
        <f t="shared" si="652"/>
        <v>0.92039724980901449</v>
      </c>
      <c r="CZ220" s="217">
        <f t="shared" si="653"/>
        <v>0.12993843526715498</v>
      </c>
      <c r="DA220" s="217">
        <f t="shared" si="654"/>
        <v>0.71719266218884248</v>
      </c>
      <c r="DB220" s="197">
        <f t="shared" si="655"/>
        <v>108.64873837981409</v>
      </c>
      <c r="DC220" s="443">
        <f t="shared" si="656"/>
        <v>350</v>
      </c>
      <c r="DE220" s="217">
        <f t="shared" si="657"/>
        <v>10</v>
      </c>
      <c r="DF220" s="173">
        <f t="shared" si="658"/>
        <v>7.7922077922077913</v>
      </c>
      <c r="DG220" s="173">
        <f t="shared" si="659"/>
        <v>4.2330677290836656</v>
      </c>
      <c r="DH220" s="173"/>
      <c r="DI220" s="173">
        <f t="shared" si="660"/>
        <v>7.7922077922077913</v>
      </c>
      <c r="DJ220" s="545">
        <f t="shared" si="661"/>
        <v>12</v>
      </c>
      <c r="DK220" s="528">
        <f t="shared" si="662"/>
        <v>4.2330677290836656</v>
      </c>
      <c r="DM220" s="173">
        <f t="shared" si="663"/>
        <v>1.7126976771553506</v>
      </c>
      <c r="DN220" s="173">
        <f t="shared" si="664"/>
        <v>10</v>
      </c>
      <c r="DO220" s="173">
        <f t="shared" si="665"/>
        <v>1.0068571428571429</v>
      </c>
      <c r="DQ220" s="545">
        <f t="shared" si="666"/>
        <v>400</v>
      </c>
      <c r="DR220" s="460">
        <f t="shared" si="667"/>
        <v>12</v>
      </c>
      <c r="DT220">
        <f t="shared" si="668"/>
        <v>400</v>
      </c>
      <c r="DU220">
        <f t="shared" si="669"/>
        <v>12</v>
      </c>
      <c r="DW220" s="5">
        <f t="shared" si="670"/>
        <v>83.333333333333329</v>
      </c>
      <c r="DX220" s="5">
        <f t="shared" si="671"/>
        <v>1.4117647058823528</v>
      </c>
      <c r="DY220" s="5">
        <f t="shared" si="672"/>
        <v>81.921568627450981</v>
      </c>
      <c r="DZ220" s="5"/>
      <c r="EA220" s="173">
        <f t="shared" si="673"/>
        <v>1.6941176470588234E-2</v>
      </c>
      <c r="EB220" s="173">
        <f t="shared" si="699"/>
        <v>7.2000000000000011</v>
      </c>
      <c r="EC220" s="173">
        <f t="shared" si="700"/>
        <v>4.9152941176470586</v>
      </c>
      <c r="ED220" s="173">
        <f t="shared" si="701"/>
        <v>1.4648157012924847</v>
      </c>
      <c r="EE220" s="460">
        <f t="shared" si="674"/>
        <v>3.7647058823529411</v>
      </c>
      <c r="EF220" s="5">
        <f t="shared" si="675"/>
        <v>1.6063052672049212</v>
      </c>
      <c r="EH220" s="173">
        <f t="shared" si="702"/>
        <v>0.75146914930217945</v>
      </c>
      <c r="EI220" s="173">
        <f t="shared" si="703"/>
        <v>5.7243888277247903</v>
      </c>
      <c r="EK220" s="528">
        <f t="shared" si="704"/>
        <v>1.1294117647058826E-2</v>
      </c>
      <c r="EL220" s="528">
        <f t="shared" si="705"/>
        <v>0.24096000000000001</v>
      </c>
      <c r="EM220" s="528">
        <f t="shared" si="706"/>
        <v>1.5E-3</v>
      </c>
      <c r="EN220" s="528">
        <f t="shared" si="707"/>
        <v>1.2096192000000002E-2</v>
      </c>
      <c r="EO220">
        <f t="shared" si="708"/>
        <v>3.8249999999999999E-2</v>
      </c>
      <c r="EP220" s="460">
        <f t="shared" si="709"/>
        <v>39.75</v>
      </c>
      <c r="EQ220" s="460"/>
      <c r="ER220" s="460">
        <f t="shared" si="710"/>
        <v>304.10030964705885</v>
      </c>
      <c r="ES220" s="528">
        <f t="shared" si="711"/>
        <v>0.27999999999999997</v>
      </c>
      <c r="EV220" s="460">
        <f t="shared" si="712"/>
        <v>279.99999999999994</v>
      </c>
      <c r="EW220" s="528">
        <f t="shared" si="713"/>
        <v>1.6941176470588237E-2</v>
      </c>
      <c r="EX220" s="528">
        <f t="shared" si="714"/>
        <v>0.98305882352941187</v>
      </c>
      <c r="EY220" s="528">
        <f t="shared" si="715"/>
        <v>7.8872048280743991E-3</v>
      </c>
      <c r="EZ220" s="528"/>
      <c r="FA220" s="528">
        <f t="shared" si="716"/>
        <v>1.2000000000000001E-3</v>
      </c>
      <c r="FB220" s="460">
        <f t="shared" si="717"/>
        <v>1009.0872048280746</v>
      </c>
      <c r="FC220" s="173">
        <f t="shared" si="718"/>
        <v>1.5931875144751335</v>
      </c>
      <c r="FD220" s="5">
        <f t="shared" si="719"/>
        <v>6</v>
      </c>
      <c r="FE220" s="173">
        <f t="shared" si="720"/>
        <v>0.7901819872829442</v>
      </c>
      <c r="FF220" s="5">
        <f t="shared" si="721"/>
        <v>79.018198728294422</v>
      </c>
      <c r="FI220" s="562">
        <f t="shared" si="676"/>
        <v>-50</v>
      </c>
      <c r="FJ220">
        <f t="shared" si="677"/>
        <v>-50</v>
      </c>
      <c r="FL220">
        <f t="shared" si="678"/>
        <v>8.6489996418773668E-2</v>
      </c>
    </row>
    <row r="221" spans="5:168">
      <c r="E221" s="170">
        <v>5</v>
      </c>
      <c r="F221" s="217">
        <f t="shared" si="679"/>
        <v>0.5</v>
      </c>
      <c r="G221" s="217"/>
      <c r="H221" s="217">
        <f t="shared" si="603"/>
        <v>7.5</v>
      </c>
      <c r="I221" s="541">
        <f t="shared" si="604"/>
        <v>84.753268114390082</v>
      </c>
      <c r="J221" s="172">
        <f t="shared" si="605"/>
        <v>15.548039131365949</v>
      </c>
      <c r="K221" s="172">
        <f t="shared" si="606"/>
        <v>100.30130724575604</v>
      </c>
      <c r="L221" s="443"/>
      <c r="M221" s="217">
        <f t="shared" si="607"/>
        <v>0.15502984391561525</v>
      </c>
      <c r="N221" s="172">
        <f t="shared" si="608"/>
        <v>329.8781973075603</v>
      </c>
      <c r="O221" s="172">
        <f t="shared" si="599"/>
        <v>7.5</v>
      </c>
      <c r="P221" s="217">
        <f t="shared" si="609"/>
        <v>21.991879820504021</v>
      </c>
      <c r="Q221" s="217">
        <f t="shared" si="610"/>
        <v>15</v>
      </c>
      <c r="R221" s="217"/>
      <c r="S221" s="172">
        <f t="shared" si="611"/>
        <v>4152.9183000681851</v>
      </c>
      <c r="T221" s="172">
        <f t="shared" si="612"/>
        <v>15</v>
      </c>
      <c r="U221" s="217">
        <f t="shared" si="613"/>
        <v>1.1834737508766318</v>
      </c>
      <c r="V221" s="217">
        <f t="shared" si="614"/>
        <v>0.1675650429355928</v>
      </c>
      <c r="W221" s="217">
        <f t="shared" si="615"/>
        <v>0.91340682194899492</v>
      </c>
      <c r="X221" s="197">
        <f t="shared" si="616"/>
        <v>109.48238241177424</v>
      </c>
      <c r="Y221" s="443">
        <f t="shared" si="680"/>
        <v>350</v>
      </c>
      <c r="AA221" s="217">
        <f t="shared" si="617"/>
        <v>10</v>
      </c>
      <c r="AB221" s="173">
        <f t="shared" si="618"/>
        <v>7.7180150491078416</v>
      </c>
      <c r="AC221" s="173">
        <f t="shared" si="619"/>
        <v>4.2249333753312666</v>
      </c>
      <c r="AD221" s="173"/>
      <c r="AE221" s="173">
        <f t="shared" si="620"/>
        <v>7.7180150491078416</v>
      </c>
      <c r="AF221" s="545">
        <f t="shared" si="621"/>
        <v>12.956699276138288</v>
      </c>
      <c r="AG221" s="528">
        <f t="shared" si="622"/>
        <v>4.2249333753312666</v>
      </c>
      <c r="AI221" s="173">
        <f t="shared" si="623"/>
        <v>1.9240358829545394</v>
      </c>
      <c r="AJ221" s="173">
        <f t="shared" si="624"/>
        <v>10</v>
      </c>
      <c r="AK221" s="173">
        <f t="shared" si="625"/>
        <v>1.0074038281577933</v>
      </c>
      <c r="AM221" s="545">
        <f t="shared" si="626"/>
        <v>500</v>
      </c>
      <c r="AN221" s="460">
        <f t="shared" si="627"/>
        <v>12.956699276138288</v>
      </c>
      <c r="AP221">
        <f t="shared" si="628"/>
        <v>500</v>
      </c>
      <c r="AQ221">
        <f t="shared" si="629"/>
        <v>12.956699276138288</v>
      </c>
      <c r="AS221" s="5">
        <f t="shared" si="600"/>
        <v>77.180150491078436</v>
      </c>
      <c r="AT221" s="5">
        <f t="shared" si="630"/>
        <v>1.4158746048357451</v>
      </c>
      <c r="AU221" s="5">
        <f t="shared" si="478"/>
        <v>75.764275886242686</v>
      </c>
      <c r="AV221" s="5"/>
      <c r="AW221" s="173">
        <f t="shared" si="479"/>
        <v>1.8345061467577882E-2</v>
      </c>
      <c r="AX221" s="173">
        <f t="shared" si="631"/>
        <v>7.7740195656829734</v>
      </c>
      <c r="AY221" s="173">
        <f t="shared" si="632"/>
        <v>4.9082746926621104</v>
      </c>
      <c r="AZ221" s="173">
        <f t="shared" si="633"/>
        <v>1.5838599207385771</v>
      </c>
      <c r="BA221" s="460">
        <f t="shared" si="594"/>
        <v>4.7195820161191504</v>
      </c>
      <c r="BB221" s="5">
        <f t="shared" si="595"/>
        <v>1.8623735100885452</v>
      </c>
      <c r="BD221" s="173">
        <f t="shared" si="681"/>
        <v>0.78198596465618397</v>
      </c>
      <c r="BE221" s="173">
        <f t="shared" si="682"/>
        <v>5.7202999295853418</v>
      </c>
      <c r="BG221" s="528">
        <f t="shared" si="683"/>
        <v>1.2230040978385252E-2</v>
      </c>
      <c r="BH221" s="528">
        <f t="shared" si="634"/>
        <v>0.24367010156002711</v>
      </c>
      <c r="BI221" s="528">
        <f t="shared" si="635"/>
        <v>2.7453065190701804E-2</v>
      </c>
      <c r="BJ221" s="528">
        <f t="shared" si="684"/>
        <v>1.3034895852360989E-2</v>
      </c>
      <c r="BK221">
        <f t="shared" si="685"/>
        <v>3.8138970651475534E-2</v>
      </c>
      <c r="BL221" s="460">
        <f t="shared" si="686"/>
        <v>65.592035842177339</v>
      </c>
      <c r="BM221" s="528">
        <f t="shared" si="636"/>
        <v>0.27303053735419908</v>
      </c>
      <c r="BN221" s="460">
        <f t="shared" si="687"/>
        <v>273.03053735419905</v>
      </c>
      <c r="BO221" s="528">
        <f t="shared" si="637"/>
        <v>0.35</v>
      </c>
      <c r="BR221" s="460">
        <f t="shared" si="688"/>
        <v>350</v>
      </c>
      <c r="BS221" s="528">
        <f t="shared" si="689"/>
        <v>1.8345061467577879E-2</v>
      </c>
      <c r="BT221" s="528">
        <f t="shared" si="690"/>
        <v>0.98165493853242192</v>
      </c>
      <c r="BU221" s="528">
        <f t="shared" si="691"/>
        <v>9.5544557126780744E-3</v>
      </c>
      <c r="BV221" s="528"/>
      <c r="BW221" s="528">
        <f t="shared" si="692"/>
        <v>1.295669927613829E-3</v>
      </c>
      <c r="BX221" s="460">
        <f t="shared" si="693"/>
        <v>1010.8501256402917</v>
      </c>
      <c r="BY221" s="173">
        <f t="shared" si="694"/>
        <v>1.6953771998732425</v>
      </c>
      <c r="BZ221" s="5">
        <f t="shared" si="695"/>
        <v>7.5</v>
      </c>
      <c r="CA221" s="173">
        <f t="shared" si="696"/>
        <v>0.81562722626575745</v>
      </c>
      <c r="CB221" s="5">
        <f t="shared" si="697"/>
        <v>81.562722626575749</v>
      </c>
      <c r="CE221" s="562">
        <f t="shared" si="638"/>
        <v>-50</v>
      </c>
      <c r="CF221">
        <f t="shared" si="639"/>
        <v>-50</v>
      </c>
      <c r="CG221" s="173">
        <f t="shared" si="640"/>
        <v>0.10132456102380442</v>
      </c>
      <c r="CI221" s="170">
        <v>5</v>
      </c>
      <c r="CJ221" s="217">
        <f t="shared" si="698"/>
        <v>0.5</v>
      </c>
      <c r="CK221" s="217"/>
      <c r="CL221" s="217">
        <f t="shared" si="641"/>
        <v>7.5</v>
      </c>
      <c r="CM221" s="541">
        <f t="shared" si="642"/>
        <v>85</v>
      </c>
      <c r="CN221" s="443">
        <f t="shared" si="643"/>
        <v>15.4</v>
      </c>
      <c r="CO221" s="443">
        <f t="shared" si="644"/>
        <v>100.4</v>
      </c>
      <c r="CP221" s="443"/>
      <c r="CQ221" s="217">
        <f t="shared" si="645"/>
        <v>0.15338645418326693</v>
      </c>
      <c r="CR221" s="172">
        <f t="shared" si="646"/>
        <v>327.33148655378488</v>
      </c>
      <c r="CS221" s="172">
        <f t="shared" si="647"/>
        <v>7.5</v>
      </c>
      <c r="CT221" s="217">
        <f t="shared" si="648"/>
        <v>21.822099103585661</v>
      </c>
      <c r="CU221" s="217">
        <f t="shared" si="649"/>
        <v>15</v>
      </c>
      <c r="CV221" s="217"/>
      <c r="CW221" s="172">
        <f t="shared" si="650"/>
        <v>4165.0081624653994</v>
      </c>
      <c r="CX221" s="172">
        <f t="shared" si="651"/>
        <v>15</v>
      </c>
      <c r="CY221" s="217">
        <f t="shared" si="652"/>
        <v>1.1504965622612682</v>
      </c>
      <c r="CZ221" s="217">
        <f t="shared" si="653"/>
        <v>0.16242304408394373</v>
      </c>
      <c r="DA221" s="217">
        <f t="shared" si="654"/>
        <v>0.89649082773605304</v>
      </c>
      <c r="DB221" s="197">
        <f t="shared" si="655"/>
        <v>108.64873837981409</v>
      </c>
      <c r="DC221" s="443">
        <f t="shared" si="656"/>
        <v>350</v>
      </c>
      <c r="DE221" s="217">
        <f t="shared" si="657"/>
        <v>10</v>
      </c>
      <c r="DF221" s="173">
        <f t="shared" si="658"/>
        <v>7.7922077922077913</v>
      </c>
      <c r="DG221" s="173">
        <f t="shared" si="659"/>
        <v>4.2330677290836656</v>
      </c>
      <c r="DH221" s="173"/>
      <c r="DI221" s="173">
        <f t="shared" si="660"/>
        <v>7.7922077922077913</v>
      </c>
      <c r="DJ221" s="545">
        <f t="shared" si="661"/>
        <v>12.833333333333334</v>
      </c>
      <c r="DK221" s="528">
        <f t="shared" si="662"/>
        <v>4.2330677290836656</v>
      </c>
      <c r="DM221" s="173">
        <f t="shared" si="663"/>
        <v>1.9148542155126762</v>
      </c>
      <c r="DN221" s="173">
        <f t="shared" si="664"/>
        <v>10</v>
      </c>
      <c r="DO221" s="173">
        <f t="shared" si="665"/>
        <v>1.0073333333333334</v>
      </c>
      <c r="DQ221" s="545">
        <f t="shared" si="666"/>
        <v>500</v>
      </c>
      <c r="DR221" s="460">
        <f t="shared" si="667"/>
        <v>12.833333333333334</v>
      </c>
      <c r="DT221">
        <f t="shared" si="668"/>
        <v>500</v>
      </c>
      <c r="DU221">
        <f t="shared" si="669"/>
        <v>12.833333333333334</v>
      </c>
      <c r="DW221" s="5">
        <f t="shared" si="670"/>
        <v>77.922077922077918</v>
      </c>
      <c r="DX221" s="5">
        <f t="shared" si="671"/>
        <v>1.4117647058823528</v>
      </c>
      <c r="DY221" s="5">
        <f t="shared" si="672"/>
        <v>76.51031321619557</v>
      </c>
      <c r="DZ221" s="5"/>
      <c r="EA221" s="173">
        <f t="shared" si="673"/>
        <v>1.811764705882353E-2</v>
      </c>
      <c r="EB221" s="173">
        <f t="shared" si="699"/>
        <v>7.7000000000000011</v>
      </c>
      <c r="EC221" s="173">
        <f t="shared" si="700"/>
        <v>4.9094117647058821</v>
      </c>
      <c r="ED221" s="173">
        <f t="shared" si="701"/>
        <v>1.5684160076683444</v>
      </c>
      <c r="EE221" s="460">
        <f t="shared" si="674"/>
        <v>4.7058823529411757</v>
      </c>
      <c r="EF221" s="5">
        <f t="shared" si="675"/>
        <v>1.875252774906754</v>
      </c>
      <c r="EH221" s="173">
        <f t="shared" si="702"/>
        <v>0.77712390815586874</v>
      </c>
      <c r="EI221" s="173">
        <f t="shared" si="703"/>
        <v>5.7209624858677302</v>
      </c>
      <c r="EK221" s="528">
        <f t="shared" si="704"/>
        <v>1.2078431372549022E-2</v>
      </c>
      <c r="EL221" s="528">
        <f t="shared" si="705"/>
        <v>0.25769333333333339</v>
      </c>
      <c r="EM221" s="528">
        <f t="shared" si="706"/>
        <v>1.6041666666666667E-3</v>
      </c>
      <c r="EN221" s="528">
        <f t="shared" si="707"/>
        <v>1.2936205333333336E-2</v>
      </c>
      <c r="EO221">
        <f t="shared" si="708"/>
        <v>3.8249999999999999E-2</v>
      </c>
      <c r="EP221" s="460">
        <f t="shared" si="709"/>
        <v>39.854166666666664</v>
      </c>
      <c r="EQ221" s="460"/>
      <c r="ER221" s="460">
        <f t="shared" si="710"/>
        <v>322.56213670588244</v>
      </c>
      <c r="ES221" s="528">
        <f t="shared" si="711"/>
        <v>0.35</v>
      </c>
      <c r="EV221" s="460">
        <f t="shared" si="712"/>
        <v>350</v>
      </c>
      <c r="EW221" s="528">
        <f t="shared" si="713"/>
        <v>1.811764705882353E-2</v>
      </c>
      <c r="EX221" s="528">
        <f t="shared" si="714"/>
        <v>0.98188235294117632</v>
      </c>
      <c r="EY221" s="528">
        <f t="shared" si="715"/>
        <v>9.3286476832938024E-3</v>
      </c>
      <c r="EZ221" s="528"/>
      <c r="FA221" s="528">
        <f t="shared" si="716"/>
        <v>1.2833333333333334E-3</v>
      </c>
      <c r="FB221" s="460">
        <f t="shared" si="717"/>
        <v>1010.6119810166269</v>
      </c>
      <c r="FC221" s="173">
        <f t="shared" si="718"/>
        <v>1.6831741177225095</v>
      </c>
      <c r="FD221" s="5">
        <f t="shared" si="719"/>
        <v>7.5</v>
      </c>
      <c r="FE221" s="173">
        <f t="shared" si="720"/>
        <v>0.81671107439048007</v>
      </c>
      <c r="FF221" s="5">
        <f t="shared" si="721"/>
        <v>81.671107439048001</v>
      </c>
      <c r="FI221" s="562">
        <f t="shared" si="676"/>
        <v>-50</v>
      </c>
      <c r="FJ221">
        <f t="shared" si="677"/>
        <v>-50</v>
      </c>
      <c r="FL221">
        <f t="shared" si="678"/>
        <v>0.1</v>
      </c>
    </row>
    <row r="222" spans="5:168">
      <c r="E222" s="170">
        <v>6</v>
      </c>
      <c r="F222" s="217">
        <f t="shared" si="679"/>
        <v>0.6</v>
      </c>
      <c r="G222" s="217"/>
      <c r="H222" s="217">
        <f t="shared" si="603"/>
        <v>9</v>
      </c>
      <c r="I222" s="541">
        <f t="shared" si="604"/>
        <v>84.753268114390082</v>
      </c>
      <c r="J222" s="172">
        <f t="shared" si="605"/>
        <v>15.548039131365949</v>
      </c>
      <c r="K222" s="172">
        <f t="shared" si="606"/>
        <v>100.30130724575604</v>
      </c>
      <c r="L222" s="443"/>
      <c r="M222" s="217">
        <f t="shared" si="607"/>
        <v>0.15502984391561525</v>
      </c>
      <c r="N222" s="172">
        <f t="shared" si="608"/>
        <v>329.8781973075603</v>
      </c>
      <c r="O222" s="172">
        <f t="shared" si="599"/>
        <v>9</v>
      </c>
      <c r="P222" s="217">
        <f t="shared" si="609"/>
        <v>21.991879820504021</v>
      </c>
      <c r="Q222" s="217">
        <f t="shared" si="610"/>
        <v>15</v>
      </c>
      <c r="R222" s="217"/>
      <c r="S222" s="172">
        <f t="shared" si="611"/>
        <v>3446.6427382146489</v>
      </c>
      <c r="T222" s="172">
        <f t="shared" si="612"/>
        <v>15</v>
      </c>
      <c r="U222" s="217">
        <f t="shared" si="613"/>
        <v>1.420168501051958</v>
      </c>
      <c r="V222" s="217">
        <f t="shared" si="614"/>
        <v>0.20107805152271133</v>
      </c>
      <c r="W222" s="217">
        <f t="shared" si="615"/>
        <v>1.0960881863387937</v>
      </c>
      <c r="X222" s="197">
        <f t="shared" si="616"/>
        <v>109.48238241177424</v>
      </c>
      <c r="Y222" s="443">
        <f t="shared" si="680"/>
        <v>350</v>
      </c>
      <c r="AA222" s="217">
        <f t="shared" si="617"/>
        <v>10</v>
      </c>
      <c r="AB222" s="173">
        <f t="shared" si="618"/>
        <v>7.7180150491078416</v>
      </c>
      <c r="AC222" s="173">
        <f t="shared" si="619"/>
        <v>4.2249333753312666</v>
      </c>
      <c r="AD222" s="173"/>
      <c r="AE222" s="173">
        <f t="shared" si="620"/>
        <v>7.7180150491078416</v>
      </c>
      <c r="AF222" s="545">
        <f t="shared" si="621"/>
        <v>15.548039131365945</v>
      </c>
      <c r="AG222" s="528">
        <f t="shared" si="622"/>
        <v>4.2249333753312666</v>
      </c>
      <c r="AI222" s="173">
        <f t="shared" si="623"/>
        <v>2.1076757090871414</v>
      </c>
      <c r="AJ222" s="173">
        <f t="shared" si="624"/>
        <v>10</v>
      </c>
      <c r="AK222" s="173">
        <f t="shared" si="625"/>
        <v>1.008884593789352</v>
      </c>
      <c r="AM222" s="545">
        <f t="shared" si="626"/>
        <v>600</v>
      </c>
      <c r="AN222" s="460">
        <f>IF(F222&gt;AG222, Y222, AF222)</f>
        <v>15.548039131365945</v>
      </c>
      <c r="AP222">
        <f t="shared" si="628"/>
        <v>600</v>
      </c>
      <c r="AQ222">
        <f t="shared" si="629"/>
        <v>15.548039131365945</v>
      </c>
      <c r="AS222" s="5">
        <f t="shared" si="600"/>
        <v>64.31679207589869</v>
      </c>
      <c r="AT222" s="5">
        <f t="shared" si="630"/>
        <v>1.4158746048357451</v>
      </c>
      <c r="AU222" s="5">
        <f t="shared" si="478"/>
        <v>62.900917471062947</v>
      </c>
      <c r="AV222" s="5"/>
      <c r="AW222" s="173">
        <f t="shared" si="479"/>
        <v>2.2014073761093461E-2</v>
      </c>
      <c r="AX222" s="173">
        <f t="shared" si="631"/>
        <v>9.328823478819567</v>
      </c>
      <c r="AY222" s="173">
        <f t="shared" si="632"/>
        <v>4.8899296311945326</v>
      </c>
      <c r="AZ222" s="173">
        <f t="shared" si="633"/>
        <v>1.9077623161093797</v>
      </c>
      <c r="BA222" s="460">
        <f t="shared" si="594"/>
        <v>5.6634984193429805</v>
      </c>
      <c r="BB222" s="5">
        <f t="shared" si="595"/>
        <v>1.8554127430863967</v>
      </c>
      <c r="BD222" s="173">
        <f t="shared" si="681"/>
        <v>0.85662270498925919</v>
      </c>
      <c r="BE222" s="173">
        <f t="shared" si="682"/>
        <v>5.7095998874378413</v>
      </c>
      <c r="BG222" s="528">
        <f t="shared" si="683"/>
        <v>1.4676049174062306E-2</v>
      </c>
      <c r="BH222" s="528">
        <f t="shared" si="634"/>
        <v>0.29240412187203252</v>
      </c>
      <c r="BI222" s="528">
        <f t="shared" si="635"/>
        <v>3.2943678228842158E-2</v>
      </c>
      <c r="BJ222" s="528">
        <f t="shared" si="684"/>
        <v>1.5641875022833186E-2</v>
      </c>
      <c r="BK222">
        <f t="shared" si="685"/>
        <v>3.8138970651475534E-2</v>
      </c>
      <c r="BL222" s="460">
        <f t="shared" si="686"/>
        <v>71.082648880317691</v>
      </c>
      <c r="BM222" s="528">
        <f t="shared" si="636"/>
        <v>0.32782772422030859</v>
      </c>
      <c r="BN222" s="460">
        <f t="shared" si="687"/>
        <v>327.8277242203086</v>
      </c>
      <c r="BO222" s="528">
        <f t="shared" si="637"/>
        <v>0.42</v>
      </c>
      <c r="BR222" s="460">
        <f t="shared" si="688"/>
        <v>420</v>
      </c>
      <c r="BS222" s="528">
        <f t="shared" si="689"/>
        <v>2.2014073761093458E-2</v>
      </c>
      <c r="BT222" s="528">
        <f t="shared" si="690"/>
        <v>0.97798592623890634</v>
      </c>
      <c r="BU222" s="528">
        <f t="shared" si="691"/>
        <v>1.507158984533149E-2</v>
      </c>
      <c r="BV222" s="528"/>
      <c r="BW222" s="528">
        <f t="shared" si="692"/>
        <v>1.5548039131365948E-3</v>
      </c>
      <c r="BX222" s="460">
        <f t="shared" si="693"/>
        <v>1016.6263937584679</v>
      </c>
      <c r="BY222" s="173">
        <f t="shared" si="694"/>
        <v>1.8304310887077135</v>
      </c>
      <c r="BZ222" s="5">
        <f t="shared" si="695"/>
        <v>9</v>
      </c>
      <c r="CA222" s="173">
        <f t="shared" si="696"/>
        <v>0.83099185307441714</v>
      </c>
      <c r="CB222" s="5">
        <f t="shared" si="697"/>
        <v>83.099185307441715</v>
      </c>
      <c r="CE222" s="562">
        <f t="shared" si="638"/>
        <v>-50</v>
      </c>
      <c r="CF222">
        <f t="shared" si="639"/>
        <v>-50</v>
      </c>
      <c r="CG222" s="173">
        <f t="shared" si="640"/>
        <v>0.12158947322856531</v>
      </c>
      <c r="CI222" s="170">
        <v>6</v>
      </c>
      <c r="CJ222" s="217">
        <f t="shared" si="698"/>
        <v>0.6</v>
      </c>
      <c r="CK222" s="217"/>
      <c r="CL222" s="217">
        <f t="shared" si="641"/>
        <v>9</v>
      </c>
      <c r="CM222" s="541">
        <f t="shared" si="642"/>
        <v>85</v>
      </c>
      <c r="CN222" s="443">
        <f t="shared" si="643"/>
        <v>15.4</v>
      </c>
      <c r="CO222" s="443">
        <f t="shared" si="644"/>
        <v>100.4</v>
      </c>
      <c r="CP222" s="443"/>
      <c r="CQ222" s="217">
        <f t="shared" si="645"/>
        <v>0.15338645418326693</v>
      </c>
      <c r="CR222" s="172">
        <f t="shared" si="646"/>
        <v>327.33148655378488</v>
      </c>
      <c r="CS222" s="172">
        <f t="shared" si="647"/>
        <v>9</v>
      </c>
      <c r="CT222" s="217">
        <f t="shared" si="648"/>
        <v>21.822099103585661</v>
      </c>
      <c r="CU222" s="217">
        <f t="shared" si="649"/>
        <v>15</v>
      </c>
      <c r="CV222" s="217"/>
      <c r="CW222" s="172">
        <f t="shared" si="650"/>
        <v>3456.6765015661799</v>
      </c>
      <c r="CX222" s="172">
        <f t="shared" si="651"/>
        <v>15</v>
      </c>
      <c r="CY222" s="217">
        <f t="shared" si="652"/>
        <v>1.3805958747135216</v>
      </c>
      <c r="CZ222" s="217">
        <f t="shared" si="653"/>
        <v>0.19490765290073248</v>
      </c>
      <c r="DA222" s="217">
        <f t="shared" si="654"/>
        <v>1.0757889932832636</v>
      </c>
      <c r="DB222" s="197">
        <f t="shared" si="655"/>
        <v>108.64873837981409</v>
      </c>
      <c r="DC222" s="443">
        <f t="shared" si="656"/>
        <v>350</v>
      </c>
      <c r="DE222" s="217">
        <f t="shared" si="657"/>
        <v>10</v>
      </c>
      <c r="DF222" s="173">
        <f t="shared" si="658"/>
        <v>7.7922077922077913</v>
      </c>
      <c r="DG222" s="173">
        <f t="shared" si="659"/>
        <v>4.2330677290836656</v>
      </c>
      <c r="DH222" s="173"/>
      <c r="DI222" s="173">
        <f t="shared" si="660"/>
        <v>7.7922077922077913</v>
      </c>
      <c r="DJ222" s="545">
        <f t="shared" si="661"/>
        <v>15.4</v>
      </c>
      <c r="DK222" s="528">
        <f t="shared" si="662"/>
        <v>4.2330677290836656</v>
      </c>
      <c r="DM222" s="173">
        <f t="shared" si="663"/>
        <v>2.0976176963403033</v>
      </c>
      <c r="DN222" s="173">
        <f t="shared" si="664"/>
        <v>10</v>
      </c>
      <c r="DO222" s="173">
        <f t="shared" si="665"/>
        <v>1.0087999999999999</v>
      </c>
      <c r="DQ222" s="545">
        <f t="shared" si="666"/>
        <v>600</v>
      </c>
      <c r="DR222" s="460">
        <f t="shared" si="667"/>
        <v>15.4</v>
      </c>
      <c r="DT222">
        <f t="shared" si="668"/>
        <v>600</v>
      </c>
      <c r="DU222">
        <f t="shared" si="669"/>
        <v>15.4</v>
      </c>
      <c r="DW222" s="5">
        <f t="shared" si="670"/>
        <v>64.935064935064929</v>
      </c>
      <c r="DX222" s="5">
        <f t="shared" si="671"/>
        <v>1.4117647058823528</v>
      </c>
      <c r="DY222" s="5">
        <f t="shared" si="672"/>
        <v>63.523300229182574</v>
      </c>
      <c r="DZ222" s="5"/>
      <c r="EA222" s="173">
        <f t="shared" si="673"/>
        <v>2.1741176470588236E-2</v>
      </c>
      <c r="EB222" s="173">
        <f t="shared" si="699"/>
        <v>9.240000000000002</v>
      </c>
      <c r="EC222" s="173">
        <f t="shared" si="700"/>
        <v>4.8912941176470586</v>
      </c>
      <c r="ED222" s="173">
        <f t="shared" si="701"/>
        <v>1.8890706176640375</v>
      </c>
      <c r="EE222" s="460">
        <f t="shared" si="674"/>
        <v>5.6470588235294112</v>
      </c>
      <c r="EF222" s="5">
        <f t="shared" si="675"/>
        <v>1.8683323596818402</v>
      </c>
      <c r="EH222" s="173">
        <f t="shared" si="702"/>
        <v>0.85129658894708449</v>
      </c>
      <c r="EI222" s="173">
        <f t="shared" si="703"/>
        <v>5.710396435535837</v>
      </c>
      <c r="EK222" s="528">
        <f t="shared" si="704"/>
        <v>1.4494117647058826E-2</v>
      </c>
      <c r="EL222" s="528">
        <f t="shared" si="705"/>
        <v>0.30923200000000001</v>
      </c>
      <c r="EM222" s="528">
        <f t="shared" si="706"/>
        <v>1.9249999999999998E-3</v>
      </c>
      <c r="EN222" s="528">
        <f t="shared" si="707"/>
        <v>1.5523446400000003E-2</v>
      </c>
      <c r="EO222">
        <f t="shared" si="708"/>
        <v>3.8249999999999999E-2</v>
      </c>
      <c r="EP222" s="460">
        <f t="shared" si="709"/>
        <v>40.175000000000004</v>
      </c>
      <c r="EQ222" s="460"/>
      <c r="ER222" s="460">
        <f t="shared" si="710"/>
        <v>379.42456404705888</v>
      </c>
      <c r="ES222" s="528">
        <f t="shared" si="711"/>
        <v>0.42</v>
      </c>
      <c r="EV222" s="460">
        <f t="shared" si="712"/>
        <v>420</v>
      </c>
      <c r="EW222" s="528">
        <f t="shared" si="713"/>
        <v>2.1741176470588239E-2</v>
      </c>
      <c r="EX222" s="528">
        <f t="shared" si="714"/>
        <v>0.97825882352941174</v>
      </c>
      <c r="EY222" s="528">
        <f t="shared" si="715"/>
        <v>1.4715391009415983E-2</v>
      </c>
      <c r="EZ222" s="528"/>
      <c r="FA222" s="528">
        <f t="shared" si="716"/>
        <v>1.5400000000000001E-3</v>
      </c>
      <c r="FB222" s="460">
        <f t="shared" si="717"/>
        <v>1016.2553910094161</v>
      </c>
      <c r="FC222" s="173">
        <f t="shared" si="718"/>
        <v>1.8156799550564751</v>
      </c>
      <c r="FD222" s="5">
        <f t="shared" si="719"/>
        <v>9</v>
      </c>
      <c r="FE222" s="173">
        <f t="shared" si="720"/>
        <v>0.83212521426287034</v>
      </c>
      <c r="FF222" s="5">
        <f t="shared" si="721"/>
        <v>83.21252142628704</v>
      </c>
      <c r="FI222" s="562">
        <f t="shared" si="676"/>
        <v>-50</v>
      </c>
      <c r="FJ222">
        <f t="shared" si="677"/>
        <v>-50</v>
      </c>
      <c r="FL222">
        <f t="shared" si="678"/>
        <v>0.12000000000000001</v>
      </c>
    </row>
    <row r="223" spans="5:168">
      <c r="E223" s="170">
        <v>7</v>
      </c>
      <c r="F223" s="217">
        <f t="shared" si="679"/>
        <v>0.70000000000000007</v>
      </c>
      <c r="G223" s="217"/>
      <c r="H223" s="217">
        <f t="shared" si="603"/>
        <v>10.500000000000002</v>
      </c>
      <c r="I223" s="541">
        <f t="shared" si="604"/>
        <v>84.753268114390082</v>
      </c>
      <c r="J223" s="172">
        <f t="shared" si="605"/>
        <v>15.548039131365949</v>
      </c>
      <c r="K223" s="172">
        <f t="shared" si="606"/>
        <v>100.30130724575604</v>
      </c>
      <c r="L223" s="443"/>
      <c r="M223" s="217">
        <f t="shared" si="607"/>
        <v>0.15502984391561525</v>
      </c>
      <c r="N223" s="172">
        <f t="shared" si="608"/>
        <v>329.8781973075603</v>
      </c>
      <c r="O223" s="172">
        <f t="shared" si="599"/>
        <v>10.500000000000002</v>
      </c>
      <c r="P223" s="217">
        <f t="shared" si="609"/>
        <v>21.991879820504021</v>
      </c>
      <c r="Q223" s="217">
        <f t="shared" si="610"/>
        <v>15</v>
      </c>
      <c r="R223" s="217"/>
      <c r="S223" s="172">
        <f t="shared" si="611"/>
        <v>2942.1606855646869</v>
      </c>
      <c r="T223" s="172">
        <f t="shared" si="612"/>
        <v>15</v>
      </c>
      <c r="U223" s="217">
        <f t="shared" si="613"/>
        <v>1.6568632512272847</v>
      </c>
      <c r="V223" s="217">
        <f t="shared" si="614"/>
        <v>0.23459106010982997</v>
      </c>
      <c r="W223" s="217">
        <f t="shared" si="615"/>
        <v>1.278769550728593</v>
      </c>
      <c r="X223" s="197">
        <f t="shared" si="616"/>
        <v>109.48238241177424</v>
      </c>
      <c r="Y223" s="443">
        <f t="shared" si="680"/>
        <v>350</v>
      </c>
      <c r="AA223" s="217">
        <f t="shared" si="617"/>
        <v>10</v>
      </c>
      <c r="AB223" s="173">
        <f t="shared" si="618"/>
        <v>7.7180150491078416</v>
      </c>
      <c r="AC223" s="173">
        <f t="shared" si="619"/>
        <v>4.2249333753312666</v>
      </c>
      <c r="AD223" s="173"/>
      <c r="AE223" s="173">
        <f t="shared" si="620"/>
        <v>7.7180150491078416</v>
      </c>
      <c r="AF223" s="545">
        <f t="shared" si="621"/>
        <v>18.139378986593606</v>
      </c>
      <c r="AG223" s="528">
        <f t="shared" si="622"/>
        <v>4.2249333753312666</v>
      </c>
      <c r="AI223" s="173">
        <f t="shared" si="623"/>
        <v>2.2765499578211141</v>
      </c>
      <c r="AJ223" s="173">
        <f t="shared" si="624"/>
        <v>10</v>
      </c>
      <c r="AK223" s="173">
        <f t="shared" si="625"/>
        <v>1.0103653594209105</v>
      </c>
      <c r="AM223" s="545">
        <f t="shared" si="626"/>
        <v>700.00000000000011</v>
      </c>
      <c r="AN223" s="460">
        <f t="shared" si="627"/>
        <v>18.139378986593606</v>
      </c>
      <c r="AP223">
        <f t="shared" si="628"/>
        <v>700.00000000000011</v>
      </c>
      <c r="AQ223">
        <f t="shared" si="629"/>
        <v>18.139378986593606</v>
      </c>
      <c r="AS223" s="5">
        <f t="shared" si="600"/>
        <v>55.128678922198866</v>
      </c>
      <c r="AT223" s="5">
        <f t="shared" si="630"/>
        <v>1.4158746048357451</v>
      </c>
      <c r="AU223" s="5">
        <f t="shared" si="478"/>
        <v>53.712804317363123</v>
      </c>
      <c r="AV223" s="5"/>
      <c r="AW223" s="173">
        <f t="shared" si="479"/>
        <v>2.5683086054609044E-2</v>
      </c>
      <c r="AX223" s="173">
        <f t="shared" si="631"/>
        <v>10.883627391956164</v>
      </c>
      <c r="AY223" s="173">
        <f t="shared" si="632"/>
        <v>4.8715845697269549</v>
      </c>
      <c r="AZ223" s="173">
        <f t="shared" si="633"/>
        <v>2.2341041679927516</v>
      </c>
      <c r="BA223" s="460">
        <f t="shared" si="594"/>
        <v>6.6074148225668115</v>
      </c>
      <c r="BB223" s="5">
        <f t="shared" si="595"/>
        <v>1.8484519760842484</v>
      </c>
      <c r="BD223" s="173">
        <f t="shared" si="681"/>
        <v>0.92525827123402049</v>
      </c>
      <c r="BE223" s="173">
        <f t="shared" si="682"/>
        <v>5.6988797552542172</v>
      </c>
      <c r="BG223" s="528">
        <f t="shared" si="683"/>
        <v>1.7122057369739367E-2</v>
      </c>
      <c r="BH223" s="528">
        <f t="shared" si="634"/>
        <v>0.34113814218403804</v>
      </c>
      <c r="BI223" s="528">
        <f t="shared" si="635"/>
        <v>3.8434291266982529E-2</v>
      </c>
      <c r="BJ223" s="528">
        <f t="shared" si="684"/>
        <v>1.8248854193305387E-2</v>
      </c>
      <c r="BK223">
        <f t="shared" si="685"/>
        <v>3.8138970651475534E-2</v>
      </c>
      <c r="BL223" s="460">
        <f t="shared" si="686"/>
        <v>76.573261918458059</v>
      </c>
      <c r="BM223" s="528">
        <f t="shared" si="636"/>
        <v>0.38268886439306993</v>
      </c>
      <c r="BN223" s="460">
        <f t="shared" si="687"/>
        <v>382.68886439306993</v>
      </c>
      <c r="BO223" s="528">
        <f t="shared" si="637"/>
        <v>0.49</v>
      </c>
      <c r="BR223" s="460">
        <f t="shared" si="688"/>
        <v>490</v>
      </c>
      <c r="BS223" s="528">
        <f t="shared" si="689"/>
        <v>2.5683086054609047E-2</v>
      </c>
      <c r="BT223" s="528">
        <f t="shared" si="690"/>
        <v>0.97431691394539088</v>
      </c>
      <c r="BU223" s="528">
        <f t="shared" si="691"/>
        <v>2.2157769533875802E-2</v>
      </c>
      <c r="BV223" s="528"/>
      <c r="BW223" s="528">
        <f t="shared" si="692"/>
        <v>1.8139378986593607E-3</v>
      </c>
      <c r="BX223" s="460">
        <f t="shared" si="693"/>
        <v>1023.9717074325351</v>
      </c>
      <c r="BY223" s="173">
        <f t="shared" si="694"/>
        <v>1.967054023098076</v>
      </c>
      <c r="BZ223" s="5">
        <f t="shared" si="695"/>
        <v>10.500000000000002</v>
      </c>
      <c r="CA223" s="173">
        <f t="shared" si="696"/>
        <v>0.8422198203798863</v>
      </c>
      <c r="CB223" s="5">
        <f t="shared" si="697"/>
        <v>84.221982037988624</v>
      </c>
      <c r="CE223" s="562">
        <f t="shared" si="638"/>
        <v>-50</v>
      </c>
      <c r="CF223">
        <f t="shared" si="639"/>
        <v>-50</v>
      </c>
      <c r="CG223" s="173">
        <f t="shared" si="640"/>
        <v>0.14185438543332621</v>
      </c>
      <c r="CI223" s="170">
        <v>7</v>
      </c>
      <c r="CJ223" s="217">
        <f t="shared" si="698"/>
        <v>0.70000000000000007</v>
      </c>
      <c r="CK223" s="217"/>
      <c r="CL223" s="217">
        <f t="shared" si="641"/>
        <v>10.500000000000002</v>
      </c>
      <c r="CM223" s="541">
        <f t="shared" si="642"/>
        <v>85</v>
      </c>
      <c r="CN223" s="443">
        <f t="shared" si="643"/>
        <v>15.4</v>
      </c>
      <c r="CO223" s="443">
        <f t="shared" si="644"/>
        <v>100.4</v>
      </c>
      <c r="CP223" s="443"/>
      <c r="CQ223" s="217">
        <f t="shared" si="645"/>
        <v>0.15338645418326693</v>
      </c>
      <c r="CR223" s="172">
        <f t="shared" si="646"/>
        <v>327.33148655378488</v>
      </c>
      <c r="CS223" s="172">
        <f t="shared" si="647"/>
        <v>10.500000000000002</v>
      </c>
      <c r="CT223" s="217">
        <f t="shared" si="648"/>
        <v>21.822099103585661</v>
      </c>
      <c r="CU223" s="217">
        <f t="shared" si="649"/>
        <v>15</v>
      </c>
      <c r="CV223" s="217"/>
      <c r="CW223" s="172">
        <f t="shared" si="650"/>
        <v>2950.7258067412517</v>
      </c>
      <c r="CX223" s="172">
        <f t="shared" si="651"/>
        <v>15</v>
      </c>
      <c r="CY223" s="217">
        <f t="shared" si="652"/>
        <v>1.6106951871657755</v>
      </c>
      <c r="CZ223" s="217">
        <f t="shared" si="653"/>
        <v>0.22739226171752122</v>
      </c>
      <c r="DA223" s="217">
        <f t="shared" si="654"/>
        <v>1.2550871588304744</v>
      </c>
      <c r="DB223" s="197">
        <f t="shared" si="655"/>
        <v>108.64873837981409</v>
      </c>
      <c r="DC223" s="443">
        <f t="shared" si="656"/>
        <v>350</v>
      </c>
      <c r="DE223" s="217">
        <f t="shared" si="657"/>
        <v>10</v>
      </c>
      <c r="DF223" s="173">
        <f t="shared" si="658"/>
        <v>7.7922077922077913</v>
      </c>
      <c r="DG223" s="173">
        <f t="shared" si="659"/>
        <v>4.2330677290836656</v>
      </c>
      <c r="DH223" s="173"/>
      <c r="DI223" s="173">
        <f t="shared" si="660"/>
        <v>7.7922077922077913</v>
      </c>
      <c r="DJ223" s="545">
        <f t="shared" si="661"/>
        <v>17.966666666666669</v>
      </c>
      <c r="DK223" s="528">
        <f t="shared" si="662"/>
        <v>4.2330677290836656</v>
      </c>
      <c r="DM223" s="173">
        <f t="shared" si="663"/>
        <v>2.2656860623955239</v>
      </c>
      <c r="DN223" s="173">
        <f t="shared" si="664"/>
        <v>10</v>
      </c>
      <c r="DO223" s="173">
        <f t="shared" si="665"/>
        <v>1.0102666666666666</v>
      </c>
      <c r="DQ223" s="545">
        <f t="shared" si="666"/>
        <v>700.00000000000011</v>
      </c>
      <c r="DR223" s="460">
        <f t="shared" si="667"/>
        <v>17.966666666666669</v>
      </c>
      <c r="DT223">
        <f t="shared" si="668"/>
        <v>700.00000000000011</v>
      </c>
      <c r="DU223">
        <f t="shared" si="669"/>
        <v>17.966666666666669</v>
      </c>
      <c r="DW223" s="5">
        <f t="shared" si="670"/>
        <v>55.658627087198511</v>
      </c>
      <c r="DX223" s="5">
        <f t="shared" si="671"/>
        <v>1.4117647058823528</v>
      </c>
      <c r="DY223" s="5">
        <f t="shared" si="672"/>
        <v>54.246862381316156</v>
      </c>
      <c r="DZ223" s="5"/>
      <c r="EA223" s="173">
        <f t="shared" si="673"/>
        <v>2.5364705882352942E-2</v>
      </c>
      <c r="EB223" s="173">
        <f t="shared" si="699"/>
        <v>10.780000000000001</v>
      </c>
      <c r="EC223" s="173">
        <f t="shared" si="700"/>
        <v>4.873176470588235</v>
      </c>
      <c r="ED223" s="173">
        <f t="shared" si="701"/>
        <v>2.2121095070252528</v>
      </c>
      <c r="EE223" s="460">
        <f t="shared" si="674"/>
        <v>6.5882352941176476</v>
      </c>
      <c r="EF223" s="5">
        <f t="shared" si="675"/>
        <v>1.8614119444569273</v>
      </c>
      <c r="EH223" s="173">
        <f t="shared" si="702"/>
        <v>0.91950540840085937</v>
      </c>
      <c r="EI223" s="173">
        <f t="shared" si="703"/>
        <v>5.6998107983734778</v>
      </c>
      <c r="EK223" s="528">
        <f t="shared" si="704"/>
        <v>1.6909803921568625E-2</v>
      </c>
      <c r="EL223" s="528">
        <f t="shared" si="705"/>
        <v>0.36077066666666674</v>
      </c>
      <c r="EM223" s="528">
        <f t="shared" si="706"/>
        <v>2.2458333333333336E-3</v>
      </c>
      <c r="EN223" s="528">
        <f t="shared" si="707"/>
        <v>1.8110687466666671E-2</v>
      </c>
      <c r="EO223">
        <f t="shared" si="708"/>
        <v>3.8249999999999999E-2</v>
      </c>
      <c r="EP223" s="460">
        <f t="shared" si="709"/>
        <v>40.495833333333337</v>
      </c>
      <c r="EQ223" s="460"/>
      <c r="ER223" s="460">
        <f t="shared" si="710"/>
        <v>436.28699138823532</v>
      </c>
      <c r="ES223" s="528">
        <f t="shared" si="711"/>
        <v>0.49</v>
      </c>
      <c r="EV223" s="460">
        <f t="shared" si="712"/>
        <v>490</v>
      </c>
      <c r="EW223" s="528">
        <f t="shared" si="713"/>
        <v>2.5364705882352935E-2</v>
      </c>
      <c r="EX223" s="528">
        <f t="shared" si="714"/>
        <v>0.97463529411764716</v>
      </c>
      <c r="EY223" s="528">
        <f t="shared" si="715"/>
        <v>2.1634097393415055E-2</v>
      </c>
      <c r="EZ223" s="528"/>
      <c r="FA223" s="528">
        <f t="shared" si="716"/>
        <v>1.7966666666666671E-3</v>
      </c>
      <c r="FB223" s="460">
        <f t="shared" si="717"/>
        <v>1023.4307640600817</v>
      </c>
      <c r="FC223" s="173">
        <f t="shared" si="718"/>
        <v>1.9497177554483172</v>
      </c>
      <c r="FD223" s="5">
        <f t="shared" si="719"/>
        <v>10.500000000000002</v>
      </c>
      <c r="FE223" s="173">
        <f t="shared" si="720"/>
        <v>0.84339261389318887</v>
      </c>
      <c r="FF223" s="5">
        <f t="shared" si="721"/>
        <v>84.339261389318892</v>
      </c>
      <c r="FI223" s="562">
        <f t="shared" si="676"/>
        <v>-50</v>
      </c>
      <c r="FJ223">
        <f t="shared" si="677"/>
        <v>-50</v>
      </c>
      <c r="FL223">
        <f t="shared" si="678"/>
        <v>0.14000000000000001</v>
      </c>
    </row>
    <row r="224" spans="5:168">
      <c r="E224" s="170">
        <v>8</v>
      </c>
      <c r="F224" s="217">
        <f t="shared" si="679"/>
        <v>0.8</v>
      </c>
      <c r="G224" s="217"/>
      <c r="H224" s="217">
        <f t="shared" si="603"/>
        <v>12</v>
      </c>
      <c r="I224" s="541">
        <f t="shared" si="604"/>
        <v>84.753268114390082</v>
      </c>
      <c r="J224" s="172">
        <f t="shared" si="605"/>
        <v>15.548039131365949</v>
      </c>
      <c r="K224" s="172">
        <f t="shared" si="606"/>
        <v>100.30130724575604</v>
      </c>
      <c r="L224" s="443"/>
      <c r="M224" s="217">
        <f t="shared" si="607"/>
        <v>0.15502984391561525</v>
      </c>
      <c r="N224" s="172">
        <f t="shared" si="608"/>
        <v>329.8781973075603</v>
      </c>
      <c r="O224" s="172">
        <f t="shared" si="599"/>
        <v>12</v>
      </c>
      <c r="P224" s="217">
        <f t="shared" si="609"/>
        <v>21.991879820504021</v>
      </c>
      <c r="Q224" s="217">
        <f t="shared" si="610"/>
        <v>15</v>
      </c>
      <c r="R224" s="217"/>
      <c r="S224" s="172">
        <f t="shared" si="611"/>
        <v>2563.7995814698852</v>
      </c>
      <c r="T224" s="172">
        <f t="shared" si="612"/>
        <v>15</v>
      </c>
      <c r="U224" s="217">
        <f t="shared" si="613"/>
        <v>1.893558001402611</v>
      </c>
      <c r="V224" s="217">
        <f t="shared" si="614"/>
        <v>0.26810406869694847</v>
      </c>
      <c r="W224" s="217">
        <f t="shared" si="615"/>
        <v>1.4614509151183916</v>
      </c>
      <c r="X224" s="197">
        <f t="shared" si="616"/>
        <v>109.48238241177424</v>
      </c>
      <c r="Y224" s="443">
        <f t="shared" si="680"/>
        <v>350</v>
      </c>
      <c r="AA224" s="217">
        <f t="shared" si="617"/>
        <v>10</v>
      </c>
      <c r="AB224" s="173">
        <f t="shared" si="618"/>
        <v>7.7180150491078416</v>
      </c>
      <c r="AC224" s="173">
        <f t="shared" si="619"/>
        <v>4.2249333753312666</v>
      </c>
      <c r="AD224" s="173"/>
      <c r="AE224" s="173">
        <f t="shared" si="620"/>
        <v>7.7180150491078416</v>
      </c>
      <c r="AF224" s="545">
        <f t="shared" si="621"/>
        <v>20.730718841821265</v>
      </c>
      <c r="AG224" s="528">
        <f t="shared" si="622"/>
        <v>4.2249333753312666</v>
      </c>
      <c r="AI224" s="173">
        <f t="shared" si="623"/>
        <v>2.4337342760117933</v>
      </c>
      <c r="AJ224" s="173">
        <f t="shared" si="624"/>
        <v>10</v>
      </c>
      <c r="AK224" s="173">
        <f t="shared" si="625"/>
        <v>1.0118461250524693</v>
      </c>
      <c r="AM224" s="545">
        <f t="shared" si="626"/>
        <v>800</v>
      </c>
      <c r="AN224" s="460">
        <f t="shared" si="627"/>
        <v>20.730718841821265</v>
      </c>
      <c r="AP224">
        <f t="shared" si="628"/>
        <v>800</v>
      </c>
      <c r="AQ224">
        <f t="shared" si="629"/>
        <v>20.730718841821265</v>
      </c>
      <c r="AS224" s="5">
        <f t="shared" si="600"/>
        <v>48.23759405692401</v>
      </c>
      <c r="AT224" s="5">
        <f t="shared" si="630"/>
        <v>1.4158746048357451</v>
      </c>
      <c r="AU224" s="5">
        <f t="shared" si="478"/>
        <v>46.821719452088267</v>
      </c>
      <c r="AV224" s="5"/>
      <c r="AW224" s="173">
        <f t="shared" si="479"/>
        <v>2.9352098348124619E-2</v>
      </c>
      <c r="AX224" s="173">
        <f t="shared" si="631"/>
        <v>12.43843130509276</v>
      </c>
      <c r="AY224" s="173">
        <f t="shared" si="632"/>
        <v>4.8532395082593771</v>
      </c>
      <c r="AZ224" s="173">
        <f t="shared" si="633"/>
        <v>2.5629131395482734</v>
      </c>
      <c r="BA224" s="460">
        <f t="shared" si="594"/>
        <v>7.5513312257906406</v>
      </c>
      <c r="BB224" s="5">
        <f t="shared" si="595"/>
        <v>1.8414912090820996</v>
      </c>
      <c r="BD224" s="173">
        <f t="shared" si="681"/>
        <v>0.9891426986389884</v>
      </c>
      <c r="BE224" s="173">
        <f t="shared" si="682"/>
        <v>5.6881394194466184</v>
      </c>
      <c r="BG224" s="528">
        <f t="shared" si="683"/>
        <v>1.9568065565416414E-2</v>
      </c>
      <c r="BH224" s="528">
        <f t="shared" si="634"/>
        <v>0.38987216249604345</v>
      </c>
      <c r="BI224" s="528">
        <f t="shared" si="635"/>
        <v>4.3924904305122893E-2</v>
      </c>
      <c r="BJ224" s="528">
        <f t="shared" si="684"/>
        <v>2.0855833363777585E-2</v>
      </c>
      <c r="BK224">
        <f t="shared" si="685"/>
        <v>3.8138970651475534E-2</v>
      </c>
      <c r="BL224" s="460">
        <f t="shared" si="686"/>
        <v>82.063874956598426</v>
      </c>
      <c r="BM224" s="528">
        <f t="shared" si="636"/>
        <v>0.43761406989685259</v>
      </c>
      <c r="BN224" s="460">
        <f t="shared" si="687"/>
        <v>437.61406989685258</v>
      </c>
      <c r="BO224" s="528">
        <f t="shared" si="637"/>
        <v>0.55999999999999994</v>
      </c>
      <c r="BR224" s="460">
        <f t="shared" si="688"/>
        <v>559.99999999999989</v>
      </c>
      <c r="BS224" s="528">
        <f t="shared" si="689"/>
        <v>2.9352098348124619E-2</v>
      </c>
      <c r="BT224" s="528">
        <f t="shared" si="690"/>
        <v>0.97064790165187531</v>
      </c>
      <c r="BU224" s="528">
        <f t="shared" si="691"/>
        <v>3.093897405979653E-2</v>
      </c>
      <c r="BV224" s="528"/>
      <c r="BW224" s="528">
        <f t="shared" si="692"/>
        <v>2.0730718841821265E-3</v>
      </c>
      <c r="BX224" s="460">
        <f t="shared" si="693"/>
        <v>1033.0120459439786</v>
      </c>
      <c r="BY224" s="173">
        <f t="shared" si="694"/>
        <v>2.1053719823258144</v>
      </c>
      <c r="BZ224" s="5">
        <f t="shared" si="695"/>
        <v>12</v>
      </c>
      <c r="CA224" s="173">
        <f t="shared" si="696"/>
        <v>0.8507397050596136</v>
      </c>
      <c r="CB224" s="5">
        <f t="shared" si="697"/>
        <v>85.073970505961356</v>
      </c>
      <c r="CE224" s="562">
        <f t="shared" si="638"/>
        <v>-50</v>
      </c>
      <c r="CF224">
        <f t="shared" si="639"/>
        <v>-50</v>
      </c>
      <c r="CG224" s="173">
        <f t="shared" si="640"/>
        <v>0.16211929763808711</v>
      </c>
      <c r="CI224" s="170">
        <v>8</v>
      </c>
      <c r="CJ224" s="217">
        <f t="shared" si="698"/>
        <v>0.8</v>
      </c>
      <c r="CK224" s="217"/>
      <c r="CL224" s="217">
        <f t="shared" si="641"/>
        <v>12</v>
      </c>
      <c r="CM224" s="541">
        <f t="shared" si="642"/>
        <v>85</v>
      </c>
      <c r="CN224" s="443">
        <f t="shared" si="643"/>
        <v>15.4</v>
      </c>
      <c r="CO224" s="443">
        <f t="shared" si="644"/>
        <v>100.4</v>
      </c>
      <c r="CP224" s="443"/>
      <c r="CQ224" s="217">
        <f t="shared" si="645"/>
        <v>0.15338645418326693</v>
      </c>
      <c r="CR224" s="172">
        <f t="shared" si="646"/>
        <v>327.33148655378488</v>
      </c>
      <c r="CS224" s="172">
        <f t="shared" si="647"/>
        <v>12</v>
      </c>
      <c r="CT224" s="217">
        <f t="shared" si="648"/>
        <v>21.822099103585661</v>
      </c>
      <c r="CU224" s="217">
        <f t="shared" si="649"/>
        <v>15</v>
      </c>
      <c r="CV224" s="217"/>
      <c r="CW224" s="172">
        <f t="shared" si="650"/>
        <v>2571.2632210157699</v>
      </c>
      <c r="CX224" s="172">
        <f t="shared" si="651"/>
        <v>15</v>
      </c>
      <c r="CY224" s="217">
        <f t="shared" si="652"/>
        <v>1.840794499618029</v>
      </c>
      <c r="CZ224" s="217">
        <f t="shared" si="653"/>
        <v>0.25987687053430997</v>
      </c>
      <c r="DA224" s="217">
        <f t="shared" si="654"/>
        <v>1.434385324377685</v>
      </c>
      <c r="DB224" s="197">
        <f t="shared" si="655"/>
        <v>108.64873837981409</v>
      </c>
      <c r="DC224" s="443">
        <f t="shared" si="656"/>
        <v>350</v>
      </c>
      <c r="DE224" s="217">
        <f t="shared" si="657"/>
        <v>10</v>
      </c>
      <c r="DF224" s="173">
        <f t="shared" si="658"/>
        <v>7.7922077922077913</v>
      </c>
      <c r="DG224" s="173">
        <f t="shared" si="659"/>
        <v>4.2330677290836656</v>
      </c>
      <c r="DH224" s="173"/>
      <c r="DI224" s="173">
        <f t="shared" si="660"/>
        <v>7.7922077922077913</v>
      </c>
      <c r="DJ224" s="545">
        <f t="shared" si="661"/>
        <v>20.533333333333335</v>
      </c>
      <c r="DK224" s="528">
        <f t="shared" si="662"/>
        <v>4.2330677290836656</v>
      </c>
      <c r="DM224" s="173">
        <f t="shared" si="663"/>
        <v>2.4221202832779936</v>
      </c>
      <c r="DN224" s="173">
        <f t="shared" si="664"/>
        <v>10</v>
      </c>
      <c r="DO224" s="173">
        <f t="shared" si="665"/>
        <v>1.0117333333333334</v>
      </c>
      <c r="DQ224" s="545">
        <f t="shared" si="666"/>
        <v>800</v>
      </c>
      <c r="DR224" s="460">
        <f t="shared" si="667"/>
        <v>20.533333333333335</v>
      </c>
      <c r="DT224">
        <f t="shared" si="668"/>
        <v>800</v>
      </c>
      <c r="DU224">
        <f t="shared" si="669"/>
        <v>20.533333333333335</v>
      </c>
      <c r="DW224" s="5">
        <f t="shared" si="670"/>
        <v>48.701298701298697</v>
      </c>
      <c r="DX224" s="5">
        <f t="shared" si="671"/>
        <v>1.4117647058823528</v>
      </c>
      <c r="DY224" s="5">
        <f t="shared" si="672"/>
        <v>47.289533995416342</v>
      </c>
      <c r="DZ224" s="5"/>
      <c r="EA224" s="173">
        <f t="shared" si="673"/>
        <v>2.8988235294117648E-2</v>
      </c>
      <c r="EB224" s="173">
        <f t="shared" si="699"/>
        <v>12.320000000000002</v>
      </c>
      <c r="EC224" s="173">
        <f t="shared" si="700"/>
        <v>4.8550588235294114</v>
      </c>
      <c r="ED224" s="173">
        <f t="shared" si="701"/>
        <v>2.5375593680333437</v>
      </c>
      <c r="EE224" s="460">
        <f t="shared" si="674"/>
        <v>7.5294117647058822</v>
      </c>
      <c r="EF224" s="5">
        <f t="shared" si="675"/>
        <v>1.8544915292320132</v>
      </c>
      <c r="EH224" s="173">
        <f t="shared" si="702"/>
        <v>0.98299262957761879</v>
      </c>
      <c r="EI224" s="173">
        <f t="shared" si="703"/>
        <v>5.6892054650477695</v>
      </c>
      <c r="EK224" s="528">
        <f t="shared" si="704"/>
        <v>1.9325490196078435E-2</v>
      </c>
      <c r="EL224" s="528">
        <f t="shared" si="705"/>
        <v>0.41230933333333336</v>
      </c>
      <c r="EM224" s="528">
        <f t="shared" si="706"/>
        <v>2.5666666666666667E-3</v>
      </c>
      <c r="EN224" s="528">
        <f t="shared" si="707"/>
        <v>2.0697928533333337E-2</v>
      </c>
      <c r="EO224">
        <f t="shared" si="708"/>
        <v>3.8249999999999999E-2</v>
      </c>
      <c r="EP224" s="460">
        <f t="shared" si="709"/>
        <v>40.81666666666667</v>
      </c>
      <c r="EQ224" s="460"/>
      <c r="ER224" s="460">
        <f t="shared" si="710"/>
        <v>493.14941872941182</v>
      </c>
      <c r="ES224" s="528">
        <f t="shared" si="711"/>
        <v>0.55999999999999994</v>
      </c>
      <c r="EV224" s="460">
        <f t="shared" si="712"/>
        <v>559.99999999999989</v>
      </c>
      <c r="EW224" s="528">
        <f t="shared" si="713"/>
        <v>2.8988235294117651E-2</v>
      </c>
      <c r="EX224" s="528">
        <f t="shared" si="714"/>
        <v>0.97101176470588213</v>
      </c>
      <c r="EY224" s="528">
        <f t="shared" si="715"/>
        <v>3.0207768748504567E-2</v>
      </c>
      <c r="EZ224" s="528"/>
      <c r="FA224" s="528">
        <f t="shared" si="716"/>
        <v>2.0533333333333337E-3</v>
      </c>
      <c r="FB224" s="460">
        <f t="shared" si="717"/>
        <v>1032.2611020818376</v>
      </c>
      <c r="FC224" s="173">
        <f t="shared" si="718"/>
        <v>2.0854105208112497</v>
      </c>
      <c r="FD224" s="5">
        <f t="shared" si="719"/>
        <v>12</v>
      </c>
      <c r="FE224" s="173">
        <f t="shared" si="720"/>
        <v>0.85194535028070018</v>
      </c>
      <c r="FF224" s="5">
        <f t="shared" si="721"/>
        <v>85.194535028070021</v>
      </c>
      <c r="FI224" s="562">
        <f t="shared" si="676"/>
        <v>-50</v>
      </c>
      <c r="FJ224">
        <f t="shared" si="677"/>
        <v>-50</v>
      </c>
      <c r="FL224">
        <f t="shared" si="678"/>
        <v>0.16000000000000003</v>
      </c>
    </row>
    <row r="225" spans="5:168">
      <c r="E225" s="170">
        <v>9</v>
      </c>
      <c r="F225" s="217">
        <f t="shared" si="679"/>
        <v>0.89999999999999991</v>
      </c>
      <c r="G225" s="217"/>
      <c r="H225" s="217">
        <f t="shared" si="603"/>
        <v>13.499999999999998</v>
      </c>
      <c r="I225" s="541">
        <f t="shared" si="604"/>
        <v>84.753268114390082</v>
      </c>
      <c r="J225" s="172">
        <f t="shared" si="605"/>
        <v>15.548039131365949</v>
      </c>
      <c r="K225" s="172">
        <f t="shared" si="606"/>
        <v>100.30130724575604</v>
      </c>
      <c r="L225" s="443"/>
      <c r="M225" s="217">
        <f t="shared" si="607"/>
        <v>0.15502984391561525</v>
      </c>
      <c r="N225" s="172">
        <f t="shared" si="608"/>
        <v>329.8781973075603</v>
      </c>
      <c r="O225" s="172">
        <f t="shared" si="599"/>
        <v>13.499999999999998</v>
      </c>
      <c r="P225" s="217">
        <f t="shared" si="609"/>
        <v>21.991879820504021</v>
      </c>
      <c r="Q225" s="217">
        <f t="shared" si="610"/>
        <v>15</v>
      </c>
      <c r="R225" s="217"/>
      <c r="S225" s="172">
        <f t="shared" si="611"/>
        <v>2269.5191145363115</v>
      </c>
      <c r="T225" s="172">
        <f t="shared" si="612"/>
        <v>15</v>
      </c>
      <c r="U225" s="217">
        <f t="shared" si="613"/>
        <v>2.1302527515779373</v>
      </c>
      <c r="V225" s="217">
        <f t="shared" si="614"/>
        <v>0.30161707728406706</v>
      </c>
      <c r="W225" s="217">
        <f t="shared" si="615"/>
        <v>1.644132279508191</v>
      </c>
      <c r="X225" s="197">
        <f t="shared" si="616"/>
        <v>109.48238241177424</v>
      </c>
      <c r="Y225" s="443">
        <f t="shared" si="680"/>
        <v>350</v>
      </c>
      <c r="AA225" s="217">
        <f t="shared" si="617"/>
        <v>10</v>
      </c>
      <c r="AB225" s="173">
        <f t="shared" si="618"/>
        <v>7.7180150491078416</v>
      </c>
      <c r="AC225" s="173">
        <f t="shared" si="619"/>
        <v>4.2249333753312666</v>
      </c>
      <c r="AD225" s="173"/>
      <c r="AE225" s="173">
        <f t="shared" si="620"/>
        <v>7.7180150491078416</v>
      </c>
      <c r="AF225" s="545">
        <f t="shared" si="621"/>
        <v>23.322058697048917</v>
      </c>
      <c r="AG225" s="528">
        <f t="shared" si="622"/>
        <v>4.2249333753312666</v>
      </c>
      <c r="AI225" s="173">
        <f t="shared" si="623"/>
        <v>2.5813650152611074</v>
      </c>
      <c r="AJ225" s="173">
        <f t="shared" si="624"/>
        <v>10</v>
      </c>
      <c r="AK225" s="173">
        <f t="shared" si="625"/>
        <v>1.013326890684028</v>
      </c>
      <c r="AM225" s="545">
        <f t="shared" si="626"/>
        <v>899.99999999999989</v>
      </c>
      <c r="AN225" s="460">
        <f t="shared" si="627"/>
        <v>23.322058697048917</v>
      </c>
      <c r="AP225">
        <f t="shared" si="628"/>
        <v>899.99999999999989</v>
      </c>
      <c r="AQ225">
        <f t="shared" si="629"/>
        <v>23.322058697048917</v>
      </c>
      <c r="AS225" s="5">
        <f t="shared" si="600"/>
        <v>42.877861383932462</v>
      </c>
      <c r="AT225" s="5">
        <f t="shared" si="630"/>
        <v>1.4158746048357451</v>
      </c>
      <c r="AU225" s="5">
        <f t="shared" si="478"/>
        <v>41.461986779096719</v>
      </c>
      <c r="AV225" s="5"/>
      <c r="AW225" s="173">
        <f t="shared" si="479"/>
        <v>3.3021110641640192E-2</v>
      </c>
      <c r="AX225" s="173">
        <f t="shared" si="631"/>
        <v>13.993235218229351</v>
      </c>
      <c r="AY225" s="173">
        <f t="shared" si="632"/>
        <v>4.8348944467917994</v>
      </c>
      <c r="AZ225" s="173">
        <f t="shared" si="633"/>
        <v>2.894217313785326</v>
      </c>
      <c r="BA225" s="460">
        <f t="shared" si="594"/>
        <v>8.4952476290144698</v>
      </c>
      <c r="BB225" s="5">
        <f t="shared" si="595"/>
        <v>1.8345304420799513</v>
      </c>
      <c r="BD225" s="173">
        <f t="shared" si="681"/>
        <v>1.0491442646531854</v>
      </c>
      <c r="BE225" s="173">
        <f t="shared" si="682"/>
        <v>5.6773787653527812</v>
      </c>
      <c r="BG225" s="528">
        <f t="shared" si="683"/>
        <v>2.2014073761093465E-2</v>
      </c>
      <c r="BH225" s="528">
        <f t="shared" si="634"/>
        <v>0.43860618280804875</v>
      </c>
      <c r="BI225" s="528">
        <f t="shared" si="635"/>
        <v>4.9415517343263243E-2</v>
      </c>
      <c r="BJ225" s="528">
        <f t="shared" si="684"/>
        <v>2.3462812534249779E-2</v>
      </c>
      <c r="BK225">
        <f t="shared" si="685"/>
        <v>3.8138970651475534E-2</v>
      </c>
      <c r="BL225" s="460">
        <f t="shared" si="686"/>
        <v>87.554487994738778</v>
      </c>
      <c r="BM225" s="528">
        <f t="shared" si="636"/>
        <v>0.49260345301781677</v>
      </c>
      <c r="BN225" s="460">
        <f t="shared" si="687"/>
        <v>492.60345301781678</v>
      </c>
      <c r="BO225" s="528">
        <f t="shared" si="637"/>
        <v>0.62999999999999989</v>
      </c>
      <c r="BR225" s="460">
        <f t="shared" si="688"/>
        <v>629.99999999999989</v>
      </c>
      <c r="BS225" s="528">
        <f t="shared" si="689"/>
        <v>3.3021110641640199E-2</v>
      </c>
      <c r="BT225" s="528">
        <f t="shared" si="690"/>
        <v>0.96697888935836007</v>
      </c>
      <c r="BU225" s="528">
        <f t="shared" si="691"/>
        <v>4.1532417825271388E-2</v>
      </c>
      <c r="BV225" s="528"/>
      <c r="BW225" s="528">
        <f t="shared" si="692"/>
        <v>2.3322058697048918E-3</v>
      </c>
      <c r="BX225" s="460">
        <f t="shared" si="693"/>
        <v>1043.8646236949764</v>
      </c>
      <c r="BY225" s="173">
        <f t="shared" si="694"/>
        <v>2.2455021807931073</v>
      </c>
      <c r="BZ225" s="5">
        <f t="shared" si="695"/>
        <v>13.499999999999998</v>
      </c>
      <c r="CA225" s="173">
        <f t="shared" si="696"/>
        <v>0.85738770634243433</v>
      </c>
      <c r="CB225" s="5">
        <f t="shared" si="697"/>
        <v>85.738770634243437</v>
      </c>
      <c r="CE225" s="562">
        <f t="shared" si="638"/>
        <v>-50</v>
      </c>
      <c r="CF225">
        <f t="shared" si="639"/>
        <v>-50</v>
      </c>
      <c r="CG225" s="173">
        <f t="shared" si="640"/>
        <v>0.18238420984284795</v>
      </c>
      <c r="CI225" s="170">
        <v>9</v>
      </c>
      <c r="CJ225" s="217">
        <f t="shared" si="698"/>
        <v>0.89999999999999991</v>
      </c>
      <c r="CK225" s="217"/>
      <c r="CL225" s="217">
        <f t="shared" si="641"/>
        <v>13.499999999999998</v>
      </c>
      <c r="CM225" s="541">
        <f t="shared" si="642"/>
        <v>85</v>
      </c>
      <c r="CN225" s="443">
        <f t="shared" si="643"/>
        <v>15.4</v>
      </c>
      <c r="CO225" s="443">
        <f t="shared" si="644"/>
        <v>100.4</v>
      </c>
      <c r="CP225" s="443"/>
      <c r="CQ225" s="217">
        <f t="shared" si="645"/>
        <v>0.15338645418326693</v>
      </c>
      <c r="CR225" s="172">
        <f t="shared" si="646"/>
        <v>327.33148655378488</v>
      </c>
      <c r="CS225" s="172">
        <f t="shared" si="647"/>
        <v>13.499999999999998</v>
      </c>
      <c r="CT225" s="217">
        <f t="shared" si="648"/>
        <v>21.822099103585661</v>
      </c>
      <c r="CU225" s="217">
        <f t="shared" si="649"/>
        <v>15</v>
      </c>
      <c r="CV225" s="217"/>
      <c r="CW225" s="172">
        <f t="shared" si="650"/>
        <v>2276.1260461477905</v>
      </c>
      <c r="CX225" s="172">
        <f t="shared" si="651"/>
        <v>15</v>
      </c>
      <c r="CY225" s="217">
        <f t="shared" si="652"/>
        <v>2.0708938120702824</v>
      </c>
      <c r="CZ225" s="217">
        <f t="shared" si="653"/>
        <v>0.29236147935109874</v>
      </c>
      <c r="DA225" s="217">
        <f t="shared" si="654"/>
        <v>1.6136834899248955</v>
      </c>
      <c r="DB225" s="197">
        <f t="shared" si="655"/>
        <v>108.64873837981409</v>
      </c>
      <c r="DC225" s="443">
        <f t="shared" si="656"/>
        <v>350</v>
      </c>
      <c r="DE225" s="217">
        <f t="shared" si="657"/>
        <v>10</v>
      </c>
      <c r="DF225" s="173">
        <f t="shared" si="658"/>
        <v>7.7922077922077913</v>
      </c>
      <c r="DG225" s="173">
        <f t="shared" si="659"/>
        <v>4.2330677290836656</v>
      </c>
      <c r="DH225" s="173"/>
      <c r="DI225" s="173">
        <f t="shared" si="660"/>
        <v>7.7922077922077913</v>
      </c>
      <c r="DJ225" s="545">
        <f t="shared" si="661"/>
        <v>23.1</v>
      </c>
      <c r="DK225" s="528">
        <f t="shared" si="662"/>
        <v>4.2330677290836656</v>
      </c>
      <c r="DM225" s="173">
        <f t="shared" si="663"/>
        <v>2.5690465157330258</v>
      </c>
      <c r="DN225" s="173">
        <f t="shared" si="664"/>
        <v>10</v>
      </c>
      <c r="DO225" s="173">
        <f t="shared" si="665"/>
        <v>1.0132000000000001</v>
      </c>
      <c r="DQ225" s="545">
        <f t="shared" si="666"/>
        <v>899.99999999999989</v>
      </c>
      <c r="DR225" s="460">
        <f t="shared" si="667"/>
        <v>23.1</v>
      </c>
      <c r="DT225">
        <f t="shared" si="668"/>
        <v>899.99999999999989</v>
      </c>
      <c r="DU225">
        <f t="shared" si="669"/>
        <v>23.1</v>
      </c>
      <c r="DW225" s="5">
        <f t="shared" si="670"/>
        <v>43.290043290043286</v>
      </c>
      <c r="DX225" s="5">
        <f t="shared" si="671"/>
        <v>1.4117647058823528</v>
      </c>
      <c r="DY225" s="5">
        <f t="shared" si="672"/>
        <v>41.878278584160931</v>
      </c>
      <c r="DZ225" s="5"/>
      <c r="EA225" s="173">
        <f t="shared" si="673"/>
        <v>3.2611764705882354E-2</v>
      </c>
      <c r="EB225" s="173">
        <f t="shared" si="699"/>
        <v>13.860000000000003</v>
      </c>
      <c r="EC225" s="173">
        <f t="shared" si="700"/>
        <v>4.8369411764705887</v>
      </c>
      <c r="ED225" s="173">
        <f t="shared" si="701"/>
        <v>2.8654472928929322</v>
      </c>
      <c r="EE225" s="460">
        <f t="shared" si="674"/>
        <v>8.470588235294116</v>
      </c>
      <c r="EF225" s="5">
        <f t="shared" si="675"/>
        <v>1.8475711140070996</v>
      </c>
      <c r="EH225" s="173">
        <f t="shared" si="702"/>
        <v>1.0426211313460954</v>
      </c>
      <c r="EI225" s="173">
        <f t="shared" si="703"/>
        <v>5.6785803252048774</v>
      </c>
      <c r="EK225" s="528">
        <f t="shared" si="704"/>
        <v>2.1741176470588236E-2</v>
      </c>
      <c r="EL225" s="528">
        <f t="shared" si="705"/>
        <v>0.46384799999999998</v>
      </c>
      <c r="EM225" s="528">
        <f t="shared" si="706"/>
        <v>2.8874999999999999E-3</v>
      </c>
      <c r="EN225" s="528">
        <f t="shared" si="707"/>
        <v>2.3285169600000002E-2</v>
      </c>
      <c r="EO225">
        <f t="shared" si="708"/>
        <v>3.8249999999999999E-2</v>
      </c>
      <c r="EP225" s="460">
        <f t="shared" si="709"/>
        <v>41.137500000000003</v>
      </c>
      <c r="EQ225" s="460"/>
      <c r="ER225" s="460">
        <f t="shared" si="710"/>
        <v>550.01184607058815</v>
      </c>
      <c r="ES225" s="528">
        <f t="shared" si="711"/>
        <v>0.62999999999999989</v>
      </c>
      <c r="EV225" s="460">
        <f t="shared" si="712"/>
        <v>629.99999999999989</v>
      </c>
      <c r="EW225" s="528">
        <f t="shared" si="713"/>
        <v>3.2611764705882354E-2</v>
      </c>
      <c r="EX225" s="528">
        <f t="shared" si="714"/>
        <v>0.96738823529411788</v>
      </c>
      <c r="EY225" s="528">
        <f t="shared" si="715"/>
        <v>4.0550849255934246E-2</v>
      </c>
      <c r="EZ225" s="528"/>
      <c r="FA225" s="528">
        <f t="shared" si="716"/>
        <v>2.3100000000000004E-3</v>
      </c>
      <c r="FB225" s="460">
        <f t="shared" si="717"/>
        <v>1042.8608492559347</v>
      </c>
      <c r="FC225" s="173">
        <f t="shared" si="718"/>
        <v>2.2228726953265223</v>
      </c>
      <c r="FD225" s="5">
        <f t="shared" si="719"/>
        <v>13.499999999999998</v>
      </c>
      <c r="FE225" s="173">
        <f t="shared" si="720"/>
        <v>0.85862172019065885</v>
      </c>
      <c r="FF225" s="5">
        <f t="shared" si="721"/>
        <v>85.862172019065881</v>
      </c>
      <c r="FI225" s="562">
        <f t="shared" si="676"/>
        <v>-50</v>
      </c>
      <c r="FJ225">
        <f t="shared" si="677"/>
        <v>-50</v>
      </c>
      <c r="FL225">
        <f t="shared" si="678"/>
        <v>0.18</v>
      </c>
    </row>
    <row r="226" spans="5:168">
      <c r="E226" s="170">
        <v>10</v>
      </c>
      <c r="F226" s="217">
        <f t="shared" si="679"/>
        <v>1</v>
      </c>
      <c r="G226" s="217"/>
      <c r="H226" s="217">
        <f t="shared" si="603"/>
        <v>15</v>
      </c>
      <c r="I226" s="541">
        <f t="shared" si="604"/>
        <v>84.753268114390082</v>
      </c>
      <c r="J226" s="172">
        <f t="shared" si="605"/>
        <v>15.548039131365949</v>
      </c>
      <c r="K226" s="172">
        <f t="shared" si="606"/>
        <v>100.30130724575604</v>
      </c>
      <c r="L226" s="443"/>
      <c r="M226" s="217">
        <f t="shared" si="607"/>
        <v>0.15502984391561525</v>
      </c>
      <c r="N226" s="172">
        <f t="shared" si="608"/>
        <v>329.8781973075603</v>
      </c>
      <c r="O226" s="172">
        <f t="shared" si="599"/>
        <v>15</v>
      </c>
      <c r="P226" s="217">
        <f t="shared" si="609"/>
        <v>21.991879820504021</v>
      </c>
      <c r="Q226" s="217">
        <f t="shared" si="610"/>
        <v>15</v>
      </c>
      <c r="R226" s="217"/>
      <c r="S226" s="172">
        <f t="shared" si="611"/>
        <v>2034.0950979987063</v>
      </c>
      <c r="T226" s="172">
        <f t="shared" si="612"/>
        <v>15</v>
      </c>
      <c r="U226" s="217">
        <f t="shared" si="613"/>
        <v>2.3669475017532635</v>
      </c>
      <c r="V226" s="217">
        <f t="shared" si="614"/>
        <v>0.33513008587118559</v>
      </c>
      <c r="W226" s="217">
        <f t="shared" si="615"/>
        <v>1.8268136438979898</v>
      </c>
      <c r="X226" s="197">
        <f t="shared" si="616"/>
        <v>109.48238241177424</v>
      </c>
      <c r="Y226" s="443">
        <f t="shared" si="680"/>
        <v>350</v>
      </c>
      <c r="AA226" s="217">
        <f t="shared" si="617"/>
        <v>10</v>
      </c>
      <c r="AB226" s="173">
        <f t="shared" si="618"/>
        <v>7.7180150491078416</v>
      </c>
      <c r="AC226" s="173">
        <f t="shared" si="619"/>
        <v>4.2249333753312666</v>
      </c>
      <c r="AD226" s="173"/>
      <c r="AE226" s="173">
        <f t="shared" si="620"/>
        <v>7.7180150491078416</v>
      </c>
      <c r="AF226" s="545">
        <f t="shared" si="621"/>
        <v>25.913398552276576</v>
      </c>
      <c r="AG226" s="528">
        <f t="shared" si="622"/>
        <v>4.2249333753312666</v>
      </c>
      <c r="AI226" s="173">
        <f t="shared" si="623"/>
        <v>2.7209976401668023</v>
      </c>
      <c r="AJ226" s="173">
        <f t="shared" si="624"/>
        <v>10</v>
      </c>
      <c r="AK226" s="173">
        <f t="shared" si="625"/>
        <v>1.0148076563155866</v>
      </c>
      <c r="AM226" s="545">
        <f t="shared" si="626"/>
        <v>1000</v>
      </c>
      <c r="AN226" s="460">
        <f t="shared" si="627"/>
        <v>25.913398552276576</v>
      </c>
      <c r="AP226">
        <f t="shared" si="628"/>
        <v>1000</v>
      </c>
      <c r="AQ226">
        <f t="shared" si="629"/>
        <v>25.913398552276576</v>
      </c>
      <c r="AS226" s="5">
        <f t="shared" si="600"/>
        <v>38.590075245539218</v>
      </c>
      <c r="AT226" s="5">
        <f t="shared" si="630"/>
        <v>1.4158746048357451</v>
      </c>
      <c r="AU226" s="5">
        <f t="shared" si="478"/>
        <v>37.174200640703475</v>
      </c>
      <c r="AV226" s="5"/>
      <c r="AW226" s="173">
        <f t="shared" si="479"/>
        <v>3.6690122935155764E-2</v>
      </c>
      <c r="AX226" s="173">
        <f t="shared" si="631"/>
        <v>15.548039131365947</v>
      </c>
      <c r="AY226" s="173">
        <f t="shared" si="632"/>
        <v>4.8165493853242216</v>
      </c>
      <c r="AZ226" s="173">
        <f t="shared" si="633"/>
        <v>3.2280452015586141</v>
      </c>
      <c r="BA226" s="460">
        <f t="shared" si="594"/>
        <v>9.4391640322383008</v>
      </c>
      <c r="BB226" s="5">
        <f t="shared" si="595"/>
        <v>1.827569675077803</v>
      </c>
      <c r="BD226" s="173">
        <f t="shared" si="681"/>
        <v>1.1058951568021833</v>
      </c>
      <c r="BE226" s="173">
        <f t="shared" si="682"/>
        <v>5.6665976772217395</v>
      </c>
      <c r="BG226" s="528">
        <f t="shared" si="683"/>
        <v>2.4460081956770515E-2</v>
      </c>
      <c r="BH226" s="528">
        <f t="shared" si="634"/>
        <v>0.48734020312005422</v>
      </c>
      <c r="BI226" s="528">
        <f t="shared" si="635"/>
        <v>5.4906130381403608E-2</v>
      </c>
      <c r="BJ226" s="528">
        <f t="shared" si="684"/>
        <v>2.6069791704721977E-2</v>
      </c>
      <c r="BK226">
        <f t="shared" si="685"/>
        <v>3.8138970651475534E-2</v>
      </c>
      <c r="BL226" s="460">
        <f t="shared" si="686"/>
        <v>93.045101032879131</v>
      </c>
      <c r="BM226" s="528">
        <f t="shared" si="636"/>
        <v>0.54765712630467933</v>
      </c>
      <c r="BN226" s="460">
        <f t="shared" si="687"/>
        <v>547.65712630467931</v>
      </c>
      <c r="BO226" s="528">
        <f t="shared" si="637"/>
        <v>0.7</v>
      </c>
      <c r="BR226" s="460">
        <f t="shared" si="688"/>
        <v>700</v>
      </c>
      <c r="BS226" s="528">
        <f t="shared" si="689"/>
        <v>3.6690122935155771E-2</v>
      </c>
      <c r="BT226" s="528">
        <f t="shared" si="690"/>
        <v>0.96330987706484428</v>
      </c>
      <c r="BU226" s="528">
        <f t="shared" si="691"/>
        <v>5.4048163399849726E-2</v>
      </c>
      <c r="BV226" s="528"/>
      <c r="BW226" s="528">
        <f t="shared" si="692"/>
        <v>2.591339855227658E-3</v>
      </c>
      <c r="BX226" s="460">
        <f t="shared" si="693"/>
        <v>1056.6395032550774</v>
      </c>
      <c r="BY226" s="173">
        <f t="shared" si="694"/>
        <v>2.3875546810695032</v>
      </c>
      <c r="BZ226" s="5">
        <f t="shared" si="695"/>
        <v>15</v>
      </c>
      <c r="CA226" s="173">
        <f t="shared" si="696"/>
        <v>0.86268600013842511</v>
      </c>
      <c r="CB226" s="5">
        <f t="shared" si="697"/>
        <v>86.268600013842516</v>
      </c>
      <c r="CE226" s="562">
        <f t="shared" si="638"/>
        <v>-50</v>
      </c>
      <c r="CF226">
        <f t="shared" si="639"/>
        <v>-50</v>
      </c>
      <c r="CG226" s="173">
        <f t="shared" si="640"/>
        <v>0.20264912204760885</v>
      </c>
      <c r="CI226" s="170">
        <v>10</v>
      </c>
      <c r="CJ226" s="217">
        <f t="shared" si="698"/>
        <v>1</v>
      </c>
      <c r="CK226" s="217"/>
      <c r="CL226" s="217">
        <f t="shared" si="641"/>
        <v>15</v>
      </c>
      <c r="CM226" s="541">
        <f t="shared" si="642"/>
        <v>85</v>
      </c>
      <c r="CN226" s="443">
        <f t="shared" si="643"/>
        <v>15.4</v>
      </c>
      <c r="CO226" s="443">
        <f t="shared" si="644"/>
        <v>100.4</v>
      </c>
      <c r="CP226" s="443"/>
      <c r="CQ226" s="217">
        <f t="shared" si="645"/>
        <v>0.15338645418326693</v>
      </c>
      <c r="CR226" s="172">
        <f t="shared" si="646"/>
        <v>327.33148655378488</v>
      </c>
      <c r="CS226" s="172">
        <f t="shared" si="647"/>
        <v>15</v>
      </c>
      <c r="CT226" s="217">
        <f t="shared" si="648"/>
        <v>21.822099103585661</v>
      </c>
      <c r="CU226" s="217">
        <f t="shared" si="649"/>
        <v>15</v>
      </c>
      <c r="CV226" s="217"/>
      <c r="CW226" s="172">
        <f t="shared" si="650"/>
        <v>2040.0166632632502</v>
      </c>
      <c r="CX226" s="172">
        <f t="shared" si="651"/>
        <v>15</v>
      </c>
      <c r="CY226" s="217">
        <f t="shared" si="652"/>
        <v>2.3009931245225363</v>
      </c>
      <c r="CZ226" s="217">
        <f t="shared" si="653"/>
        <v>0.32484608816788746</v>
      </c>
      <c r="DA226" s="217">
        <f t="shared" si="654"/>
        <v>1.7929816554721061</v>
      </c>
      <c r="DB226" s="197">
        <f t="shared" si="655"/>
        <v>108.64873837981409</v>
      </c>
      <c r="DC226" s="443">
        <f t="shared" si="656"/>
        <v>350</v>
      </c>
      <c r="DE226" s="217">
        <f t="shared" si="657"/>
        <v>10</v>
      </c>
      <c r="DF226" s="173">
        <f t="shared" si="658"/>
        <v>7.7922077922077913</v>
      </c>
      <c r="DG226" s="173">
        <f t="shared" si="659"/>
        <v>4.2330677290836656</v>
      </c>
      <c r="DH226" s="173"/>
      <c r="DI226" s="173">
        <f t="shared" si="660"/>
        <v>7.7922077922077913</v>
      </c>
      <c r="DJ226" s="545">
        <f t="shared" si="661"/>
        <v>25.666666666666668</v>
      </c>
      <c r="DK226" s="528">
        <f t="shared" si="662"/>
        <v>4.2330677290836656</v>
      </c>
      <c r="DM226" s="173">
        <f t="shared" si="663"/>
        <v>2.7080128015453204</v>
      </c>
      <c r="DN226" s="173">
        <f t="shared" si="664"/>
        <v>10</v>
      </c>
      <c r="DO226" s="173">
        <f t="shared" si="665"/>
        <v>1.0146666666666666</v>
      </c>
      <c r="DQ226" s="545">
        <f t="shared" si="666"/>
        <v>1000</v>
      </c>
      <c r="DR226" s="460">
        <f t="shared" si="667"/>
        <v>25.666666666666668</v>
      </c>
      <c r="DT226">
        <f t="shared" si="668"/>
        <v>1000</v>
      </c>
      <c r="DU226">
        <f t="shared" si="669"/>
        <v>25.666666666666668</v>
      </c>
      <c r="DW226" s="5">
        <f t="shared" si="670"/>
        <v>38.961038961038959</v>
      </c>
      <c r="DX226" s="5">
        <f t="shared" si="671"/>
        <v>1.4117647058823528</v>
      </c>
      <c r="DY226" s="5">
        <f t="shared" si="672"/>
        <v>37.549274255156604</v>
      </c>
      <c r="DZ226" s="5"/>
      <c r="EA226" s="173">
        <f t="shared" si="673"/>
        <v>3.623529411764706E-2</v>
      </c>
      <c r="EB226" s="173">
        <f t="shared" si="699"/>
        <v>15.400000000000002</v>
      </c>
      <c r="EC226" s="173">
        <f t="shared" si="700"/>
        <v>4.8188235294117652</v>
      </c>
      <c r="ED226" s="173">
        <f t="shared" si="701"/>
        <v>3.19580078125</v>
      </c>
      <c r="EE226" s="460">
        <f t="shared" si="674"/>
        <v>9.4117647058823515</v>
      </c>
      <c r="EF226" s="5">
        <f t="shared" si="675"/>
        <v>1.8406506987821867</v>
      </c>
      <c r="EH226" s="173">
        <f t="shared" si="702"/>
        <v>1.0990191705584129</v>
      </c>
      <c r="EI226" s="173">
        <f t="shared" si="703"/>
        <v>5.6679352674566097</v>
      </c>
      <c r="EK226" s="528">
        <f t="shared" si="704"/>
        <v>2.415686274509804E-2</v>
      </c>
      <c r="EL226" s="528">
        <f t="shared" si="705"/>
        <v>0.51538666666666677</v>
      </c>
      <c r="EM226" s="528">
        <f t="shared" si="706"/>
        <v>3.2083333333333334E-3</v>
      </c>
      <c r="EN226" s="528">
        <f t="shared" si="707"/>
        <v>2.5872410666666672E-2</v>
      </c>
      <c r="EO226">
        <f t="shared" si="708"/>
        <v>3.8249999999999999E-2</v>
      </c>
      <c r="EP226" s="460">
        <f t="shared" si="709"/>
        <v>41.458333333333336</v>
      </c>
      <c r="EQ226" s="460"/>
      <c r="ER226" s="460">
        <f t="shared" si="710"/>
        <v>606.87427341176476</v>
      </c>
      <c r="ES226" s="528">
        <f t="shared" si="711"/>
        <v>0.7</v>
      </c>
      <c r="EV226" s="460">
        <f t="shared" si="712"/>
        <v>700</v>
      </c>
      <c r="EW226" s="528">
        <f t="shared" si="713"/>
        <v>3.6235294117647053E-2</v>
      </c>
      <c r="EX226" s="528">
        <f t="shared" si="714"/>
        <v>0.96376470588235286</v>
      </c>
      <c r="EY226" s="528">
        <f t="shared" si="715"/>
        <v>5.2770800289257756E-2</v>
      </c>
      <c r="EZ226" s="528"/>
      <c r="FA226" s="528">
        <f t="shared" si="716"/>
        <v>2.5666666666666667E-3</v>
      </c>
      <c r="FB226" s="460">
        <f t="shared" si="717"/>
        <v>1055.3374669559244</v>
      </c>
      <c r="FC226" s="173">
        <f t="shared" si="718"/>
        <v>2.3622117403676892</v>
      </c>
      <c r="FD226" s="5">
        <f t="shared" si="719"/>
        <v>15</v>
      </c>
      <c r="FE226" s="173">
        <f t="shared" si="720"/>
        <v>0.86394522911643368</v>
      </c>
      <c r="FF226" s="5">
        <f t="shared" si="721"/>
        <v>86.394522911643364</v>
      </c>
      <c r="FI226" s="562">
        <f t="shared" si="676"/>
        <v>-50</v>
      </c>
      <c r="FJ226">
        <f t="shared" si="677"/>
        <v>-50</v>
      </c>
      <c r="FL226">
        <f t="shared" si="678"/>
        <v>0.2</v>
      </c>
    </row>
    <row r="227" spans="5:168">
      <c r="E227" s="170">
        <v>11</v>
      </c>
      <c r="F227" s="217">
        <f t="shared" si="679"/>
        <v>1.1000000000000001</v>
      </c>
      <c r="G227" s="217"/>
      <c r="H227" s="217">
        <f t="shared" si="603"/>
        <v>16.5</v>
      </c>
      <c r="I227" s="541">
        <f t="shared" si="604"/>
        <v>84.753268114390082</v>
      </c>
      <c r="J227" s="172">
        <f t="shared" si="605"/>
        <v>15.548039131365949</v>
      </c>
      <c r="K227" s="172">
        <f t="shared" si="606"/>
        <v>100.30130724575604</v>
      </c>
      <c r="L227" s="443"/>
      <c r="M227" s="217">
        <f t="shared" si="607"/>
        <v>0.15502984391561525</v>
      </c>
      <c r="N227" s="172">
        <f t="shared" si="608"/>
        <v>329.8781973075603</v>
      </c>
      <c r="O227" s="172">
        <f t="shared" si="599"/>
        <v>16.5</v>
      </c>
      <c r="P227" s="217">
        <f t="shared" si="609"/>
        <v>21.991879820504021</v>
      </c>
      <c r="Q227" s="217">
        <f t="shared" si="610"/>
        <v>15</v>
      </c>
      <c r="R227" s="217"/>
      <c r="S227" s="172">
        <f t="shared" si="611"/>
        <v>1841.4757767087831</v>
      </c>
      <c r="T227" s="172">
        <f t="shared" si="612"/>
        <v>15</v>
      </c>
      <c r="U227" s="217">
        <f t="shared" si="613"/>
        <v>2.6036422519285898</v>
      </c>
      <c r="V227" s="217">
        <f t="shared" si="614"/>
        <v>0.36864309445830418</v>
      </c>
      <c r="W227" s="217">
        <f t="shared" si="615"/>
        <v>2.0094950082877889</v>
      </c>
      <c r="X227" s="197">
        <f t="shared" si="616"/>
        <v>109.48238241177424</v>
      </c>
      <c r="Y227" s="443">
        <f t="shared" si="680"/>
        <v>350</v>
      </c>
      <c r="AA227" s="217">
        <f t="shared" si="617"/>
        <v>10</v>
      </c>
      <c r="AB227" s="173">
        <f t="shared" si="618"/>
        <v>7.7180150491078416</v>
      </c>
      <c r="AC227" s="173">
        <f t="shared" si="619"/>
        <v>4.2249333753312666</v>
      </c>
      <c r="AD227" s="173"/>
      <c r="AE227" s="173">
        <f t="shared" si="620"/>
        <v>7.7180150491078416</v>
      </c>
      <c r="AF227" s="545">
        <f t="shared" si="621"/>
        <v>28.504738407504238</v>
      </c>
      <c r="AG227" s="528">
        <f t="shared" si="622"/>
        <v>4.2249333753312666</v>
      </c>
      <c r="AI227" s="173">
        <f t="shared" si="623"/>
        <v>2.853806400857045</v>
      </c>
      <c r="AJ227" s="173">
        <f t="shared" si="624"/>
        <v>10</v>
      </c>
      <c r="AK227" s="173">
        <f t="shared" si="625"/>
        <v>1.0162884219471453</v>
      </c>
      <c r="AM227" s="545">
        <f t="shared" si="626"/>
        <v>1100</v>
      </c>
      <c r="AN227" s="460">
        <f t="shared" si="627"/>
        <v>28.504738407504238</v>
      </c>
      <c r="AP227">
        <f t="shared" si="628"/>
        <v>1100</v>
      </c>
      <c r="AQ227">
        <f t="shared" si="629"/>
        <v>28.504738407504238</v>
      </c>
      <c r="AS227" s="5">
        <f t="shared" si="600"/>
        <v>35.08188658685382</v>
      </c>
      <c r="AT227" s="5">
        <f t="shared" si="630"/>
        <v>1.4158746048357451</v>
      </c>
      <c r="AU227" s="5">
        <f t="shared" si="478"/>
        <v>33.666011982018077</v>
      </c>
      <c r="AV227" s="5"/>
      <c r="AW227" s="173">
        <f t="shared" si="479"/>
        <v>4.0359135228671357E-2</v>
      </c>
      <c r="AX227" s="173">
        <f t="shared" si="631"/>
        <v>17.102843044502542</v>
      </c>
      <c r="AY227" s="173">
        <f t="shared" si="632"/>
        <v>4.798204323856643</v>
      </c>
      <c r="AZ227" s="173">
        <f t="shared" si="633"/>
        <v>3.5644257497471106</v>
      </c>
      <c r="BA227" s="460">
        <f t="shared" si="594"/>
        <v>10.383080435462134</v>
      </c>
      <c r="BB227" s="5">
        <f t="shared" si="595"/>
        <v>1.8206089080756538</v>
      </c>
      <c r="BD227" s="173">
        <f t="shared" si="681"/>
        <v>1.1598726256026473</v>
      </c>
      <c r="BE227" s="173">
        <f t="shared" si="682"/>
        <v>5.6557960381993047</v>
      </c>
      <c r="BG227" s="528">
        <f t="shared" si="683"/>
        <v>2.6906090152447572E-2</v>
      </c>
      <c r="BH227" s="528">
        <f t="shared" si="634"/>
        <v>0.53607422343205979</v>
      </c>
      <c r="BI227" s="528">
        <f t="shared" si="635"/>
        <v>6.0396743419543979E-2</v>
      </c>
      <c r="BJ227" s="528">
        <f t="shared" si="684"/>
        <v>2.8676770875194182E-2</v>
      </c>
      <c r="BK227">
        <f t="shared" si="685"/>
        <v>3.8138970651475534E-2</v>
      </c>
      <c r="BL227" s="460">
        <f t="shared" si="686"/>
        <v>98.535714071019527</v>
      </c>
      <c r="BM227" s="528">
        <f t="shared" si="636"/>
        <v>0.60277520256948025</v>
      </c>
      <c r="BN227" s="460">
        <f t="shared" si="687"/>
        <v>602.77520256948026</v>
      </c>
      <c r="BO227" s="528">
        <f t="shared" si="637"/>
        <v>0.77</v>
      </c>
      <c r="BR227" s="460">
        <f t="shared" si="688"/>
        <v>770</v>
      </c>
      <c r="BS227" s="528">
        <f t="shared" si="689"/>
        <v>4.0359135228671357E-2</v>
      </c>
      <c r="BT227" s="528">
        <f t="shared" si="690"/>
        <v>0.95964086477132848</v>
      </c>
      <c r="BU227" s="528">
        <f t="shared" si="691"/>
        <v>6.859029232134134E-2</v>
      </c>
      <c r="BV227" s="528"/>
      <c r="BW227" s="528">
        <f t="shared" si="692"/>
        <v>2.8504738407504242E-3</v>
      </c>
      <c r="BX227" s="460">
        <f t="shared" si="693"/>
        <v>1071.4407661620917</v>
      </c>
      <c r="BY227" s="173">
        <f t="shared" si="694"/>
        <v>2.5316335646928123</v>
      </c>
      <c r="BZ227" s="5">
        <f t="shared" si="695"/>
        <v>16.5</v>
      </c>
      <c r="CA227" s="173">
        <f t="shared" si="696"/>
        <v>0.86697760042051997</v>
      </c>
      <c r="CB227" s="5">
        <f t="shared" si="697"/>
        <v>86.697760042051996</v>
      </c>
      <c r="CE227" s="562">
        <f t="shared" si="638"/>
        <v>-50</v>
      </c>
      <c r="CF227">
        <f t="shared" si="639"/>
        <v>-50</v>
      </c>
      <c r="CG227" s="173">
        <f t="shared" si="640"/>
        <v>0.22291403425236975</v>
      </c>
      <c r="CI227" s="170">
        <v>11</v>
      </c>
      <c r="CJ227" s="217">
        <f t="shared" si="698"/>
        <v>1.1000000000000001</v>
      </c>
      <c r="CK227" s="217"/>
      <c r="CL227" s="217">
        <f t="shared" si="641"/>
        <v>16.5</v>
      </c>
      <c r="CM227" s="541">
        <f t="shared" si="642"/>
        <v>85</v>
      </c>
      <c r="CN227" s="443">
        <f t="shared" si="643"/>
        <v>15.4</v>
      </c>
      <c r="CO227" s="443">
        <f t="shared" si="644"/>
        <v>100.4</v>
      </c>
      <c r="CP227" s="443"/>
      <c r="CQ227" s="217">
        <f t="shared" si="645"/>
        <v>0.15338645418326693</v>
      </c>
      <c r="CR227" s="172">
        <f t="shared" si="646"/>
        <v>327.33148655378488</v>
      </c>
      <c r="CS227" s="172">
        <f t="shared" si="647"/>
        <v>16.5</v>
      </c>
      <c r="CT227" s="217">
        <f t="shared" si="648"/>
        <v>21.822099103585661</v>
      </c>
      <c r="CU227" s="217">
        <f t="shared" si="649"/>
        <v>15</v>
      </c>
      <c r="CV227" s="217"/>
      <c r="CW227" s="172">
        <f t="shared" si="650"/>
        <v>1846.8365876900807</v>
      </c>
      <c r="CX227" s="172">
        <f t="shared" si="651"/>
        <v>15</v>
      </c>
      <c r="CY227" s="217">
        <f t="shared" si="652"/>
        <v>2.5310924369747898</v>
      </c>
      <c r="CZ227" s="217">
        <f t="shared" si="653"/>
        <v>0.35733069698467618</v>
      </c>
      <c r="DA227" s="217">
        <f t="shared" si="654"/>
        <v>1.9722798210193166</v>
      </c>
      <c r="DB227" s="197">
        <f t="shared" si="655"/>
        <v>108.64873837981409</v>
      </c>
      <c r="DC227" s="443">
        <f t="shared" si="656"/>
        <v>350</v>
      </c>
      <c r="DE227" s="217">
        <f t="shared" si="657"/>
        <v>10</v>
      </c>
      <c r="DF227" s="173">
        <f t="shared" si="658"/>
        <v>7.7922077922077913</v>
      </c>
      <c r="DG227" s="173">
        <f t="shared" si="659"/>
        <v>4.2330677290836656</v>
      </c>
      <c r="DH227" s="173"/>
      <c r="DI227" s="173">
        <f t="shared" si="660"/>
        <v>7.7922077922077913</v>
      </c>
      <c r="DJ227" s="545">
        <f t="shared" si="661"/>
        <v>28.233333333333334</v>
      </c>
      <c r="DK227" s="528">
        <f t="shared" si="662"/>
        <v>4.2330677290836656</v>
      </c>
      <c r="DM227" s="173">
        <f t="shared" si="663"/>
        <v>2.8401877872187726</v>
      </c>
      <c r="DN227" s="173">
        <f t="shared" si="664"/>
        <v>10</v>
      </c>
      <c r="DO227" s="173">
        <f t="shared" si="665"/>
        <v>1.0161333333333333</v>
      </c>
      <c r="DQ227" s="545">
        <f t="shared" si="666"/>
        <v>1100</v>
      </c>
      <c r="DR227" s="460">
        <f t="shared" si="667"/>
        <v>28.233333333333334</v>
      </c>
      <c r="DT227">
        <f t="shared" si="668"/>
        <v>1100</v>
      </c>
      <c r="DU227">
        <f t="shared" si="669"/>
        <v>28.233333333333334</v>
      </c>
      <c r="DW227" s="5">
        <f t="shared" si="670"/>
        <v>35.419126328217232</v>
      </c>
      <c r="DX227" s="5">
        <f t="shared" si="671"/>
        <v>1.4117647058823528</v>
      </c>
      <c r="DY227" s="5">
        <f t="shared" si="672"/>
        <v>34.007361622334876</v>
      </c>
      <c r="DZ227" s="5"/>
      <c r="EA227" s="173">
        <f t="shared" si="673"/>
        <v>3.9858823529411766E-2</v>
      </c>
      <c r="EB227" s="173">
        <f t="shared" si="699"/>
        <v>16.940000000000005</v>
      </c>
      <c r="EC227" s="173">
        <f t="shared" si="700"/>
        <v>4.8007058823529416</v>
      </c>
      <c r="ED227" s="173">
        <f t="shared" si="701"/>
        <v>3.5286477478802145</v>
      </c>
      <c r="EE227" s="460">
        <f t="shared" si="674"/>
        <v>10.352941176470589</v>
      </c>
      <c r="EF227" s="5">
        <f t="shared" si="675"/>
        <v>1.8337302835572729</v>
      </c>
      <c r="EH227" s="173">
        <f t="shared" si="702"/>
        <v>1.1526610303902844</v>
      </c>
      <c r="EI227" s="173">
        <f t="shared" si="703"/>
        <v>5.6572701793668063</v>
      </c>
      <c r="EK227" s="528">
        <f t="shared" si="704"/>
        <v>2.6572549019607844E-2</v>
      </c>
      <c r="EL227" s="528">
        <f t="shared" si="705"/>
        <v>0.56692533333333339</v>
      </c>
      <c r="EM227" s="528">
        <f t="shared" si="706"/>
        <v>3.5291666666666666E-3</v>
      </c>
      <c r="EN227" s="528">
        <f t="shared" si="707"/>
        <v>2.8459651733333338E-2</v>
      </c>
      <c r="EO227">
        <f t="shared" si="708"/>
        <v>3.8249999999999999E-2</v>
      </c>
      <c r="EP227" s="460">
        <f t="shared" si="709"/>
        <v>41.779166666666669</v>
      </c>
      <c r="EQ227" s="460"/>
      <c r="ER227" s="460">
        <f t="shared" si="710"/>
        <v>663.73670075294126</v>
      </c>
      <c r="ES227" s="528">
        <f t="shared" si="711"/>
        <v>0.77</v>
      </c>
      <c r="EV227" s="460">
        <f t="shared" si="712"/>
        <v>770</v>
      </c>
      <c r="EW227" s="528">
        <f t="shared" si="713"/>
        <v>3.9858823529411766E-2</v>
      </c>
      <c r="EX227" s="528">
        <f t="shared" si="714"/>
        <v>0.96014117647058805</v>
      </c>
      <c r="EY227" s="528">
        <f t="shared" si="715"/>
        <v>6.6969243544756182E-2</v>
      </c>
      <c r="EZ227" s="528"/>
      <c r="FA227" s="528">
        <f t="shared" si="716"/>
        <v>2.8233333333333335E-3</v>
      </c>
      <c r="FB227" s="460">
        <f t="shared" si="717"/>
        <v>1069.7925768780894</v>
      </c>
      <c r="FC227" s="173">
        <f t="shared" si="718"/>
        <v>2.5035292776310301</v>
      </c>
      <c r="FD227" s="5">
        <f t="shared" si="719"/>
        <v>16.5</v>
      </c>
      <c r="FE227" s="173">
        <f t="shared" si="720"/>
        <v>0.86825977211622873</v>
      </c>
      <c r="FF227" s="5">
        <f t="shared" si="721"/>
        <v>86.82597721162287</v>
      </c>
      <c r="FI227" s="562">
        <f t="shared" si="676"/>
        <v>-50</v>
      </c>
      <c r="FJ227">
        <f t="shared" si="677"/>
        <v>-50</v>
      </c>
      <c r="FL227">
        <f t="shared" si="678"/>
        <v>0.22000000000000003</v>
      </c>
    </row>
    <row r="228" spans="5:168">
      <c r="E228" s="170">
        <v>12</v>
      </c>
      <c r="F228" s="217">
        <f t="shared" si="679"/>
        <v>1.2</v>
      </c>
      <c r="G228" s="217"/>
      <c r="H228" s="217">
        <f t="shared" si="603"/>
        <v>18</v>
      </c>
      <c r="I228" s="541">
        <f t="shared" si="604"/>
        <v>84.753268114390082</v>
      </c>
      <c r="J228" s="172">
        <f t="shared" si="605"/>
        <v>15.548039131365949</v>
      </c>
      <c r="K228" s="172">
        <f t="shared" si="606"/>
        <v>100.30130724575604</v>
      </c>
      <c r="L228" s="443"/>
      <c r="M228" s="217">
        <f t="shared" si="607"/>
        <v>0.15502984391561525</v>
      </c>
      <c r="N228" s="172">
        <f t="shared" si="608"/>
        <v>329.8781973075603</v>
      </c>
      <c r="O228" s="172">
        <f t="shared" si="599"/>
        <v>18</v>
      </c>
      <c r="P228" s="217">
        <f t="shared" si="609"/>
        <v>21.991879820504021</v>
      </c>
      <c r="Q228" s="217">
        <f t="shared" si="610"/>
        <v>15</v>
      </c>
      <c r="R228" s="217"/>
      <c r="S228" s="172">
        <f t="shared" si="611"/>
        <v>1680.9599806294029</v>
      </c>
      <c r="T228" s="172">
        <f t="shared" si="612"/>
        <v>15</v>
      </c>
      <c r="U228" s="217">
        <f t="shared" si="613"/>
        <v>2.840337002103916</v>
      </c>
      <c r="V228" s="217">
        <f t="shared" si="614"/>
        <v>0.40215610304542265</v>
      </c>
      <c r="W228" s="217">
        <f t="shared" si="615"/>
        <v>2.1921763726775874</v>
      </c>
      <c r="X228" s="197">
        <f t="shared" si="616"/>
        <v>109.48238241177424</v>
      </c>
      <c r="Y228" s="443">
        <f t="shared" si="680"/>
        <v>350</v>
      </c>
      <c r="AA228" s="217">
        <f t="shared" si="617"/>
        <v>10</v>
      </c>
      <c r="AB228" s="173">
        <f t="shared" si="618"/>
        <v>7.7180150491078416</v>
      </c>
      <c r="AC228" s="173">
        <f t="shared" si="619"/>
        <v>4.2249333753312666</v>
      </c>
      <c r="AD228" s="173"/>
      <c r="AE228" s="173">
        <f t="shared" si="620"/>
        <v>7.7180150491078416</v>
      </c>
      <c r="AF228" s="545">
        <f t="shared" si="621"/>
        <v>31.09607826273189</v>
      </c>
      <c r="AG228" s="528">
        <f t="shared" si="622"/>
        <v>4.2249333753312666</v>
      </c>
      <c r="AI228" s="173">
        <f t="shared" si="623"/>
        <v>2.9807035728753655</v>
      </c>
      <c r="AJ228" s="173">
        <f t="shared" si="624"/>
        <v>10</v>
      </c>
      <c r="AK228" s="173">
        <f t="shared" si="625"/>
        <v>1.017769187578704</v>
      </c>
      <c r="AM228" s="545">
        <f t="shared" si="626"/>
        <v>1200</v>
      </c>
      <c r="AN228" s="460">
        <f t="shared" si="627"/>
        <v>31.09607826273189</v>
      </c>
      <c r="AP228">
        <f t="shared" si="628"/>
        <v>1200</v>
      </c>
      <c r="AQ228">
        <f t="shared" si="629"/>
        <v>31.09607826273189</v>
      </c>
      <c r="AS228" s="5">
        <f t="shared" si="600"/>
        <v>32.158396037949345</v>
      </c>
      <c r="AT228" s="5">
        <f t="shared" si="630"/>
        <v>1.4158746048357451</v>
      </c>
      <c r="AU228" s="5">
        <f t="shared" si="478"/>
        <v>30.742521433113598</v>
      </c>
      <c r="AV228" s="5"/>
      <c r="AW228" s="173">
        <f t="shared" si="479"/>
        <v>4.4028147522186922E-2</v>
      </c>
      <c r="AX228" s="173">
        <f t="shared" si="631"/>
        <v>18.657646957639134</v>
      </c>
      <c r="AY228" s="173">
        <f t="shared" si="632"/>
        <v>4.7798592623890652</v>
      </c>
      <c r="AZ228" s="173">
        <f t="shared" si="633"/>
        <v>3.9033883496213408</v>
      </c>
      <c r="BA228" s="460">
        <f t="shared" si="594"/>
        <v>11.326996838685961</v>
      </c>
      <c r="BB228" s="5">
        <f t="shared" si="595"/>
        <v>1.8136481410735055</v>
      </c>
      <c r="BD228" s="173">
        <f t="shared" si="681"/>
        <v>1.2114474472325369</v>
      </c>
      <c r="BE228" s="173">
        <f t="shared" si="682"/>
        <v>5.6449737303132865</v>
      </c>
      <c r="BG228" s="528">
        <f t="shared" si="683"/>
        <v>2.9352098348124609E-2</v>
      </c>
      <c r="BH228" s="528">
        <f t="shared" si="634"/>
        <v>0.58480824374406504</v>
      </c>
      <c r="BI228" s="528">
        <f t="shared" si="635"/>
        <v>6.5887356457684315E-2</v>
      </c>
      <c r="BJ228" s="528">
        <f t="shared" si="684"/>
        <v>3.1283750045666373E-2</v>
      </c>
      <c r="BK228">
        <f t="shared" si="685"/>
        <v>3.8138970651475534E-2</v>
      </c>
      <c r="BL228" s="460">
        <f t="shared" si="686"/>
        <v>104.02632710915985</v>
      </c>
      <c r="BM228" s="528">
        <f t="shared" si="636"/>
        <v>0.65795779488835382</v>
      </c>
      <c r="BN228" s="460">
        <f t="shared" si="687"/>
        <v>657.95779488835387</v>
      </c>
      <c r="BO228" s="528">
        <f t="shared" si="637"/>
        <v>0.84</v>
      </c>
      <c r="BR228" s="460">
        <f t="shared" si="688"/>
        <v>840</v>
      </c>
      <c r="BS228" s="528">
        <f t="shared" si="689"/>
        <v>4.4028147522186908E-2</v>
      </c>
      <c r="BT228" s="528">
        <f t="shared" si="690"/>
        <v>0.95597185247781302</v>
      </c>
      <c r="BU228" s="528">
        <f t="shared" si="691"/>
        <v>8.5257787063169596E-2</v>
      </c>
      <c r="BV228" s="528"/>
      <c r="BW228" s="528">
        <f t="shared" si="692"/>
        <v>3.1096078262731895E-3</v>
      </c>
      <c r="BX228" s="460">
        <f t="shared" si="693"/>
        <v>1088.3673948894425</v>
      </c>
      <c r="BY228" s="173">
        <f t="shared" si="694"/>
        <v>2.6778378141364585</v>
      </c>
      <c r="BZ228" s="5">
        <f t="shared" si="695"/>
        <v>18</v>
      </c>
      <c r="CA228" s="173">
        <f t="shared" si="696"/>
        <v>0.870497203904668</v>
      </c>
      <c r="CB228" s="5">
        <f t="shared" si="697"/>
        <v>87.049720390466803</v>
      </c>
      <c r="CE228" s="562">
        <f t="shared" si="638"/>
        <v>-50</v>
      </c>
      <c r="CF228">
        <f t="shared" si="639"/>
        <v>-50</v>
      </c>
      <c r="CG228" s="173">
        <f t="shared" si="640"/>
        <v>0.24317894645713062</v>
      </c>
      <c r="CI228" s="170">
        <v>12</v>
      </c>
      <c r="CJ228" s="217">
        <f t="shared" si="698"/>
        <v>1.2</v>
      </c>
      <c r="CK228" s="217"/>
      <c r="CL228" s="217">
        <f t="shared" si="641"/>
        <v>18</v>
      </c>
      <c r="CM228" s="541">
        <f t="shared" si="642"/>
        <v>85</v>
      </c>
      <c r="CN228" s="443">
        <f t="shared" si="643"/>
        <v>15.4</v>
      </c>
      <c r="CO228" s="443">
        <f t="shared" si="644"/>
        <v>100.4</v>
      </c>
      <c r="CP228" s="443"/>
      <c r="CQ228" s="217">
        <f t="shared" si="645"/>
        <v>0.15338645418326693</v>
      </c>
      <c r="CR228" s="172">
        <f t="shared" si="646"/>
        <v>327.33148655378488</v>
      </c>
      <c r="CS228" s="172">
        <f t="shared" si="647"/>
        <v>18</v>
      </c>
      <c r="CT228" s="217">
        <f t="shared" si="648"/>
        <v>21.822099103585661</v>
      </c>
      <c r="CU228" s="217">
        <f t="shared" si="649"/>
        <v>15</v>
      </c>
      <c r="CV228" s="217"/>
      <c r="CW228" s="172">
        <f t="shared" si="650"/>
        <v>1685.8534963752918</v>
      </c>
      <c r="CX228" s="172">
        <f t="shared" si="651"/>
        <v>15</v>
      </c>
      <c r="CY228" s="217">
        <f t="shared" si="652"/>
        <v>2.7611917494270433</v>
      </c>
      <c r="CZ228" s="217">
        <f t="shared" si="653"/>
        <v>0.38981530580146495</v>
      </c>
      <c r="DA228" s="217">
        <f t="shared" si="654"/>
        <v>2.1515779865665272</v>
      </c>
      <c r="DB228" s="197">
        <f t="shared" si="655"/>
        <v>108.64873837981409</v>
      </c>
      <c r="DC228" s="443">
        <f t="shared" si="656"/>
        <v>350</v>
      </c>
      <c r="DE228" s="217">
        <f t="shared" si="657"/>
        <v>10</v>
      </c>
      <c r="DF228" s="173">
        <f t="shared" si="658"/>
        <v>7.7922077922077913</v>
      </c>
      <c r="DG228" s="173">
        <f t="shared" si="659"/>
        <v>4.2330677290836656</v>
      </c>
      <c r="DH228" s="173"/>
      <c r="DI228" s="173">
        <f t="shared" si="660"/>
        <v>7.7922077922077913</v>
      </c>
      <c r="DJ228" s="545">
        <f t="shared" si="661"/>
        <v>30.8</v>
      </c>
      <c r="DK228" s="528">
        <f t="shared" si="662"/>
        <v>4.2330677290836656</v>
      </c>
      <c r="DM228" s="173">
        <f t="shared" si="663"/>
        <v>2.9664793948382653</v>
      </c>
      <c r="DN228" s="173">
        <f t="shared" si="664"/>
        <v>10</v>
      </c>
      <c r="DO228" s="173">
        <f t="shared" si="665"/>
        <v>1.0176000000000001</v>
      </c>
      <c r="DQ228" s="545">
        <f t="shared" si="666"/>
        <v>1200</v>
      </c>
      <c r="DR228" s="460">
        <f t="shared" si="667"/>
        <v>30.8</v>
      </c>
      <c r="DT228">
        <f t="shared" si="668"/>
        <v>1200</v>
      </c>
      <c r="DU228">
        <f t="shared" si="669"/>
        <v>30.8</v>
      </c>
      <c r="DW228" s="5">
        <f t="shared" si="670"/>
        <v>32.467532467532465</v>
      </c>
      <c r="DX228" s="5">
        <f t="shared" si="671"/>
        <v>1.4117647058823528</v>
      </c>
      <c r="DY228" s="5">
        <f t="shared" si="672"/>
        <v>31.055767761650113</v>
      </c>
      <c r="DZ228" s="5"/>
      <c r="EA228" s="173">
        <f t="shared" si="673"/>
        <v>4.3482352941176472E-2</v>
      </c>
      <c r="EB228" s="173">
        <f t="shared" si="699"/>
        <v>18.480000000000004</v>
      </c>
      <c r="EC228" s="173">
        <f t="shared" si="700"/>
        <v>4.7825882352941171</v>
      </c>
      <c r="ED228" s="173">
        <f t="shared" si="701"/>
        <v>3.8640165305520036</v>
      </c>
      <c r="EE228" s="460">
        <f t="shared" si="674"/>
        <v>11.294117647058822</v>
      </c>
      <c r="EF228" s="5">
        <f t="shared" si="675"/>
        <v>1.8268098683323595</v>
      </c>
      <c r="EH228" s="173">
        <f t="shared" si="702"/>
        <v>1.2039151816909206</v>
      </c>
      <c r="EI228" s="173">
        <f t="shared" si="703"/>
        <v>5.6465849474374732</v>
      </c>
      <c r="EK228" s="528">
        <f t="shared" si="704"/>
        <v>2.8988235294117648E-2</v>
      </c>
      <c r="EL228" s="528">
        <f t="shared" si="705"/>
        <v>0.61846400000000001</v>
      </c>
      <c r="EM228" s="528">
        <f t="shared" si="706"/>
        <v>3.8499999999999997E-3</v>
      </c>
      <c r="EN228" s="528">
        <f t="shared" si="707"/>
        <v>3.1046892800000007E-2</v>
      </c>
      <c r="EO228">
        <f t="shared" si="708"/>
        <v>3.8249999999999999E-2</v>
      </c>
      <c r="EP228" s="460">
        <f t="shared" si="709"/>
        <v>42.1</v>
      </c>
      <c r="EQ228" s="460"/>
      <c r="ER228" s="460">
        <f t="shared" si="710"/>
        <v>720.59912809411776</v>
      </c>
      <c r="ES228" s="528">
        <f t="shared" si="711"/>
        <v>0.84</v>
      </c>
      <c r="EV228" s="460">
        <f t="shared" si="712"/>
        <v>840</v>
      </c>
      <c r="EW228" s="528">
        <f t="shared" si="713"/>
        <v>4.3482352941176472E-2</v>
      </c>
      <c r="EX228" s="528">
        <f t="shared" si="714"/>
        <v>0.95651764705882358</v>
      </c>
      <c r="EY228" s="528">
        <f t="shared" si="715"/>
        <v>8.3242822164556723E-2</v>
      </c>
      <c r="EZ228" s="528"/>
      <c r="FA228" s="528">
        <f t="shared" si="716"/>
        <v>3.0800000000000003E-3</v>
      </c>
      <c r="FB228" s="460">
        <f t="shared" si="717"/>
        <v>1086.3228221645566</v>
      </c>
      <c r="FC228" s="173">
        <f t="shared" si="718"/>
        <v>2.6469219502586747</v>
      </c>
      <c r="FD228" s="5">
        <f t="shared" si="719"/>
        <v>18</v>
      </c>
      <c r="FE228" s="173">
        <f t="shared" si="720"/>
        <v>0.87180065112681293</v>
      </c>
      <c r="FF228" s="5">
        <f t="shared" si="721"/>
        <v>87.180065112681291</v>
      </c>
      <c r="FI228" s="562">
        <f t="shared" si="676"/>
        <v>-50</v>
      </c>
      <c r="FJ228">
        <f t="shared" si="677"/>
        <v>-50</v>
      </c>
      <c r="FL228">
        <f t="shared" si="678"/>
        <v>0.24000000000000002</v>
      </c>
    </row>
    <row r="229" spans="5:168">
      <c r="E229" s="170">
        <v>13</v>
      </c>
      <c r="F229" s="217">
        <f t="shared" si="679"/>
        <v>1.3</v>
      </c>
      <c r="G229" s="217"/>
      <c r="H229" s="217">
        <f t="shared" si="603"/>
        <v>19.5</v>
      </c>
      <c r="I229" s="541">
        <f t="shared" si="604"/>
        <v>84.753268114390082</v>
      </c>
      <c r="J229" s="172">
        <f t="shared" si="605"/>
        <v>15.548039131365949</v>
      </c>
      <c r="K229" s="172">
        <f t="shared" si="606"/>
        <v>100.30130724575604</v>
      </c>
      <c r="L229" s="443"/>
      <c r="M229" s="217">
        <f t="shared" si="607"/>
        <v>0.15502984391561525</v>
      </c>
      <c r="N229" s="172">
        <f t="shared" si="608"/>
        <v>329.8781973075603</v>
      </c>
      <c r="O229" s="172">
        <f t="shared" si="599"/>
        <v>19.5</v>
      </c>
      <c r="P229" s="217">
        <f t="shared" si="609"/>
        <v>21.991879820504021</v>
      </c>
      <c r="Q229" s="217">
        <f t="shared" si="610"/>
        <v>15</v>
      </c>
      <c r="R229" s="217"/>
      <c r="S229" s="172">
        <f t="shared" si="611"/>
        <v>1545.1392074853154</v>
      </c>
      <c r="T229" s="172">
        <f t="shared" si="612"/>
        <v>15</v>
      </c>
      <c r="U229" s="217">
        <f t="shared" si="613"/>
        <v>3.0770317522792427</v>
      </c>
      <c r="V229" s="217">
        <f t="shared" si="614"/>
        <v>0.43566911163254129</v>
      </c>
      <c r="W229" s="217">
        <f t="shared" si="615"/>
        <v>2.3748577370673867</v>
      </c>
      <c r="X229" s="197">
        <f t="shared" si="616"/>
        <v>109.48238241177424</v>
      </c>
      <c r="Y229" s="443">
        <f t="shared" si="680"/>
        <v>332.16777336891778</v>
      </c>
      <c r="AA229" s="217">
        <f t="shared" si="617"/>
        <v>10</v>
      </c>
      <c r="AB229" s="173">
        <f t="shared" si="618"/>
        <v>7.7180150491078416</v>
      </c>
      <c r="AC229" s="173">
        <f t="shared" si="619"/>
        <v>4.2249333753312666</v>
      </c>
      <c r="AD229" s="173"/>
      <c r="AE229" s="173">
        <f t="shared" si="620"/>
        <v>7.7180150491078416</v>
      </c>
      <c r="AF229" s="545">
        <f t="shared" si="621"/>
        <v>33.687418117959552</v>
      </c>
      <c r="AG229" s="528">
        <f t="shared" si="622"/>
        <v>4.2249333753312666</v>
      </c>
      <c r="AI229" s="173">
        <f t="shared" si="623"/>
        <v>3.1024146410709355</v>
      </c>
      <c r="AJ229" s="173">
        <f t="shared" si="624"/>
        <v>10</v>
      </c>
      <c r="AK229" s="173">
        <f t="shared" si="625"/>
        <v>1.0192499532102626</v>
      </c>
      <c r="AM229" s="545">
        <f t="shared" si="626"/>
        <v>1300</v>
      </c>
      <c r="AN229" s="460">
        <f t="shared" si="627"/>
        <v>33.687418117959552</v>
      </c>
      <c r="AP229">
        <f t="shared" si="628"/>
        <v>1300</v>
      </c>
      <c r="AQ229">
        <f t="shared" si="629"/>
        <v>33.687418117959552</v>
      </c>
      <c r="AS229" s="5">
        <f t="shared" si="600"/>
        <v>29.68467326579939</v>
      </c>
      <c r="AT229" s="5">
        <f t="shared" si="630"/>
        <v>1.4158746048357451</v>
      </c>
      <c r="AU229" s="5">
        <f t="shared" si="478"/>
        <v>28.268798660963643</v>
      </c>
      <c r="AV229" s="5"/>
      <c r="AW229" s="173">
        <f t="shared" si="479"/>
        <v>4.7697159815702508E-2</v>
      </c>
      <c r="AX229" s="173">
        <f t="shared" si="631"/>
        <v>20.212450870775733</v>
      </c>
      <c r="AY229" s="173">
        <f t="shared" si="632"/>
        <v>4.7615142009214875</v>
      </c>
      <c r="AZ229" s="173">
        <f t="shared" si="633"/>
        <v>4.2449628454041051</v>
      </c>
      <c r="BA229" s="460">
        <f t="shared" si="594"/>
        <v>12.27091324190979</v>
      </c>
      <c r="BB229" s="5">
        <f t="shared" si="595"/>
        <v>1.8066873740713567</v>
      </c>
      <c r="BD229" s="173">
        <f t="shared" si="681"/>
        <v>1.2609144805220074</v>
      </c>
      <c r="BE229" s="173">
        <f t="shared" si="682"/>
        <v>5.6341306344584563</v>
      </c>
      <c r="BG229" s="528">
        <f t="shared" si="683"/>
        <v>3.1798106543801677E-2</v>
      </c>
      <c r="BH229" s="528">
        <f t="shared" si="634"/>
        <v>0.6335422640560705</v>
      </c>
      <c r="BI229" s="528">
        <f t="shared" si="635"/>
        <v>7.13779694958247E-2</v>
      </c>
      <c r="BJ229" s="528">
        <f t="shared" si="684"/>
        <v>3.3890729216138574E-2</v>
      </c>
      <c r="BK229">
        <f t="shared" si="685"/>
        <v>3.8138970651475534E-2</v>
      </c>
      <c r="BL229" s="460">
        <f t="shared" si="686"/>
        <v>109.51694014730023</v>
      </c>
      <c r="BM229" s="528">
        <f t="shared" si="636"/>
        <v>0.71320501660230251</v>
      </c>
      <c r="BN229" s="460">
        <f t="shared" si="687"/>
        <v>713.20501660230252</v>
      </c>
      <c r="BO229" s="528">
        <f t="shared" si="637"/>
        <v>0.90999999999999992</v>
      </c>
      <c r="BR229" s="460">
        <f t="shared" si="688"/>
        <v>909.99999999999989</v>
      </c>
      <c r="BS229" s="528">
        <f t="shared" si="689"/>
        <v>4.7697159815702515E-2</v>
      </c>
      <c r="BT229" s="528">
        <f t="shared" si="690"/>
        <v>0.95230284018429734</v>
      </c>
      <c r="BU229" s="528">
        <f t="shared" si="691"/>
        <v>0.10414521517962472</v>
      </c>
      <c r="BV229" s="528"/>
      <c r="BW229" s="528">
        <f t="shared" si="692"/>
        <v>3.3687418117959553E-3</v>
      </c>
      <c r="BX229" s="460">
        <f t="shared" si="693"/>
        <v>1107.5139569914209</v>
      </c>
      <c r="BY229" s="173">
        <f t="shared" si="694"/>
        <v>2.8262619969547318</v>
      </c>
      <c r="BZ229" s="5">
        <f t="shared" si="695"/>
        <v>19.5</v>
      </c>
      <c r="CA229" s="173">
        <f t="shared" si="696"/>
        <v>0.87341087382472582</v>
      </c>
      <c r="CB229" s="5">
        <f t="shared" si="697"/>
        <v>87.34108738247258</v>
      </c>
      <c r="CE229" s="562">
        <f t="shared" si="638"/>
        <v>-50</v>
      </c>
      <c r="CF229">
        <f t="shared" si="639"/>
        <v>-50</v>
      </c>
      <c r="CG229" s="173">
        <f t="shared" si="640"/>
        <v>0.26344385866189157</v>
      </c>
      <c r="CI229" s="170">
        <v>13</v>
      </c>
      <c r="CJ229" s="217">
        <f t="shared" si="698"/>
        <v>1.3</v>
      </c>
      <c r="CK229" s="217"/>
      <c r="CL229" s="217">
        <f t="shared" si="641"/>
        <v>19.5</v>
      </c>
      <c r="CM229" s="541">
        <f t="shared" si="642"/>
        <v>85</v>
      </c>
      <c r="CN229" s="443">
        <f t="shared" si="643"/>
        <v>15.4</v>
      </c>
      <c r="CO229" s="443">
        <f t="shared" si="644"/>
        <v>100.4</v>
      </c>
      <c r="CP229" s="443"/>
      <c r="CQ229" s="217">
        <f t="shared" si="645"/>
        <v>0.15338645418326693</v>
      </c>
      <c r="CR229" s="172">
        <f t="shared" si="646"/>
        <v>327.33148655378488</v>
      </c>
      <c r="CS229" s="172">
        <f t="shared" si="647"/>
        <v>19.5</v>
      </c>
      <c r="CT229" s="217">
        <f t="shared" si="648"/>
        <v>21.822099103585661</v>
      </c>
      <c r="CU229" s="217">
        <f t="shared" si="649"/>
        <v>15</v>
      </c>
      <c r="CV229" s="217"/>
      <c r="CW229" s="172">
        <f t="shared" si="650"/>
        <v>1549.6373195711244</v>
      </c>
      <c r="CX229" s="172">
        <f t="shared" si="651"/>
        <v>15</v>
      </c>
      <c r="CY229" s="217">
        <f t="shared" si="652"/>
        <v>2.9912910618792972</v>
      </c>
      <c r="CZ229" s="217">
        <f t="shared" si="653"/>
        <v>0.42229991461825378</v>
      </c>
      <c r="DA229" s="217">
        <f t="shared" si="654"/>
        <v>2.330876152113738</v>
      </c>
      <c r="DB229" s="197">
        <f t="shared" si="655"/>
        <v>108.64873837981409</v>
      </c>
      <c r="DC229" s="443">
        <f t="shared" si="656"/>
        <v>350</v>
      </c>
      <c r="DE229" s="217">
        <f t="shared" si="657"/>
        <v>10</v>
      </c>
      <c r="DF229" s="173">
        <f t="shared" si="658"/>
        <v>7.7922077922077913</v>
      </c>
      <c r="DG229" s="173">
        <f t="shared" si="659"/>
        <v>4.2330677290836656</v>
      </c>
      <c r="DH229" s="173"/>
      <c r="DI229" s="173">
        <f t="shared" si="660"/>
        <v>7.7922077922077913</v>
      </c>
      <c r="DJ229" s="545">
        <f t="shared" si="661"/>
        <v>33.366666666666674</v>
      </c>
      <c r="DK229" s="528">
        <f t="shared" si="662"/>
        <v>4.2330677290836656</v>
      </c>
      <c r="DM229" s="173">
        <f t="shared" si="663"/>
        <v>3.0876096471758432</v>
      </c>
      <c r="DN229" s="173">
        <f t="shared" si="664"/>
        <v>10</v>
      </c>
      <c r="DO229" s="173">
        <f t="shared" si="665"/>
        <v>1.0190666666666666</v>
      </c>
      <c r="DQ229" s="545">
        <f t="shared" si="666"/>
        <v>1300</v>
      </c>
      <c r="DR229" s="460">
        <f t="shared" si="667"/>
        <v>33.366666666666674</v>
      </c>
      <c r="DT229">
        <f t="shared" si="668"/>
        <v>1300</v>
      </c>
      <c r="DU229">
        <f t="shared" si="669"/>
        <v>33.366666666666674</v>
      </c>
      <c r="DW229" s="5">
        <f t="shared" si="670"/>
        <v>29.970029970029966</v>
      </c>
      <c r="DX229" s="5">
        <f t="shared" si="671"/>
        <v>1.4117647058823528</v>
      </c>
      <c r="DY229" s="5">
        <f t="shared" si="672"/>
        <v>28.558265264147614</v>
      </c>
      <c r="DZ229" s="5"/>
      <c r="EA229" s="173">
        <f t="shared" si="673"/>
        <v>4.7105882352941178E-2</v>
      </c>
      <c r="EB229" s="173">
        <f t="shared" si="699"/>
        <v>20.020000000000007</v>
      </c>
      <c r="EC229" s="173">
        <f t="shared" si="700"/>
        <v>4.7644705882352936</v>
      </c>
      <c r="ED229" s="173">
        <f t="shared" si="701"/>
        <v>4.201935898069042</v>
      </c>
      <c r="EE229" s="460">
        <f t="shared" si="674"/>
        <v>12.235294117647058</v>
      </c>
      <c r="EF229" s="5">
        <f t="shared" si="675"/>
        <v>1.8198894531074459</v>
      </c>
      <c r="EH229" s="173">
        <f t="shared" si="702"/>
        <v>1.2530746499835406</v>
      </c>
      <c r="EI229" s="173">
        <f t="shared" si="703"/>
        <v>5.6358794570946911</v>
      </c>
      <c r="EK229" s="528">
        <f t="shared" si="704"/>
        <v>3.1403921568627452E-2</v>
      </c>
      <c r="EL229" s="528">
        <f t="shared" si="705"/>
        <v>0.67000266666666686</v>
      </c>
      <c r="EM229" s="528">
        <f t="shared" si="706"/>
        <v>4.1708333333333346E-3</v>
      </c>
      <c r="EN229" s="528">
        <f t="shared" si="707"/>
        <v>3.3634133866666679E-2</v>
      </c>
      <c r="EO229">
        <f t="shared" si="708"/>
        <v>3.8249999999999999E-2</v>
      </c>
      <c r="EP229" s="460">
        <f t="shared" si="709"/>
        <v>42.420833333333334</v>
      </c>
      <c r="EQ229" s="460"/>
      <c r="ER229" s="460">
        <f t="shared" si="710"/>
        <v>777.46155543529437</v>
      </c>
      <c r="ES229" s="528">
        <f t="shared" si="711"/>
        <v>0.90999999999999992</v>
      </c>
      <c r="EV229" s="460">
        <f t="shared" si="712"/>
        <v>909.99999999999989</v>
      </c>
      <c r="EW229" s="528">
        <f t="shared" si="713"/>
        <v>4.7105882352941178E-2</v>
      </c>
      <c r="EX229" s="528">
        <f t="shared" si="714"/>
        <v>0.95289411764705845</v>
      </c>
      <c r="EY229" s="528">
        <f t="shared" si="715"/>
        <v>0.10168386871293837</v>
      </c>
      <c r="EZ229" s="528"/>
      <c r="FA229" s="528">
        <f t="shared" si="716"/>
        <v>3.3366666666666675E-3</v>
      </c>
      <c r="FB229" s="460">
        <f t="shared" si="717"/>
        <v>1105.0205353796048</v>
      </c>
      <c r="FC229" s="173">
        <f t="shared" si="718"/>
        <v>2.7924820908148993</v>
      </c>
      <c r="FD229" s="5">
        <f t="shared" si="719"/>
        <v>19.5</v>
      </c>
      <c r="FE229" s="173">
        <f t="shared" si="720"/>
        <v>0.87473435755431306</v>
      </c>
      <c r="FF229" s="5">
        <f t="shared" si="721"/>
        <v>87.473435755431311</v>
      </c>
      <c r="FI229" s="562">
        <f t="shared" si="676"/>
        <v>-50</v>
      </c>
      <c r="FJ229">
        <f t="shared" si="677"/>
        <v>-50</v>
      </c>
      <c r="FL229">
        <f t="shared" si="678"/>
        <v>0.26</v>
      </c>
    </row>
    <row r="230" spans="5:168">
      <c r="E230" s="170">
        <v>14</v>
      </c>
      <c r="F230" s="217">
        <f t="shared" si="679"/>
        <v>1.4000000000000001</v>
      </c>
      <c r="G230" s="217"/>
      <c r="H230" s="217">
        <f t="shared" si="603"/>
        <v>21.000000000000004</v>
      </c>
      <c r="I230" s="541">
        <f t="shared" si="604"/>
        <v>84.753268114390082</v>
      </c>
      <c r="J230" s="172">
        <f t="shared" si="605"/>
        <v>15.548039131365949</v>
      </c>
      <c r="K230" s="172">
        <f t="shared" si="606"/>
        <v>100.30130724575604</v>
      </c>
      <c r="L230" s="443"/>
      <c r="M230" s="217">
        <f t="shared" si="607"/>
        <v>0.15502984391561525</v>
      </c>
      <c r="N230" s="172">
        <f t="shared" si="608"/>
        <v>329.8781973075603</v>
      </c>
      <c r="O230" s="172">
        <f t="shared" si="599"/>
        <v>21.000000000000004</v>
      </c>
      <c r="P230" s="217">
        <f t="shared" si="609"/>
        <v>21.991879820504021</v>
      </c>
      <c r="Q230" s="217">
        <f t="shared" si="610"/>
        <v>15</v>
      </c>
      <c r="R230" s="217"/>
      <c r="S230" s="172">
        <f t="shared" si="611"/>
        <v>1428.7216699921826</v>
      </c>
      <c r="T230" s="172">
        <f t="shared" si="612"/>
        <v>15</v>
      </c>
      <c r="U230" s="217">
        <f t="shared" si="613"/>
        <v>3.3137265024545695</v>
      </c>
      <c r="V230" s="217">
        <f t="shared" si="614"/>
        <v>0.46918212021965994</v>
      </c>
      <c r="W230" s="217">
        <f t="shared" si="615"/>
        <v>2.557539101457186</v>
      </c>
      <c r="X230" s="197">
        <f t="shared" si="616"/>
        <v>109.48238241177424</v>
      </c>
      <c r="Y230" s="443">
        <f t="shared" si="680"/>
        <v>309.9121155190237</v>
      </c>
      <c r="AA230" s="217">
        <f t="shared" si="617"/>
        <v>10</v>
      </c>
      <c r="AB230" s="173">
        <f t="shared" si="618"/>
        <v>7.7180150491078416</v>
      </c>
      <c r="AC230" s="173">
        <f t="shared" si="619"/>
        <v>4.2249333753312666</v>
      </c>
      <c r="AD230" s="173"/>
      <c r="AE230" s="173">
        <f t="shared" si="620"/>
        <v>7.7180150491078416</v>
      </c>
      <c r="AF230" s="545">
        <f t="shared" si="621"/>
        <v>36.278757973187211</v>
      </c>
      <c r="AG230" s="528">
        <f t="shared" si="622"/>
        <v>4.2249333753312666</v>
      </c>
      <c r="AI230" s="173">
        <f t="shared" si="623"/>
        <v>3.2195278257705171</v>
      </c>
      <c r="AJ230" s="173">
        <f t="shared" si="624"/>
        <v>10</v>
      </c>
      <c r="AK230" s="173">
        <f t="shared" si="625"/>
        <v>1.0207307188418213</v>
      </c>
      <c r="AM230" s="545">
        <f t="shared" si="626"/>
        <v>1400.0000000000002</v>
      </c>
      <c r="AN230" s="460">
        <f t="shared" si="627"/>
        <v>36.278757973187211</v>
      </c>
      <c r="AP230">
        <f t="shared" si="628"/>
        <v>1400.0000000000002</v>
      </c>
      <c r="AQ230">
        <f t="shared" si="629"/>
        <v>36.278757973187211</v>
      </c>
      <c r="AS230" s="5">
        <f t="shared" si="600"/>
        <v>27.564339461099433</v>
      </c>
      <c r="AT230" s="5">
        <f t="shared" si="630"/>
        <v>1.4158746048357451</v>
      </c>
      <c r="AU230" s="5">
        <f t="shared" si="478"/>
        <v>26.148464856263686</v>
      </c>
      <c r="AV230" s="5"/>
      <c r="AW230" s="173">
        <f t="shared" si="479"/>
        <v>5.1366172109218088E-2</v>
      </c>
      <c r="AX230" s="173">
        <f t="shared" si="631"/>
        <v>21.767254783912328</v>
      </c>
      <c r="AY230" s="173">
        <f t="shared" si="632"/>
        <v>4.7431691394539097</v>
      </c>
      <c r="AZ230" s="173">
        <f t="shared" si="633"/>
        <v>4.5891795430298394</v>
      </c>
      <c r="BA230" s="460">
        <f t="shared" si="594"/>
        <v>13.214829645133623</v>
      </c>
      <c r="BB230" s="5">
        <f t="shared" si="595"/>
        <v>1.7997266070692084</v>
      </c>
      <c r="BD230" s="173">
        <f t="shared" si="681"/>
        <v>1.3085127958770353</v>
      </c>
      <c r="BE230" s="173">
        <f t="shared" si="682"/>
        <v>5.6232666303812584</v>
      </c>
      <c r="BG230" s="528">
        <f t="shared" si="683"/>
        <v>3.424411473947872E-2</v>
      </c>
      <c r="BH230" s="528">
        <f t="shared" si="634"/>
        <v>0.68227628436807608</v>
      </c>
      <c r="BI230" s="528">
        <f t="shared" si="635"/>
        <v>7.6868582533965057E-2</v>
      </c>
      <c r="BJ230" s="528">
        <f t="shared" si="684"/>
        <v>3.6497708386610775E-2</v>
      </c>
      <c r="BK230">
        <f t="shared" si="685"/>
        <v>3.8138970651475534E-2</v>
      </c>
      <c r="BL230" s="460">
        <f t="shared" si="686"/>
        <v>115.00755318544059</v>
      </c>
      <c r="BM230" s="528">
        <f t="shared" si="636"/>
        <v>0.76851698131797264</v>
      </c>
      <c r="BN230" s="460">
        <f t="shared" si="687"/>
        <v>768.51698131797264</v>
      </c>
      <c r="BO230" s="528">
        <f t="shared" si="637"/>
        <v>0.98</v>
      </c>
      <c r="BR230" s="460">
        <f t="shared" si="688"/>
        <v>980</v>
      </c>
      <c r="BS230" s="528">
        <f t="shared" si="689"/>
        <v>5.1366172109218074E-2</v>
      </c>
      <c r="BT230" s="528">
        <f t="shared" si="690"/>
        <v>0.94863382789078177</v>
      </c>
      <c r="BU230" s="528">
        <f t="shared" si="691"/>
        <v>0.12534327274697807</v>
      </c>
      <c r="BV230" s="528"/>
      <c r="BW230" s="528">
        <f t="shared" si="692"/>
        <v>3.6278757973187215E-3</v>
      </c>
      <c r="BX230" s="460">
        <f t="shared" si="693"/>
        <v>1128.9711485442965</v>
      </c>
      <c r="BY230" s="173">
        <f t="shared" si="694"/>
        <v>2.9769968092239028</v>
      </c>
      <c r="BZ230" s="5">
        <f t="shared" si="695"/>
        <v>21.000000000000004</v>
      </c>
      <c r="CA230" s="173">
        <f t="shared" si="696"/>
        <v>0.87583946259363654</v>
      </c>
      <c r="CB230" s="5">
        <f t="shared" si="697"/>
        <v>87.583946259363657</v>
      </c>
      <c r="CE230" s="562">
        <f t="shared" si="638"/>
        <v>-50</v>
      </c>
      <c r="CF230">
        <f t="shared" si="639"/>
        <v>-50</v>
      </c>
      <c r="CG230" s="173">
        <f t="shared" si="640"/>
        <v>0.28370877086665242</v>
      </c>
      <c r="CI230" s="170">
        <v>14</v>
      </c>
      <c r="CJ230" s="217">
        <f t="shared" si="698"/>
        <v>1.4000000000000001</v>
      </c>
      <c r="CK230" s="217"/>
      <c r="CL230" s="217">
        <f t="shared" si="641"/>
        <v>21.000000000000004</v>
      </c>
      <c r="CM230" s="541">
        <f t="shared" si="642"/>
        <v>85</v>
      </c>
      <c r="CN230" s="443">
        <f t="shared" si="643"/>
        <v>15.4</v>
      </c>
      <c r="CO230" s="443">
        <f t="shared" si="644"/>
        <v>100.4</v>
      </c>
      <c r="CP230" s="443"/>
      <c r="CQ230" s="217">
        <f t="shared" si="645"/>
        <v>0.15338645418326693</v>
      </c>
      <c r="CR230" s="172">
        <f t="shared" si="646"/>
        <v>327.33148655378488</v>
      </c>
      <c r="CS230" s="172">
        <f t="shared" si="647"/>
        <v>21.000000000000004</v>
      </c>
      <c r="CT230" s="217">
        <f t="shared" si="648"/>
        <v>21.822099103585661</v>
      </c>
      <c r="CU230" s="217">
        <f t="shared" si="649"/>
        <v>15</v>
      </c>
      <c r="CV230" s="217"/>
      <c r="CW230" s="172">
        <f t="shared" si="650"/>
        <v>1432.8808646557368</v>
      </c>
      <c r="CX230" s="172">
        <f t="shared" si="651"/>
        <v>15</v>
      </c>
      <c r="CY230" s="217">
        <f t="shared" si="652"/>
        <v>3.2213903743315511</v>
      </c>
      <c r="CZ230" s="217">
        <f t="shared" si="653"/>
        <v>0.45478452343504244</v>
      </c>
      <c r="DA230" s="217">
        <f t="shared" si="654"/>
        <v>2.5101743176609488</v>
      </c>
      <c r="DB230" s="197">
        <f t="shared" si="655"/>
        <v>108.64873837981409</v>
      </c>
      <c r="DC230" s="443">
        <f t="shared" si="656"/>
        <v>337.27281004357957</v>
      </c>
      <c r="DE230" s="217">
        <f t="shared" si="657"/>
        <v>10</v>
      </c>
      <c r="DF230" s="173">
        <f t="shared" si="658"/>
        <v>7.7922077922077913</v>
      </c>
      <c r="DG230" s="173">
        <f t="shared" si="659"/>
        <v>4.2330677290836656</v>
      </c>
      <c r="DH230" s="173"/>
      <c r="DI230" s="173">
        <f t="shared" si="660"/>
        <v>7.7922077922077913</v>
      </c>
      <c r="DJ230" s="545">
        <f t="shared" si="661"/>
        <v>35.933333333333337</v>
      </c>
      <c r="DK230" s="528">
        <f t="shared" si="662"/>
        <v>4.2330677290836656</v>
      </c>
      <c r="DM230" s="173">
        <f t="shared" si="663"/>
        <v>3.2041639575194445</v>
      </c>
      <c r="DN230" s="173">
        <f t="shared" si="664"/>
        <v>10</v>
      </c>
      <c r="DO230" s="173">
        <f t="shared" si="665"/>
        <v>1.0205333333333333</v>
      </c>
      <c r="DQ230" s="545">
        <f t="shared" si="666"/>
        <v>1400.0000000000002</v>
      </c>
      <c r="DR230" s="460">
        <f t="shared" si="667"/>
        <v>35.933333333333337</v>
      </c>
      <c r="DT230">
        <f t="shared" si="668"/>
        <v>1400.0000000000002</v>
      </c>
      <c r="DU230">
        <f t="shared" si="669"/>
        <v>35.933333333333337</v>
      </c>
      <c r="DW230" s="5">
        <f t="shared" si="670"/>
        <v>27.829313543599255</v>
      </c>
      <c r="DX230" s="5">
        <f t="shared" si="671"/>
        <v>1.4117647058823528</v>
      </c>
      <c r="DY230" s="5">
        <f t="shared" si="672"/>
        <v>26.417548837716904</v>
      </c>
      <c r="DZ230" s="5"/>
      <c r="EA230" s="173">
        <f t="shared" si="673"/>
        <v>5.0729411764705884E-2</v>
      </c>
      <c r="EB230" s="173">
        <f t="shared" si="699"/>
        <v>21.560000000000002</v>
      </c>
      <c r="EC230" s="173">
        <f t="shared" si="700"/>
        <v>4.74635294117647</v>
      </c>
      <c r="ED230" s="173">
        <f t="shared" si="701"/>
        <v>4.5424350584969275</v>
      </c>
      <c r="EE230" s="460">
        <f t="shared" si="674"/>
        <v>13.176470588235295</v>
      </c>
      <c r="EF230" s="5">
        <f t="shared" si="675"/>
        <v>1.8129690378825329</v>
      </c>
      <c r="EH230" s="173">
        <f t="shared" si="702"/>
        <v>1.3003770192359072</v>
      </c>
      <c r="EI230" s="173">
        <f t="shared" si="703"/>
        <v>5.6251535926742902</v>
      </c>
      <c r="EK230" s="528">
        <f t="shared" si="704"/>
        <v>3.3819607843137256E-2</v>
      </c>
      <c r="EL230" s="528">
        <f t="shared" si="705"/>
        <v>0.72154133333333348</v>
      </c>
      <c r="EM230" s="528">
        <f t="shared" si="706"/>
        <v>4.4916666666666672E-3</v>
      </c>
      <c r="EN230" s="528">
        <f t="shared" si="707"/>
        <v>3.6221374933333342E-2</v>
      </c>
      <c r="EO230">
        <f t="shared" si="708"/>
        <v>3.8249999999999999E-2</v>
      </c>
      <c r="EP230" s="460">
        <f t="shared" si="709"/>
        <v>42.741666666666667</v>
      </c>
      <c r="EQ230" s="460"/>
      <c r="ER230" s="460">
        <f t="shared" si="710"/>
        <v>834.32398277647076</v>
      </c>
      <c r="ES230" s="528">
        <f t="shared" si="711"/>
        <v>0.98</v>
      </c>
      <c r="EV230" s="460">
        <f t="shared" si="712"/>
        <v>980</v>
      </c>
      <c r="EW230" s="528">
        <f t="shared" si="713"/>
        <v>5.0729411764705884E-2</v>
      </c>
      <c r="EX230" s="528">
        <f t="shared" si="714"/>
        <v>0.94927058823529409</v>
      </c>
      <c r="EY230" s="528">
        <f t="shared" si="715"/>
        <v>0.12238093577387191</v>
      </c>
      <c r="EZ230" s="528"/>
      <c r="FA230" s="528">
        <f t="shared" si="716"/>
        <v>3.5933333333333342E-3</v>
      </c>
      <c r="FB230" s="460">
        <f t="shared" si="717"/>
        <v>1125.9742691072051</v>
      </c>
      <c r="FC230" s="173">
        <f t="shared" si="718"/>
        <v>2.940298251883676</v>
      </c>
      <c r="FD230" s="5">
        <f t="shared" si="719"/>
        <v>21.000000000000004</v>
      </c>
      <c r="FE230" s="173">
        <f t="shared" si="720"/>
        <v>0.87718205425229712</v>
      </c>
      <c r="FF230" s="5">
        <f t="shared" si="721"/>
        <v>87.718205425229712</v>
      </c>
      <c r="FI230" s="562">
        <f t="shared" si="676"/>
        <v>-50</v>
      </c>
      <c r="FJ230">
        <f t="shared" si="677"/>
        <v>-50</v>
      </c>
      <c r="FL230">
        <f t="shared" si="678"/>
        <v>0.28000000000000003</v>
      </c>
    </row>
    <row r="231" spans="5:168">
      <c r="E231" s="170">
        <v>15</v>
      </c>
      <c r="F231" s="217">
        <f t="shared" si="679"/>
        <v>1.5</v>
      </c>
      <c r="G231" s="217"/>
      <c r="H231" s="217">
        <f t="shared" si="603"/>
        <v>22.5</v>
      </c>
      <c r="I231" s="541">
        <f t="shared" si="604"/>
        <v>84.753268114390082</v>
      </c>
      <c r="J231" s="172">
        <f t="shared" si="605"/>
        <v>15.548039131365949</v>
      </c>
      <c r="K231" s="172">
        <f t="shared" si="606"/>
        <v>100.30130724575604</v>
      </c>
      <c r="L231" s="443"/>
      <c r="M231" s="217">
        <f t="shared" si="607"/>
        <v>0.15502984391561525</v>
      </c>
      <c r="N231" s="172">
        <f t="shared" si="608"/>
        <v>329.8781973075603</v>
      </c>
      <c r="O231" s="172">
        <f t="shared" si="599"/>
        <v>22.5</v>
      </c>
      <c r="P231" s="217">
        <f t="shared" si="609"/>
        <v>21.991879820504021</v>
      </c>
      <c r="Q231" s="217">
        <f t="shared" si="610"/>
        <v>15</v>
      </c>
      <c r="R231" s="217"/>
      <c r="S231" s="172">
        <f t="shared" si="611"/>
        <v>1327.8267241940168</v>
      </c>
      <c r="T231" s="172">
        <f t="shared" si="612"/>
        <v>15</v>
      </c>
      <c r="U231" s="217">
        <f t="shared" si="613"/>
        <v>3.5504212526298957</v>
      </c>
      <c r="V231" s="217">
        <f t="shared" si="614"/>
        <v>0.50269512880677847</v>
      </c>
      <c r="W231" s="217">
        <f t="shared" si="615"/>
        <v>2.7402204658469849</v>
      </c>
      <c r="X231" s="197">
        <f t="shared" si="616"/>
        <v>109.48238241177424</v>
      </c>
      <c r="Y231" s="443">
        <f t="shared" si="680"/>
        <v>290.451500336756</v>
      </c>
      <c r="AA231" s="217">
        <f t="shared" si="617"/>
        <v>10</v>
      </c>
      <c r="AB231" s="173">
        <f t="shared" si="618"/>
        <v>7.7180150491078416</v>
      </c>
      <c r="AC231" s="173">
        <f t="shared" si="619"/>
        <v>4.2249333753312666</v>
      </c>
      <c r="AD231" s="173"/>
      <c r="AE231" s="173">
        <f t="shared" si="620"/>
        <v>7.7180150491078416</v>
      </c>
      <c r="AF231" s="545">
        <f t="shared" si="621"/>
        <v>38.870097828414863</v>
      </c>
      <c r="AG231" s="528">
        <f t="shared" si="622"/>
        <v>4.2249333753312666</v>
      </c>
      <c r="AI231" s="173">
        <f t="shared" si="623"/>
        <v>3.332527904862908</v>
      </c>
      <c r="AJ231" s="173">
        <f t="shared" si="624"/>
        <v>10</v>
      </c>
      <c r="AK231" s="173">
        <f t="shared" si="625"/>
        <v>1.0222114844733798</v>
      </c>
      <c r="AM231" s="545">
        <f t="shared" si="626"/>
        <v>1500</v>
      </c>
      <c r="AN231" s="460">
        <f t="shared" si="627"/>
        <v>38.870097828414863</v>
      </c>
      <c r="AP231">
        <f t="shared" si="628"/>
        <v>1500</v>
      </c>
      <c r="AQ231">
        <f t="shared" si="629"/>
        <v>38.870097828414863</v>
      </c>
      <c r="AS231" s="5">
        <f t="shared" si="600"/>
        <v>25.726716830359475</v>
      </c>
      <c r="AT231" s="5">
        <f t="shared" si="630"/>
        <v>1.4158746048357451</v>
      </c>
      <c r="AU231" s="5">
        <f t="shared" si="478"/>
        <v>24.310842225523729</v>
      </c>
      <c r="AV231" s="5"/>
      <c r="AW231" s="173">
        <f t="shared" si="479"/>
        <v>5.5035184402733653E-2</v>
      </c>
      <c r="AX231" s="173">
        <f t="shared" si="631"/>
        <v>23.32205869704892</v>
      </c>
      <c r="AY231" s="173">
        <f t="shared" si="632"/>
        <v>4.724824077986332</v>
      </c>
      <c r="AZ231" s="173">
        <f t="shared" si="633"/>
        <v>4.9360692191080533</v>
      </c>
      <c r="BA231" s="460">
        <f t="shared" si="594"/>
        <v>14.158746048357454</v>
      </c>
      <c r="BB231" s="5">
        <f t="shared" si="595"/>
        <v>1.7927658400670599</v>
      </c>
      <c r="BD231" s="173">
        <f t="shared" si="681"/>
        <v>1.3544394215902713</v>
      </c>
      <c r="BE231" s="173">
        <f t="shared" si="682"/>
        <v>5.6123815966642487</v>
      </c>
      <c r="BG231" s="528">
        <f t="shared" si="683"/>
        <v>3.6690122935155778E-2</v>
      </c>
      <c r="BH231" s="528">
        <f t="shared" si="634"/>
        <v>0.73101030468008132</v>
      </c>
      <c r="BI231" s="528">
        <f t="shared" si="635"/>
        <v>8.2359195572105415E-2</v>
      </c>
      <c r="BJ231" s="528">
        <f t="shared" si="684"/>
        <v>3.9104687557082969E-2</v>
      </c>
      <c r="BK231">
        <f t="shared" si="685"/>
        <v>3.8138970651475534E-2</v>
      </c>
      <c r="BL231" s="460">
        <f t="shared" si="686"/>
        <v>120.49816622358095</v>
      </c>
      <c r="BM231" s="528">
        <f t="shared" si="636"/>
        <v>0.82389380290843162</v>
      </c>
      <c r="BN231" s="460">
        <f t="shared" si="687"/>
        <v>823.89380290843167</v>
      </c>
      <c r="BO231" s="528">
        <f t="shared" si="637"/>
        <v>1.0499999999999998</v>
      </c>
      <c r="BR231" s="460">
        <f t="shared" si="688"/>
        <v>1049.9999999999998</v>
      </c>
      <c r="BS231" s="528">
        <f t="shared" si="689"/>
        <v>5.503518440273366E-2</v>
      </c>
      <c r="BT231" s="528">
        <f t="shared" si="690"/>
        <v>0.94496481559726631</v>
      </c>
      <c r="BU231" s="528">
        <f t="shared" si="691"/>
        <v>0.14893922459722625</v>
      </c>
      <c r="BV231" s="528"/>
      <c r="BW231" s="528">
        <f t="shared" si="692"/>
        <v>3.8870097828414868E-3</v>
      </c>
      <c r="BX231" s="460">
        <f t="shared" si="693"/>
        <v>1152.8262343800677</v>
      </c>
      <c r="BY231" s="173">
        <f t="shared" si="694"/>
        <v>3.1301295157759683</v>
      </c>
      <c r="BZ231" s="5">
        <f t="shared" si="695"/>
        <v>22.5</v>
      </c>
      <c r="CA231" s="173">
        <f t="shared" si="696"/>
        <v>0.87787305117403724</v>
      </c>
      <c r="CB231" s="5">
        <f t="shared" si="697"/>
        <v>87.787305117403719</v>
      </c>
      <c r="CE231" s="562">
        <f t="shared" si="638"/>
        <v>-50</v>
      </c>
      <c r="CF231">
        <f t="shared" si="639"/>
        <v>-50</v>
      </c>
      <c r="CG231" s="173">
        <f t="shared" si="640"/>
        <v>0.30397368307141331</v>
      </c>
      <c r="CI231" s="170">
        <v>15</v>
      </c>
      <c r="CJ231" s="217">
        <f t="shared" si="698"/>
        <v>1.5</v>
      </c>
      <c r="CK231" s="217"/>
      <c r="CL231" s="217">
        <f t="shared" si="641"/>
        <v>22.5</v>
      </c>
      <c r="CM231" s="541">
        <f t="shared" si="642"/>
        <v>85</v>
      </c>
      <c r="CN231" s="443">
        <f t="shared" si="643"/>
        <v>15.4</v>
      </c>
      <c r="CO231" s="443">
        <f t="shared" si="644"/>
        <v>100.4</v>
      </c>
      <c r="CP231" s="443"/>
      <c r="CQ231" s="217">
        <f t="shared" si="645"/>
        <v>0.15338645418326693</v>
      </c>
      <c r="CR231" s="172">
        <f t="shared" si="646"/>
        <v>327.33148655378488</v>
      </c>
      <c r="CS231" s="172">
        <f t="shared" si="647"/>
        <v>22.5</v>
      </c>
      <c r="CT231" s="217">
        <f t="shared" si="648"/>
        <v>21.822099103585661</v>
      </c>
      <c r="CU231" s="217">
        <f t="shared" si="649"/>
        <v>15</v>
      </c>
      <c r="CV231" s="217"/>
      <c r="CW231" s="172">
        <f t="shared" si="650"/>
        <v>1331.692190425641</v>
      </c>
      <c r="CX231" s="172">
        <f t="shared" si="651"/>
        <v>15</v>
      </c>
      <c r="CY231" s="217">
        <f t="shared" si="652"/>
        <v>3.4514896867838045</v>
      </c>
      <c r="CZ231" s="217">
        <f t="shared" si="653"/>
        <v>0.48726913225183116</v>
      </c>
      <c r="DA231" s="217">
        <f t="shared" si="654"/>
        <v>2.6894724832081591</v>
      </c>
      <c r="DB231" s="197">
        <f t="shared" si="655"/>
        <v>108.64873837981409</v>
      </c>
      <c r="DC231" s="443">
        <f t="shared" si="656"/>
        <v>314.78795604067426</v>
      </c>
      <c r="DE231" s="217">
        <f t="shared" si="657"/>
        <v>10</v>
      </c>
      <c r="DF231" s="173">
        <f t="shared" si="658"/>
        <v>7.7922077922077913</v>
      </c>
      <c r="DG231" s="173">
        <f t="shared" si="659"/>
        <v>4.2330677290836656</v>
      </c>
      <c r="DH231" s="173"/>
      <c r="DI231" s="173">
        <f t="shared" si="660"/>
        <v>7.7922077922077913</v>
      </c>
      <c r="DJ231" s="545">
        <f t="shared" si="661"/>
        <v>38.5</v>
      </c>
      <c r="DK231" s="528">
        <f t="shared" si="662"/>
        <v>4.2330677290836656</v>
      </c>
      <c r="DM231" s="173">
        <f t="shared" si="663"/>
        <v>3.3166247903553998</v>
      </c>
      <c r="DN231" s="173">
        <f t="shared" si="664"/>
        <v>10</v>
      </c>
      <c r="DO231" s="173">
        <f t="shared" si="665"/>
        <v>1.022</v>
      </c>
      <c r="DQ231" s="545">
        <f t="shared" si="666"/>
        <v>1500</v>
      </c>
      <c r="DR231" s="460">
        <f t="shared" si="667"/>
        <v>38.5</v>
      </c>
      <c r="DT231">
        <f t="shared" si="668"/>
        <v>1500</v>
      </c>
      <c r="DU231">
        <f t="shared" si="669"/>
        <v>38.5</v>
      </c>
      <c r="DW231" s="5">
        <f t="shared" si="670"/>
        <v>25.974025974025977</v>
      </c>
      <c r="DX231" s="5">
        <f t="shared" si="671"/>
        <v>1.4117647058823528</v>
      </c>
      <c r="DY231" s="5">
        <f t="shared" si="672"/>
        <v>24.562261268143626</v>
      </c>
      <c r="DZ231" s="5"/>
      <c r="EA231" s="173">
        <f t="shared" si="673"/>
        <v>5.4352941176470576E-2</v>
      </c>
      <c r="EB231" s="173">
        <f t="shared" si="699"/>
        <v>23.1</v>
      </c>
      <c r="EC231" s="173">
        <f t="shared" si="700"/>
        <v>4.7282352941176473</v>
      </c>
      <c r="ED231" s="173">
        <f t="shared" si="701"/>
        <v>4.8855436675789994</v>
      </c>
      <c r="EE231" s="460">
        <f t="shared" si="674"/>
        <v>14.117647058823527</v>
      </c>
      <c r="EF231" s="5">
        <f t="shared" si="675"/>
        <v>1.8060486226576196</v>
      </c>
      <c r="EH231" s="173">
        <f t="shared" si="702"/>
        <v>1.3460180927024543</v>
      </c>
      <c r="EI231" s="173">
        <f t="shared" si="703"/>
        <v>5.6144072374072564</v>
      </c>
      <c r="EK231" s="528">
        <f t="shared" si="704"/>
        <v>3.623529411764706E-2</v>
      </c>
      <c r="EL231" s="528">
        <f t="shared" si="705"/>
        <v>0.77307999999999999</v>
      </c>
      <c r="EM231" s="528">
        <f t="shared" si="706"/>
        <v>4.8124999999999999E-3</v>
      </c>
      <c r="EN231" s="528">
        <f t="shared" si="707"/>
        <v>3.8808616000000004E-2</v>
      </c>
      <c r="EO231">
        <f t="shared" si="708"/>
        <v>3.8249999999999999E-2</v>
      </c>
      <c r="EP231" s="460">
        <f t="shared" si="709"/>
        <v>43.0625</v>
      </c>
      <c r="EQ231" s="460"/>
      <c r="ER231" s="460">
        <f t="shared" si="710"/>
        <v>891.18641011764703</v>
      </c>
      <c r="ES231" s="528">
        <f t="shared" si="711"/>
        <v>1.0499999999999998</v>
      </c>
      <c r="EV231" s="460">
        <f t="shared" si="712"/>
        <v>1049.9999999999998</v>
      </c>
      <c r="EW231" s="528">
        <f t="shared" si="713"/>
        <v>5.4352941176470583E-2</v>
      </c>
      <c r="EX231" s="528">
        <f t="shared" si="714"/>
        <v>0.9456470588235294</v>
      </c>
      <c r="EY231" s="528">
        <f t="shared" si="715"/>
        <v>0.14541922578037128</v>
      </c>
      <c r="EZ231" s="528"/>
      <c r="FA231" s="528">
        <f t="shared" si="716"/>
        <v>3.8500000000000006E-3</v>
      </c>
      <c r="FB231" s="460">
        <f t="shared" si="717"/>
        <v>1149.2692257803712</v>
      </c>
      <c r="FC231" s="173">
        <f t="shared" si="718"/>
        <v>3.0904556358980177</v>
      </c>
      <c r="FD231" s="5">
        <f t="shared" si="719"/>
        <v>22.5</v>
      </c>
      <c r="FE231" s="173">
        <f t="shared" si="720"/>
        <v>0.8792340519501044</v>
      </c>
      <c r="FF231" s="5">
        <f t="shared" si="721"/>
        <v>87.923405195010446</v>
      </c>
      <c r="FI231" s="562">
        <f t="shared" si="676"/>
        <v>-50</v>
      </c>
      <c r="FJ231">
        <f t="shared" si="677"/>
        <v>-50</v>
      </c>
      <c r="FL231">
        <f t="shared" si="678"/>
        <v>0.3</v>
      </c>
    </row>
    <row r="232" spans="5:168">
      <c r="E232" s="170">
        <v>16</v>
      </c>
      <c r="F232" s="217">
        <f t="shared" si="679"/>
        <v>1.6</v>
      </c>
      <c r="G232" s="217"/>
      <c r="H232" s="217">
        <f t="shared" si="603"/>
        <v>24</v>
      </c>
      <c r="I232" s="541">
        <f t="shared" si="604"/>
        <v>84.753268114390082</v>
      </c>
      <c r="J232" s="172">
        <f t="shared" si="605"/>
        <v>15.548039131365949</v>
      </c>
      <c r="K232" s="172">
        <f t="shared" si="606"/>
        <v>100.30130724575604</v>
      </c>
      <c r="L232" s="443"/>
      <c r="M232" s="217">
        <f t="shared" si="607"/>
        <v>0.15502984391561525</v>
      </c>
      <c r="N232" s="172">
        <f t="shared" si="608"/>
        <v>329.8781973075603</v>
      </c>
      <c r="O232" s="172">
        <f t="shared" si="599"/>
        <v>24</v>
      </c>
      <c r="P232" s="217">
        <f t="shared" si="609"/>
        <v>21.991879820504021</v>
      </c>
      <c r="Q232" s="217">
        <f t="shared" si="610"/>
        <v>15</v>
      </c>
      <c r="R232" s="217"/>
      <c r="S232" s="172">
        <f t="shared" si="611"/>
        <v>1239.5438871741053</v>
      </c>
      <c r="T232" s="172">
        <f t="shared" si="612"/>
        <v>15</v>
      </c>
      <c r="U232" s="217">
        <f t="shared" si="613"/>
        <v>3.787116002805222</v>
      </c>
      <c r="V232" s="217">
        <f t="shared" si="614"/>
        <v>0.53620813739389694</v>
      </c>
      <c r="W232" s="217">
        <f t="shared" si="615"/>
        <v>2.9229018302367833</v>
      </c>
      <c r="X232" s="197">
        <f t="shared" si="616"/>
        <v>109.48238241177424</v>
      </c>
      <c r="Y232" s="443">
        <f t="shared" si="680"/>
        <v>273.29050201995233</v>
      </c>
      <c r="AA232" s="217">
        <f t="shared" si="617"/>
        <v>10</v>
      </c>
      <c r="AB232" s="173">
        <f t="shared" si="618"/>
        <v>7.7180150491078416</v>
      </c>
      <c r="AC232" s="173">
        <f t="shared" si="619"/>
        <v>4.2249333753312666</v>
      </c>
      <c r="AD232" s="173"/>
      <c r="AE232" s="173">
        <f t="shared" si="620"/>
        <v>7.7180150491078416</v>
      </c>
      <c r="AF232" s="545">
        <f t="shared" si="621"/>
        <v>41.461437683642529</v>
      </c>
      <c r="AG232" s="528">
        <f t="shared" si="622"/>
        <v>4.2249333753312666</v>
      </c>
      <c r="AI232" s="173">
        <f t="shared" si="623"/>
        <v>3.4418200203481435</v>
      </c>
      <c r="AJ232" s="173">
        <f t="shared" si="624"/>
        <v>10</v>
      </c>
      <c r="AK232" s="173">
        <f t="shared" si="625"/>
        <v>1.0236922501049386</v>
      </c>
      <c r="AM232" s="545">
        <f t="shared" si="626"/>
        <v>1600</v>
      </c>
      <c r="AN232" s="460">
        <f t="shared" si="627"/>
        <v>41.461437683642529</v>
      </c>
      <c r="AP232">
        <f t="shared" si="628"/>
        <v>1600</v>
      </c>
      <c r="AQ232">
        <f t="shared" si="629"/>
        <v>41.461437683642529</v>
      </c>
      <c r="AS232" s="5">
        <f t="shared" si="600"/>
        <v>24.118797028462005</v>
      </c>
      <c r="AT232" s="5">
        <f t="shared" si="630"/>
        <v>1.4158746048357451</v>
      </c>
      <c r="AU232" s="5">
        <f t="shared" si="478"/>
        <v>22.702922423626259</v>
      </c>
      <c r="AV232" s="5"/>
      <c r="AW232" s="173">
        <f t="shared" si="479"/>
        <v>5.8704196696249239E-2</v>
      </c>
      <c r="AX232" s="173">
        <f t="shared" si="631"/>
        <v>24.876862610185519</v>
      </c>
      <c r="AY232" s="173">
        <f t="shared" si="632"/>
        <v>4.7064790165187533</v>
      </c>
      <c r="AZ232" s="173">
        <f t="shared" si="633"/>
        <v>5.2856631300963954</v>
      </c>
      <c r="BA232" s="460">
        <f t="shared" si="594"/>
        <v>15.102662451581281</v>
      </c>
      <c r="BB232" s="5">
        <f t="shared" si="595"/>
        <v>1.7858050730649109</v>
      </c>
      <c r="BD232" s="173">
        <f t="shared" si="681"/>
        <v>1.3988590195375805</v>
      </c>
      <c r="BE232" s="173">
        <f t="shared" si="682"/>
        <v>5.6014754107102611</v>
      </c>
      <c r="BG232" s="528">
        <f t="shared" si="683"/>
        <v>3.9136131130832821E-2</v>
      </c>
      <c r="BH232" s="528">
        <f t="shared" si="634"/>
        <v>0.7797443249920869</v>
      </c>
      <c r="BI232" s="528">
        <f t="shared" si="635"/>
        <v>8.7849808610245786E-2</v>
      </c>
      <c r="BJ232" s="528">
        <f t="shared" si="684"/>
        <v>4.171166672755517E-2</v>
      </c>
      <c r="BK232">
        <f t="shared" si="685"/>
        <v>3.8138970651475534E-2</v>
      </c>
      <c r="BL232" s="460">
        <f t="shared" si="686"/>
        <v>125.98877926172131</v>
      </c>
      <c r="BM232" s="528">
        <f t="shared" si="636"/>
        <v>0.87933559551395246</v>
      </c>
      <c r="BN232" s="460">
        <f t="shared" si="687"/>
        <v>879.33559551395251</v>
      </c>
      <c r="BO232" s="528">
        <f t="shared" si="637"/>
        <v>1.1199999999999999</v>
      </c>
      <c r="BR232" s="460">
        <f t="shared" si="688"/>
        <v>1119.9999999999998</v>
      </c>
      <c r="BS232" s="528">
        <f t="shared" si="689"/>
        <v>5.8704196696249232E-2</v>
      </c>
      <c r="BT232" s="528">
        <f t="shared" si="690"/>
        <v>0.94129580330375062</v>
      </c>
      <c r="BU232" s="528">
        <f t="shared" si="691"/>
        <v>0.17501726688509442</v>
      </c>
      <c r="BV232" s="528"/>
      <c r="BW232" s="528">
        <f t="shared" si="692"/>
        <v>4.146143768364253E-3</v>
      </c>
      <c r="BX232" s="460">
        <f t="shared" si="693"/>
        <v>1179.1634106534586</v>
      </c>
      <c r="BY232" s="173">
        <f t="shared" si="694"/>
        <v>3.2857443127656545</v>
      </c>
      <c r="BZ232" s="5">
        <f t="shared" si="695"/>
        <v>24</v>
      </c>
      <c r="CA232" s="173">
        <f t="shared" si="696"/>
        <v>0.87958018388274584</v>
      </c>
      <c r="CB232" s="5">
        <f t="shared" si="697"/>
        <v>87.958018388274581</v>
      </c>
      <c r="CE232" s="562">
        <f t="shared" si="638"/>
        <v>-50</v>
      </c>
      <c r="CF232">
        <f t="shared" si="639"/>
        <v>-50</v>
      </c>
      <c r="CG232" s="173">
        <f t="shared" si="640"/>
        <v>0.32423859527617421</v>
      </c>
      <c r="CI232" s="170">
        <v>16</v>
      </c>
      <c r="CJ232" s="217">
        <f t="shared" si="698"/>
        <v>1.6</v>
      </c>
      <c r="CK232" s="217"/>
      <c r="CL232" s="217">
        <f t="shared" si="641"/>
        <v>24</v>
      </c>
      <c r="CM232" s="541">
        <f t="shared" si="642"/>
        <v>85</v>
      </c>
      <c r="CN232" s="443">
        <f t="shared" si="643"/>
        <v>15.4</v>
      </c>
      <c r="CO232" s="443">
        <f t="shared" si="644"/>
        <v>100.4</v>
      </c>
      <c r="CP232" s="443"/>
      <c r="CQ232" s="217">
        <f t="shared" si="645"/>
        <v>0.15338645418326693</v>
      </c>
      <c r="CR232" s="172">
        <f t="shared" si="646"/>
        <v>327.33148655378488</v>
      </c>
      <c r="CS232" s="172">
        <f t="shared" si="647"/>
        <v>24</v>
      </c>
      <c r="CT232" s="217">
        <f t="shared" si="648"/>
        <v>21.822099103585661</v>
      </c>
      <c r="CU232" s="217">
        <f t="shared" si="649"/>
        <v>15</v>
      </c>
      <c r="CV232" s="217"/>
      <c r="CW232" s="172">
        <f t="shared" si="650"/>
        <v>1243.152341028502</v>
      </c>
      <c r="CX232" s="172">
        <f t="shared" si="651"/>
        <v>15</v>
      </c>
      <c r="CY232" s="217">
        <f t="shared" si="652"/>
        <v>3.681588999236058</v>
      </c>
      <c r="CZ232" s="217">
        <f t="shared" si="653"/>
        <v>0.51975374106861993</v>
      </c>
      <c r="DA232" s="217">
        <f t="shared" si="654"/>
        <v>2.8687706487553699</v>
      </c>
      <c r="DB232" s="197">
        <f t="shared" si="655"/>
        <v>108.64873837981409</v>
      </c>
      <c r="DC232" s="443">
        <f t="shared" si="656"/>
        <v>295.1137087881321</v>
      </c>
      <c r="DE232" s="217">
        <f t="shared" si="657"/>
        <v>10</v>
      </c>
      <c r="DF232" s="173">
        <f t="shared" si="658"/>
        <v>7.7922077922077913</v>
      </c>
      <c r="DG232" s="173">
        <f t="shared" si="659"/>
        <v>4.2330677290836656</v>
      </c>
      <c r="DH232" s="173"/>
      <c r="DI232" s="173">
        <f t="shared" si="660"/>
        <v>7.7922077922077913</v>
      </c>
      <c r="DJ232" s="545">
        <f t="shared" si="661"/>
        <v>41.06666666666667</v>
      </c>
      <c r="DK232" s="528">
        <f t="shared" si="662"/>
        <v>4.2330677290836656</v>
      </c>
      <c r="DM232" s="173">
        <f t="shared" si="663"/>
        <v>3.4253953543107012</v>
      </c>
      <c r="DN232" s="173">
        <f t="shared" si="664"/>
        <v>10</v>
      </c>
      <c r="DO232" s="173">
        <f t="shared" si="665"/>
        <v>1.0234666666666667</v>
      </c>
      <c r="DQ232" s="545">
        <f t="shared" si="666"/>
        <v>1600</v>
      </c>
      <c r="DR232" s="460">
        <f t="shared" si="667"/>
        <v>41.06666666666667</v>
      </c>
      <c r="DT232">
        <f t="shared" si="668"/>
        <v>1600</v>
      </c>
      <c r="DU232">
        <f t="shared" si="669"/>
        <v>41.06666666666667</v>
      </c>
      <c r="DW232" s="5">
        <f t="shared" si="670"/>
        <v>24.350649350649348</v>
      </c>
      <c r="DX232" s="5">
        <f t="shared" si="671"/>
        <v>1.4117647058823528</v>
      </c>
      <c r="DY232" s="5">
        <f t="shared" si="672"/>
        <v>22.938884644766997</v>
      </c>
      <c r="DZ232" s="5"/>
      <c r="EA232" s="173">
        <f t="shared" si="673"/>
        <v>5.7976470588235296E-2</v>
      </c>
      <c r="EB232" s="173">
        <f t="shared" si="699"/>
        <v>24.640000000000004</v>
      </c>
      <c r="EC232" s="173">
        <f t="shared" si="700"/>
        <v>4.7101176470588237</v>
      </c>
      <c r="ED232" s="173">
        <f t="shared" si="701"/>
        <v>5.2312918373463893</v>
      </c>
      <c r="EE232" s="460">
        <f t="shared" si="674"/>
        <v>15.058823529411764</v>
      </c>
      <c r="EF232" s="5">
        <f t="shared" si="675"/>
        <v>1.7991282074327055</v>
      </c>
      <c r="EH232" s="173">
        <f t="shared" si="702"/>
        <v>1.3901615084614605</v>
      </c>
      <c r="EI232" s="173">
        <f t="shared" si="703"/>
        <v>5.6036402734049133</v>
      </c>
      <c r="EK232" s="528">
        <f t="shared" si="704"/>
        <v>3.8650980392156864E-2</v>
      </c>
      <c r="EL232" s="528">
        <f t="shared" si="705"/>
        <v>0.82461866666666672</v>
      </c>
      <c r="EM232" s="528">
        <f t="shared" si="706"/>
        <v>5.1333333333333335E-3</v>
      </c>
      <c r="EN232" s="528">
        <f t="shared" si="707"/>
        <v>4.1395857066666673E-2</v>
      </c>
      <c r="EO232">
        <f t="shared" si="708"/>
        <v>3.8249999999999999E-2</v>
      </c>
      <c r="EP232" s="460">
        <f t="shared" si="709"/>
        <v>43.383333333333326</v>
      </c>
      <c r="EQ232" s="460"/>
      <c r="ER232" s="460">
        <f t="shared" si="710"/>
        <v>948.04883745882364</v>
      </c>
      <c r="ES232" s="528">
        <f t="shared" si="711"/>
        <v>1.1199999999999999</v>
      </c>
      <c r="EV232" s="460">
        <f t="shared" si="712"/>
        <v>1119.9999999999998</v>
      </c>
      <c r="EW232" s="528">
        <f t="shared" si="713"/>
        <v>5.7976470588235296E-2</v>
      </c>
      <c r="EX232" s="528">
        <f t="shared" si="714"/>
        <v>0.9420235294117647</v>
      </c>
      <c r="EY232" s="528">
        <f t="shared" si="715"/>
        <v>0.17088094501266138</v>
      </c>
      <c r="EZ232" s="528"/>
      <c r="FA232" s="528">
        <f t="shared" si="716"/>
        <v>4.1066666666666673E-3</v>
      </c>
      <c r="FB232" s="460">
        <f t="shared" si="717"/>
        <v>1174.987611679328</v>
      </c>
      <c r="FC232" s="173">
        <f t="shared" si="718"/>
        <v>3.2430364491381511</v>
      </c>
      <c r="FD232" s="5">
        <f t="shared" si="719"/>
        <v>24</v>
      </c>
      <c r="FE232" s="173">
        <f t="shared" si="720"/>
        <v>0.88095906801017598</v>
      </c>
      <c r="FF232" s="5">
        <f t="shared" si="721"/>
        <v>88.095906801017605</v>
      </c>
      <c r="FI232" s="562">
        <f t="shared" si="676"/>
        <v>-50</v>
      </c>
      <c r="FJ232">
        <f t="shared" si="677"/>
        <v>-50</v>
      </c>
      <c r="FL232">
        <f t="shared" si="678"/>
        <v>0.32000000000000006</v>
      </c>
    </row>
    <row r="233" spans="5:168">
      <c r="E233" s="170">
        <v>17</v>
      </c>
      <c r="F233" s="217">
        <f t="shared" si="679"/>
        <v>1.7000000000000002</v>
      </c>
      <c r="G233" s="217"/>
      <c r="H233" s="217">
        <f t="shared" si="603"/>
        <v>25.500000000000004</v>
      </c>
      <c r="I233" s="541">
        <f t="shared" si="604"/>
        <v>84.753268114390082</v>
      </c>
      <c r="J233" s="172">
        <f t="shared" si="605"/>
        <v>15.548039131365949</v>
      </c>
      <c r="K233" s="172">
        <f t="shared" si="606"/>
        <v>100.30130724575604</v>
      </c>
      <c r="L233" s="443"/>
      <c r="M233" s="217">
        <f t="shared" si="607"/>
        <v>0.15502984391561525</v>
      </c>
      <c r="N233" s="172">
        <f t="shared" si="608"/>
        <v>329.8781973075603</v>
      </c>
      <c r="O233" s="172">
        <f t="shared" si="599"/>
        <v>25.500000000000004</v>
      </c>
      <c r="P233" s="217">
        <f t="shared" si="609"/>
        <v>21.991879820504021</v>
      </c>
      <c r="Q233" s="217">
        <f t="shared" si="610"/>
        <v>15</v>
      </c>
      <c r="R233" s="217"/>
      <c r="S233" s="172">
        <f t="shared" si="611"/>
        <v>1161.647495573869</v>
      </c>
      <c r="T233" s="172">
        <f t="shared" si="612"/>
        <v>15</v>
      </c>
      <c r="U233" s="217">
        <f t="shared" si="613"/>
        <v>4.0238107529805482</v>
      </c>
      <c r="V233" s="217">
        <f t="shared" si="614"/>
        <v>0.56972114598101553</v>
      </c>
      <c r="W233" s="217">
        <f t="shared" si="615"/>
        <v>3.1055831946265826</v>
      </c>
      <c r="X233" s="197">
        <f t="shared" si="616"/>
        <v>109.48238241177424</v>
      </c>
      <c r="Y233" s="443">
        <f t="shared" si="680"/>
        <v>258.04424945969862</v>
      </c>
      <c r="AA233" s="217">
        <f t="shared" si="617"/>
        <v>10</v>
      </c>
      <c r="AB233" s="173">
        <f t="shared" si="618"/>
        <v>7.7180150491078416</v>
      </c>
      <c r="AC233" s="173">
        <f t="shared" si="619"/>
        <v>4.2249333753312666</v>
      </c>
      <c r="AD233" s="173"/>
      <c r="AE233" s="173">
        <f t="shared" si="620"/>
        <v>7.7180150491078416</v>
      </c>
      <c r="AF233" s="545">
        <f t="shared" si="621"/>
        <v>44.052777538870188</v>
      </c>
      <c r="AG233" s="528">
        <f t="shared" si="622"/>
        <v>4.2249333753312666</v>
      </c>
      <c r="AI233" s="173">
        <f t="shared" si="623"/>
        <v>3.5477468720652303</v>
      </c>
      <c r="AJ233" s="173">
        <f t="shared" si="624"/>
        <v>10</v>
      </c>
      <c r="AK233" s="173">
        <f t="shared" si="625"/>
        <v>1.0251730157364973</v>
      </c>
      <c r="AM233" s="545">
        <f t="shared" si="626"/>
        <v>1700.0000000000002</v>
      </c>
      <c r="AN233" s="460">
        <f t="shared" si="627"/>
        <v>44.052777538870188</v>
      </c>
      <c r="AP233">
        <f t="shared" si="628"/>
        <v>1700.0000000000002</v>
      </c>
      <c r="AQ233">
        <f t="shared" si="629"/>
        <v>44.052777538870188</v>
      </c>
      <c r="AS233" s="5">
        <f t="shared" si="600"/>
        <v>22.700044262081885</v>
      </c>
      <c r="AT233" s="5">
        <f t="shared" si="630"/>
        <v>1.4158746048357451</v>
      </c>
      <c r="AU233" s="5">
        <f t="shared" si="478"/>
        <v>21.284169657246139</v>
      </c>
      <c r="AV233" s="5"/>
      <c r="AW233" s="173">
        <f t="shared" si="479"/>
        <v>6.2373208989764818E-2</v>
      </c>
      <c r="AX233" s="173">
        <f t="shared" si="631"/>
        <v>26.431666523322114</v>
      </c>
      <c r="AY233" s="173">
        <f t="shared" si="632"/>
        <v>4.6881339550511756</v>
      </c>
      <c r="AZ233" s="173">
        <f t="shared" si="633"/>
        <v>5.6379930216890717</v>
      </c>
      <c r="BA233" s="460">
        <f t="shared" si="594"/>
        <v>16.046578854805116</v>
      </c>
      <c r="BB233" s="5">
        <f t="shared" si="595"/>
        <v>1.778844306062763</v>
      </c>
      <c r="BD233" s="173">
        <f t="shared" si="681"/>
        <v>1.4419108732253507</v>
      </c>
      <c r="BE233" s="173">
        <f t="shared" si="682"/>
        <v>5.5905479487263001</v>
      </c>
      <c r="BG233" s="528">
        <f t="shared" si="683"/>
        <v>4.1582139326509865E-2</v>
      </c>
      <c r="BH233" s="528">
        <f t="shared" si="634"/>
        <v>0.82847834530409237</v>
      </c>
      <c r="BI233" s="528">
        <f t="shared" si="635"/>
        <v>9.3340421648386157E-2</v>
      </c>
      <c r="BJ233" s="528">
        <f t="shared" si="684"/>
        <v>4.4318645898027378E-2</v>
      </c>
      <c r="BK233">
        <f t="shared" si="685"/>
        <v>3.8138970651475534E-2</v>
      </c>
      <c r="BL233" s="460">
        <f t="shared" si="686"/>
        <v>131.4793922998617</v>
      </c>
      <c r="BM233" s="528">
        <f t="shared" si="636"/>
        <v>0.93484247354279459</v>
      </c>
      <c r="BN233" s="460">
        <f t="shared" si="687"/>
        <v>934.84247354279455</v>
      </c>
      <c r="BO233" s="528">
        <f t="shared" si="637"/>
        <v>1.19</v>
      </c>
      <c r="BR233" s="460">
        <f t="shared" si="688"/>
        <v>1190</v>
      </c>
      <c r="BS233" s="528">
        <f t="shared" si="689"/>
        <v>6.2373208989764797E-2</v>
      </c>
      <c r="BT233" s="528">
        <f t="shared" si="690"/>
        <v>0.93762679101023527</v>
      </c>
      <c r="BU233" s="528">
        <f t="shared" si="691"/>
        <v>0.2036588299295235</v>
      </c>
      <c r="BV233" s="528"/>
      <c r="BW233" s="528">
        <f t="shared" si="692"/>
        <v>4.4052777538870188E-3</v>
      </c>
      <c r="BX233" s="460">
        <f t="shared" si="693"/>
        <v>1208.0641076834104</v>
      </c>
      <c r="BY233" s="173">
        <f t="shared" si="694"/>
        <v>3.4439226305119024</v>
      </c>
      <c r="BZ233" s="5">
        <f t="shared" si="695"/>
        <v>25.500000000000004</v>
      </c>
      <c r="CA233" s="173">
        <f t="shared" si="696"/>
        <v>0.88101396364011109</v>
      </c>
      <c r="CB233" s="5">
        <f t="shared" si="697"/>
        <v>88.101396364011109</v>
      </c>
      <c r="CE233" s="562">
        <f t="shared" si="638"/>
        <v>-50</v>
      </c>
      <c r="CF233">
        <f t="shared" si="639"/>
        <v>-50</v>
      </c>
      <c r="CG233" s="173">
        <f t="shared" si="640"/>
        <v>0.34450350748093511</v>
      </c>
      <c r="CI233" s="170">
        <v>17</v>
      </c>
      <c r="CJ233" s="217">
        <f t="shared" si="698"/>
        <v>1.7000000000000002</v>
      </c>
      <c r="CK233" s="217"/>
      <c r="CL233" s="217">
        <f t="shared" si="641"/>
        <v>25.500000000000004</v>
      </c>
      <c r="CM233" s="541">
        <f t="shared" si="642"/>
        <v>85</v>
      </c>
      <c r="CN233" s="443">
        <f t="shared" si="643"/>
        <v>15.4</v>
      </c>
      <c r="CO233" s="443">
        <f t="shared" si="644"/>
        <v>100.4</v>
      </c>
      <c r="CP233" s="443"/>
      <c r="CQ233" s="217">
        <f t="shared" si="645"/>
        <v>0.15338645418326693</v>
      </c>
      <c r="CR233" s="172">
        <f t="shared" si="646"/>
        <v>327.33148655378488</v>
      </c>
      <c r="CS233" s="172">
        <f t="shared" si="647"/>
        <v>25.500000000000004</v>
      </c>
      <c r="CT233" s="217">
        <f t="shared" si="648"/>
        <v>21.822099103585661</v>
      </c>
      <c r="CU233" s="217">
        <f t="shared" si="649"/>
        <v>15</v>
      </c>
      <c r="CV233" s="217"/>
      <c r="CW233" s="172">
        <f t="shared" si="650"/>
        <v>1165.029173802033</v>
      </c>
      <c r="CX233" s="172">
        <f t="shared" si="651"/>
        <v>15</v>
      </c>
      <c r="CY233" s="217">
        <f t="shared" si="652"/>
        <v>3.9116883116883123</v>
      </c>
      <c r="CZ233" s="217">
        <f t="shared" si="653"/>
        <v>0.55223834988540876</v>
      </c>
      <c r="DA233" s="217">
        <f t="shared" si="654"/>
        <v>3.0480688143025811</v>
      </c>
      <c r="DB233" s="197">
        <f t="shared" si="655"/>
        <v>108.64873837981409</v>
      </c>
      <c r="DC233" s="443">
        <f t="shared" si="656"/>
        <v>277.75407885941843</v>
      </c>
      <c r="DE233" s="217">
        <f t="shared" si="657"/>
        <v>10</v>
      </c>
      <c r="DF233" s="173">
        <f t="shared" si="658"/>
        <v>7.7922077922077913</v>
      </c>
      <c r="DG233" s="173">
        <f t="shared" si="659"/>
        <v>4.2330677290836656</v>
      </c>
      <c r="DH233" s="173"/>
      <c r="DI233" s="173">
        <f t="shared" si="660"/>
        <v>7.7922077922077913</v>
      </c>
      <c r="DJ233" s="545">
        <f t="shared" si="661"/>
        <v>43.63333333333334</v>
      </c>
      <c r="DK233" s="528">
        <f t="shared" si="662"/>
        <v>4.2330677290836656</v>
      </c>
      <c r="DM233" s="173">
        <f t="shared" si="663"/>
        <v>3.5308167138307631</v>
      </c>
      <c r="DN233" s="173">
        <f t="shared" si="664"/>
        <v>10</v>
      </c>
      <c r="DO233" s="173">
        <f t="shared" si="665"/>
        <v>1.0249333333333333</v>
      </c>
      <c r="DQ233" s="545">
        <f t="shared" si="666"/>
        <v>1700.0000000000002</v>
      </c>
      <c r="DR233" s="460">
        <f t="shared" si="667"/>
        <v>43.63333333333334</v>
      </c>
      <c r="DT233">
        <f t="shared" si="668"/>
        <v>1700.0000000000002</v>
      </c>
      <c r="DU233">
        <f t="shared" si="669"/>
        <v>43.63333333333334</v>
      </c>
      <c r="DW233" s="5">
        <f t="shared" si="670"/>
        <v>22.918258212375857</v>
      </c>
      <c r="DX233" s="5">
        <f t="shared" si="671"/>
        <v>1.4117647058823528</v>
      </c>
      <c r="DY233" s="5">
        <f t="shared" si="672"/>
        <v>21.506493506493506</v>
      </c>
      <c r="DZ233" s="5"/>
      <c r="EA233" s="173">
        <f t="shared" si="673"/>
        <v>6.1600000000000002E-2</v>
      </c>
      <c r="EB233" s="173">
        <f t="shared" si="699"/>
        <v>26.180000000000007</v>
      </c>
      <c r="EC233" s="173">
        <f t="shared" si="700"/>
        <v>4.6920000000000002</v>
      </c>
      <c r="ED233" s="173">
        <f t="shared" si="701"/>
        <v>5.5797101449275379</v>
      </c>
      <c r="EE233" s="460">
        <f t="shared" si="674"/>
        <v>16</v>
      </c>
      <c r="EF233" s="5">
        <f t="shared" si="675"/>
        <v>1.7922077922077924</v>
      </c>
      <c r="EH233" s="173">
        <f t="shared" si="702"/>
        <v>1.432945684013645</v>
      </c>
      <c r="EI233" s="173">
        <f t="shared" si="703"/>
        <v>5.5928525816438253</v>
      </c>
      <c r="EK233" s="528">
        <f t="shared" si="704"/>
        <v>4.1066666666666654E-2</v>
      </c>
      <c r="EL233" s="528">
        <f t="shared" si="705"/>
        <v>0.87615733333333357</v>
      </c>
      <c r="EM233" s="528">
        <f t="shared" si="706"/>
        <v>5.4541666666666679E-3</v>
      </c>
      <c r="EN233" s="528">
        <f t="shared" si="707"/>
        <v>4.3983098133333343E-2</v>
      </c>
      <c r="EO233">
        <f t="shared" si="708"/>
        <v>3.8249999999999999E-2</v>
      </c>
      <c r="EP233" s="460">
        <f t="shared" si="709"/>
        <v>43.704166666666666</v>
      </c>
      <c r="EQ233" s="460"/>
      <c r="ER233" s="460">
        <f t="shared" si="710"/>
        <v>1004.9112648000003</v>
      </c>
      <c r="ES233" s="528">
        <f t="shared" si="711"/>
        <v>1.19</v>
      </c>
      <c r="EV233" s="460">
        <f t="shared" si="712"/>
        <v>1190</v>
      </c>
      <c r="EW233" s="528">
        <f t="shared" si="713"/>
        <v>6.1599999999999981E-2</v>
      </c>
      <c r="EX233" s="528">
        <f t="shared" si="714"/>
        <v>0.93840000000000001</v>
      </c>
      <c r="EY233" s="528">
        <f t="shared" si="715"/>
        <v>0.19884559928237447</v>
      </c>
      <c r="EZ233" s="528"/>
      <c r="FA233" s="528">
        <f t="shared" si="716"/>
        <v>4.3633333333333345E-3</v>
      </c>
      <c r="FB233" s="460">
        <f t="shared" si="717"/>
        <v>1203.2089326157079</v>
      </c>
      <c r="FC233" s="173">
        <f t="shared" si="718"/>
        <v>3.3981201974157078</v>
      </c>
      <c r="FD233" s="5">
        <f t="shared" si="719"/>
        <v>25.500000000000004</v>
      </c>
      <c r="FE233" s="173">
        <f t="shared" si="720"/>
        <v>0.88241033762052135</v>
      </c>
      <c r="FF233" s="5">
        <f t="shared" si="721"/>
        <v>88.24103376205214</v>
      </c>
      <c r="FI233" s="562">
        <f t="shared" si="676"/>
        <v>-50</v>
      </c>
      <c r="FJ233">
        <f t="shared" si="677"/>
        <v>-50</v>
      </c>
      <c r="FL233">
        <f t="shared" si="678"/>
        <v>0.34</v>
      </c>
    </row>
    <row r="234" spans="5:168">
      <c r="E234" s="170">
        <v>18</v>
      </c>
      <c r="F234" s="217">
        <f t="shared" si="679"/>
        <v>1.7999999999999998</v>
      </c>
      <c r="G234" s="217"/>
      <c r="H234" s="217">
        <f t="shared" si="603"/>
        <v>26.999999999999996</v>
      </c>
      <c r="I234" s="541">
        <f t="shared" si="604"/>
        <v>84.753268114390082</v>
      </c>
      <c r="J234" s="172">
        <f t="shared" si="605"/>
        <v>15.548039131365949</v>
      </c>
      <c r="K234" s="172">
        <f t="shared" si="606"/>
        <v>100.30130724575604</v>
      </c>
      <c r="L234" s="443"/>
      <c r="M234" s="217">
        <f t="shared" si="607"/>
        <v>0.15502984391561525</v>
      </c>
      <c r="N234" s="172">
        <f t="shared" si="608"/>
        <v>329.8781973075603</v>
      </c>
      <c r="O234" s="172">
        <f t="shared" si="599"/>
        <v>26.999999999999996</v>
      </c>
      <c r="P234" s="217">
        <f t="shared" si="609"/>
        <v>21.991879820504021</v>
      </c>
      <c r="Q234" s="217">
        <f t="shared" si="610"/>
        <v>15</v>
      </c>
      <c r="R234" s="217"/>
      <c r="S234" s="172">
        <f t="shared" si="611"/>
        <v>1092.406477938792</v>
      </c>
      <c r="T234" s="172">
        <f t="shared" si="612"/>
        <v>15</v>
      </c>
      <c r="U234" s="217">
        <f t="shared" si="613"/>
        <v>4.2605055031558745</v>
      </c>
      <c r="V234" s="217">
        <f t="shared" si="614"/>
        <v>0.60323415456813412</v>
      </c>
      <c r="W234" s="217">
        <f t="shared" si="615"/>
        <v>3.2882645590163819</v>
      </c>
      <c r="X234" s="197">
        <f t="shared" si="616"/>
        <v>109.48238241177424</v>
      </c>
      <c r="Y234" s="443">
        <f t="shared" si="680"/>
        <v>244.40921774698816</v>
      </c>
      <c r="AA234" s="217">
        <f t="shared" si="617"/>
        <v>10</v>
      </c>
      <c r="AB234" s="173">
        <f t="shared" si="618"/>
        <v>7.7180150491078416</v>
      </c>
      <c r="AC234" s="173">
        <f t="shared" si="619"/>
        <v>4.2249333753312666</v>
      </c>
      <c r="AD234" s="173"/>
      <c r="AE234" s="173">
        <f t="shared" si="620"/>
        <v>7.7180150491078416</v>
      </c>
      <c r="AF234" s="545">
        <f t="shared" si="621"/>
        <v>46.644117394097833</v>
      </c>
      <c r="AG234" s="528">
        <f t="shared" si="622"/>
        <v>4.2249333753312666</v>
      </c>
      <c r="AI234" s="173">
        <f t="shared" si="623"/>
        <v>3.6506014140176895</v>
      </c>
      <c r="AJ234" s="173">
        <f t="shared" si="624"/>
        <v>10</v>
      </c>
      <c r="AK234" s="173">
        <f t="shared" si="625"/>
        <v>1.0266537813680559</v>
      </c>
      <c r="AM234" s="545">
        <f t="shared" si="626"/>
        <v>1799.9999999999998</v>
      </c>
      <c r="AN234" s="460">
        <f t="shared" si="627"/>
        <v>46.644117394097833</v>
      </c>
      <c r="AP234">
        <f t="shared" si="628"/>
        <v>1799.9999999999998</v>
      </c>
      <c r="AQ234">
        <f t="shared" si="629"/>
        <v>46.644117394097833</v>
      </c>
      <c r="AS234" s="5">
        <f t="shared" si="600"/>
        <v>21.438930691966231</v>
      </c>
      <c r="AT234" s="5">
        <f t="shared" si="630"/>
        <v>1.4158746048357451</v>
      </c>
      <c r="AU234" s="5">
        <f t="shared" ref="AU234:AU297" si="722">AS234-AT234</f>
        <v>20.023056087130485</v>
      </c>
      <c r="AV234" s="5"/>
      <c r="AW234" s="173">
        <f t="shared" ref="AW234:AW297" si="723">AT234/AS234</f>
        <v>6.6042221283280383E-2</v>
      </c>
      <c r="AX234" s="173">
        <f t="shared" si="631"/>
        <v>27.986470436458703</v>
      </c>
      <c r="AY234" s="173">
        <f t="shared" si="632"/>
        <v>4.6697888935835978</v>
      </c>
      <c r="AZ234" s="173">
        <f t="shared" si="633"/>
        <v>5.9930911384265757</v>
      </c>
      <c r="BA234" s="460">
        <f t="shared" si="594"/>
        <v>16.99049525802894</v>
      </c>
      <c r="BB234" s="5">
        <f t="shared" si="595"/>
        <v>1.7718835390606145</v>
      </c>
      <c r="BD234" s="173">
        <f t="shared" si="681"/>
        <v>1.4837140479584825</v>
      </c>
      <c r="BE234" s="173">
        <f t="shared" si="682"/>
        <v>5.5795990857071427</v>
      </c>
      <c r="BG234" s="528">
        <f t="shared" si="683"/>
        <v>4.4028147522186922E-2</v>
      </c>
      <c r="BH234" s="528">
        <f t="shared" si="634"/>
        <v>0.8772123656160975</v>
      </c>
      <c r="BI234" s="528">
        <f t="shared" si="635"/>
        <v>9.8831034686526487E-2</v>
      </c>
      <c r="BJ234" s="528">
        <f t="shared" si="684"/>
        <v>4.6925625068499559E-2</v>
      </c>
      <c r="BK234">
        <f t="shared" si="685"/>
        <v>3.8138970651475534E-2</v>
      </c>
      <c r="BL234" s="460">
        <f t="shared" si="686"/>
        <v>136.97000533800201</v>
      </c>
      <c r="BM234" s="528">
        <f t="shared" si="636"/>
        <v>0.99041455167199299</v>
      </c>
      <c r="BN234" s="460">
        <f t="shared" si="687"/>
        <v>990.41455167199297</v>
      </c>
      <c r="BO234" s="528">
        <f t="shared" si="637"/>
        <v>1.2599999999999998</v>
      </c>
      <c r="BR234" s="460">
        <f t="shared" si="688"/>
        <v>1259.9999999999998</v>
      </c>
      <c r="BS234" s="528">
        <f t="shared" si="689"/>
        <v>6.6042221283280383E-2</v>
      </c>
      <c r="BT234" s="528">
        <f t="shared" si="690"/>
        <v>0.93395777871671948</v>
      </c>
      <c r="BU234" s="528">
        <f t="shared" si="691"/>
        <v>0.23494283426657955</v>
      </c>
      <c r="BV234" s="528"/>
      <c r="BW234" s="528">
        <f t="shared" si="692"/>
        <v>4.6644117394097837E-3</v>
      </c>
      <c r="BX234" s="460">
        <f t="shared" si="693"/>
        <v>1239.6072460059891</v>
      </c>
      <c r="BY234" s="173">
        <f t="shared" si="694"/>
        <v>3.6047433895507748</v>
      </c>
      <c r="BZ234" s="5">
        <f t="shared" si="695"/>
        <v>26.999999999999996</v>
      </c>
      <c r="CA234" s="173">
        <f t="shared" si="696"/>
        <v>0.88221618643659261</v>
      </c>
      <c r="CB234" s="5">
        <f t="shared" si="697"/>
        <v>88.221618643659255</v>
      </c>
      <c r="CE234" s="562">
        <f t="shared" si="638"/>
        <v>-50</v>
      </c>
      <c r="CF234">
        <f t="shared" si="639"/>
        <v>-50</v>
      </c>
      <c r="CG234" s="173">
        <f t="shared" si="640"/>
        <v>0.3647684196856959</v>
      </c>
      <c r="CI234" s="170">
        <v>18</v>
      </c>
      <c r="CJ234" s="217">
        <f t="shared" si="698"/>
        <v>1.7999999999999998</v>
      </c>
      <c r="CK234" s="217"/>
      <c r="CL234" s="217">
        <f t="shared" si="641"/>
        <v>26.999999999999996</v>
      </c>
      <c r="CM234" s="541">
        <f t="shared" si="642"/>
        <v>85</v>
      </c>
      <c r="CN234" s="443">
        <f t="shared" si="643"/>
        <v>15.4</v>
      </c>
      <c r="CO234" s="443">
        <f t="shared" si="644"/>
        <v>100.4</v>
      </c>
      <c r="CP234" s="443"/>
      <c r="CQ234" s="217">
        <f t="shared" si="645"/>
        <v>0.15338645418326693</v>
      </c>
      <c r="CR234" s="172">
        <f t="shared" si="646"/>
        <v>327.33148655378488</v>
      </c>
      <c r="CS234" s="172">
        <f t="shared" si="647"/>
        <v>26.999999999999996</v>
      </c>
      <c r="CT234" s="217">
        <f t="shared" si="648"/>
        <v>21.822099103585661</v>
      </c>
      <c r="CU234" s="217">
        <f t="shared" si="649"/>
        <v>15</v>
      </c>
      <c r="CV234" s="217"/>
      <c r="CW234" s="172">
        <f t="shared" si="650"/>
        <v>1095.5865778332802</v>
      </c>
      <c r="CX234" s="172">
        <f t="shared" si="651"/>
        <v>15</v>
      </c>
      <c r="CY234" s="217">
        <f t="shared" si="652"/>
        <v>4.1417876241405649</v>
      </c>
      <c r="CZ234" s="217">
        <f t="shared" si="653"/>
        <v>0.58472295870219748</v>
      </c>
      <c r="DA234" s="217">
        <f t="shared" si="654"/>
        <v>3.227366979849791</v>
      </c>
      <c r="DB234" s="197">
        <f t="shared" si="655"/>
        <v>108.64873837981409</v>
      </c>
      <c r="DC234" s="443">
        <f t="shared" si="656"/>
        <v>262.32329670056185</v>
      </c>
      <c r="DE234" s="217">
        <f t="shared" si="657"/>
        <v>10</v>
      </c>
      <c r="DF234" s="173">
        <f t="shared" si="658"/>
        <v>7.7922077922077913</v>
      </c>
      <c r="DG234" s="173">
        <f t="shared" si="659"/>
        <v>4.2330677290836656</v>
      </c>
      <c r="DH234" s="173"/>
      <c r="DI234" s="173">
        <f t="shared" si="660"/>
        <v>7.7922077922077913</v>
      </c>
      <c r="DJ234" s="545">
        <f t="shared" si="661"/>
        <v>46.2</v>
      </c>
      <c r="DK234" s="528">
        <f t="shared" si="662"/>
        <v>4.2330677290836656</v>
      </c>
      <c r="DM234" s="173">
        <f t="shared" si="663"/>
        <v>3.6331804249169899</v>
      </c>
      <c r="DN234" s="173">
        <f t="shared" si="664"/>
        <v>10</v>
      </c>
      <c r="DO234" s="173">
        <f t="shared" si="665"/>
        <v>1.0264</v>
      </c>
      <c r="DQ234" s="545">
        <f t="shared" si="666"/>
        <v>1799.9999999999998</v>
      </c>
      <c r="DR234" s="460">
        <f t="shared" si="667"/>
        <v>46.2</v>
      </c>
      <c r="DT234">
        <f t="shared" si="668"/>
        <v>1799.9999999999998</v>
      </c>
      <c r="DU234">
        <f t="shared" si="669"/>
        <v>46.2</v>
      </c>
      <c r="DW234" s="5">
        <f t="shared" si="670"/>
        <v>21.645021645021643</v>
      </c>
      <c r="DX234" s="5">
        <f t="shared" si="671"/>
        <v>1.4117647058823528</v>
      </c>
      <c r="DY234" s="5">
        <f t="shared" si="672"/>
        <v>20.233256939139292</v>
      </c>
      <c r="DZ234" s="5"/>
      <c r="EA234" s="173">
        <f t="shared" si="673"/>
        <v>6.5223529411764708E-2</v>
      </c>
      <c r="EB234" s="173">
        <f t="shared" si="699"/>
        <v>27.720000000000006</v>
      </c>
      <c r="EC234" s="173">
        <f t="shared" si="700"/>
        <v>4.6738823529411766</v>
      </c>
      <c r="ED234" s="173">
        <f t="shared" si="701"/>
        <v>5.9308296415626272</v>
      </c>
      <c r="EE234" s="460">
        <f t="shared" si="674"/>
        <v>16.941176470588232</v>
      </c>
      <c r="EF234" s="5">
        <f t="shared" si="675"/>
        <v>1.7852873769828785</v>
      </c>
      <c r="EH234" s="173">
        <f t="shared" si="702"/>
        <v>1.474488944366428</v>
      </c>
      <c r="EI234" s="173">
        <f t="shared" si="703"/>
        <v>5.5820440419504491</v>
      </c>
      <c r="EK234" s="528">
        <f t="shared" si="704"/>
        <v>4.3482352941176465E-2</v>
      </c>
      <c r="EL234" s="528">
        <f t="shared" si="705"/>
        <v>0.92769599999999997</v>
      </c>
      <c r="EM234" s="528">
        <f t="shared" si="706"/>
        <v>5.7749999999999998E-3</v>
      </c>
      <c r="EN234" s="528">
        <f t="shared" si="707"/>
        <v>4.6570339200000005E-2</v>
      </c>
      <c r="EO234">
        <f t="shared" si="708"/>
        <v>3.8249999999999999E-2</v>
      </c>
      <c r="EP234" s="460">
        <f t="shared" si="709"/>
        <v>44.024999999999999</v>
      </c>
      <c r="EQ234" s="460"/>
      <c r="ER234" s="460">
        <f t="shared" si="710"/>
        <v>1061.7736921411763</v>
      </c>
      <c r="ES234" s="528">
        <f t="shared" si="711"/>
        <v>1.2599999999999998</v>
      </c>
      <c r="EV234" s="460">
        <f t="shared" si="712"/>
        <v>1259.9999999999998</v>
      </c>
      <c r="EW234" s="528">
        <f t="shared" si="713"/>
        <v>6.5223529411764694E-2</v>
      </c>
      <c r="EX234" s="528">
        <f t="shared" si="714"/>
        <v>0.93477647058823521</v>
      </c>
      <c r="EY234" s="528">
        <f t="shared" si="715"/>
        <v>0.22939024393395663</v>
      </c>
      <c r="EZ234" s="528"/>
      <c r="FA234" s="528">
        <f t="shared" si="716"/>
        <v>4.6200000000000008E-3</v>
      </c>
      <c r="FB234" s="460">
        <f t="shared" si="717"/>
        <v>1234.0102439339566</v>
      </c>
      <c r="FC234" s="173">
        <f t="shared" si="718"/>
        <v>3.5557839360751324</v>
      </c>
      <c r="FD234" s="5">
        <f t="shared" si="719"/>
        <v>26.999999999999996</v>
      </c>
      <c r="FE234" s="173">
        <f t="shared" si="720"/>
        <v>0.88362975914759423</v>
      </c>
      <c r="FF234" s="5">
        <f t="shared" si="721"/>
        <v>88.362975914759417</v>
      </c>
      <c r="FI234" s="562">
        <f t="shared" si="676"/>
        <v>-50</v>
      </c>
      <c r="FJ234">
        <f t="shared" si="677"/>
        <v>-50</v>
      </c>
      <c r="FL234">
        <f t="shared" si="678"/>
        <v>0.36</v>
      </c>
    </row>
    <row r="235" spans="5:168">
      <c r="E235" s="170">
        <v>19</v>
      </c>
      <c r="F235" s="217">
        <f t="shared" si="679"/>
        <v>1.9</v>
      </c>
      <c r="G235" s="217"/>
      <c r="H235" s="217">
        <f t="shared" si="603"/>
        <v>28.5</v>
      </c>
      <c r="I235" s="541">
        <f t="shared" si="604"/>
        <v>84.753268114390082</v>
      </c>
      <c r="J235" s="172">
        <f t="shared" si="605"/>
        <v>15.548039131365949</v>
      </c>
      <c r="K235" s="172">
        <f t="shared" si="606"/>
        <v>100.30130724575604</v>
      </c>
      <c r="L235" s="443"/>
      <c r="M235" s="217">
        <f t="shared" si="607"/>
        <v>0.15502984391561525</v>
      </c>
      <c r="N235" s="172">
        <f t="shared" si="608"/>
        <v>329.8781973075603</v>
      </c>
      <c r="O235" s="172">
        <f t="shared" si="599"/>
        <v>28.5</v>
      </c>
      <c r="P235" s="217">
        <f t="shared" si="609"/>
        <v>21.991879820504021</v>
      </c>
      <c r="Q235" s="217">
        <f t="shared" si="610"/>
        <v>15</v>
      </c>
      <c r="R235" s="217"/>
      <c r="S235" s="172">
        <f t="shared" si="611"/>
        <v>1030.4541989551324</v>
      </c>
      <c r="T235" s="172">
        <f t="shared" si="612"/>
        <v>15</v>
      </c>
      <c r="U235" s="217">
        <f t="shared" si="613"/>
        <v>4.4972002533312008</v>
      </c>
      <c r="V235" s="217">
        <f t="shared" si="614"/>
        <v>0.63674716315525259</v>
      </c>
      <c r="W235" s="217">
        <f t="shared" si="615"/>
        <v>3.4709459234061808</v>
      </c>
      <c r="X235" s="197">
        <f t="shared" si="616"/>
        <v>109.48238241177424</v>
      </c>
      <c r="Y235" s="443">
        <f t="shared" si="680"/>
        <v>232.14281516936913</v>
      </c>
      <c r="AA235" s="217">
        <f t="shared" si="617"/>
        <v>10</v>
      </c>
      <c r="AB235" s="173">
        <f t="shared" si="618"/>
        <v>7.7180150491078416</v>
      </c>
      <c r="AC235" s="173">
        <f t="shared" si="619"/>
        <v>4.2249333753312666</v>
      </c>
      <c r="AD235" s="173"/>
      <c r="AE235" s="173">
        <f t="shared" si="620"/>
        <v>7.7180150491078416</v>
      </c>
      <c r="AF235" s="545">
        <f t="shared" si="621"/>
        <v>49.235457249325499</v>
      </c>
      <c r="AG235" s="528">
        <f t="shared" si="622"/>
        <v>4.2249333753312666</v>
      </c>
      <c r="AI235" s="173">
        <f t="shared" si="623"/>
        <v>3.7506364126381651</v>
      </c>
      <c r="AJ235" s="173">
        <f t="shared" si="624"/>
        <v>10</v>
      </c>
      <c r="AK235" s="173">
        <f t="shared" si="625"/>
        <v>1.0281345469996146</v>
      </c>
      <c r="AM235" s="545">
        <f t="shared" si="626"/>
        <v>1900</v>
      </c>
      <c r="AN235" s="460">
        <f t="shared" si="627"/>
        <v>49.235457249325499</v>
      </c>
      <c r="AP235">
        <f t="shared" si="628"/>
        <v>1900</v>
      </c>
      <c r="AQ235">
        <f t="shared" si="629"/>
        <v>49.235457249325499</v>
      </c>
      <c r="AS235" s="5">
        <f t="shared" si="600"/>
        <v>20.310565918704846</v>
      </c>
      <c r="AT235" s="5">
        <f t="shared" si="630"/>
        <v>1.4158746048357451</v>
      </c>
      <c r="AU235" s="5">
        <f t="shared" si="722"/>
        <v>18.8946913138691</v>
      </c>
      <c r="AV235" s="5"/>
      <c r="AW235" s="173">
        <f t="shared" si="723"/>
        <v>6.971123357679597E-2</v>
      </c>
      <c r="AX235" s="173">
        <f t="shared" si="631"/>
        <v>29.541274349595305</v>
      </c>
      <c r="AY235" s="173">
        <f t="shared" si="632"/>
        <v>4.6514438321160201</v>
      </c>
      <c r="AZ235" s="173">
        <f t="shared" si="633"/>
        <v>6.3509902335328174</v>
      </c>
      <c r="BA235" s="460">
        <f t="shared" si="594"/>
        <v>17.934411661252767</v>
      </c>
      <c r="BB235" s="5">
        <f t="shared" si="595"/>
        <v>1.7649227720584657</v>
      </c>
      <c r="BD235" s="173">
        <f t="shared" si="681"/>
        <v>1.5243712756061756</v>
      </c>
      <c r="BE235" s="173">
        <f t="shared" si="682"/>
        <v>5.5686286954186599</v>
      </c>
      <c r="BG235" s="528">
        <f t="shared" si="683"/>
        <v>4.6474155717863973E-2</v>
      </c>
      <c r="BH235" s="528">
        <f t="shared" si="634"/>
        <v>0.92594638592810297</v>
      </c>
      <c r="BI235" s="528">
        <f t="shared" si="635"/>
        <v>0.10432164772466686</v>
      </c>
      <c r="BJ235" s="528">
        <f t="shared" si="684"/>
        <v>4.9532604238971767E-2</v>
      </c>
      <c r="BK235">
        <f t="shared" si="685"/>
        <v>3.8138970651475534E-2</v>
      </c>
      <c r="BL235" s="460">
        <f t="shared" si="686"/>
        <v>142.46061837614238</v>
      </c>
      <c r="BM235" s="528">
        <f t="shared" si="636"/>
        <v>1.046051944848148</v>
      </c>
      <c r="BN235" s="460">
        <f t="shared" si="687"/>
        <v>1046.051944848148</v>
      </c>
      <c r="BO235" s="528">
        <f t="shared" si="637"/>
        <v>1.3299999999999998</v>
      </c>
      <c r="BR235" s="460">
        <f t="shared" si="688"/>
        <v>1329.9999999999998</v>
      </c>
      <c r="BS235" s="528">
        <f t="shared" si="689"/>
        <v>6.9711233576795956E-2</v>
      </c>
      <c r="BT235" s="528">
        <f t="shared" si="690"/>
        <v>0.93028876642320379</v>
      </c>
      <c r="BU235" s="528">
        <f t="shared" si="691"/>
        <v>0.26894590945447239</v>
      </c>
      <c r="BV235" s="528"/>
      <c r="BW235" s="528">
        <f t="shared" si="692"/>
        <v>4.9235457249325503E-3</v>
      </c>
      <c r="BX235" s="460">
        <f t="shared" si="693"/>
        <v>1273.8694551794047</v>
      </c>
      <c r="BY235" s="173">
        <f t="shared" si="694"/>
        <v>3.7682832194404856</v>
      </c>
      <c r="BZ235" s="5">
        <f t="shared" si="695"/>
        <v>28.5</v>
      </c>
      <c r="CA235" s="173">
        <f t="shared" si="696"/>
        <v>0.88322021367501113</v>
      </c>
      <c r="CB235" s="5">
        <f t="shared" si="697"/>
        <v>88.322021367501108</v>
      </c>
      <c r="CE235" s="562">
        <f t="shared" si="638"/>
        <v>-50</v>
      </c>
      <c r="CF235">
        <f t="shared" si="639"/>
        <v>-50</v>
      </c>
      <c r="CG235" s="173">
        <f t="shared" si="640"/>
        <v>0.38503333189045674</v>
      </c>
      <c r="CI235" s="170">
        <v>19</v>
      </c>
      <c r="CJ235" s="217">
        <f t="shared" si="698"/>
        <v>1.9</v>
      </c>
      <c r="CK235" s="217"/>
      <c r="CL235" s="217">
        <f t="shared" si="641"/>
        <v>28.5</v>
      </c>
      <c r="CM235" s="541">
        <f t="shared" si="642"/>
        <v>85</v>
      </c>
      <c r="CN235" s="443">
        <f t="shared" si="643"/>
        <v>15.4</v>
      </c>
      <c r="CO235" s="443">
        <f t="shared" si="644"/>
        <v>100.4</v>
      </c>
      <c r="CP235" s="443"/>
      <c r="CQ235" s="217">
        <f t="shared" si="645"/>
        <v>0.15338645418326693</v>
      </c>
      <c r="CR235" s="172">
        <f t="shared" si="646"/>
        <v>327.33148655378488</v>
      </c>
      <c r="CS235" s="172">
        <f t="shared" si="647"/>
        <v>28.5</v>
      </c>
      <c r="CT235" s="217">
        <f t="shared" si="648"/>
        <v>21.822099103585661</v>
      </c>
      <c r="CU235" s="217">
        <f t="shared" si="649"/>
        <v>15</v>
      </c>
      <c r="CV235" s="217"/>
      <c r="CW235" s="172">
        <f t="shared" si="650"/>
        <v>1033.4539392886859</v>
      </c>
      <c r="CX235" s="172">
        <f t="shared" si="651"/>
        <v>15</v>
      </c>
      <c r="CY235" s="217">
        <f t="shared" si="652"/>
        <v>4.3718869365928192</v>
      </c>
      <c r="CZ235" s="217">
        <f t="shared" si="653"/>
        <v>0.6172075675189862</v>
      </c>
      <c r="DA235" s="217">
        <f t="shared" si="654"/>
        <v>3.4066651453970018</v>
      </c>
      <c r="DB235" s="197">
        <f t="shared" si="655"/>
        <v>108.64873837981409</v>
      </c>
      <c r="DC235" s="443">
        <f t="shared" si="656"/>
        <v>248.51680740053229</v>
      </c>
      <c r="DE235" s="217">
        <f t="shared" si="657"/>
        <v>10</v>
      </c>
      <c r="DF235" s="173">
        <f t="shared" si="658"/>
        <v>7.7922077922077913</v>
      </c>
      <c r="DG235" s="173">
        <f t="shared" si="659"/>
        <v>4.2330677290836656</v>
      </c>
      <c r="DH235" s="173"/>
      <c r="DI235" s="173">
        <f t="shared" si="660"/>
        <v>7.7922077922077913</v>
      </c>
      <c r="DJ235" s="545">
        <f t="shared" si="661"/>
        <v>48.766666666666666</v>
      </c>
      <c r="DK235" s="528">
        <f t="shared" si="662"/>
        <v>4.2330677290836656</v>
      </c>
      <c r="DM235" s="173">
        <f t="shared" si="663"/>
        <v>3.7327380477785117</v>
      </c>
      <c r="DN235" s="173">
        <f t="shared" si="664"/>
        <v>10</v>
      </c>
      <c r="DO235" s="173">
        <f t="shared" si="665"/>
        <v>1.0278666666666667</v>
      </c>
      <c r="DQ235" s="545">
        <f t="shared" si="666"/>
        <v>1900</v>
      </c>
      <c r="DR235" s="460">
        <f t="shared" si="667"/>
        <v>48.766666666666666</v>
      </c>
      <c r="DT235">
        <f t="shared" si="668"/>
        <v>1900</v>
      </c>
      <c r="DU235">
        <f t="shared" si="669"/>
        <v>48.766666666666666</v>
      </c>
      <c r="DW235" s="5">
        <f t="shared" si="670"/>
        <v>20.505809979494192</v>
      </c>
      <c r="DX235" s="5">
        <f t="shared" si="671"/>
        <v>1.4117647058823528</v>
      </c>
      <c r="DY235" s="5">
        <f t="shared" si="672"/>
        <v>19.09404527361184</v>
      </c>
      <c r="DZ235" s="5"/>
      <c r="EA235" s="173">
        <f t="shared" si="673"/>
        <v>6.88470588235294E-2</v>
      </c>
      <c r="EB235" s="173">
        <f t="shared" si="699"/>
        <v>29.26</v>
      </c>
      <c r="EC235" s="173">
        <f t="shared" si="700"/>
        <v>4.655764705882353</v>
      </c>
      <c r="ED235" s="173">
        <f t="shared" si="701"/>
        <v>6.2846818618284734</v>
      </c>
      <c r="EE235" s="460">
        <f t="shared" si="674"/>
        <v>17.882352941176471</v>
      </c>
      <c r="EF235" s="5">
        <f t="shared" si="675"/>
        <v>1.7783669617579654</v>
      </c>
      <c r="EH235" s="173">
        <f t="shared" si="702"/>
        <v>1.5148933826458921</v>
      </c>
      <c r="EI235" s="173">
        <f t="shared" si="703"/>
        <v>5.5712145329855156</v>
      </c>
      <c r="EK235" s="528">
        <f t="shared" si="704"/>
        <v>4.5898039215686269E-2</v>
      </c>
      <c r="EL235" s="528">
        <f t="shared" si="705"/>
        <v>0.97923466666666659</v>
      </c>
      <c r="EM235" s="528">
        <f t="shared" si="706"/>
        <v>6.0958333333333324E-3</v>
      </c>
      <c r="EN235" s="528">
        <f t="shared" si="707"/>
        <v>4.9157580266666667E-2</v>
      </c>
      <c r="EO235">
        <f t="shared" si="708"/>
        <v>3.8249999999999999E-2</v>
      </c>
      <c r="EP235" s="460">
        <f t="shared" si="709"/>
        <v>44.345833333333331</v>
      </c>
      <c r="EQ235" s="460"/>
      <c r="ER235" s="460">
        <f t="shared" si="710"/>
        <v>1118.6361194823528</v>
      </c>
      <c r="ES235" s="528">
        <f t="shared" si="711"/>
        <v>1.3299999999999998</v>
      </c>
      <c r="EV235" s="460">
        <f t="shared" si="712"/>
        <v>1329.9999999999998</v>
      </c>
      <c r="EW235" s="528">
        <f t="shared" si="713"/>
        <v>6.88470588235294E-2</v>
      </c>
      <c r="EX235" s="528">
        <f t="shared" si="714"/>
        <v>0.93115294117647052</v>
      </c>
      <c r="EY235" s="528">
        <f t="shared" si="715"/>
        <v>0.2625896974784947</v>
      </c>
      <c r="EZ235" s="528"/>
      <c r="FA235" s="528">
        <f t="shared" si="716"/>
        <v>4.8766666666666672E-3</v>
      </c>
      <c r="FB235" s="460">
        <f t="shared" si="717"/>
        <v>1267.4663641451614</v>
      </c>
      <c r="FC235" s="173">
        <f t="shared" si="718"/>
        <v>3.7161024836275138</v>
      </c>
      <c r="FD235" s="5">
        <f t="shared" si="719"/>
        <v>28.5</v>
      </c>
      <c r="FE235" s="173">
        <f t="shared" si="720"/>
        <v>0.88465077408056825</v>
      </c>
      <c r="FF235" s="5">
        <f t="shared" si="721"/>
        <v>88.465077408056828</v>
      </c>
      <c r="FI235" s="562">
        <f t="shared" si="676"/>
        <v>-50</v>
      </c>
      <c r="FJ235">
        <f t="shared" si="677"/>
        <v>-50</v>
      </c>
      <c r="FL235">
        <f t="shared" si="678"/>
        <v>0.38</v>
      </c>
    </row>
    <row r="236" spans="5:168">
      <c r="E236" s="170">
        <v>20</v>
      </c>
      <c r="F236" s="217">
        <f t="shared" si="679"/>
        <v>2</v>
      </c>
      <c r="G236" s="217"/>
      <c r="H236" s="217">
        <f t="shared" si="603"/>
        <v>30</v>
      </c>
      <c r="I236" s="541">
        <f t="shared" si="604"/>
        <v>84.753268114390082</v>
      </c>
      <c r="J236" s="172">
        <f t="shared" si="605"/>
        <v>15.548039131365949</v>
      </c>
      <c r="K236" s="172">
        <f t="shared" si="606"/>
        <v>100.30130724575604</v>
      </c>
      <c r="L236" s="443"/>
      <c r="M236" s="217">
        <f t="shared" si="607"/>
        <v>0.15502984391561525</v>
      </c>
      <c r="N236" s="172">
        <f t="shared" si="608"/>
        <v>329.8781973075603</v>
      </c>
      <c r="O236" s="172">
        <f t="shared" si="599"/>
        <v>30</v>
      </c>
      <c r="P236" s="217">
        <f t="shared" si="609"/>
        <v>21.991879820504021</v>
      </c>
      <c r="Q236" s="217">
        <f t="shared" si="610"/>
        <v>15</v>
      </c>
      <c r="R236" s="217"/>
      <c r="S236" s="172">
        <f t="shared" si="611"/>
        <v>974.697350415644</v>
      </c>
      <c r="T236" s="172">
        <f t="shared" si="612"/>
        <v>15</v>
      </c>
      <c r="U236" s="217">
        <f t="shared" si="613"/>
        <v>4.733895003506527</v>
      </c>
      <c r="V236" s="217">
        <f t="shared" si="614"/>
        <v>0.67026017174237118</v>
      </c>
      <c r="W236" s="217">
        <f t="shared" si="615"/>
        <v>3.6536272877959797</v>
      </c>
      <c r="X236" s="197">
        <f t="shared" si="616"/>
        <v>109.48238241177424</v>
      </c>
      <c r="Y236" s="443">
        <f t="shared" si="680"/>
        <v>221.04882337237609</v>
      </c>
      <c r="AA236" s="217">
        <f t="shared" si="617"/>
        <v>10</v>
      </c>
      <c r="AB236" s="173">
        <f t="shared" si="618"/>
        <v>7.7180150491078416</v>
      </c>
      <c r="AC236" s="173">
        <f t="shared" si="619"/>
        <v>4.2249333753312666</v>
      </c>
      <c r="AD236" s="173"/>
      <c r="AE236" s="173">
        <f t="shared" si="620"/>
        <v>7.7180150491078416</v>
      </c>
      <c r="AF236" s="545">
        <f t="shared" si="621"/>
        <v>51.826797104553151</v>
      </c>
      <c r="AG236" s="528">
        <f t="shared" si="622"/>
        <v>4.2249333753312666</v>
      </c>
      <c r="AI236" s="173">
        <f t="shared" si="623"/>
        <v>3.8480717659090788</v>
      </c>
      <c r="AJ236" s="173">
        <f t="shared" si="624"/>
        <v>10</v>
      </c>
      <c r="AK236" s="173">
        <f t="shared" si="625"/>
        <v>1.0296153126311731</v>
      </c>
      <c r="AM236" s="545">
        <f t="shared" si="626"/>
        <v>2000</v>
      </c>
      <c r="AN236" s="460">
        <f t="shared" si="627"/>
        <v>51.826797104553151</v>
      </c>
      <c r="AP236">
        <f t="shared" si="628"/>
        <v>2000</v>
      </c>
      <c r="AQ236">
        <f t="shared" si="629"/>
        <v>51.826797104553151</v>
      </c>
      <c r="AS236" s="5">
        <f t="shared" si="600"/>
        <v>19.295037622769609</v>
      </c>
      <c r="AT236" s="5">
        <f t="shared" si="630"/>
        <v>1.4158746048357451</v>
      </c>
      <c r="AU236" s="5">
        <f t="shared" si="722"/>
        <v>17.879163017933863</v>
      </c>
      <c r="AV236" s="5"/>
      <c r="AW236" s="173">
        <f t="shared" si="723"/>
        <v>7.3380245870311528E-2</v>
      </c>
      <c r="AX236" s="173">
        <f t="shared" si="631"/>
        <v>31.096078262731893</v>
      </c>
      <c r="AY236" s="173">
        <f t="shared" si="632"/>
        <v>4.6330987706484423</v>
      </c>
      <c r="AZ236" s="173">
        <f t="shared" si="633"/>
        <v>6.711723578985934</v>
      </c>
      <c r="BA236" s="460">
        <f t="shared" si="594"/>
        <v>18.878328064476602</v>
      </c>
      <c r="BB236" s="5">
        <f t="shared" si="595"/>
        <v>1.7579620050563174</v>
      </c>
      <c r="BD236" s="173">
        <f t="shared" si="681"/>
        <v>1.5639719293123679</v>
      </c>
      <c r="BE236" s="173">
        <f t="shared" si="682"/>
        <v>5.5576366503808323</v>
      </c>
      <c r="BG236" s="528">
        <f t="shared" si="683"/>
        <v>4.8920163913541009E-2</v>
      </c>
      <c r="BH236" s="528">
        <f t="shared" si="634"/>
        <v>0.97468040624010843</v>
      </c>
      <c r="BI236" s="528">
        <f t="shared" si="635"/>
        <v>0.10981226076280722</v>
      </c>
      <c r="BJ236" s="528">
        <f t="shared" si="684"/>
        <v>5.2139583409443954E-2</v>
      </c>
      <c r="BK236">
        <f t="shared" si="685"/>
        <v>3.8138970651475534E-2</v>
      </c>
      <c r="BL236" s="460">
        <f t="shared" si="686"/>
        <v>147.95123141428274</v>
      </c>
      <c r="BM236" s="528">
        <f t="shared" si="636"/>
        <v>1.1017547682882167</v>
      </c>
      <c r="BN236" s="460">
        <f t="shared" si="687"/>
        <v>1101.7547682882168</v>
      </c>
      <c r="BO236" s="528">
        <f t="shared" si="637"/>
        <v>1.4</v>
      </c>
      <c r="BR236" s="460">
        <f t="shared" si="688"/>
        <v>1400</v>
      </c>
      <c r="BS236" s="528">
        <f t="shared" si="689"/>
        <v>7.3380245870311514E-2</v>
      </c>
      <c r="BT236" s="528">
        <f t="shared" si="690"/>
        <v>0.92661975412968822</v>
      </c>
      <c r="BU236" s="528">
        <f t="shared" si="691"/>
        <v>0.30574258280569822</v>
      </c>
      <c r="BV236" s="528"/>
      <c r="BW236" s="528">
        <f t="shared" si="692"/>
        <v>5.182679710455316E-3</v>
      </c>
      <c r="BX236" s="460">
        <f t="shared" si="693"/>
        <v>1310.9252625161532</v>
      </c>
      <c r="BY236" s="173">
        <f t="shared" si="694"/>
        <v>3.9346166474935296</v>
      </c>
      <c r="BZ236" s="5">
        <f t="shared" si="695"/>
        <v>30</v>
      </c>
      <c r="CA236" s="173">
        <f t="shared" si="696"/>
        <v>0.88405301028252092</v>
      </c>
      <c r="CB236" s="5">
        <f t="shared" si="697"/>
        <v>88.405301028252097</v>
      </c>
      <c r="CE236" s="562">
        <f t="shared" si="638"/>
        <v>-50</v>
      </c>
      <c r="CF236">
        <f t="shared" si="639"/>
        <v>-50</v>
      </c>
      <c r="CG236" s="173">
        <f t="shared" si="640"/>
        <v>0.4052982440952177</v>
      </c>
      <c r="CI236" s="170">
        <v>20</v>
      </c>
      <c r="CJ236" s="217">
        <f t="shared" si="698"/>
        <v>2</v>
      </c>
      <c r="CK236" s="217"/>
      <c r="CL236" s="217">
        <f t="shared" si="641"/>
        <v>30</v>
      </c>
      <c r="CM236" s="541">
        <f t="shared" si="642"/>
        <v>85</v>
      </c>
      <c r="CN236" s="443">
        <f t="shared" si="643"/>
        <v>15.4</v>
      </c>
      <c r="CO236" s="443">
        <f t="shared" si="644"/>
        <v>100.4</v>
      </c>
      <c r="CP236" s="443"/>
      <c r="CQ236" s="217">
        <f t="shared" si="645"/>
        <v>0.15338645418326693</v>
      </c>
      <c r="CR236" s="172">
        <f t="shared" si="646"/>
        <v>327.33148655378488</v>
      </c>
      <c r="CS236" s="172">
        <f t="shared" si="647"/>
        <v>30</v>
      </c>
      <c r="CT236" s="217">
        <f t="shared" si="648"/>
        <v>21.822099103585661</v>
      </c>
      <c r="CU236" s="217">
        <f t="shared" si="649"/>
        <v>15</v>
      </c>
      <c r="CV236" s="217"/>
      <c r="CW236" s="172">
        <f t="shared" si="650"/>
        <v>977.53476714515352</v>
      </c>
      <c r="CX236" s="172">
        <f t="shared" si="651"/>
        <v>15</v>
      </c>
      <c r="CY236" s="217">
        <f t="shared" si="652"/>
        <v>4.6019862490450727</v>
      </c>
      <c r="CZ236" s="217">
        <f t="shared" si="653"/>
        <v>0.64969217633577492</v>
      </c>
      <c r="DA236" s="217">
        <f t="shared" si="654"/>
        <v>3.5859633109442122</v>
      </c>
      <c r="DB236" s="197">
        <f t="shared" si="655"/>
        <v>108.64873837981409</v>
      </c>
      <c r="DC236" s="443">
        <f t="shared" si="656"/>
        <v>236.09096703050568</v>
      </c>
      <c r="DE236" s="217">
        <f t="shared" si="657"/>
        <v>10</v>
      </c>
      <c r="DF236" s="173">
        <f t="shared" si="658"/>
        <v>7.7922077922077913</v>
      </c>
      <c r="DG236" s="173">
        <f t="shared" si="659"/>
        <v>4.2330677290836656</v>
      </c>
      <c r="DH236" s="173"/>
      <c r="DI236" s="173">
        <f t="shared" si="660"/>
        <v>7.7922077922077913</v>
      </c>
      <c r="DJ236" s="545">
        <f t="shared" si="661"/>
        <v>51.333333333333336</v>
      </c>
      <c r="DK236" s="528">
        <f t="shared" si="662"/>
        <v>4.2330677290836656</v>
      </c>
      <c r="DM236" s="173">
        <f t="shared" si="663"/>
        <v>3.8297084310253524</v>
      </c>
      <c r="DN236" s="173">
        <f t="shared" si="664"/>
        <v>10</v>
      </c>
      <c r="DO236" s="173">
        <f t="shared" si="665"/>
        <v>1.0293333333333334</v>
      </c>
      <c r="DQ236" s="545">
        <f t="shared" si="666"/>
        <v>2000</v>
      </c>
      <c r="DR236" s="460">
        <f t="shared" si="667"/>
        <v>51.333333333333336</v>
      </c>
      <c r="DT236">
        <f t="shared" si="668"/>
        <v>2000</v>
      </c>
      <c r="DU236">
        <f t="shared" si="669"/>
        <v>51.333333333333336</v>
      </c>
      <c r="DW236" s="5">
        <f t="shared" si="670"/>
        <v>19.480519480519479</v>
      </c>
      <c r="DX236" s="5">
        <f t="shared" si="671"/>
        <v>1.4117647058823528</v>
      </c>
      <c r="DY236" s="5">
        <f t="shared" si="672"/>
        <v>18.068754774637128</v>
      </c>
      <c r="DZ236" s="5"/>
      <c r="EA236" s="173">
        <f t="shared" si="673"/>
        <v>7.247058823529412E-2</v>
      </c>
      <c r="EB236" s="173">
        <f t="shared" si="699"/>
        <v>30.800000000000004</v>
      </c>
      <c r="EC236" s="173">
        <f t="shared" si="700"/>
        <v>4.6376470588235295</v>
      </c>
      <c r="ED236" s="173">
        <f t="shared" si="701"/>
        <v>6.6412988330796559</v>
      </c>
      <c r="EE236" s="460">
        <f t="shared" si="674"/>
        <v>18.823529411764703</v>
      </c>
      <c r="EF236" s="5">
        <f t="shared" si="675"/>
        <v>1.7714465465330518</v>
      </c>
      <c r="EH236" s="173">
        <f t="shared" si="702"/>
        <v>1.5542478163117375</v>
      </c>
      <c r="EI236" s="173">
        <f t="shared" si="703"/>
        <v>5.5603639322281353</v>
      </c>
      <c r="EK236" s="528">
        <f t="shared" si="704"/>
        <v>4.8313725490196087E-2</v>
      </c>
      <c r="EL236" s="528">
        <f t="shared" si="705"/>
        <v>1.0307733333333335</v>
      </c>
      <c r="EM236" s="528">
        <f t="shared" si="706"/>
        <v>6.4166666666666669E-3</v>
      </c>
      <c r="EN236" s="528">
        <f t="shared" si="707"/>
        <v>5.1744821333333343E-2</v>
      </c>
      <c r="EO236">
        <f t="shared" si="708"/>
        <v>3.8249999999999999E-2</v>
      </c>
      <c r="EP236" s="460">
        <f t="shared" si="709"/>
        <v>44.666666666666664</v>
      </c>
      <c r="EQ236" s="460"/>
      <c r="ER236" s="460">
        <f t="shared" si="710"/>
        <v>1175.4985468235298</v>
      </c>
      <c r="ES236" s="528">
        <f t="shared" si="711"/>
        <v>1.4</v>
      </c>
      <c r="EV236" s="460">
        <f t="shared" si="712"/>
        <v>1400</v>
      </c>
      <c r="EW236" s="528">
        <f t="shared" si="713"/>
        <v>7.247058823529412E-2</v>
      </c>
      <c r="EX236" s="528">
        <f t="shared" si="714"/>
        <v>0.92752941176470582</v>
      </c>
      <c r="EY236" s="528">
        <f t="shared" si="715"/>
        <v>0.29851672586540179</v>
      </c>
      <c r="EZ236" s="528"/>
      <c r="FA236" s="528">
        <f t="shared" si="716"/>
        <v>5.1333333333333335E-3</v>
      </c>
      <c r="FB236" s="460">
        <f t="shared" si="717"/>
        <v>1303.6500591987353</v>
      </c>
      <c r="FC236" s="173">
        <f t="shared" si="718"/>
        <v>3.8791486060222646</v>
      </c>
      <c r="FD236" s="5">
        <f t="shared" si="719"/>
        <v>30</v>
      </c>
      <c r="FE236" s="173">
        <f t="shared" si="720"/>
        <v>0.88550041055834805</v>
      </c>
      <c r="FF236" s="5">
        <f t="shared" si="721"/>
        <v>88.550041055834811</v>
      </c>
      <c r="FI236" s="562">
        <f t="shared" si="676"/>
        <v>-50</v>
      </c>
      <c r="FJ236">
        <f t="shared" si="677"/>
        <v>-50</v>
      </c>
      <c r="FL236">
        <f t="shared" si="678"/>
        <v>0.4</v>
      </c>
    </row>
    <row r="237" spans="5:168">
      <c r="E237" s="170">
        <v>21</v>
      </c>
      <c r="F237" s="217">
        <f t="shared" si="679"/>
        <v>2.1</v>
      </c>
      <c r="G237" s="217"/>
      <c r="H237" s="217">
        <f t="shared" si="603"/>
        <v>31.5</v>
      </c>
      <c r="I237" s="541">
        <f t="shared" si="604"/>
        <v>84.753268114390082</v>
      </c>
      <c r="J237" s="172">
        <f t="shared" si="605"/>
        <v>15.548039131365949</v>
      </c>
      <c r="K237" s="172">
        <f t="shared" si="606"/>
        <v>100.30130724575604</v>
      </c>
      <c r="L237" s="443"/>
      <c r="M237" s="217">
        <f t="shared" si="607"/>
        <v>0.15502984391561525</v>
      </c>
      <c r="N237" s="172">
        <f t="shared" si="608"/>
        <v>329.8781973075603</v>
      </c>
      <c r="O237" s="172">
        <f t="shared" si="599"/>
        <v>31.5</v>
      </c>
      <c r="P237" s="217">
        <f t="shared" si="609"/>
        <v>21.991879820504021</v>
      </c>
      <c r="Q237" s="217">
        <f t="shared" si="610"/>
        <v>15</v>
      </c>
      <c r="R237" s="217"/>
      <c r="S237" s="172">
        <f t="shared" si="611"/>
        <v>924.25087333797103</v>
      </c>
      <c r="T237" s="172">
        <f t="shared" si="612"/>
        <v>15</v>
      </c>
      <c r="U237" s="217">
        <f t="shared" si="613"/>
        <v>4.9705897536818533</v>
      </c>
      <c r="V237" s="217">
        <f t="shared" si="614"/>
        <v>0.70377318032948977</v>
      </c>
      <c r="W237" s="217">
        <f t="shared" si="615"/>
        <v>3.8363086521857785</v>
      </c>
      <c r="X237" s="197">
        <f t="shared" si="616"/>
        <v>109.48238241177424</v>
      </c>
      <c r="Y237" s="443">
        <f t="shared" si="680"/>
        <v>210.9668219523885</v>
      </c>
      <c r="AA237" s="217">
        <f t="shared" si="617"/>
        <v>10</v>
      </c>
      <c r="AB237" s="173">
        <f t="shared" si="618"/>
        <v>7.7180150491078416</v>
      </c>
      <c r="AC237" s="173">
        <f t="shared" si="619"/>
        <v>4.2249333753312666</v>
      </c>
      <c r="AD237" s="173"/>
      <c r="AE237" s="173">
        <f t="shared" si="620"/>
        <v>7.7180150491078416</v>
      </c>
      <c r="AF237" s="545">
        <f t="shared" si="621"/>
        <v>54.418136959780817</v>
      </c>
      <c r="AG237" s="528">
        <f t="shared" si="622"/>
        <v>4.2249333753312666</v>
      </c>
      <c r="AI237" s="173">
        <f t="shared" si="623"/>
        <v>3.9431001929149541</v>
      </c>
      <c r="AJ237" s="173">
        <f t="shared" si="624"/>
        <v>10</v>
      </c>
      <c r="AK237" s="173">
        <f t="shared" si="625"/>
        <v>1.0310960782627319</v>
      </c>
      <c r="AM237" s="545">
        <f t="shared" si="626"/>
        <v>2100</v>
      </c>
      <c r="AN237" s="460">
        <f t="shared" si="627"/>
        <v>54.418136959780817</v>
      </c>
      <c r="AP237">
        <f t="shared" si="628"/>
        <v>2100</v>
      </c>
      <c r="AQ237">
        <f t="shared" si="629"/>
        <v>54.418136959780817</v>
      </c>
      <c r="AS237" s="5">
        <f t="shared" si="600"/>
        <v>18.376226307399623</v>
      </c>
      <c r="AT237" s="5">
        <f t="shared" si="630"/>
        <v>1.4158746048357451</v>
      </c>
      <c r="AU237" s="5">
        <f t="shared" si="722"/>
        <v>16.960351702563877</v>
      </c>
      <c r="AV237" s="5"/>
      <c r="AW237" s="173">
        <f t="shared" si="723"/>
        <v>7.7049258163827128E-2</v>
      </c>
      <c r="AX237" s="173">
        <f t="shared" si="631"/>
        <v>32.650882175868496</v>
      </c>
      <c r="AY237" s="173">
        <f t="shared" si="632"/>
        <v>4.6147537091808646</v>
      </c>
      <c r="AZ237" s="173">
        <f t="shared" si="633"/>
        <v>7.0753249758293482</v>
      </c>
      <c r="BA237" s="460">
        <f t="shared" si="594"/>
        <v>19.822244467700433</v>
      </c>
      <c r="BB237" s="5">
        <f t="shared" si="595"/>
        <v>1.7510012380541686</v>
      </c>
      <c r="BD237" s="173">
        <f t="shared" si="681"/>
        <v>1.6025943359006685</v>
      </c>
      <c r="BE237" s="173">
        <f t="shared" si="682"/>
        <v>5.5466228218504661</v>
      </c>
      <c r="BG237" s="528">
        <f t="shared" si="683"/>
        <v>5.1366172109218095E-2</v>
      </c>
      <c r="BH237" s="528">
        <f t="shared" si="634"/>
        <v>1.0234144265521139</v>
      </c>
      <c r="BI237" s="528">
        <f t="shared" si="635"/>
        <v>0.11530287380094759</v>
      </c>
      <c r="BJ237" s="528">
        <f t="shared" si="684"/>
        <v>5.4746562579916162E-2</v>
      </c>
      <c r="BK237">
        <f t="shared" si="685"/>
        <v>3.8138970651475534E-2</v>
      </c>
      <c r="BL237" s="460">
        <f t="shared" si="686"/>
        <v>153.44184445242311</v>
      </c>
      <c r="BM237" s="528">
        <f t="shared" si="636"/>
        <v>1.1575231374803083</v>
      </c>
      <c r="BN237" s="460">
        <f t="shared" si="687"/>
        <v>1157.5231374803084</v>
      </c>
      <c r="BO237" s="528">
        <f t="shared" si="637"/>
        <v>1.47</v>
      </c>
      <c r="BR237" s="460">
        <f t="shared" si="688"/>
        <v>1470</v>
      </c>
      <c r="BS237" s="528">
        <f t="shared" si="689"/>
        <v>7.7049258163827128E-2</v>
      </c>
      <c r="BT237" s="528">
        <f t="shared" si="690"/>
        <v>0.92295074183617276</v>
      </c>
      <c r="BU237" s="528">
        <f t="shared" si="691"/>
        <v>0.34540544353567165</v>
      </c>
      <c r="BV237" s="528"/>
      <c r="BW237" s="528">
        <f t="shared" si="692"/>
        <v>5.4418136959780818E-3</v>
      </c>
      <c r="BX237" s="460">
        <f t="shared" si="693"/>
        <v>1350.8472572316496</v>
      </c>
      <c r="BY237" s="173">
        <f t="shared" si="694"/>
        <v>4.1038162629253208</v>
      </c>
      <c r="BZ237" s="5">
        <f t="shared" si="695"/>
        <v>31.5</v>
      </c>
      <c r="CA237" s="173">
        <f t="shared" si="696"/>
        <v>0.88473661832710127</v>
      </c>
      <c r="CB237" s="5">
        <f t="shared" si="697"/>
        <v>88.473661832710121</v>
      </c>
      <c r="CE237" s="562">
        <f t="shared" si="638"/>
        <v>-50</v>
      </c>
      <c r="CF237">
        <f t="shared" si="639"/>
        <v>-50</v>
      </c>
      <c r="CG237" s="173">
        <f t="shared" si="640"/>
        <v>0.42556315629997865</v>
      </c>
      <c r="CI237" s="170">
        <v>21</v>
      </c>
      <c r="CJ237" s="217">
        <f t="shared" si="698"/>
        <v>2.1</v>
      </c>
      <c r="CK237" s="217"/>
      <c r="CL237" s="217">
        <f t="shared" si="641"/>
        <v>31.5</v>
      </c>
      <c r="CM237" s="541">
        <f t="shared" si="642"/>
        <v>85</v>
      </c>
      <c r="CN237" s="443">
        <f t="shared" si="643"/>
        <v>15.4</v>
      </c>
      <c r="CO237" s="443">
        <f t="shared" si="644"/>
        <v>100.4</v>
      </c>
      <c r="CP237" s="443"/>
      <c r="CQ237" s="217">
        <f t="shared" si="645"/>
        <v>0.15338645418326693</v>
      </c>
      <c r="CR237" s="172">
        <f t="shared" si="646"/>
        <v>327.33148655378488</v>
      </c>
      <c r="CS237" s="172">
        <f t="shared" si="647"/>
        <v>31.5</v>
      </c>
      <c r="CT237" s="217">
        <f t="shared" si="648"/>
        <v>21.822099103585661</v>
      </c>
      <c r="CU237" s="217">
        <f t="shared" si="649"/>
        <v>15</v>
      </c>
      <c r="CV237" s="217"/>
      <c r="CW237" s="172">
        <f t="shared" si="650"/>
        <v>926.94142585511725</v>
      </c>
      <c r="CX237" s="172">
        <f t="shared" si="651"/>
        <v>15</v>
      </c>
      <c r="CY237" s="217">
        <f t="shared" si="652"/>
        <v>4.8320855614973262</v>
      </c>
      <c r="CZ237" s="217">
        <f t="shared" si="653"/>
        <v>0.68217678515256375</v>
      </c>
      <c r="DA237" s="217">
        <f t="shared" si="654"/>
        <v>3.765261476491423</v>
      </c>
      <c r="DB237" s="197">
        <f t="shared" si="655"/>
        <v>108.64873837981409</v>
      </c>
      <c r="DC237" s="443">
        <f t="shared" si="656"/>
        <v>224.84854002905305</v>
      </c>
      <c r="DE237" s="217">
        <f t="shared" si="657"/>
        <v>10</v>
      </c>
      <c r="DF237" s="173">
        <f t="shared" si="658"/>
        <v>7.7922077922077913</v>
      </c>
      <c r="DG237" s="173">
        <f t="shared" si="659"/>
        <v>4.2330677290836656</v>
      </c>
      <c r="DH237" s="173"/>
      <c r="DI237" s="173">
        <f t="shared" si="660"/>
        <v>7.7922077922077913</v>
      </c>
      <c r="DJ237" s="545">
        <f t="shared" si="661"/>
        <v>53.900000000000006</v>
      </c>
      <c r="DK237" s="528">
        <f t="shared" si="662"/>
        <v>4.2330677290836656</v>
      </c>
      <c r="DM237" s="173">
        <f t="shared" si="663"/>
        <v>3.9242833740697169</v>
      </c>
      <c r="DN237" s="173">
        <f t="shared" si="664"/>
        <v>10</v>
      </c>
      <c r="DO237" s="173">
        <f t="shared" si="665"/>
        <v>1.0307999999999999</v>
      </c>
      <c r="DQ237" s="545">
        <f t="shared" si="666"/>
        <v>2100</v>
      </c>
      <c r="DR237" s="460">
        <f t="shared" si="667"/>
        <v>53.900000000000006</v>
      </c>
      <c r="DT237">
        <f t="shared" si="668"/>
        <v>2100</v>
      </c>
      <c r="DU237">
        <f t="shared" si="669"/>
        <v>53.900000000000006</v>
      </c>
      <c r="DW237" s="5">
        <f t="shared" si="670"/>
        <v>18.552875695732837</v>
      </c>
      <c r="DX237" s="5">
        <f t="shared" si="671"/>
        <v>1.4117647058823528</v>
      </c>
      <c r="DY237" s="5">
        <f t="shared" si="672"/>
        <v>17.141110989850485</v>
      </c>
      <c r="DZ237" s="5"/>
      <c r="EA237" s="173">
        <f t="shared" si="673"/>
        <v>7.6094117647058826E-2</v>
      </c>
      <c r="EB237" s="173">
        <f t="shared" si="699"/>
        <v>32.340000000000011</v>
      </c>
      <c r="EC237" s="173">
        <f t="shared" si="700"/>
        <v>4.6195294117647059</v>
      </c>
      <c r="ED237" s="173">
        <f t="shared" si="701"/>
        <v>7.000713085111804</v>
      </c>
      <c r="EE237" s="460">
        <f t="shared" si="674"/>
        <v>19.764705882352938</v>
      </c>
      <c r="EF237" s="5">
        <f t="shared" si="675"/>
        <v>1.7645261313081382</v>
      </c>
      <c r="EH237" s="173">
        <f t="shared" si="702"/>
        <v>1.5926300851846589</v>
      </c>
      <c r="EI237" s="173">
        <f t="shared" si="703"/>
        <v>5.5494921159596249</v>
      </c>
      <c r="EK237" s="528">
        <f t="shared" si="704"/>
        <v>5.0729411764705877E-2</v>
      </c>
      <c r="EL237" s="528">
        <f t="shared" si="705"/>
        <v>1.0823120000000002</v>
      </c>
      <c r="EM237" s="528">
        <f t="shared" si="706"/>
        <v>6.7375000000000004E-3</v>
      </c>
      <c r="EN237" s="528">
        <f t="shared" si="707"/>
        <v>5.433206240000002E-2</v>
      </c>
      <c r="EO237">
        <f t="shared" si="708"/>
        <v>3.8249999999999999E-2</v>
      </c>
      <c r="EP237" s="460">
        <f t="shared" si="709"/>
        <v>44.987499999999997</v>
      </c>
      <c r="EQ237" s="460"/>
      <c r="ER237" s="460">
        <f t="shared" si="710"/>
        <v>1232.360974164706</v>
      </c>
      <c r="ES237" s="528">
        <f t="shared" si="711"/>
        <v>1.47</v>
      </c>
      <c r="EV237" s="460">
        <f t="shared" si="712"/>
        <v>1470</v>
      </c>
      <c r="EW237" s="528">
        <f t="shared" si="713"/>
        <v>7.6094117647058812E-2</v>
      </c>
      <c r="EX237" s="528">
        <f t="shared" si="714"/>
        <v>0.92390588235294102</v>
      </c>
      <c r="EY237" s="528">
        <f t="shared" si="715"/>
        <v>0.33724220275159505</v>
      </c>
      <c r="EZ237" s="528"/>
      <c r="FA237" s="528">
        <f t="shared" si="716"/>
        <v>5.3900000000000007E-3</v>
      </c>
      <c r="FB237" s="460">
        <f t="shared" si="717"/>
        <v>1342.6322027515948</v>
      </c>
      <c r="FC237" s="173">
        <f t="shared" si="718"/>
        <v>4.044993176916301</v>
      </c>
      <c r="FD237" s="5">
        <f t="shared" si="719"/>
        <v>31.5</v>
      </c>
      <c r="FE237" s="173">
        <f t="shared" si="720"/>
        <v>0.88620076091213862</v>
      </c>
      <c r="FF237" s="5">
        <f t="shared" si="721"/>
        <v>88.620076091213861</v>
      </c>
      <c r="FI237" s="562">
        <f t="shared" si="676"/>
        <v>-50</v>
      </c>
      <c r="FJ237">
        <f t="shared" si="677"/>
        <v>-50</v>
      </c>
      <c r="FL237">
        <f t="shared" si="678"/>
        <v>0.42000000000000004</v>
      </c>
    </row>
    <row r="238" spans="5:168">
      <c r="E238" s="170">
        <v>22</v>
      </c>
      <c r="F238" s="217">
        <f t="shared" si="679"/>
        <v>2.2000000000000002</v>
      </c>
      <c r="G238" s="217"/>
      <c r="H238" s="217">
        <f t="shared" si="603"/>
        <v>33</v>
      </c>
      <c r="I238" s="541">
        <f t="shared" si="604"/>
        <v>84.753268114390082</v>
      </c>
      <c r="J238" s="172">
        <f t="shared" si="605"/>
        <v>15.548039131365949</v>
      </c>
      <c r="K238" s="172">
        <f t="shared" si="606"/>
        <v>100.30130724575604</v>
      </c>
      <c r="L238" s="443"/>
      <c r="M238" s="217">
        <f t="shared" si="607"/>
        <v>0.15502984391561525</v>
      </c>
      <c r="N238" s="172">
        <f t="shared" si="608"/>
        <v>329.8781973075603</v>
      </c>
      <c r="O238" s="172">
        <f t="shared" si="599"/>
        <v>33</v>
      </c>
      <c r="P238" s="217">
        <f t="shared" si="609"/>
        <v>21.991879820504021</v>
      </c>
      <c r="Q238" s="217">
        <f t="shared" si="610"/>
        <v>15</v>
      </c>
      <c r="R238" s="217"/>
      <c r="S238" s="172">
        <f t="shared" si="611"/>
        <v>878.390628596228</v>
      </c>
      <c r="T238" s="172">
        <f t="shared" si="612"/>
        <v>15</v>
      </c>
      <c r="U238" s="217">
        <f t="shared" si="613"/>
        <v>5.2072845038571796</v>
      </c>
      <c r="V238" s="217">
        <f t="shared" si="614"/>
        <v>0.73728618891660835</v>
      </c>
      <c r="W238" s="217">
        <f t="shared" si="615"/>
        <v>4.0189900165755779</v>
      </c>
      <c r="X238" s="197">
        <f t="shared" si="616"/>
        <v>109.48238241177424</v>
      </c>
      <c r="Y238" s="443">
        <f t="shared" si="680"/>
        <v>201.76438086559267</v>
      </c>
      <c r="AA238" s="217">
        <f t="shared" si="617"/>
        <v>10</v>
      </c>
      <c r="AB238" s="173">
        <f t="shared" si="618"/>
        <v>7.7180150491078416</v>
      </c>
      <c r="AC238" s="173">
        <f t="shared" si="619"/>
        <v>4.2249333753312666</v>
      </c>
      <c r="AD238" s="173"/>
      <c r="AE238" s="173">
        <f t="shared" si="620"/>
        <v>7.7180150491078416</v>
      </c>
      <c r="AF238" s="545">
        <f t="shared" si="621"/>
        <v>57.009476815008476</v>
      </c>
      <c r="AG238" s="528">
        <f t="shared" si="622"/>
        <v>4.2249333753312666</v>
      </c>
      <c r="AI238" s="173">
        <f t="shared" si="623"/>
        <v>4.0358917164791821</v>
      </c>
      <c r="AJ238" s="173">
        <f t="shared" si="624"/>
        <v>10</v>
      </c>
      <c r="AK238" s="173">
        <f t="shared" si="625"/>
        <v>1.0325768438942906</v>
      </c>
      <c r="AM238" s="545">
        <f t="shared" si="626"/>
        <v>2200</v>
      </c>
      <c r="AN238" s="460">
        <f t="shared" si="627"/>
        <v>57.009476815008476</v>
      </c>
      <c r="AP238">
        <f t="shared" si="628"/>
        <v>2200</v>
      </c>
      <c r="AQ238">
        <f t="shared" si="629"/>
        <v>57.009476815008476</v>
      </c>
      <c r="AS238" s="5">
        <f t="shared" si="600"/>
        <v>17.54094329342691</v>
      </c>
      <c r="AT238" s="5">
        <f t="shared" si="630"/>
        <v>1.4158746048357451</v>
      </c>
      <c r="AU238" s="5">
        <f t="shared" si="722"/>
        <v>16.125068688591163</v>
      </c>
      <c r="AV238" s="5"/>
      <c r="AW238" s="173">
        <f t="shared" si="723"/>
        <v>8.0718270457342714E-2</v>
      </c>
      <c r="AX238" s="173">
        <f t="shared" si="631"/>
        <v>34.205686089005084</v>
      </c>
      <c r="AY238" s="173">
        <f t="shared" si="632"/>
        <v>4.5964086477132868</v>
      </c>
      <c r="AZ238" s="173">
        <f t="shared" si="633"/>
        <v>7.441828764729701</v>
      </c>
      <c r="BA238" s="460">
        <f t="shared" si="594"/>
        <v>20.766160870924267</v>
      </c>
      <c r="BB238" s="5">
        <f t="shared" si="595"/>
        <v>1.7440404710520196</v>
      </c>
      <c r="BD238" s="173">
        <f t="shared" si="681"/>
        <v>1.640307597752555</v>
      </c>
      <c r="BE238" s="173">
        <f t="shared" si="682"/>
        <v>5.5355870798036024</v>
      </c>
      <c r="BG238" s="528">
        <f t="shared" si="683"/>
        <v>5.3812180304895152E-2</v>
      </c>
      <c r="BH238" s="528">
        <f t="shared" si="634"/>
        <v>1.0721484468641196</v>
      </c>
      <c r="BI238" s="528">
        <f t="shared" si="635"/>
        <v>0.12079348683908796</v>
      </c>
      <c r="BJ238" s="528">
        <f t="shared" si="684"/>
        <v>5.7353541750388363E-2</v>
      </c>
      <c r="BK238">
        <f t="shared" si="685"/>
        <v>3.8138970651475534E-2</v>
      </c>
      <c r="BL238" s="460">
        <f t="shared" si="686"/>
        <v>158.93245749056351</v>
      </c>
      <c r="BM238" s="528">
        <f t="shared" si="636"/>
        <v>1.2133571681844835</v>
      </c>
      <c r="BN238" s="460">
        <f t="shared" si="687"/>
        <v>1213.3571681844835</v>
      </c>
      <c r="BO238" s="528">
        <f t="shared" si="637"/>
        <v>1.54</v>
      </c>
      <c r="BR238" s="460">
        <f t="shared" si="688"/>
        <v>1540</v>
      </c>
      <c r="BS238" s="528">
        <f t="shared" si="689"/>
        <v>8.0718270457342728E-2</v>
      </c>
      <c r="BT238" s="528">
        <f t="shared" si="690"/>
        <v>0.91928172954265719</v>
      </c>
      <c r="BU238" s="528">
        <f t="shared" si="691"/>
        <v>0.38800528659190409</v>
      </c>
      <c r="BV238" s="528"/>
      <c r="BW238" s="528">
        <f t="shared" si="692"/>
        <v>5.7009476815008484E-3</v>
      </c>
      <c r="BX238" s="460">
        <f t="shared" si="693"/>
        <v>1393.7062342734048</v>
      </c>
      <c r="BY238" s="173">
        <f t="shared" si="694"/>
        <v>4.275952860683371</v>
      </c>
      <c r="BZ238" s="5">
        <f t="shared" si="695"/>
        <v>33</v>
      </c>
      <c r="CA238" s="173">
        <f t="shared" si="696"/>
        <v>0.88528924058187097</v>
      </c>
      <c r="CB238" s="5">
        <f t="shared" si="697"/>
        <v>88.528924058187101</v>
      </c>
      <c r="CE238" s="562">
        <f t="shared" si="638"/>
        <v>-50</v>
      </c>
      <c r="CF238">
        <f t="shared" si="639"/>
        <v>-50</v>
      </c>
      <c r="CG238" s="173">
        <f t="shared" si="640"/>
        <v>0.44582806850473949</v>
      </c>
      <c r="CI238" s="170">
        <v>22</v>
      </c>
      <c r="CJ238" s="217">
        <f t="shared" si="698"/>
        <v>2.2000000000000002</v>
      </c>
      <c r="CK238" s="217"/>
      <c r="CL238" s="217">
        <f t="shared" si="641"/>
        <v>33</v>
      </c>
      <c r="CM238" s="541">
        <f t="shared" si="642"/>
        <v>85</v>
      </c>
      <c r="CN238" s="443">
        <f t="shared" si="643"/>
        <v>15.4</v>
      </c>
      <c r="CO238" s="443">
        <f t="shared" si="644"/>
        <v>100.4</v>
      </c>
      <c r="CP238" s="443"/>
      <c r="CQ238" s="217">
        <f t="shared" si="645"/>
        <v>0.15338645418326693</v>
      </c>
      <c r="CR238" s="172">
        <f t="shared" si="646"/>
        <v>327.33148655378488</v>
      </c>
      <c r="CS238" s="172">
        <f t="shared" si="647"/>
        <v>33</v>
      </c>
      <c r="CT238" s="217">
        <f t="shared" si="648"/>
        <v>21.822099103585661</v>
      </c>
      <c r="CU238" s="217">
        <f t="shared" si="649"/>
        <v>15</v>
      </c>
      <c r="CV238" s="217"/>
      <c r="CW238" s="172">
        <f t="shared" si="650"/>
        <v>880.94766819388656</v>
      </c>
      <c r="CX238" s="172">
        <f t="shared" si="651"/>
        <v>15</v>
      </c>
      <c r="CY238" s="217">
        <f t="shared" si="652"/>
        <v>5.0621848739495796</v>
      </c>
      <c r="CZ238" s="217">
        <f t="shared" si="653"/>
        <v>0.71466139396935235</v>
      </c>
      <c r="DA238" s="217">
        <f t="shared" si="654"/>
        <v>3.9445596420386333</v>
      </c>
      <c r="DB238" s="197">
        <f t="shared" si="655"/>
        <v>108.64873837981409</v>
      </c>
      <c r="DC238" s="443">
        <f t="shared" si="656"/>
        <v>214.62815184591429</v>
      </c>
      <c r="DE238" s="217">
        <f t="shared" si="657"/>
        <v>10</v>
      </c>
      <c r="DF238" s="173">
        <f t="shared" si="658"/>
        <v>7.7922077922077913</v>
      </c>
      <c r="DG238" s="173">
        <f t="shared" si="659"/>
        <v>4.2330677290836656</v>
      </c>
      <c r="DH238" s="173"/>
      <c r="DI238" s="173">
        <f t="shared" si="660"/>
        <v>7.7922077922077913</v>
      </c>
      <c r="DJ238" s="545">
        <f t="shared" si="661"/>
        <v>56.466666666666669</v>
      </c>
      <c r="DK238" s="528">
        <f t="shared" si="662"/>
        <v>4.2330677290836656</v>
      </c>
      <c r="DM238" s="173">
        <f t="shared" si="663"/>
        <v>4.0166320883712183</v>
      </c>
      <c r="DN238" s="173">
        <f t="shared" si="664"/>
        <v>10</v>
      </c>
      <c r="DO238" s="173">
        <f t="shared" si="665"/>
        <v>1.0322666666666667</v>
      </c>
      <c r="DQ238" s="545">
        <f t="shared" si="666"/>
        <v>2200</v>
      </c>
      <c r="DR238" s="460">
        <f t="shared" si="667"/>
        <v>56.466666666666669</v>
      </c>
      <c r="DT238">
        <f t="shared" si="668"/>
        <v>2200</v>
      </c>
      <c r="DU238">
        <f t="shared" si="669"/>
        <v>56.466666666666669</v>
      </c>
      <c r="DW238" s="5">
        <f t="shared" si="670"/>
        <v>17.709563164108616</v>
      </c>
      <c r="DX238" s="5">
        <f t="shared" si="671"/>
        <v>1.4117647058823528</v>
      </c>
      <c r="DY238" s="5">
        <f t="shared" si="672"/>
        <v>16.297798458226264</v>
      </c>
      <c r="DZ238" s="5"/>
      <c r="EA238" s="173">
        <f t="shared" si="673"/>
        <v>7.9717647058823532E-2</v>
      </c>
      <c r="EB238" s="173">
        <f t="shared" si="699"/>
        <v>33.88000000000001</v>
      </c>
      <c r="EC238" s="173">
        <f t="shared" si="700"/>
        <v>4.6014117647058823</v>
      </c>
      <c r="ED238" s="173">
        <f t="shared" si="701"/>
        <v>7.3629576600531825</v>
      </c>
      <c r="EE238" s="460">
        <f t="shared" si="674"/>
        <v>20.705882352941178</v>
      </c>
      <c r="EF238" s="5">
        <f t="shared" si="675"/>
        <v>1.7576057160832246</v>
      </c>
      <c r="EH238" s="173">
        <f t="shared" si="702"/>
        <v>1.6301088619968864</v>
      </c>
      <c r="EI238" s="173">
        <f t="shared" si="703"/>
        <v>5.5385989592470537</v>
      </c>
      <c r="EK238" s="528">
        <f t="shared" si="704"/>
        <v>5.3145098039215688E-2</v>
      </c>
      <c r="EL238" s="528">
        <f t="shared" si="705"/>
        <v>1.1338506666666668</v>
      </c>
      <c r="EM238" s="528">
        <f t="shared" si="706"/>
        <v>7.0583333333333331E-3</v>
      </c>
      <c r="EN238" s="528">
        <f t="shared" si="707"/>
        <v>5.6919303466666675E-2</v>
      </c>
      <c r="EO238">
        <f t="shared" si="708"/>
        <v>3.8249999999999999E-2</v>
      </c>
      <c r="EP238" s="460">
        <f t="shared" si="709"/>
        <v>45.30833333333333</v>
      </c>
      <c r="EQ238" s="460"/>
      <c r="ER238" s="460">
        <f t="shared" si="710"/>
        <v>1289.2234015058823</v>
      </c>
      <c r="ES238" s="528">
        <f t="shared" si="711"/>
        <v>1.54</v>
      </c>
      <c r="EV238" s="460">
        <f t="shared" si="712"/>
        <v>1540</v>
      </c>
      <c r="EW238" s="528">
        <f t="shared" si="713"/>
        <v>7.9717647058823532E-2</v>
      </c>
      <c r="EX238" s="528">
        <f t="shared" si="714"/>
        <v>0.92028235294117633</v>
      </c>
      <c r="EY238" s="528">
        <f t="shared" si="715"/>
        <v>0.37883524993144391</v>
      </c>
      <c r="EZ238" s="528"/>
      <c r="FA238" s="528">
        <f t="shared" si="716"/>
        <v>5.646666666666667E-3</v>
      </c>
      <c r="FB238" s="460">
        <f t="shared" si="717"/>
        <v>1384.4819165981103</v>
      </c>
      <c r="FC238" s="173">
        <f t="shared" si="718"/>
        <v>4.213705318103993</v>
      </c>
      <c r="FD238" s="5">
        <f t="shared" si="719"/>
        <v>33</v>
      </c>
      <c r="FE238" s="173">
        <f t="shared" si="720"/>
        <v>0.88677006812180892</v>
      </c>
      <c r="FF238" s="5">
        <f t="shared" si="721"/>
        <v>88.677006812180892</v>
      </c>
      <c r="FI238" s="562">
        <f t="shared" si="676"/>
        <v>-50</v>
      </c>
      <c r="FJ238">
        <f t="shared" si="677"/>
        <v>-50</v>
      </c>
      <c r="FL238">
        <f t="shared" si="678"/>
        <v>0.44000000000000006</v>
      </c>
    </row>
    <row r="239" spans="5:168">
      <c r="E239" s="170">
        <v>23</v>
      </c>
      <c r="F239" s="217">
        <f t="shared" si="679"/>
        <v>2.3000000000000003</v>
      </c>
      <c r="G239" s="217"/>
      <c r="H239" s="217">
        <f t="shared" si="603"/>
        <v>34.500000000000007</v>
      </c>
      <c r="I239" s="541">
        <f t="shared" si="604"/>
        <v>84.753268114390082</v>
      </c>
      <c r="J239" s="172">
        <f t="shared" si="605"/>
        <v>15.548039131365949</v>
      </c>
      <c r="K239" s="172">
        <f t="shared" si="606"/>
        <v>100.30130724575604</v>
      </c>
      <c r="L239" s="443"/>
      <c r="M239" s="217">
        <f t="shared" si="607"/>
        <v>0.15502984391561525</v>
      </c>
      <c r="N239" s="172">
        <f t="shared" si="608"/>
        <v>329.8781973075603</v>
      </c>
      <c r="O239" s="172">
        <f t="shared" si="599"/>
        <v>34.500000000000007</v>
      </c>
      <c r="P239" s="217">
        <f t="shared" si="609"/>
        <v>21.991879820504021</v>
      </c>
      <c r="Q239" s="217">
        <f t="shared" si="610"/>
        <v>15</v>
      </c>
      <c r="R239" s="217"/>
      <c r="S239" s="172">
        <f t="shared" si="611"/>
        <v>836.51841434436608</v>
      </c>
      <c r="T239" s="172">
        <f t="shared" si="612"/>
        <v>15</v>
      </c>
      <c r="U239" s="217">
        <f t="shared" si="613"/>
        <v>5.4439792540325076</v>
      </c>
      <c r="V239" s="217">
        <f t="shared" si="614"/>
        <v>0.77079919750372716</v>
      </c>
      <c r="W239" s="217">
        <f t="shared" si="615"/>
        <v>4.2016713809653776</v>
      </c>
      <c r="X239" s="197">
        <f t="shared" si="616"/>
        <v>109.48238241177424</v>
      </c>
      <c r="Y239" s="443">
        <f t="shared" si="680"/>
        <v>193.33121084585653</v>
      </c>
      <c r="AA239" s="217">
        <f t="shared" si="617"/>
        <v>10</v>
      </c>
      <c r="AB239" s="173">
        <f t="shared" si="618"/>
        <v>7.7180150491078416</v>
      </c>
      <c r="AC239" s="173">
        <f t="shared" si="619"/>
        <v>4.2249333753312666</v>
      </c>
      <c r="AD239" s="173"/>
      <c r="AE239" s="173">
        <f t="shared" si="620"/>
        <v>7.7180150491078416</v>
      </c>
      <c r="AF239" s="545">
        <f t="shared" si="621"/>
        <v>59.600816670236135</v>
      </c>
      <c r="AG239" s="528">
        <f t="shared" si="622"/>
        <v>4.2249333753312666</v>
      </c>
      <c r="AI239" s="173">
        <f t="shared" si="623"/>
        <v>4.1265972377886131</v>
      </c>
      <c r="AJ239" s="173">
        <f t="shared" si="624"/>
        <v>10</v>
      </c>
      <c r="AK239" s="173">
        <f t="shared" si="625"/>
        <v>1.0340576095258491</v>
      </c>
      <c r="AM239" s="545">
        <f t="shared" si="626"/>
        <v>2300.0000000000005</v>
      </c>
      <c r="AN239" s="460">
        <f t="shared" si="627"/>
        <v>59.600816670236135</v>
      </c>
      <c r="AP239">
        <f t="shared" si="628"/>
        <v>2300.0000000000005</v>
      </c>
      <c r="AQ239">
        <f t="shared" si="629"/>
        <v>59.600816670236135</v>
      </c>
      <c r="AS239" s="5">
        <f t="shared" si="600"/>
        <v>16.77829358501705</v>
      </c>
      <c r="AT239" s="5">
        <f t="shared" si="630"/>
        <v>1.4158746048357451</v>
      </c>
      <c r="AU239" s="5">
        <f t="shared" si="722"/>
        <v>15.362418980181305</v>
      </c>
      <c r="AV239" s="5"/>
      <c r="AW239" s="173">
        <f t="shared" si="723"/>
        <v>8.4387282750858258E-2</v>
      </c>
      <c r="AX239" s="173">
        <f t="shared" si="631"/>
        <v>35.76049000214168</v>
      </c>
      <c r="AY239" s="173">
        <f t="shared" si="632"/>
        <v>4.5780635862457082</v>
      </c>
      <c r="AZ239" s="173">
        <f t="shared" si="633"/>
        <v>7.8112698367886733</v>
      </c>
      <c r="BA239" s="460">
        <f t="shared" si="594"/>
        <v>21.710077274148095</v>
      </c>
      <c r="BB239" s="5">
        <f t="shared" si="595"/>
        <v>1.7370797040498722</v>
      </c>
      <c r="BD239" s="173">
        <f t="shared" si="681"/>
        <v>1.677173045642163</v>
      </c>
      <c r="BE239" s="173">
        <f t="shared" si="682"/>
        <v>5.5245292929176077</v>
      </c>
      <c r="BG239" s="528">
        <f t="shared" si="683"/>
        <v>5.6258188500572175E-2</v>
      </c>
      <c r="BH239" s="528">
        <f t="shared" si="634"/>
        <v>1.1208824671761248</v>
      </c>
      <c r="BI239" s="528">
        <f t="shared" si="635"/>
        <v>0.1262840998772283</v>
      </c>
      <c r="BJ239" s="528">
        <f t="shared" si="684"/>
        <v>5.9960520920860558E-2</v>
      </c>
      <c r="BK239">
        <f t="shared" si="685"/>
        <v>3.8138970651475534E-2</v>
      </c>
      <c r="BL239" s="460">
        <f t="shared" si="686"/>
        <v>164.42307052870385</v>
      </c>
      <c r="BM239" s="528">
        <f t="shared" si="636"/>
        <v>1.2692569764335535</v>
      </c>
      <c r="BN239" s="460">
        <f t="shared" si="687"/>
        <v>1269.2569764335535</v>
      </c>
      <c r="BO239" s="528">
        <f t="shared" si="637"/>
        <v>1.61</v>
      </c>
      <c r="BR239" s="460">
        <f t="shared" si="688"/>
        <v>1610</v>
      </c>
      <c r="BS239" s="528">
        <f t="shared" si="689"/>
        <v>8.4387282750858258E-2</v>
      </c>
      <c r="BT239" s="528">
        <f t="shared" si="690"/>
        <v>0.91561271724914162</v>
      </c>
      <c r="BU239" s="528">
        <f t="shared" si="691"/>
        <v>0.43361123952117253</v>
      </c>
      <c r="BV239" s="528"/>
      <c r="BW239" s="528">
        <f t="shared" si="692"/>
        <v>5.9600816670236142E-3</v>
      </c>
      <c r="BX239" s="460">
        <f t="shared" si="693"/>
        <v>1439.571321188196</v>
      </c>
      <c r="BY239" s="173">
        <f t="shared" si="694"/>
        <v>4.4510955683144573</v>
      </c>
      <c r="BZ239" s="5">
        <f t="shared" si="695"/>
        <v>34.500000000000007</v>
      </c>
      <c r="CA239" s="173">
        <f t="shared" si="696"/>
        <v>0.88572604946354094</v>
      </c>
      <c r="CB239" s="5">
        <f t="shared" si="697"/>
        <v>88.57260494635409</v>
      </c>
      <c r="CE239" s="562">
        <f t="shared" si="638"/>
        <v>-50</v>
      </c>
      <c r="CF239">
        <f t="shared" si="639"/>
        <v>-50</v>
      </c>
      <c r="CG239" s="173">
        <f t="shared" si="640"/>
        <v>0.46609298070950039</v>
      </c>
      <c r="CI239" s="170">
        <v>23</v>
      </c>
      <c r="CJ239" s="217">
        <f t="shared" si="698"/>
        <v>2.3000000000000003</v>
      </c>
      <c r="CK239" s="217"/>
      <c r="CL239" s="217">
        <f t="shared" si="641"/>
        <v>34.500000000000007</v>
      </c>
      <c r="CM239" s="541">
        <f t="shared" si="642"/>
        <v>85</v>
      </c>
      <c r="CN239" s="443">
        <f t="shared" si="643"/>
        <v>15.4</v>
      </c>
      <c r="CO239" s="443">
        <f t="shared" si="644"/>
        <v>100.4</v>
      </c>
      <c r="CP239" s="443"/>
      <c r="CQ239" s="217">
        <f t="shared" si="645"/>
        <v>0.15338645418326693</v>
      </c>
      <c r="CR239" s="172">
        <f t="shared" si="646"/>
        <v>327.33148655378488</v>
      </c>
      <c r="CS239" s="172">
        <f t="shared" si="647"/>
        <v>34.500000000000007</v>
      </c>
      <c r="CT239" s="217">
        <f t="shared" si="648"/>
        <v>21.822099103585661</v>
      </c>
      <c r="CU239" s="217">
        <f t="shared" si="649"/>
        <v>15</v>
      </c>
      <c r="CV239" s="217"/>
      <c r="CW239" s="172">
        <f t="shared" si="650"/>
        <v>838.95355084248865</v>
      </c>
      <c r="CX239" s="172">
        <f t="shared" si="651"/>
        <v>15</v>
      </c>
      <c r="CY239" s="217">
        <f t="shared" si="652"/>
        <v>5.292284186401834</v>
      </c>
      <c r="CZ239" s="217">
        <f t="shared" si="653"/>
        <v>0.74714600278614141</v>
      </c>
      <c r="DA239" s="217">
        <f t="shared" si="654"/>
        <v>4.1238578075858445</v>
      </c>
      <c r="DB239" s="197">
        <f t="shared" si="655"/>
        <v>108.64873837981409</v>
      </c>
      <c r="DC239" s="443">
        <f t="shared" si="656"/>
        <v>205.29649307000491</v>
      </c>
      <c r="DE239" s="217">
        <f t="shared" si="657"/>
        <v>10</v>
      </c>
      <c r="DF239" s="173">
        <f t="shared" si="658"/>
        <v>7.7922077922077913</v>
      </c>
      <c r="DG239" s="173">
        <f t="shared" si="659"/>
        <v>4.2330677290836656</v>
      </c>
      <c r="DH239" s="173"/>
      <c r="DI239" s="173">
        <f t="shared" si="660"/>
        <v>7.7922077922077913</v>
      </c>
      <c r="DJ239" s="545">
        <f t="shared" si="661"/>
        <v>59.033333333333346</v>
      </c>
      <c r="DK239" s="528">
        <f t="shared" si="662"/>
        <v>4.2330677290836656</v>
      </c>
      <c r="DM239" s="173">
        <f t="shared" si="663"/>
        <v>4.1069047550030513</v>
      </c>
      <c r="DN239" s="173">
        <f t="shared" si="664"/>
        <v>10</v>
      </c>
      <c r="DO239" s="173">
        <f t="shared" si="665"/>
        <v>1.0337333333333334</v>
      </c>
      <c r="DQ239" s="545">
        <f t="shared" si="666"/>
        <v>2300.0000000000005</v>
      </c>
      <c r="DR239" s="460">
        <f t="shared" si="667"/>
        <v>59.033333333333346</v>
      </c>
      <c r="DT239">
        <f t="shared" si="668"/>
        <v>2300.0000000000005</v>
      </c>
      <c r="DU239">
        <f t="shared" si="669"/>
        <v>59.033333333333346</v>
      </c>
      <c r="DW239" s="5">
        <f t="shared" si="670"/>
        <v>16.939582156973458</v>
      </c>
      <c r="DX239" s="5">
        <f t="shared" si="671"/>
        <v>1.4117647058823528</v>
      </c>
      <c r="DY239" s="5">
        <f t="shared" si="672"/>
        <v>15.527817451091105</v>
      </c>
      <c r="DZ239" s="5"/>
      <c r="EA239" s="173">
        <f t="shared" si="673"/>
        <v>8.3341176470588238E-2</v>
      </c>
      <c r="EB239" s="173">
        <f t="shared" si="699"/>
        <v>35.420000000000016</v>
      </c>
      <c r="EC239" s="173">
        <f t="shared" si="700"/>
        <v>4.5832941176470587</v>
      </c>
      <c r="ED239" s="173">
        <f t="shared" si="701"/>
        <v>7.7280661224908913</v>
      </c>
      <c r="EE239" s="460">
        <f t="shared" si="674"/>
        <v>21.647058823529413</v>
      </c>
      <c r="EF239" s="5">
        <f t="shared" si="675"/>
        <v>1.750685300858311</v>
      </c>
      <c r="EH239" s="173">
        <f t="shared" si="702"/>
        <v>1.6667450961938584</v>
      </c>
      <c r="EI239" s="173">
        <f t="shared" si="703"/>
        <v>5.5276843359264882</v>
      </c>
      <c r="EK239" s="528">
        <f t="shared" si="704"/>
        <v>5.5560784313725485E-2</v>
      </c>
      <c r="EL239" s="528">
        <f t="shared" si="705"/>
        <v>1.1853893333333336</v>
      </c>
      <c r="EM239" s="528">
        <f t="shared" si="706"/>
        <v>7.3791666666666676E-3</v>
      </c>
      <c r="EN239" s="528">
        <f t="shared" si="707"/>
        <v>5.9506544533333358E-2</v>
      </c>
      <c r="EO239">
        <f t="shared" si="708"/>
        <v>3.8249999999999999E-2</v>
      </c>
      <c r="EP239" s="460">
        <f t="shared" si="709"/>
        <v>45.629166666666663</v>
      </c>
      <c r="EQ239" s="460"/>
      <c r="ER239" s="460">
        <f t="shared" si="710"/>
        <v>1346.0858288470592</v>
      </c>
      <c r="ES239" s="528">
        <f t="shared" si="711"/>
        <v>1.61</v>
      </c>
      <c r="EV239" s="460">
        <f t="shared" si="712"/>
        <v>1610</v>
      </c>
      <c r="EW239" s="528">
        <f t="shared" si="713"/>
        <v>8.3341176470588224E-2</v>
      </c>
      <c r="EX239" s="528">
        <f t="shared" si="714"/>
        <v>0.91665882352941186</v>
      </c>
      <c r="EY239" s="528">
        <f t="shared" si="715"/>
        <v>0.42336336120559115</v>
      </c>
      <c r="EZ239" s="528"/>
      <c r="FA239" s="528">
        <f t="shared" si="716"/>
        <v>5.9033333333333351E-3</v>
      </c>
      <c r="FB239" s="460">
        <f t="shared" si="717"/>
        <v>1429.2666945389244</v>
      </c>
      <c r="FC239" s="173">
        <f t="shared" si="718"/>
        <v>4.3853525233859836</v>
      </c>
      <c r="FD239" s="5">
        <f t="shared" si="719"/>
        <v>34.500000000000007</v>
      </c>
      <c r="FE239" s="173">
        <f t="shared" si="720"/>
        <v>0.88722353691538236</v>
      </c>
      <c r="FF239" s="5">
        <f t="shared" si="721"/>
        <v>88.722353691538231</v>
      </c>
      <c r="FI239" s="562">
        <f t="shared" si="676"/>
        <v>-50</v>
      </c>
      <c r="FJ239">
        <f t="shared" si="677"/>
        <v>-50</v>
      </c>
      <c r="FL239">
        <f t="shared" si="678"/>
        <v>0.46000000000000008</v>
      </c>
    </row>
    <row r="240" spans="5:168">
      <c r="E240" s="170">
        <v>24</v>
      </c>
      <c r="F240" s="217">
        <f t="shared" si="679"/>
        <v>2.4</v>
      </c>
      <c r="G240" s="217"/>
      <c r="H240" s="217">
        <f t="shared" si="603"/>
        <v>36</v>
      </c>
      <c r="I240" s="541">
        <f t="shared" si="604"/>
        <v>84.753268114390082</v>
      </c>
      <c r="J240" s="172">
        <f t="shared" si="605"/>
        <v>15.548039131365949</v>
      </c>
      <c r="K240" s="172">
        <f t="shared" si="606"/>
        <v>100.30130724575604</v>
      </c>
      <c r="L240" s="443"/>
      <c r="M240" s="217">
        <f t="shared" si="607"/>
        <v>0.15502984391561525</v>
      </c>
      <c r="N240" s="172">
        <f t="shared" si="608"/>
        <v>329.8781973075603</v>
      </c>
      <c r="O240" s="172">
        <f t="shared" si="599"/>
        <v>36</v>
      </c>
      <c r="P240" s="217">
        <f t="shared" si="609"/>
        <v>21.991879820504021</v>
      </c>
      <c r="Q240" s="217">
        <f t="shared" si="610"/>
        <v>15</v>
      </c>
      <c r="R240" s="217"/>
      <c r="S240" s="172">
        <f t="shared" si="611"/>
        <v>798.13572908371611</v>
      </c>
      <c r="T240" s="172">
        <f t="shared" si="612"/>
        <v>15</v>
      </c>
      <c r="U240" s="217">
        <f t="shared" si="613"/>
        <v>5.6806740042078321</v>
      </c>
      <c r="V240" s="217">
        <f t="shared" si="614"/>
        <v>0.80431220609084531</v>
      </c>
      <c r="W240" s="217">
        <f t="shared" si="615"/>
        <v>4.3843527453551747</v>
      </c>
      <c r="X240" s="197">
        <f t="shared" si="616"/>
        <v>109.48238241177424</v>
      </c>
      <c r="Y240" s="443">
        <f t="shared" si="680"/>
        <v>185.57472194140689</v>
      </c>
      <c r="AA240" s="217">
        <f t="shared" si="617"/>
        <v>10</v>
      </c>
      <c r="AB240" s="173">
        <f t="shared" si="618"/>
        <v>7.7180150491078416</v>
      </c>
      <c r="AC240" s="173">
        <f t="shared" si="619"/>
        <v>4.2249333753312666</v>
      </c>
      <c r="AD240" s="173"/>
      <c r="AE240" s="173">
        <f t="shared" si="620"/>
        <v>7.7180150491078416</v>
      </c>
      <c r="AF240" s="545">
        <f t="shared" si="621"/>
        <v>62.19215652546378</v>
      </c>
      <c r="AG240" s="528">
        <f t="shared" si="622"/>
        <v>4.2249333753312666</v>
      </c>
      <c r="AI240" s="173">
        <f t="shared" si="623"/>
        <v>4.2153514181742828</v>
      </c>
      <c r="AJ240" s="173">
        <f t="shared" si="624"/>
        <v>10</v>
      </c>
      <c r="AK240" s="173">
        <f t="shared" si="625"/>
        <v>1.0355383751574079</v>
      </c>
      <c r="AM240" s="545">
        <f t="shared" si="626"/>
        <v>2400</v>
      </c>
      <c r="AN240" s="460">
        <f t="shared" si="627"/>
        <v>62.19215652546378</v>
      </c>
      <c r="AP240">
        <f t="shared" si="628"/>
        <v>2400</v>
      </c>
      <c r="AQ240">
        <f t="shared" si="629"/>
        <v>62.19215652546378</v>
      </c>
      <c r="AS240" s="5">
        <f t="shared" si="600"/>
        <v>16.079198018974672</v>
      </c>
      <c r="AT240" s="5">
        <f t="shared" si="630"/>
        <v>1.4158746048357451</v>
      </c>
      <c r="AU240" s="5">
        <f t="shared" si="722"/>
        <v>14.663323414138928</v>
      </c>
      <c r="AV240" s="5"/>
      <c r="AW240" s="173">
        <f t="shared" si="723"/>
        <v>8.8056295044373845E-2</v>
      </c>
      <c r="AX240" s="173">
        <f t="shared" si="631"/>
        <v>37.315293915278268</v>
      </c>
      <c r="AY240" s="173">
        <f t="shared" si="632"/>
        <v>4.5597185247781304</v>
      </c>
      <c r="AZ240" s="173">
        <f t="shared" si="633"/>
        <v>8.1836836446157566</v>
      </c>
      <c r="BA240" s="460">
        <f t="shared" si="594"/>
        <v>22.653993677371922</v>
      </c>
      <c r="BB240" s="5">
        <f t="shared" si="595"/>
        <v>1.7301189370477232</v>
      </c>
      <c r="BD240" s="173">
        <f t="shared" si="681"/>
        <v>1.7132454099785184</v>
      </c>
      <c r="BE240" s="173">
        <f t="shared" si="682"/>
        <v>5.5134493285529409</v>
      </c>
      <c r="BG240" s="528">
        <f t="shared" si="683"/>
        <v>5.8704196696249225E-2</v>
      </c>
      <c r="BH240" s="528">
        <f t="shared" si="634"/>
        <v>1.1696164874881301</v>
      </c>
      <c r="BI240" s="528">
        <f t="shared" si="635"/>
        <v>0.13177471291536863</v>
      </c>
      <c r="BJ240" s="528">
        <f t="shared" si="684"/>
        <v>6.2567500091332745E-2</v>
      </c>
      <c r="BK240">
        <f t="shared" si="685"/>
        <v>3.8138970651475534E-2</v>
      </c>
      <c r="BL240" s="460">
        <f t="shared" si="686"/>
        <v>169.91368356684416</v>
      </c>
      <c r="BM240" s="528">
        <f t="shared" si="636"/>
        <v>1.3252226785338868</v>
      </c>
      <c r="BN240" s="460">
        <f t="shared" si="687"/>
        <v>1325.2226785338867</v>
      </c>
      <c r="BO240" s="528">
        <f t="shared" si="637"/>
        <v>1.68</v>
      </c>
      <c r="BR240" s="460">
        <f t="shared" si="688"/>
        <v>1680</v>
      </c>
      <c r="BS240" s="528">
        <f t="shared" si="689"/>
        <v>8.8056295044373831E-2</v>
      </c>
      <c r="BT240" s="528">
        <f t="shared" si="690"/>
        <v>0.91194370495562616</v>
      </c>
      <c r="BU240" s="528">
        <f t="shared" si="691"/>
        <v>0.48229087505060703</v>
      </c>
      <c r="BV240" s="528"/>
      <c r="BW240" s="528">
        <f t="shared" si="692"/>
        <v>6.2192156525463791E-3</v>
      </c>
      <c r="BX240" s="460">
        <f t="shared" si="693"/>
        <v>1488.5100907031535</v>
      </c>
      <c r="BY240" s="173">
        <f t="shared" si="694"/>
        <v>4.629311958545709</v>
      </c>
      <c r="BZ240" s="5">
        <f t="shared" si="695"/>
        <v>36</v>
      </c>
      <c r="CA240" s="173">
        <f t="shared" si="696"/>
        <v>0.88605979930772594</v>
      </c>
      <c r="CB240" s="5">
        <f t="shared" si="697"/>
        <v>88.605979930772591</v>
      </c>
      <c r="CE240" s="562">
        <f t="shared" si="638"/>
        <v>-50</v>
      </c>
      <c r="CF240">
        <f t="shared" si="639"/>
        <v>-50</v>
      </c>
      <c r="CG240" s="173">
        <f t="shared" si="640"/>
        <v>0.48635789291426124</v>
      </c>
      <c r="CI240" s="170">
        <v>24</v>
      </c>
      <c r="CJ240" s="217">
        <f t="shared" si="698"/>
        <v>2.4</v>
      </c>
      <c r="CK240" s="217"/>
      <c r="CL240" s="217">
        <f t="shared" si="641"/>
        <v>36</v>
      </c>
      <c r="CM240" s="541">
        <f t="shared" si="642"/>
        <v>85</v>
      </c>
      <c r="CN240" s="443">
        <f t="shared" si="643"/>
        <v>15.4</v>
      </c>
      <c r="CO240" s="443">
        <f t="shared" si="644"/>
        <v>100.4</v>
      </c>
      <c r="CP240" s="443"/>
      <c r="CQ240" s="217">
        <f t="shared" si="645"/>
        <v>0.15338645418326693</v>
      </c>
      <c r="CR240" s="172">
        <f t="shared" si="646"/>
        <v>327.33148655378488</v>
      </c>
      <c r="CS240" s="172">
        <f t="shared" si="647"/>
        <v>36</v>
      </c>
      <c r="CT240" s="217">
        <f t="shared" si="648"/>
        <v>21.822099103585661</v>
      </c>
      <c r="CU240" s="217">
        <f t="shared" si="649"/>
        <v>15</v>
      </c>
      <c r="CV240" s="217"/>
      <c r="CW240" s="172">
        <f t="shared" si="650"/>
        <v>800.4591210748207</v>
      </c>
      <c r="CX240" s="172">
        <f t="shared" si="651"/>
        <v>15</v>
      </c>
      <c r="CY240" s="217">
        <f t="shared" si="652"/>
        <v>5.5223834988540865</v>
      </c>
      <c r="CZ240" s="217">
        <f t="shared" si="653"/>
        <v>0.7796306116029299</v>
      </c>
      <c r="DA240" s="217">
        <f t="shared" si="654"/>
        <v>4.3031559731330544</v>
      </c>
      <c r="DB240" s="197">
        <f t="shared" si="655"/>
        <v>108.64873837981409</v>
      </c>
      <c r="DC240" s="443">
        <f t="shared" si="656"/>
        <v>196.74247252542142</v>
      </c>
      <c r="DE240" s="217">
        <f t="shared" si="657"/>
        <v>10</v>
      </c>
      <c r="DF240" s="173">
        <f t="shared" si="658"/>
        <v>7.7922077922077913</v>
      </c>
      <c r="DG240" s="173">
        <f t="shared" si="659"/>
        <v>4.2330677290836656</v>
      </c>
      <c r="DH240" s="173"/>
      <c r="DI240" s="173">
        <f t="shared" si="660"/>
        <v>7.7922077922077913</v>
      </c>
      <c r="DJ240" s="545">
        <f t="shared" si="661"/>
        <v>61.6</v>
      </c>
      <c r="DK240" s="528">
        <f t="shared" si="662"/>
        <v>4.2330677290836656</v>
      </c>
      <c r="DM240" s="173">
        <f t="shared" si="663"/>
        <v>4.1952353926806065</v>
      </c>
      <c r="DN240" s="173">
        <f t="shared" si="664"/>
        <v>10</v>
      </c>
      <c r="DO240" s="173">
        <f t="shared" si="665"/>
        <v>1.0351999999999999</v>
      </c>
      <c r="DQ240" s="545">
        <f t="shared" si="666"/>
        <v>2400</v>
      </c>
      <c r="DR240" s="460">
        <f t="shared" si="667"/>
        <v>61.6</v>
      </c>
      <c r="DT240">
        <f t="shared" si="668"/>
        <v>2400</v>
      </c>
      <c r="DU240">
        <f t="shared" si="669"/>
        <v>61.6</v>
      </c>
      <c r="DW240" s="5">
        <f t="shared" si="670"/>
        <v>16.233766233766232</v>
      </c>
      <c r="DX240" s="5">
        <f t="shared" si="671"/>
        <v>1.4117647058823528</v>
      </c>
      <c r="DY240" s="5">
        <f t="shared" si="672"/>
        <v>14.822001527883879</v>
      </c>
      <c r="DZ240" s="5"/>
      <c r="EA240" s="173">
        <f t="shared" si="673"/>
        <v>8.6964705882352944E-2</v>
      </c>
      <c r="EB240" s="173">
        <f t="shared" si="699"/>
        <v>36.960000000000008</v>
      </c>
      <c r="EC240" s="173">
        <f t="shared" si="700"/>
        <v>4.5651764705882352</v>
      </c>
      <c r="ED240" s="173">
        <f t="shared" si="701"/>
        <v>8.0960725698381637</v>
      </c>
      <c r="EE240" s="460">
        <f t="shared" si="674"/>
        <v>22.588235294117645</v>
      </c>
      <c r="EF240" s="5">
        <f t="shared" si="675"/>
        <v>1.7437648856333974</v>
      </c>
      <c r="EH240" s="173">
        <f t="shared" si="702"/>
        <v>1.702593177894169</v>
      </c>
      <c r="EI240" s="173">
        <f t="shared" si="703"/>
        <v>5.5167481185859462</v>
      </c>
      <c r="EK240" s="528">
        <f t="shared" si="704"/>
        <v>5.7976470588235303E-2</v>
      </c>
      <c r="EL240" s="528">
        <f t="shared" si="705"/>
        <v>1.236928</v>
      </c>
      <c r="EM240" s="528">
        <f t="shared" si="706"/>
        <v>7.6999999999999994E-3</v>
      </c>
      <c r="EN240" s="528">
        <f t="shared" si="707"/>
        <v>6.2093785600000014E-2</v>
      </c>
      <c r="EO240">
        <f t="shared" si="708"/>
        <v>3.8249999999999999E-2</v>
      </c>
      <c r="EP240" s="460">
        <f t="shared" si="709"/>
        <v>45.949999999999996</v>
      </c>
      <c r="EQ240" s="460"/>
      <c r="ER240" s="460">
        <f t="shared" si="710"/>
        <v>1402.9482561882353</v>
      </c>
      <c r="ES240" s="528">
        <f t="shared" si="711"/>
        <v>1.68</v>
      </c>
      <c r="EV240" s="460">
        <f t="shared" si="712"/>
        <v>1680</v>
      </c>
      <c r="EW240" s="528">
        <f t="shared" si="713"/>
        <v>8.6964705882352958E-2</v>
      </c>
      <c r="EX240" s="528">
        <f t="shared" si="714"/>
        <v>0.91303529411764717</v>
      </c>
      <c r="EY240" s="528">
        <f t="shared" si="715"/>
        <v>0.47089251230131174</v>
      </c>
      <c r="EZ240" s="528"/>
      <c r="FA240" s="528">
        <f t="shared" si="716"/>
        <v>6.1600000000000005E-3</v>
      </c>
      <c r="FB240" s="460">
        <f t="shared" si="717"/>
        <v>1477.0525123013119</v>
      </c>
      <c r="FC240" s="173">
        <f t="shared" si="718"/>
        <v>4.5600007684895472</v>
      </c>
      <c r="FD240" s="5">
        <f t="shared" si="719"/>
        <v>36</v>
      </c>
      <c r="FE240" s="173">
        <f t="shared" si="720"/>
        <v>0.88757394768019482</v>
      </c>
      <c r="FF240" s="5">
        <f t="shared" si="721"/>
        <v>88.757394768019481</v>
      </c>
      <c r="FI240" s="562">
        <f t="shared" si="676"/>
        <v>-50</v>
      </c>
      <c r="FJ240">
        <f t="shared" si="677"/>
        <v>-50</v>
      </c>
      <c r="FL240">
        <f t="shared" si="678"/>
        <v>0.48000000000000004</v>
      </c>
    </row>
    <row r="241" spans="5:168">
      <c r="E241" s="170">
        <v>25</v>
      </c>
      <c r="F241" s="217">
        <f t="shared" si="679"/>
        <v>2.5</v>
      </c>
      <c r="G241" s="217"/>
      <c r="H241" s="217">
        <f t="shared" si="603"/>
        <v>37.5</v>
      </c>
      <c r="I241" s="541">
        <f t="shared" si="604"/>
        <v>84.753268114390082</v>
      </c>
      <c r="J241" s="172">
        <f t="shared" si="605"/>
        <v>15.548039131365949</v>
      </c>
      <c r="K241" s="172">
        <f t="shared" si="606"/>
        <v>100.30130724575604</v>
      </c>
      <c r="L241" s="443"/>
      <c r="M241" s="217">
        <f t="shared" si="607"/>
        <v>0.15502984391561525</v>
      </c>
      <c r="N241" s="172">
        <f t="shared" si="608"/>
        <v>329.8781973075603</v>
      </c>
      <c r="O241" s="172">
        <f t="shared" si="599"/>
        <v>37.5</v>
      </c>
      <c r="P241" s="217">
        <f t="shared" si="609"/>
        <v>21.991879820504021</v>
      </c>
      <c r="Q241" s="217">
        <f t="shared" si="610"/>
        <v>15</v>
      </c>
      <c r="R241" s="217"/>
      <c r="S241" s="172">
        <f t="shared" si="611"/>
        <v>762.8238315943438</v>
      </c>
      <c r="T241" s="172">
        <f t="shared" si="612"/>
        <v>15</v>
      </c>
      <c r="U241" s="217">
        <f t="shared" si="613"/>
        <v>5.9173687543831592</v>
      </c>
      <c r="V241" s="217">
        <f t="shared" si="614"/>
        <v>0.837825214677964</v>
      </c>
      <c r="W241" s="217">
        <f t="shared" si="615"/>
        <v>4.5670341097449754</v>
      </c>
      <c r="X241" s="197">
        <f t="shared" si="616"/>
        <v>109.48238241177424</v>
      </c>
      <c r="Y241" s="443">
        <f t="shared" si="680"/>
        <v>178.41660996602394</v>
      </c>
      <c r="AA241" s="217">
        <f t="shared" si="617"/>
        <v>10</v>
      </c>
      <c r="AB241" s="173">
        <f t="shared" si="618"/>
        <v>7.7180150491078416</v>
      </c>
      <c r="AC241" s="173">
        <f t="shared" si="619"/>
        <v>4.2249333753312666</v>
      </c>
      <c r="AD241" s="173"/>
      <c r="AE241" s="173">
        <f t="shared" si="620"/>
        <v>7.7180150491078416</v>
      </c>
      <c r="AF241" s="545">
        <f t="shared" si="621"/>
        <v>64.783496380691446</v>
      </c>
      <c r="AG241" s="528">
        <f t="shared" si="622"/>
        <v>4.2249333753312666</v>
      </c>
      <c r="AI241" s="173">
        <f t="shared" si="623"/>
        <v>4.3022750254351791</v>
      </c>
      <c r="AJ241" s="173">
        <f t="shared" si="624"/>
        <v>10</v>
      </c>
      <c r="AK241" s="173">
        <f t="shared" si="625"/>
        <v>1.0370191407889666</v>
      </c>
      <c r="AM241" s="545">
        <f t="shared" si="626"/>
        <v>2500</v>
      </c>
      <c r="AN241" s="460">
        <f t="shared" si="627"/>
        <v>64.783496380691446</v>
      </c>
      <c r="AP241">
        <f t="shared" si="628"/>
        <v>2500</v>
      </c>
      <c r="AQ241">
        <f t="shared" si="629"/>
        <v>64.783496380691446</v>
      </c>
      <c r="AS241" s="5">
        <f t="shared" si="600"/>
        <v>15.436030098215683</v>
      </c>
      <c r="AT241" s="5">
        <f t="shared" si="630"/>
        <v>1.4158746048357451</v>
      </c>
      <c r="AU241" s="5">
        <f t="shared" si="722"/>
        <v>14.020155493379939</v>
      </c>
      <c r="AV241" s="5"/>
      <c r="AW241" s="173">
        <f t="shared" si="723"/>
        <v>9.1725307337889431E-2</v>
      </c>
      <c r="AX241" s="173">
        <f t="shared" si="631"/>
        <v>38.87009782841487</v>
      </c>
      <c r="AY241" s="173">
        <f t="shared" si="632"/>
        <v>4.5413734633105527</v>
      </c>
      <c r="AZ241" s="173">
        <f t="shared" si="633"/>
        <v>8.5591062136694429</v>
      </c>
      <c r="BA241" s="460">
        <f t="shared" si="594"/>
        <v>23.597910080595753</v>
      </c>
      <c r="BB241" s="5">
        <f t="shared" si="595"/>
        <v>1.7231581700455745</v>
      </c>
      <c r="BD241" s="173">
        <f t="shared" si="681"/>
        <v>1.7485737744219756</v>
      </c>
      <c r="BE241" s="173">
        <f t="shared" si="682"/>
        <v>5.5023470527345895</v>
      </c>
      <c r="BG241" s="528">
        <f t="shared" si="683"/>
        <v>6.1150204891926283E-2</v>
      </c>
      <c r="BH241" s="528">
        <f t="shared" si="634"/>
        <v>1.2183505078001358</v>
      </c>
      <c r="BI241" s="528">
        <f t="shared" si="635"/>
        <v>0.13726532595350902</v>
      </c>
      <c r="BJ241" s="528">
        <f t="shared" si="684"/>
        <v>6.5174479261804946E-2</v>
      </c>
      <c r="BK241">
        <f t="shared" si="685"/>
        <v>3.8138970651475534E-2</v>
      </c>
      <c r="BL241" s="460">
        <f t="shared" si="686"/>
        <v>175.40429660498455</v>
      </c>
      <c r="BM241" s="528">
        <f t="shared" si="636"/>
        <v>1.3812543910662127</v>
      </c>
      <c r="BN241" s="460">
        <f t="shared" si="687"/>
        <v>1381.2543910662127</v>
      </c>
      <c r="BO241" s="528">
        <f t="shared" si="637"/>
        <v>1.75</v>
      </c>
      <c r="BR241" s="460">
        <f t="shared" si="688"/>
        <v>1750</v>
      </c>
      <c r="BS241" s="528">
        <f t="shared" si="689"/>
        <v>9.1725307337889417E-2</v>
      </c>
      <c r="BT241" s="528">
        <f t="shared" si="690"/>
        <v>0.90827469266211069</v>
      </c>
      <c r="BU241" s="528">
        <f t="shared" si="691"/>
        <v>0.53411031153898481</v>
      </c>
      <c r="BV241" s="528"/>
      <c r="BW241" s="528">
        <f t="shared" si="692"/>
        <v>6.4783496380691448E-3</v>
      </c>
      <c r="BX241" s="460">
        <f t="shared" si="693"/>
        <v>1540.5886611770541</v>
      </c>
      <c r="BY241" s="173">
        <f t="shared" si="694"/>
        <v>4.8106681497359052</v>
      </c>
      <c r="BZ241" s="5">
        <f t="shared" si="695"/>
        <v>37.5</v>
      </c>
      <c r="CA241" s="173">
        <f t="shared" si="696"/>
        <v>0.88630129562806415</v>
      </c>
      <c r="CB241" s="5">
        <f t="shared" si="697"/>
        <v>88.630129562806417</v>
      </c>
      <c r="CE241" s="562">
        <f t="shared" si="638"/>
        <v>-50</v>
      </c>
      <c r="CF241">
        <f t="shared" si="639"/>
        <v>-50</v>
      </c>
      <c r="CG241" s="173">
        <f t="shared" si="640"/>
        <v>0.50662280511902213</v>
      </c>
      <c r="CI241" s="170">
        <v>25</v>
      </c>
      <c r="CJ241" s="217">
        <f t="shared" si="698"/>
        <v>2.5</v>
      </c>
      <c r="CK241" s="217"/>
      <c r="CL241" s="217">
        <f t="shared" si="641"/>
        <v>37.5</v>
      </c>
      <c r="CM241" s="541">
        <f t="shared" si="642"/>
        <v>85</v>
      </c>
      <c r="CN241" s="443">
        <f t="shared" si="643"/>
        <v>15.4</v>
      </c>
      <c r="CO241" s="443">
        <f t="shared" si="644"/>
        <v>100.4</v>
      </c>
      <c r="CP241" s="443"/>
      <c r="CQ241" s="217">
        <f t="shared" si="645"/>
        <v>0.15338645418326693</v>
      </c>
      <c r="CR241" s="172">
        <f t="shared" si="646"/>
        <v>327.33148655378488</v>
      </c>
      <c r="CS241" s="172">
        <f t="shared" si="647"/>
        <v>37.5</v>
      </c>
      <c r="CT241" s="217">
        <f t="shared" si="648"/>
        <v>21.822099103585661</v>
      </c>
      <c r="CU241" s="217">
        <f t="shared" si="649"/>
        <v>15</v>
      </c>
      <c r="CV241" s="217"/>
      <c r="CW241" s="172">
        <f t="shared" si="650"/>
        <v>765.04441863990655</v>
      </c>
      <c r="CX241" s="172">
        <f t="shared" si="651"/>
        <v>15</v>
      </c>
      <c r="CY241" s="217">
        <f t="shared" si="652"/>
        <v>5.7524828113063409</v>
      </c>
      <c r="CZ241" s="217">
        <f t="shared" si="653"/>
        <v>0.81211522041971873</v>
      </c>
      <c r="DA241" s="217">
        <f t="shared" si="654"/>
        <v>4.4824541386802661</v>
      </c>
      <c r="DB241" s="197">
        <f t="shared" si="655"/>
        <v>108.64873837981409</v>
      </c>
      <c r="DC241" s="443">
        <f t="shared" si="656"/>
        <v>188.87277362440454</v>
      </c>
      <c r="DE241" s="217">
        <f t="shared" si="657"/>
        <v>10</v>
      </c>
      <c r="DF241" s="173">
        <f t="shared" si="658"/>
        <v>7.7922077922077913</v>
      </c>
      <c r="DG241" s="173">
        <f t="shared" si="659"/>
        <v>4.2330677290836656</v>
      </c>
      <c r="DH241" s="173"/>
      <c r="DI241" s="173">
        <f t="shared" si="660"/>
        <v>7.7922077922077913</v>
      </c>
      <c r="DJ241" s="545">
        <f t="shared" si="661"/>
        <v>64.166666666666671</v>
      </c>
      <c r="DK241" s="528">
        <f t="shared" si="662"/>
        <v>4.2330677290836656</v>
      </c>
      <c r="DM241" s="173">
        <f t="shared" si="663"/>
        <v>4.281744192888377</v>
      </c>
      <c r="DN241" s="173">
        <f t="shared" si="664"/>
        <v>10</v>
      </c>
      <c r="DO241" s="173">
        <f t="shared" si="665"/>
        <v>1.0366666666666666</v>
      </c>
      <c r="DQ241" s="545">
        <f t="shared" si="666"/>
        <v>2500</v>
      </c>
      <c r="DR241" s="460">
        <f t="shared" si="667"/>
        <v>64.166666666666671</v>
      </c>
      <c r="DT241">
        <f t="shared" si="668"/>
        <v>2500</v>
      </c>
      <c r="DU241">
        <f t="shared" si="669"/>
        <v>64.166666666666671</v>
      </c>
      <c r="DW241" s="5">
        <f t="shared" si="670"/>
        <v>15.584415584415583</v>
      </c>
      <c r="DX241" s="5">
        <f t="shared" si="671"/>
        <v>1.4117647058823528</v>
      </c>
      <c r="DY241" s="5">
        <f t="shared" si="672"/>
        <v>14.172650878533229</v>
      </c>
      <c r="DZ241" s="5"/>
      <c r="EA241" s="173">
        <f t="shared" si="673"/>
        <v>9.058823529411765E-2</v>
      </c>
      <c r="EB241" s="173">
        <f t="shared" si="699"/>
        <v>38.500000000000007</v>
      </c>
      <c r="EC241" s="173">
        <f t="shared" si="700"/>
        <v>4.5470588235294116</v>
      </c>
      <c r="ED241" s="173">
        <f t="shared" si="701"/>
        <v>8.467011642949549</v>
      </c>
      <c r="EE241" s="460">
        <f t="shared" si="674"/>
        <v>23.52941176470588</v>
      </c>
      <c r="EF241" s="5">
        <f t="shared" si="675"/>
        <v>1.7368444704084838</v>
      </c>
      <c r="EH241" s="173">
        <f t="shared" si="702"/>
        <v>1.7377018855768256</v>
      </c>
      <c r="EI241" s="173">
        <f t="shared" si="703"/>
        <v>5.5057901785480423</v>
      </c>
      <c r="EK241" s="528">
        <f t="shared" si="704"/>
        <v>6.03921568627451E-2</v>
      </c>
      <c r="EL241" s="528">
        <f t="shared" si="705"/>
        <v>1.2884666666666666</v>
      </c>
      <c r="EM241" s="528">
        <f t="shared" si="706"/>
        <v>8.0208333333333329E-3</v>
      </c>
      <c r="EN241" s="528">
        <f t="shared" si="707"/>
        <v>6.4681026666666683E-2</v>
      </c>
      <c r="EO241">
        <f t="shared" si="708"/>
        <v>3.8249999999999999E-2</v>
      </c>
      <c r="EP241" s="460">
        <f t="shared" si="709"/>
        <v>46.270833333333329</v>
      </c>
      <c r="EQ241" s="460"/>
      <c r="ER241" s="460">
        <f t="shared" si="710"/>
        <v>1459.8106835294116</v>
      </c>
      <c r="ES241" s="528">
        <f t="shared" si="711"/>
        <v>1.75</v>
      </c>
      <c r="EV241" s="460">
        <f t="shared" si="712"/>
        <v>1750</v>
      </c>
      <c r="EW241" s="528">
        <f t="shared" si="713"/>
        <v>9.0588235294117636E-2</v>
      </c>
      <c r="EX241" s="528">
        <f t="shared" si="714"/>
        <v>0.90941176470588247</v>
      </c>
      <c r="EY241" s="528">
        <f t="shared" si="715"/>
        <v>0.52148725894977166</v>
      </c>
      <c r="EZ241" s="528"/>
      <c r="FA241" s="528">
        <f t="shared" si="716"/>
        <v>6.4166666666666677E-3</v>
      </c>
      <c r="FB241" s="460">
        <f t="shared" si="717"/>
        <v>1527.9039256164383</v>
      </c>
      <c r="FC241" s="173">
        <f t="shared" si="718"/>
        <v>4.7377146091458497</v>
      </c>
      <c r="FD241" s="5">
        <f t="shared" si="719"/>
        <v>37.5</v>
      </c>
      <c r="FE241" s="173">
        <f t="shared" si="720"/>
        <v>0.8878321269749766</v>
      </c>
      <c r="FF241" s="5">
        <f t="shared" si="721"/>
        <v>88.78321269749766</v>
      </c>
      <c r="FI241" s="562">
        <f t="shared" si="676"/>
        <v>-50</v>
      </c>
      <c r="FJ241">
        <f t="shared" si="677"/>
        <v>-50</v>
      </c>
      <c r="FL241">
        <f t="shared" si="678"/>
        <v>0.5</v>
      </c>
    </row>
    <row r="242" spans="5:168">
      <c r="E242" s="170">
        <v>26</v>
      </c>
      <c r="F242" s="217">
        <f t="shared" si="679"/>
        <v>2.6</v>
      </c>
      <c r="G242" s="217"/>
      <c r="H242" s="217">
        <f t="shared" si="603"/>
        <v>39</v>
      </c>
      <c r="I242" s="541">
        <f t="shared" si="604"/>
        <v>84.753268114390082</v>
      </c>
      <c r="J242" s="172">
        <f t="shared" si="605"/>
        <v>15.548039131365949</v>
      </c>
      <c r="K242" s="172">
        <f t="shared" si="606"/>
        <v>100.30130724575604</v>
      </c>
      <c r="L242" s="443"/>
      <c r="M242" s="217">
        <f t="shared" si="607"/>
        <v>0.15502984391561525</v>
      </c>
      <c r="N242" s="172">
        <f t="shared" si="608"/>
        <v>329.8781973075603</v>
      </c>
      <c r="O242" s="172">
        <f t="shared" si="599"/>
        <v>39</v>
      </c>
      <c r="P242" s="217">
        <f t="shared" si="609"/>
        <v>21.991879820504021</v>
      </c>
      <c r="Q242" s="217">
        <f t="shared" si="610"/>
        <v>15</v>
      </c>
      <c r="R242" s="217"/>
      <c r="S242" s="172">
        <f t="shared" si="611"/>
        <v>730.22840242072891</v>
      </c>
      <c r="T242" s="172">
        <f t="shared" si="612"/>
        <v>15</v>
      </c>
      <c r="U242" s="217">
        <f t="shared" si="613"/>
        <v>6.1540635045584855</v>
      </c>
      <c r="V242" s="217">
        <f t="shared" si="614"/>
        <v>0.87133822326508259</v>
      </c>
      <c r="W242" s="217">
        <f t="shared" si="615"/>
        <v>4.7497154741347734</v>
      </c>
      <c r="X242" s="197">
        <f t="shared" si="616"/>
        <v>109.48238241177424</v>
      </c>
      <c r="Y242" s="443">
        <f t="shared" si="680"/>
        <v>171.79020362699612</v>
      </c>
      <c r="AA242" s="217">
        <f t="shared" si="617"/>
        <v>10</v>
      </c>
      <c r="AB242" s="173">
        <f t="shared" si="618"/>
        <v>7.7180150491078416</v>
      </c>
      <c r="AC242" s="173">
        <f t="shared" si="619"/>
        <v>4.2249333753312666</v>
      </c>
      <c r="AD242" s="173"/>
      <c r="AE242" s="173">
        <f t="shared" si="620"/>
        <v>7.7180150491078416</v>
      </c>
      <c r="AF242" s="545">
        <f t="shared" si="621"/>
        <v>67.374836235919105</v>
      </c>
      <c r="AG242" s="528">
        <f t="shared" si="622"/>
        <v>4.2249333753312666</v>
      </c>
      <c r="AI242" s="173">
        <f t="shared" si="623"/>
        <v>4.3874768615073751</v>
      </c>
      <c r="AJ242" s="173">
        <f t="shared" si="624"/>
        <v>10</v>
      </c>
      <c r="AK242" s="173">
        <f t="shared" si="625"/>
        <v>1.0384999064205251</v>
      </c>
      <c r="AM242" s="545">
        <f t="shared" si="626"/>
        <v>2600</v>
      </c>
      <c r="AN242" s="460">
        <f t="shared" si="627"/>
        <v>67.374836235919105</v>
      </c>
      <c r="AP242">
        <f t="shared" si="628"/>
        <v>2600</v>
      </c>
      <c r="AQ242">
        <f t="shared" si="629"/>
        <v>67.374836235919105</v>
      </c>
      <c r="AS242" s="5">
        <f t="shared" si="600"/>
        <v>14.842336632899695</v>
      </c>
      <c r="AT242" s="5">
        <f t="shared" si="630"/>
        <v>1.4158746048357451</v>
      </c>
      <c r="AU242" s="5">
        <f t="shared" si="722"/>
        <v>13.42646202806395</v>
      </c>
      <c r="AV242" s="5"/>
      <c r="AW242" s="173">
        <f t="shared" si="723"/>
        <v>9.5394319631405017E-2</v>
      </c>
      <c r="AX242" s="173">
        <f t="shared" si="631"/>
        <v>40.424901741551466</v>
      </c>
      <c r="AY242" s="173">
        <f t="shared" si="632"/>
        <v>4.5230284018429749</v>
      </c>
      <c r="AZ242" s="173">
        <f t="shared" si="633"/>
        <v>8.9375741538743689</v>
      </c>
      <c r="BA242" s="460">
        <f t="shared" si="594"/>
        <v>24.54182648381958</v>
      </c>
      <c r="BB242" s="5">
        <f t="shared" si="595"/>
        <v>1.7161974030434259</v>
      </c>
      <c r="BD242" s="173">
        <f t="shared" si="681"/>
        <v>1.7832023593468485</v>
      </c>
      <c r="BE242" s="173">
        <f t="shared" si="682"/>
        <v>5.4912223301331711</v>
      </c>
      <c r="BG242" s="528">
        <f t="shared" si="683"/>
        <v>6.359621308760334E-2</v>
      </c>
      <c r="BH242" s="528">
        <f t="shared" si="634"/>
        <v>1.267084528112141</v>
      </c>
      <c r="BI242" s="528">
        <f t="shared" si="635"/>
        <v>0.1427559389916494</v>
      </c>
      <c r="BJ242" s="528">
        <f t="shared" si="684"/>
        <v>6.7781458432277147E-2</v>
      </c>
      <c r="BK242">
        <f t="shared" si="685"/>
        <v>3.8138970651475534E-2</v>
      </c>
      <c r="BL242" s="460">
        <f t="shared" si="686"/>
        <v>180.89490964312495</v>
      </c>
      <c r="BM242" s="528">
        <f t="shared" si="636"/>
        <v>1.4373522308864315</v>
      </c>
      <c r="BN242" s="460">
        <f t="shared" si="687"/>
        <v>1437.3522308864315</v>
      </c>
      <c r="BO242" s="528">
        <f t="shared" si="637"/>
        <v>1.8199999999999998</v>
      </c>
      <c r="BR242" s="460">
        <f t="shared" si="688"/>
        <v>1819.9999999999998</v>
      </c>
      <c r="BS242" s="528">
        <f t="shared" si="689"/>
        <v>9.5394319631405003E-2</v>
      </c>
      <c r="BT242" s="528">
        <f t="shared" si="690"/>
        <v>0.90460568036859512</v>
      </c>
      <c r="BU242" s="528">
        <f t="shared" si="691"/>
        <v>0.58913430305315906</v>
      </c>
      <c r="BV242" s="528"/>
      <c r="BW242" s="528">
        <f t="shared" si="692"/>
        <v>6.7374836235919106E-3</v>
      </c>
      <c r="BX242" s="460">
        <f t="shared" si="693"/>
        <v>1595.8717866767511</v>
      </c>
      <c r="BY242" s="173">
        <f t="shared" si="694"/>
        <v>4.9952288959518976</v>
      </c>
      <c r="BZ242" s="5">
        <f t="shared" si="695"/>
        <v>39</v>
      </c>
      <c r="CA242" s="173">
        <f t="shared" si="696"/>
        <v>0.88645975890327688</v>
      </c>
      <c r="CB242" s="5">
        <f t="shared" si="697"/>
        <v>88.645975890327691</v>
      </c>
      <c r="CE242" s="562">
        <f t="shared" si="638"/>
        <v>-50</v>
      </c>
      <c r="CF242">
        <f t="shared" si="639"/>
        <v>-50</v>
      </c>
      <c r="CG242" s="173">
        <f t="shared" si="640"/>
        <v>0.52688771732378314</v>
      </c>
      <c r="CI242" s="170">
        <v>26</v>
      </c>
      <c r="CJ242" s="217">
        <f t="shared" si="698"/>
        <v>2.6</v>
      </c>
      <c r="CK242" s="217"/>
      <c r="CL242" s="217">
        <f t="shared" si="641"/>
        <v>39</v>
      </c>
      <c r="CM242" s="541">
        <f t="shared" si="642"/>
        <v>85</v>
      </c>
      <c r="CN242" s="443">
        <f t="shared" si="643"/>
        <v>15.4</v>
      </c>
      <c r="CO242" s="443">
        <f t="shared" si="644"/>
        <v>100.4</v>
      </c>
      <c r="CP242" s="443"/>
      <c r="CQ242" s="217">
        <f t="shared" si="645"/>
        <v>0.15338645418326693</v>
      </c>
      <c r="CR242" s="172">
        <f t="shared" si="646"/>
        <v>327.33148655378488</v>
      </c>
      <c r="CS242" s="172">
        <f t="shared" si="647"/>
        <v>39</v>
      </c>
      <c r="CT242" s="217">
        <f t="shared" si="648"/>
        <v>21.822099103585661</v>
      </c>
      <c r="CU242" s="217">
        <f t="shared" si="649"/>
        <v>15</v>
      </c>
      <c r="CV242" s="217"/>
      <c r="CW242" s="172">
        <f t="shared" si="650"/>
        <v>732.35409259442372</v>
      </c>
      <c r="CX242" s="172">
        <f t="shared" si="651"/>
        <v>15</v>
      </c>
      <c r="CY242" s="217">
        <f t="shared" si="652"/>
        <v>5.9825821237585943</v>
      </c>
      <c r="CZ242" s="217">
        <f t="shared" si="653"/>
        <v>0.84459982923650756</v>
      </c>
      <c r="DA242" s="217">
        <f t="shared" si="654"/>
        <v>4.661752304227476</v>
      </c>
      <c r="DB242" s="197">
        <f t="shared" si="655"/>
        <v>108.64873837981409</v>
      </c>
      <c r="DC242" s="443">
        <f t="shared" si="656"/>
        <v>181.60843617731206</v>
      </c>
      <c r="DE242" s="217">
        <f t="shared" si="657"/>
        <v>10</v>
      </c>
      <c r="DF242" s="173">
        <f t="shared" si="658"/>
        <v>7.7922077922077913</v>
      </c>
      <c r="DG242" s="173">
        <f t="shared" si="659"/>
        <v>4.2330677290836656</v>
      </c>
      <c r="DH242" s="173"/>
      <c r="DI242" s="173">
        <f t="shared" si="660"/>
        <v>7.7922077922077913</v>
      </c>
      <c r="DJ242" s="545">
        <f t="shared" si="661"/>
        <v>66.733333333333348</v>
      </c>
      <c r="DK242" s="528">
        <f t="shared" si="662"/>
        <v>4.2330677290836656</v>
      </c>
      <c r="DM242" s="173">
        <f t="shared" si="663"/>
        <v>4.3665394383500846</v>
      </c>
      <c r="DN242" s="173">
        <f t="shared" si="664"/>
        <v>10</v>
      </c>
      <c r="DO242" s="173">
        <f t="shared" si="665"/>
        <v>1.0381333333333334</v>
      </c>
      <c r="DQ242" s="545">
        <f t="shared" si="666"/>
        <v>2600</v>
      </c>
      <c r="DR242" s="460">
        <f t="shared" si="667"/>
        <v>66.733333333333348</v>
      </c>
      <c r="DT242">
        <f t="shared" si="668"/>
        <v>2600</v>
      </c>
      <c r="DU242">
        <f t="shared" si="669"/>
        <v>66.733333333333348</v>
      </c>
      <c r="DW242" s="5">
        <f t="shared" si="670"/>
        <v>14.985014985014983</v>
      </c>
      <c r="DX242" s="5">
        <f t="shared" si="671"/>
        <v>1.4117647058823528</v>
      </c>
      <c r="DY242" s="5">
        <f t="shared" si="672"/>
        <v>13.57325027913263</v>
      </c>
      <c r="DZ242" s="5"/>
      <c r="EA242" s="173">
        <f t="shared" si="673"/>
        <v>9.4211764705882356E-2</v>
      </c>
      <c r="EB242" s="173">
        <f t="shared" si="699"/>
        <v>40.040000000000013</v>
      </c>
      <c r="EC242" s="173">
        <f t="shared" si="700"/>
        <v>4.528941176470588</v>
      </c>
      <c r="ED242" s="173">
        <f t="shared" si="701"/>
        <v>8.8409185369908592</v>
      </c>
      <c r="EE242" s="460">
        <f t="shared" si="674"/>
        <v>24.470588235294116</v>
      </c>
      <c r="EF242" s="5">
        <f t="shared" si="675"/>
        <v>1.7299240551835702</v>
      </c>
      <c r="EH242" s="173">
        <f t="shared" si="702"/>
        <v>1.7721151646726421</v>
      </c>
      <c r="EI242" s="173">
        <f t="shared" si="703"/>
        <v>5.4948103858523254</v>
      </c>
      <c r="EK242" s="528">
        <f t="shared" si="704"/>
        <v>6.2807843137254904E-2</v>
      </c>
      <c r="EL242" s="528">
        <f t="shared" si="705"/>
        <v>1.3400053333333337</v>
      </c>
      <c r="EM242" s="528">
        <f t="shared" si="706"/>
        <v>8.3416666666666691E-3</v>
      </c>
      <c r="EN242" s="528">
        <f t="shared" si="707"/>
        <v>6.7268267733333359E-2</v>
      </c>
      <c r="EO242">
        <f t="shared" si="708"/>
        <v>3.8249999999999999E-2</v>
      </c>
      <c r="EP242" s="460">
        <f t="shared" si="709"/>
        <v>46.591666666666669</v>
      </c>
      <c r="EQ242" s="460"/>
      <c r="ER242" s="460">
        <f t="shared" si="710"/>
        <v>1516.6731108705887</v>
      </c>
      <c r="ES242" s="528">
        <f t="shared" si="711"/>
        <v>1.8199999999999998</v>
      </c>
      <c r="EV242" s="460">
        <f t="shared" si="712"/>
        <v>1819.9999999999998</v>
      </c>
      <c r="EW242" s="528">
        <f t="shared" si="713"/>
        <v>9.4211764705882356E-2</v>
      </c>
      <c r="EX242" s="528">
        <f t="shared" si="714"/>
        <v>0.90578823529411734</v>
      </c>
      <c r="EY242" s="528">
        <f t="shared" si="715"/>
        <v>0.57521082483361041</v>
      </c>
      <c r="EZ242" s="528"/>
      <c r="FA242" s="528">
        <f t="shared" si="716"/>
        <v>6.6733333333333349E-3</v>
      </c>
      <c r="FB242" s="460">
        <f t="shared" si="717"/>
        <v>1581.8841581669433</v>
      </c>
      <c r="FC242" s="173">
        <f t="shared" si="718"/>
        <v>4.9185572690375325</v>
      </c>
      <c r="FD242" s="5">
        <f t="shared" si="719"/>
        <v>39</v>
      </c>
      <c r="FE242" s="173">
        <f t="shared" si="720"/>
        <v>0.88800731228698382</v>
      </c>
      <c r="FF242" s="5">
        <f t="shared" si="721"/>
        <v>88.800731228698382</v>
      </c>
      <c r="FI242" s="562">
        <f t="shared" si="676"/>
        <v>-50</v>
      </c>
      <c r="FJ242">
        <f t="shared" si="677"/>
        <v>-50</v>
      </c>
      <c r="FL242">
        <f t="shared" si="678"/>
        <v>0.52</v>
      </c>
    </row>
    <row r="243" spans="5:168">
      <c r="E243" s="170">
        <v>27</v>
      </c>
      <c r="F243" s="217">
        <f t="shared" si="679"/>
        <v>2.7</v>
      </c>
      <c r="G243" s="217"/>
      <c r="H243" s="217">
        <f t="shared" si="603"/>
        <v>40.5</v>
      </c>
      <c r="I243" s="541">
        <f t="shared" si="604"/>
        <v>84.753268114390082</v>
      </c>
      <c r="J243" s="172">
        <f t="shared" si="605"/>
        <v>15.548039131365949</v>
      </c>
      <c r="K243" s="172">
        <f t="shared" si="606"/>
        <v>100.30130724575604</v>
      </c>
      <c r="L243" s="443"/>
      <c r="M243" s="217">
        <f t="shared" si="607"/>
        <v>0.15502984391561525</v>
      </c>
      <c r="N243" s="172">
        <f t="shared" si="608"/>
        <v>329.8781973075603</v>
      </c>
      <c r="O243" s="172">
        <f t="shared" si="599"/>
        <v>40.5</v>
      </c>
      <c r="P243" s="217">
        <f t="shared" si="609"/>
        <v>21.991879820504021</v>
      </c>
      <c r="Q243" s="217">
        <f t="shared" si="610"/>
        <v>15</v>
      </c>
      <c r="R243" s="217"/>
      <c r="S243" s="172">
        <f t="shared" si="611"/>
        <v>700.04761391620241</v>
      </c>
      <c r="T243" s="172">
        <f t="shared" si="612"/>
        <v>15</v>
      </c>
      <c r="U243" s="217">
        <f t="shared" si="613"/>
        <v>6.3907582547338126</v>
      </c>
      <c r="V243" s="217">
        <f t="shared" si="614"/>
        <v>0.90485123185220129</v>
      </c>
      <c r="W243" s="217">
        <f t="shared" si="615"/>
        <v>4.9323968385245731</v>
      </c>
      <c r="X243" s="197">
        <f t="shared" si="616"/>
        <v>109.48238241177424</v>
      </c>
      <c r="Y243" s="443">
        <f t="shared" si="680"/>
        <v>165.63838165053099</v>
      </c>
      <c r="AA243" s="217">
        <f t="shared" si="617"/>
        <v>10</v>
      </c>
      <c r="AB243" s="173">
        <f t="shared" si="618"/>
        <v>7.7180150491078416</v>
      </c>
      <c r="AC243" s="173">
        <f t="shared" si="619"/>
        <v>4.2249333753312666</v>
      </c>
      <c r="AD243" s="173"/>
      <c r="AE243" s="173">
        <f t="shared" si="620"/>
        <v>7.7180150491078416</v>
      </c>
      <c r="AF243" s="545">
        <f t="shared" si="621"/>
        <v>69.966176091146764</v>
      </c>
      <c r="AG243" s="528">
        <f t="shared" si="622"/>
        <v>4.2249333753312666</v>
      </c>
      <c r="AI243" s="173">
        <f t="shared" si="623"/>
        <v>4.4710553593130484</v>
      </c>
      <c r="AJ243" s="173">
        <f t="shared" si="624"/>
        <v>10</v>
      </c>
      <c r="AK243" s="173">
        <f t="shared" si="625"/>
        <v>1.0399806720520839</v>
      </c>
      <c r="AM243" s="545">
        <f t="shared" si="626"/>
        <v>2700</v>
      </c>
      <c r="AN243" s="460">
        <f t="shared" si="627"/>
        <v>69.966176091146764</v>
      </c>
      <c r="AP243">
        <f t="shared" si="628"/>
        <v>2700</v>
      </c>
      <c r="AQ243">
        <f t="shared" si="629"/>
        <v>69.966176091146764</v>
      </c>
      <c r="AS243" s="5">
        <f t="shared" si="600"/>
        <v>14.292620461310818</v>
      </c>
      <c r="AT243" s="5">
        <f t="shared" si="630"/>
        <v>1.4158746048357451</v>
      </c>
      <c r="AU243" s="5">
        <f t="shared" si="722"/>
        <v>12.876745856475074</v>
      </c>
      <c r="AV243" s="5"/>
      <c r="AW243" s="173">
        <f t="shared" si="723"/>
        <v>9.9063331924920575E-2</v>
      </c>
      <c r="AX243" s="173">
        <f t="shared" si="631"/>
        <v>41.979705654688061</v>
      </c>
      <c r="AY243" s="173">
        <f t="shared" si="632"/>
        <v>4.5046833403753972</v>
      </c>
      <c r="AZ243" s="173">
        <f t="shared" si="633"/>
        <v>9.3191246715223475</v>
      </c>
      <c r="BA243" s="460">
        <f t="shared" si="594"/>
        <v>25.485742887043415</v>
      </c>
      <c r="BB243" s="5">
        <f t="shared" si="595"/>
        <v>1.7092366360412778</v>
      </c>
      <c r="BD243" s="173">
        <f t="shared" si="681"/>
        <v>1.8171711708488056</v>
      </c>
      <c r="BE243" s="173">
        <f t="shared" si="682"/>
        <v>5.4800750240456857</v>
      </c>
      <c r="BG243" s="528">
        <f t="shared" si="683"/>
        <v>6.6042221283280383E-2</v>
      </c>
      <c r="BH243" s="528">
        <f t="shared" si="634"/>
        <v>1.3158185484241465</v>
      </c>
      <c r="BI243" s="528">
        <f t="shared" si="635"/>
        <v>0.14824655202978976</v>
      </c>
      <c r="BJ243" s="528">
        <f t="shared" si="684"/>
        <v>7.0388437602749362E-2</v>
      </c>
      <c r="BK243">
        <f t="shared" si="685"/>
        <v>3.8138970651475534E-2</v>
      </c>
      <c r="BL243" s="460">
        <f t="shared" si="686"/>
        <v>186.38552268126529</v>
      </c>
      <c r="BM243" s="528">
        <f t="shared" si="636"/>
        <v>1.4935163151264295</v>
      </c>
      <c r="BN243" s="460">
        <f t="shared" si="687"/>
        <v>1493.5163151264294</v>
      </c>
      <c r="BO243" s="528">
        <f t="shared" si="637"/>
        <v>1.89</v>
      </c>
      <c r="BR243" s="460">
        <f t="shared" si="688"/>
        <v>1890</v>
      </c>
      <c r="BS243" s="528">
        <f t="shared" si="689"/>
        <v>9.9063331924920561E-2</v>
      </c>
      <c r="BT243" s="528">
        <f t="shared" si="690"/>
        <v>0.90093666807507966</v>
      </c>
      <c r="BU243" s="528">
        <f t="shared" si="691"/>
        <v>0.64742632051094418</v>
      </c>
      <c r="BV243" s="528"/>
      <c r="BW243" s="528">
        <f t="shared" si="692"/>
        <v>6.9966176091146772E-3</v>
      </c>
      <c r="BX243" s="460">
        <f t="shared" si="693"/>
        <v>1654.4229381200589</v>
      </c>
      <c r="BY243" s="173">
        <f t="shared" si="694"/>
        <v>5.1830576681115001</v>
      </c>
      <c r="BZ243" s="5">
        <f t="shared" si="695"/>
        <v>40.5</v>
      </c>
      <c r="CA243" s="173">
        <f t="shared" si="696"/>
        <v>0.88654310957540239</v>
      </c>
      <c r="CB243" s="5">
        <f t="shared" si="697"/>
        <v>88.654310957540233</v>
      </c>
      <c r="CE243" s="562">
        <f t="shared" si="638"/>
        <v>-50</v>
      </c>
      <c r="CF243">
        <f t="shared" si="639"/>
        <v>-50</v>
      </c>
      <c r="CG243" s="173">
        <f t="shared" si="640"/>
        <v>0.54715262952854382</v>
      </c>
      <c r="CI243" s="170">
        <v>27</v>
      </c>
      <c r="CJ243" s="217">
        <f t="shared" si="698"/>
        <v>2.7</v>
      </c>
      <c r="CK243" s="217"/>
      <c r="CL243" s="217">
        <f t="shared" si="641"/>
        <v>40.5</v>
      </c>
      <c r="CM243" s="541">
        <f t="shared" si="642"/>
        <v>85</v>
      </c>
      <c r="CN243" s="443">
        <f t="shared" si="643"/>
        <v>15.4</v>
      </c>
      <c r="CO243" s="443">
        <f t="shared" si="644"/>
        <v>100.4</v>
      </c>
      <c r="CP243" s="443"/>
      <c r="CQ243" s="217">
        <f t="shared" si="645"/>
        <v>0.15338645418326693</v>
      </c>
      <c r="CR243" s="172">
        <f t="shared" si="646"/>
        <v>327.33148655378488</v>
      </c>
      <c r="CS243" s="172">
        <f t="shared" si="647"/>
        <v>40.5</v>
      </c>
      <c r="CT243" s="217">
        <f t="shared" si="648"/>
        <v>21.822099103585661</v>
      </c>
      <c r="CU243" s="217">
        <f t="shared" si="649"/>
        <v>15</v>
      </c>
      <c r="CV243" s="217"/>
      <c r="CW243" s="172">
        <f t="shared" si="650"/>
        <v>702.08543661691112</v>
      </c>
      <c r="CX243" s="172">
        <f t="shared" si="651"/>
        <v>15</v>
      </c>
      <c r="CY243" s="217">
        <f t="shared" si="652"/>
        <v>6.2126814362108478</v>
      </c>
      <c r="CZ243" s="217">
        <f t="shared" si="653"/>
        <v>0.87708443805329628</v>
      </c>
      <c r="DA243" s="217">
        <f t="shared" si="654"/>
        <v>4.8410504697746868</v>
      </c>
      <c r="DB243" s="197">
        <f t="shared" si="655"/>
        <v>108.64873837981409</v>
      </c>
      <c r="DC243" s="443">
        <f t="shared" si="656"/>
        <v>174.8821978003746</v>
      </c>
      <c r="DE243" s="217">
        <f t="shared" si="657"/>
        <v>10</v>
      </c>
      <c r="DF243" s="173">
        <f t="shared" si="658"/>
        <v>7.7922077922077913</v>
      </c>
      <c r="DG243" s="173">
        <f t="shared" si="659"/>
        <v>4.2330677290836656</v>
      </c>
      <c r="DH243" s="173"/>
      <c r="DI243" s="173">
        <f t="shared" si="660"/>
        <v>7.7922077922077913</v>
      </c>
      <c r="DJ243" s="545">
        <f t="shared" si="661"/>
        <v>69.3</v>
      </c>
      <c r="DK243" s="528">
        <f t="shared" si="662"/>
        <v>4.2330677290836656</v>
      </c>
      <c r="DM243" s="173">
        <f t="shared" si="663"/>
        <v>4.4497190922573981</v>
      </c>
      <c r="DN243" s="173">
        <f t="shared" si="664"/>
        <v>10</v>
      </c>
      <c r="DO243" s="173">
        <f t="shared" si="665"/>
        <v>1.0396000000000001</v>
      </c>
      <c r="DQ243" s="545">
        <f t="shared" si="666"/>
        <v>2700</v>
      </c>
      <c r="DR243" s="460">
        <f t="shared" si="667"/>
        <v>69.3</v>
      </c>
      <c r="DT243">
        <f t="shared" si="668"/>
        <v>2700</v>
      </c>
      <c r="DU243">
        <f t="shared" si="669"/>
        <v>69.3</v>
      </c>
      <c r="DW243" s="5">
        <f t="shared" si="670"/>
        <v>14.430014430014429</v>
      </c>
      <c r="DX243" s="5">
        <f t="shared" si="671"/>
        <v>1.4117647058823528</v>
      </c>
      <c r="DY243" s="5">
        <f t="shared" si="672"/>
        <v>13.018249724132076</v>
      </c>
      <c r="DZ243" s="5"/>
      <c r="EA243" s="173">
        <f t="shared" si="673"/>
        <v>9.7835294117647048E-2</v>
      </c>
      <c r="EB243" s="173">
        <f t="shared" si="699"/>
        <v>41.58</v>
      </c>
      <c r="EC243" s="173">
        <f t="shared" si="700"/>
        <v>4.5108235294117645</v>
      </c>
      <c r="ED243" s="173">
        <f t="shared" si="701"/>
        <v>9.2178290125710713</v>
      </c>
      <c r="EE243" s="460">
        <f t="shared" si="674"/>
        <v>25.411764705882351</v>
      </c>
      <c r="EF243" s="5">
        <f t="shared" si="675"/>
        <v>1.7230036399586568</v>
      </c>
      <c r="EH243" s="173">
        <f t="shared" si="702"/>
        <v>1.8058727725363808</v>
      </c>
      <c r="EI243" s="173">
        <f t="shared" si="703"/>
        <v>5.4838086092372968</v>
      </c>
      <c r="EK243" s="528">
        <f t="shared" si="704"/>
        <v>6.5223529411764694E-2</v>
      </c>
      <c r="EL243" s="528">
        <f t="shared" si="705"/>
        <v>1.3915440000000001</v>
      </c>
      <c r="EM243" s="528">
        <f t="shared" si="706"/>
        <v>8.6624999999999983E-3</v>
      </c>
      <c r="EN243" s="528">
        <f t="shared" si="707"/>
        <v>6.9855508800000007E-2</v>
      </c>
      <c r="EO243">
        <f t="shared" si="708"/>
        <v>3.8249999999999999E-2</v>
      </c>
      <c r="EP243" s="460">
        <f t="shared" si="709"/>
        <v>46.912499999999994</v>
      </c>
      <c r="EQ243" s="460"/>
      <c r="ER243" s="460">
        <f t="shared" si="710"/>
        <v>1573.5355382117646</v>
      </c>
      <c r="ES243" s="528">
        <f t="shared" si="711"/>
        <v>1.89</v>
      </c>
      <c r="EV243" s="460">
        <f t="shared" si="712"/>
        <v>1890</v>
      </c>
      <c r="EW243" s="528">
        <f t="shared" si="713"/>
        <v>9.7835294117647048E-2</v>
      </c>
      <c r="EX243" s="528">
        <f t="shared" si="714"/>
        <v>0.90216470588235287</v>
      </c>
      <c r="EY243" s="528">
        <f t="shared" si="715"/>
        <v>0.63212518081210267</v>
      </c>
      <c r="EZ243" s="528"/>
      <c r="FA243" s="528">
        <f t="shared" si="716"/>
        <v>6.9300000000000004E-3</v>
      </c>
      <c r="FB243" s="460">
        <f t="shared" si="717"/>
        <v>1639.0551808121027</v>
      </c>
      <c r="FC243" s="173">
        <f t="shared" si="718"/>
        <v>5.1025907190238664</v>
      </c>
      <c r="FD243" s="5">
        <f t="shared" si="719"/>
        <v>40.5</v>
      </c>
      <c r="FE243" s="173">
        <f t="shared" si="720"/>
        <v>0.88810743778872114</v>
      </c>
      <c r="FF243" s="5">
        <f t="shared" si="721"/>
        <v>88.810743778872109</v>
      </c>
      <c r="FI243" s="562">
        <f t="shared" si="676"/>
        <v>-50</v>
      </c>
      <c r="FJ243">
        <f t="shared" si="677"/>
        <v>-50</v>
      </c>
      <c r="FL243">
        <f t="shared" si="678"/>
        <v>0.54</v>
      </c>
    </row>
    <row r="244" spans="5:168">
      <c r="E244" s="170">
        <v>28</v>
      </c>
      <c r="F244" s="217">
        <f t="shared" si="679"/>
        <v>2.8000000000000003</v>
      </c>
      <c r="G244" s="217"/>
      <c r="H244" s="217">
        <f t="shared" si="603"/>
        <v>42.000000000000007</v>
      </c>
      <c r="I244" s="541">
        <f t="shared" si="604"/>
        <v>84.753268114390082</v>
      </c>
      <c r="J244" s="172">
        <f t="shared" si="605"/>
        <v>15.548039131365949</v>
      </c>
      <c r="K244" s="172">
        <f t="shared" si="606"/>
        <v>100.30130724575604</v>
      </c>
      <c r="L244" s="443"/>
      <c r="M244" s="217">
        <f t="shared" si="607"/>
        <v>0.15502984391561525</v>
      </c>
      <c r="N244" s="172">
        <f t="shared" si="608"/>
        <v>329.8781973075603</v>
      </c>
      <c r="O244" s="172">
        <f t="shared" si="599"/>
        <v>42.000000000000007</v>
      </c>
      <c r="P244" s="217">
        <f t="shared" si="609"/>
        <v>21.991879820504021</v>
      </c>
      <c r="Q244" s="217">
        <f t="shared" si="610"/>
        <v>15</v>
      </c>
      <c r="R244" s="217"/>
      <c r="S244" s="172">
        <f t="shared" si="611"/>
        <v>672.02275670645292</v>
      </c>
      <c r="T244" s="172">
        <f t="shared" si="612"/>
        <v>15</v>
      </c>
      <c r="U244" s="217">
        <f t="shared" si="613"/>
        <v>6.6274530049091389</v>
      </c>
      <c r="V244" s="217">
        <f t="shared" si="614"/>
        <v>0.93836424043931987</v>
      </c>
      <c r="W244" s="217">
        <f t="shared" si="615"/>
        <v>5.115078202914372</v>
      </c>
      <c r="X244" s="197">
        <f t="shared" si="616"/>
        <v>109.48238241177424</v>
      </c>
      <c r="Y244" s="443">
        <f t="shared" si="680"/>
        <v>159.91192196273013</v>
      </c>
      <c r="AA244" s="217">
        <f t="shared" si="617"/>
        <v>10</v>
      </c>
      <c r="AB244" s="173">
        <f t="shared" si="618"/>
        <v>7.7180150491078416</v>
      </c>
      <c r="AC244" s="173">
        <f t="shared" si="619"/>
        <v>4.2249333753312666</v>
      </c>
      <c r="AD244" s="173"/>
      <c r="AE244" s="173">
        <f t="shared" si="620"/>
        <v>7.7180150491078416</v>
      </c>
      <c r="AF244" s="545">
        <f t="shared" si="621"/>
        <v>72.557515946374423</v>
      </c>
      <c r="AG244" s="528">
        <f t="shared" si="622"/>
        <v>4.2249333753312666</v>
      </c>
      <c r="AI244" s="173">
        <f t="shared" si="623"/>
        <v>4.5530999156422283</v>
      </c>
      <c r="AJ244" s="173">
        <f t="shared" si="624"/>
        <v>10</v>
      </c>
      <c r="AK244" s="173">
        <f t="shared" si="625"/>
        <v>1.0414614376836426</v>
      </c>
      <c r="AM244" s="545">
        <f t="shared" si="626"/>
        <v>2800.0000000000005</v>
      </c>
      <c r="AN244" s="460">
        <f t="shared" si="627"/>
        <v>72.557515946374423</v>
      </c>
      <c r="AP244">
        <f t="shared" si="628"/>
        <v>2800.0000000000005</v>
      </c>
      <c r="AQ244">
        <f t="shared" si="629"/>
        <v>72.557515946374423</v>
      </c>
      <c r="AS244" s="5">
        <f t="shared" si="600"/>
        <v>13.782169730549716</v>
      </c>
      <c r="AT244" s="5">
        <f t="shared" si="630"/>
        <v>1.4158746048357451</v>
      </c>
      <c r="AU244" s="5">
        <f t="shared" si="722"/>
        <v>12.366295125713972</v>
      </c>
      <c r="AV244" s="5"/>
      <c r="AW244" s="173">
        <f t="shared" si="723"/>
        <v>0.10273234421843618</v>
      </c>
      <c r="AX244" s="173">
        <f t="shared" si="631"/>
        <v>43.534509567824657</v>
      </c>
      <c r="AY244" s="173">
        <f t="shared" si="632"/>
        <v>4.4863382789078194</v>
      </c>
      <c r="AZ244" s="173">
        <f t="shared" si="633"/>
        <v>9.7037955814653714</v>
      </c>
      <c r="BA244" s="460">
        <f t="shared" si="594"/>
        <v>26.429659290267246</v>
      </c>
      <c r="BB244" s="5">
        <f t="shared" si="595"/>
        <v>1.7022758690391291</v>
      </c>
      <c r="BD244" s="173">
        <f t="shared" si="681"/>
        <v>1.850516542468041</v>
      </c>
      <c r="BE244" s="173">
        <f t="shared" si="682"/>
        <v>5.4689049963759162</v>
      </c>
      <c r="BG244" s="528">
        <f t="shared" si="683"/>
        <v>6.8488229478957469E-2</v>
      </c>
      <c r="BH244" s="528">
        <f t="shared" si="634"/>
        <v>1.3645525687361522</v>
      </c>
      <c r="BI244" s="528">
        <f t="shared" si="635"/>
        <v>0.15373716506793011</v>
      </c>
      <c r="BJ244" s="528">
        <f t="shared" si="684"/>
        <v>7.299541677322155E-2</v>
      </c>
      <c r="BK244">
        <f t="shared" si="685"/>
        <v>3.8138970651475534E-2</v>
      </c>
      <c r="BL244" s="460">
        <f t="shared" si="686"/>
        <v>191.87613571940565</v>
      </c>
      <c r="BM244" s="528">
        <f t="shared" si="636"/>
        <v>1.5497467611948905</v>
      </c>
      <c r="BN244" s="460">
        <f t="shared" si="687"/>
        <v>1549.7467611948905</v>
      </c>
      <c r="BO244" s="528">
        <f t="shared" si="637"/>
        <v>1.96</v>
      </c>
      <c r="BR244" s="460">
        <f t="shared" si="688"/>
        <v>1960</v>
      </c>
      <c r="BS244" s="528">
        <f t="shared" si="689"/>
        <v>0.10273234421843619</v>
      </c>
      <c r="BT244" s="528">
        <f t="shared" si="690"/>
        <v>0.89726765578156387</v>
      </c>
      <c r="BU244" s="528">
        <f t="shared" si="691"/>
        <v>0.709048625084026</v>
      </c>
      <c r="BV244" s="528"/>
      <c r="BW244" s="528">
        <f t="shared" si="692"/>
        <v>7.255751594637443E-3</v>
      </c>
      <c r="BX244" s="460">
        <f t="shared" si="693"/>
        <v>1716.3043766786634</v>
      </c>
      <c r="BY244" s="173">
        <f t="shared" si="694"/>
        <v>5.3742167273864005</v>
      </c>
      <c r="BZ244" s="5">
        <f t="shared" si="695"/>
        <v>42.000000000000007</v>
      </c>
      <c r="CA244" s="173">
        <f t="shared" si="696"/>
        <v>0.88655819349347387</v>
      </c>
      <c r="CB244" s="5">
        <f t="shared" si="697"/>
        <v>88.655819349347382</v>
      </c>
      <c r="CE244" s="562">
        <f t="shared" si="638"/>
        <v>-50</v>
      </c>
      <c r="CF244">
        <f t="shared" si="639"/>
        <v>-50</v>
      </c>
      <c r="CG244" s="173">
        <f t="shared" si="640"/>
        <v>0.56741754173330483</v>
      </c>
      <c r="CI244" s="170">
        <v>28</v>
      </c>
      <c r="CJ244" s="217">
        <f t="shared" si="698"/>
        <v>2.8000000000000003</v>
      </c>
      <c r="CK244" s="217"/>
      <c r="CL244" s="217">
        <f t="shared" si="641"/>
        <v>42.000000000000007</v>
      </c>
      <c r="CM244" s="541">
        <f t="shared" si="642"/>
        <v>85</v>
      </c>
      <c r="CN244" s="443">
        <f t="shared" si="643"/>
        <v>15.4</v>
      </c>
      <c r="CO244" s="443">
        <f t="shared" si="644"/>
        <v>100.4</v>
      </c>
      <c r="CP244" s="443"/>
      <c r="CQ244" s="217">
        <f t="shared" si="645"/>
        <v>0.15338645418326693</v>
      </c>
      <c r="CR244" s="172">
        <f t="shared" si="646"/>
        <v>327.33148655378488</v>
      </c>
      <c r="CS244" s="172">
        <f t="shared" si="647"/>
        <v>42.000000000000007</v>
      </c>
      <c r="CT244" s="217">
        <f t="shared" si="648"/>
        <v>21.822099103585661</v>
      </c>
      <c r="CU244" s="217">
        <f t="shared" si="649"/>
        <v>15</v>
      </c>
      <c r="CV244" s="217"/>
      <c r="CW244" s="172">
        <f t="shared" si="650"/>
        <v>673.9789881832387</v>
      </c>
      <c r="CX244" s="172">
        <f t="shared" si="651"/>
        <v>15</v>
      </c>
      <c r="CY244" s="217">
        <f t="shared" si="652"/>
        <v>6.4427807486631021</v>
      </c>
      <c r="CZ244" s="217">
        <f t="shared" si="653"/>
        <v>0.90956904687008489</v>
      </c>
      <c r="DA244" s="217">
        <f t="shared" si="654"/>
        <v>5.0203486353218976</v>
      </c>
      <c r="DB244" s="197">
        <f t="shared" si="655"/>
        <v>108.64873837981409</v>
      </c>
      <c r="DC244" s="443">
        <f t="shared" si="656"/>
        <v>168.63640502178978</v>
      </c>
      <c r="DE244" s="217">
        <f t="shared" si="657"/>
        <v>10</v>
      </c>
      <c r="DF244" s="173">
        <f t="shared" si="658"/>
        <v>7.7922077922077913</v>
      </c>
      <c r="DG244" s="173">
        <f t="shared" si="659"/>
        <v>4.2330677290836656</v>
      </c>
      <c r="DH244" s="173"/>
      <c r="DI244" s="173">
        <f t="shared" si="660"/>
        <v>7.7922077922077913</v>
      </c>
      <c r="DJ244" s="545">
        <f t="shared" si="661"/>
        <v>71.866666666666674</v>
      </c>
      <c r="DK244" s="528">
        <f t="shared" si="662"/>
        <v>4.2330677290836656</v>
      </c>
      <c r="DM244" s="173">
        <f t="shared" si="663"/>
        <v>4.5313721247910479</v>
      </c>
      <c r="DN244" s="173">
        <f t="shared" si="664"/>
        <v>10</v>
      </c>
      <c r="DO244" s="173">
        <f t="shared" si="665"/>
        <v>1.0410666666666666</v>
      </c>
      <c r="DQ244" s="545">
        <f t="shared" si="666"/>
        <v>2800.0000000000005</v>
      </c>
      <c r="DR244" s="460">
        <f t="shared" si="667"/>
        <v>71.866666666666674</v>
      </c>
      <c r="DT244">
        <f t="shared" si="668"/>
        <v>2800.0000000000005</v>
      </c>
      <c r="DU244">
        <f t="shared" si="669"/>
        <v>71.866666666666674</v>
      </c>
      <c r="DW244" s="5">
        <f t="shared" si="670"/>
        <v>13.914656771799628</v>
      </c>
      <c r="DX244" s="5">
        <f t="shared" si="671"/>
        <v>1.4117647058823528</v>
      </c>
      <c r="DY244" s="5">
        <f t="shared" si="672"/>
        <v>12.502892065917274</v>
      </c>
      <c r="DZ244" s="5"/>
      <c r="EA244" s="173">
        <f t="shared" si="673"/>
        <v>0.10145882352941177</v>
      </c>
      <c r="EB244" s="173">
        <f t="shared" si="699"/>
        <v>43.120000000000005</v>
      </c>
      <c r="EC244" s="173">
        <f t="shared" si="700"/>
        <v>4.4927058823529409</v>
      </c>
      <c r="ED244" s="173">
        <f t="shared" si="701"/>
        <v>9.5977794071436069</v>
      </c>
      <c r="EE244" s="460">
        <f t="shared" si="674"/>
        <v>26.352941176470591</v>
      </c>
      <c r="EF244" s="5">
        <f t="shared" si="675"/>
        <v>1.7160832247337439</v>
      </c>
      <c r="EH244" s="173">
        <f t="shared" si="702"/>
        <v>1.8390108168017187</v>
      </c>
      <c r="EI244" s="173">
        <f t="shared" si="703"/>
        <v>5.4727847161220957</v>
      </c>
      <c r="EK244" s="528">
        <f t="shared" si="704"/>
        <v>6.7639215686274498E-2</v>
      </c>
      <c r="EL244" s="528">
        <f t="shared" si="705"/>
        <v>1.443082666666667</v>
      </c>
      <c r="EM244" s="528">
        <f t="shared" si="706"/>
        <v>8.9833333333333345E-3</v>
      </c>
      <c r="EN244" s="528">
        <f t="shared" si="707"/>
        <v>7.2442749866666684E-2</v>
      </c>
      <c r="EO244">
        <f t="shared" si="708"/>
        <v>3.8249999999999999E-2</v>
      </c>
      <c r="EP244" s="460">
        <f t="shared" si="709"/>
        <v>47.233333333333334</v>
      </c>
      <c r="EQ244" s="460"/>
      <c r="ER244" s="460">
        <f t="shared" si="710"/>
        <v>1630.3979655529413</v>
      </c>
      <c r="ES244" s="528">
        <f t="shared" si="711"/>
        <v>1.96</v>
      </c>
      <c r="EV244" s="460">
        <f t="shared" si="712"/>
        <v>1960</v>
      </c>
      <c r="EW244" s="528">
        <f t="shared" si="713"/>
        <v>0.10145882352941174</v>
      </c>
      <c r="EX244" s="528">
        <f t="shared" si="714"/>
        <v>0.89854117647058829</v>
      </c>
      <c r="EY244" s="528">
        <f t="shared" si="715"/>
        <v>0.692291116589282</v>
      </c>
      <c r="EZ244" s="528"/>
      <c r="FA244" s="528">
        <f t="shared" si="716"/>
        <v>7.1866666666666685E-3</v>
      </c>
      <c r="FB244" s="460">
        <f t="shared" si="717"/>
        <v>1699.4777832559487</v>
      </c>
      <c r="FC244" s="173">
        <f t="shared" si="718"/>
        <v>5.2898757488088899</v>
      </c>
      <c r="FD244" s="5">
        <f t="shared" si="719"/>
        <v>42.000000000000007</v>
      </c>
      <c r="FE244" s="173">
        <f t="shared" si="720"/>
        <v>0.88813936038006769</v>
      </c>
      <c r="FF244" s="5">
        <f t="shared" si="721"/>
        <v>88.813936038006773</v>
      </c>
      <c r="FI244" s="562">
        <f t="shared" si="676"/>
        <v>-50</v>
      </c>
      <c r="FJ244">
        <f t="shared" si="677"/>
        <v>-50</v>
      </c>
      <c r="FL244">
        <f t="shared" si="678"/>
        <v>0.56000000000000005</v>
      </c>
    </row>
    <row r="245" spans="5:168">
      <c r="E245" s="170">
        <v>29</v>
      </c>
      <c r="F245" s="217">
        <f t="shared" si="679"/>
        <v>2.9</v>
      </c>
      <c r="G245" s="217"/>
      <c r="H245" s="217">
        <f t="shared" si="603"/>
        <v>43.5</v>
      </c>
      <c r="I245" s="541">
        <f t="shared" si="604"/>
        <v>84.753268114390082</v>
      </c>
      <c r="J245" s="172">
        <f t="shared" si="605"/>
        <v>15.548039131365949</v>
      </c>
      <c r="K245" s="172">
        <f t="shared" si="606"/>
        <v>100.30130724575604</v>
      </c>
      <c r="L245" s="443"/>
      <c r="M245" s="217">
        <f t="shared" si="607"/>
        <v>0.15502984391561525</v>
      </c>
      <c r="N245" s="172">
        <f t="shared" si="608"/>
        <v>329.8781973075603</v>
      </c>
      <c r="O245" s="172">
        <f t="shared" si="599"/>
        <v>43.5</v>
      </c>
      <c r="P245" s="217">
        <f t="shared" si="609"/>
        <v>21.991879820504021</v>
      </c>
      <c r="Q245" s="217">
        <f t="shared" si="610"/>
        <v>15</v>
      </c>
      <c r="R245" s="217"/>
      <c r="S245" s="172">
        <f t="shared" si="611"/>
        <v>645.93080550543277</v>
      </c>
      <c r="T245" s="172">
        <f t="shared" si="612"/>
        <v>15</v>
      </c>
      <c r="U245" s="217">
        <f t="shared" si="613"/>
        <v>6.8641477550844643</v>
      </c>
      <c r="V245" s="217">
        <f t="shared" si="614"/>
        <v>0.97187724902643813</v>
      </c>
      <c r="W245" s="217">
        <f t="shared" si="615"/>
        <v>5.29775956730417</v>
      </c>
      <c r="X245" s="197">
        <f t="shared" si="616"/>
        <v>109.48238241177424</v>
      </c>
      <c r="Y245" s="443">
        <f t="shared" si="680"/>
        <v>154.5681818608129</v>
      </c>
      <c r="AA245" s="217">
        <f t="shared" si="617"/>
        <v>10</v>
      </c>
      <c r="AB245" s="173">
        <f t="shared" si="618"/>
        <v>7.7180150491078416</v>
      </c>
      <c r="AC245" s="173">
        <f t="shared" si="619"/>
        <v>4.2249333753312666</v>
      </c>
      <c r="AD245" s="173"/>
      <c r="AE245" s="173">
        <f t="shared" si="620"/>
        <v>7.7180150491078416</v>
      </c>
      <c r="AF245" s="545">
        <f t="shared" si="621"/>
        <v>75.148855801602068</v>
      </c>
      <c r="AG245" s="528">
        <f t="shared" si="622"/>
        <v>4.2249333753312666</v>
      </c>
      <c r="AI245" s="173">
        <f t="shared" si="623"/>
        <v>4.6336920115174456</v>
      </c>
      <c r="AJ245" s="173">
        <f t="shared" si="624"/>
        <v>10</v>
      </c>
      <c r="AK245" s="173">
        <f t="shared" si="625"/>
        <v>1.0429422033152012</v>
      </c>
      <c r="AM245" s="545">
        <f t="shared" si="626"/>
        <v>2900</v>
      </c>
      <c r="AN245" s="460">
        <f t="shared" si="627"/>
        <v>75.148855801602068</v>
      </c>
      <c r="AP245">
        <f t="shared" si="628"/>
        <v>2900</v>
      </c>
      <c r="AQ245">
        <f t="shared" si="629"/>
        <v>75.148855801602068</v>
      </c>
      <c r="AS245" s="5">
        <f t="shared" si="600"/>
        <v>13.306922498461798</v>
      </c>
      <c r="AT245" s="5">
        <f t="shared" si="630"/>
        <v>1.4158746048357451</v>
      </c>
      <c r="AU245" s="5">
        <f t="shared" si="722"/>
        <v>11.891047893626054</v>
      </c>
      <c r="AV245" s="5"/>
      <c r="AW245" s="173">
        <f t="shared" si="723"/>
        <v>0.10640135651195172</v>
      </c>
      <c r="AX245" s="173">
        <f t="shared" si="631"/>
        <v>45.089313480961245</v>
      </c>
      <c r="AY245" s="173">
        <f t="shared" si="632"/>
        <v>4.4679932174402417</v>
      </c>
      <c r="AZ245" s="173">
        <f t="shared" si="633"/>
        <v>10.091625319609005</v>
      </c>
      <c r="BA245" s="460">
        <f t="shared" ref="BA245:BA308" si="724">F245*AT245/Vout_ripple*1000</f>
        <v>27.37357569349107</v>
      </c>
      <c r="BB245" s="5">
        <f t="shared" ref="BB245:BB308" si="725">H245/Efficiency/I245*AU245/Vinripple1</f>
        <v>1.6953151020369808</v>
      </c>
      <c r="BD245" s="173">
        <f t="shared" si="681"/>
        <v>1.883271590539114</v>
      </c>
      <c r="BE245" s="173">
        <f t="shared" si="682"/>
        <v>5.4577121076144728</v>
      </c>
      <c r="BG245" s="528">
        <f t="shared" si="683"/>
        <v>7.0934237674634484E-2</v>
      </c>
      <c r="BH245" s="528">
        <f t="shared" si="634"/>
        <v>1.4132865890481572</v>
      </c>
      <c r="BI245" s="528">
        <f t="shared" si="635"/>
        <v>0.15922777810607044</v>
      </c>
      <c r="BJ245" s="528">
        <f t="shared" si="684"/>
        <v>7.5602395943693737E-2</v>
      </c>
      <c r="BK245">
        <f t="shared" si="685"/>
        <v>3.8138970651475534E-2</v>
      </c>
      <c r="BL245" s="460">
        <f t="shared" si="686"/>
        <v>197.36674875754599</v>
      </c>
      <c r="BM245" s="528">
        <f t="shared" si="636"/>
        <v>1.6060436867781154</v>
      </c>
      <c r="BN245" s="460">
        <f t="shared" si="687"/>
        <v>1606.0436867781154</v>
      </c>
      <c r="BO245" s="528">
        <f t="shared" si="637"/>
        <v>2.0299999999999998</v>
      </c>
      <c r="BR245" s="460">
        <f t="shared" si="688"/>
        <v>2029.9999999999998</v>
      </c>
      <c r="BS245" s="528">
        <f t="shared" si="689"/>
        <v>0.10640135651195172</v>
      </c>
      <c r="BT245" s="528">
        <f t="shared" si="690"/>
        <v>0.89359864348804829</v>
      </c>
      <c r="BU245" s="528">
        <f t="shared" si="691"/>
        <v>0.77406233485690479</v>
      </c>
      <c r="BV245" s="528"/>
      <c r="BW245" s="528">
        <f t="shared" si="692"/>
        <v>7.514885580160207E-3</v>
      </c>
      <c r="BX245" s="460">
        <f t="shared" si="693"/>
        <v>1781.5772204370649</v>
      </c>
      <c r="BY245" s="173">
        <f t="shared" si="694"/>
        <v>5.5687671918610961</v>
      </c>
      <c r="BZ245" s="5">
        <f t="shared" si="695"/>
        <v>43.5</v>
      </c>
      <c r="CA245" s="173">
        <f t="shared" si="696"/>
        <v>0.88651096184897071</v>
      </c>
      <c r="CB245" s="5">
        <f t="shared" si="697"/>
        <v>88.651096184897071</v>
      </c>
      <c r="CE245" s="562">
        <f t="shared" si="638"/>
        <v>-50</v>
      </c>
      <c r="CF245">
        <f t="shared" si="639"/>
        <v>-50</v>
      </c>
      <c r="CG245" s="173">
        <f t="shared" si="640"/>
        <v>0.58768245393806562</v>
      </c>
      <c r="CI245" s="170">
        <v>29</v>
      </c>
      <c r="CJ245" s="217">
        <f t="shared" si="698"/>
        <v>2.9</v>
      </c>
      <c r="CK245" s="217"/>
      <c r="CL245" s="217">
        <f t="shared" si="641"/>
        <v>43.5</v>
      </c>
      <c r="CM245" s="541">
        <f t="shared" si="642"/>
        <v>85</v>
      </c>
      <c r="CN245" s="443">
        <f t="shared" si="643"/>
        <v>15.4</v>
      </c>
      <c r="CO245" s="443">
        <f t="shared" si="644"/>
        <v>100.4</v>
      </c>
      <c r="CP245" s="443"/>
      <c r="CQ245" s="217">
        <f t="shared" si="645"/>
        <v>0.15338645418326693</v>
      </c>
      <c r="CR245" s="172">
        <f t="shared" si="646"/>
        <v>327.33148655378488</v>
      </c>
      <c r="CS245" s="172">
        <f t="shared" si="647"/>
        <v>43.5</v>
      </c>
      <c r="CT245" s="217">
        <f t="shared" si="648"/>
        <v>21.822099103585661</v>
      </c>
      <c r="CU245" s="217">
        <f t="shared" si="649"/>
        <v>15</v>
      </c>
      <c r="CV245" s="217"/>
      <c r="CW245" s="172">
        <f t="shared" si="650"/>
        <v>647.81107274027545</v>
      </c>
      <c r="CX245" s="172">
        <f t="shared" si="651"/>
        <v>15</v>
      </c>
      <c r="CY245" s="217">
        <f t="shared" si="652"/>
        <v>6.6728800611153547</v>
      </c>
      <c r="CZ245" s="217">
        <f t="shared" si="653"/>
        <v>0.94205365568687371</v>
      </c>
      <c r="DA245" s="217">
        <f t="shared" si="654"/>
        <v>5.1996468008691084</v>
      </c>
      <c r="DB245" s="197">
        <f t="shared" si="655"/>
        <v>108.64873837981409</v>
      </c>
      <c r="DC245" s="443">
        <f t="shared" si="656"/>
        <v>162.82135657276254</v>
      </c>
      <c r="DE245" s="217">
        <f t="shared" si="657"/>
        <v>10</v>
      </c>
      <c r="DF245" s="173">
        <f t="shared" si="658"/>
        <v>7.7922077922077913</v>
      </c>
      <c r="DG245" s="173">
        <f t="shared" si="659"/>
        <v>4.2330677290836656</v>
      </c>
      <c r="DH245" s="173"/>
      <c r="DI245" s="173">
        <f t="shared" si="660"/>
        <v>7.7922077922077913</v>
      </c>
      <c r="DJ245" s="545">
        <f t="shared" si="661"/>
        <v>74.433333333333323</v>
      </c>
      <c r="DK245" s="528">
        <f t="shared" si="662"/>
        <v>4.2330677290836656</v>
      </c>
      <c r="DM245" s="173">
        <f t="shared" si="663"/>
        <v>4.6115796281390038</v>
      </c>
      <c r="DN245" s="173">
        <f t="shared" si="664"/>
        <v>10</v>
      </c>
      <c r="DO245" s="173">
        <f t="shared" si="665"/>
        <v>1.0425333333333333</v>
      </c>
      <c r="DQ245" s="545">
        <f t="shared" si="666"/>
        <v>2900</v>
      </c>
      <c r="DR245" s="460">
        <f t="shared" si="667"/>
        <v>74.433333333333323</v>
      </c>
      <c r="DT245">
        <f t="shared" si="668"/>
        <v>2900</v>
      </c>
      <c r="DU245">
        <f t="shared" si="669"/>
        <v>74.433333333333323</v>
      </c>
      <c r="DW245" s="5">
        <f t="shared" si="670"/>
        <v>13.434841021047919</v>
      </c>
      <c r="DX245" s="5">
        <f t="shared" si="671"/>
        <v>1.4117647058823528</v>
      </c>
      <c r="DY245" s="5">
        <f t="shared" si="672"/>
        <v>12.023076315165566</v>
      </c>
      <c r="DZ245" s="5"/>
      <c r="EA245" s="173">
        <f t="shared" si="673"/>
        <v>0.10508235294117645</v>
      </c>
      <c r="EB245" s="173">
        <f t="shared" si="699"/>
        <v>44.66</v>
      </c>
      <c r="EC245" s="173">
        <f t="shared" si="700"/>
        <v>4.4745882352941182</v>
      </c>
      <c r="ED245" s="173">
        <f t="shared" si="701"/>
        <v>9.9808066466845435</v>
      </c>
      <c r="EE245" s="460">
        <f t="shared" si="674"/>
        <v>27.294117647058822</v>
      </c>
      <c r="EF245" s="5">
        <f t="shared" si="675"/>
        <v>1.7091628095088305</v>
      </c>
      <c r="EH245" s="173">
        <f t="shared" si="702"/>
        <v>1.8715622078999177</v>
      </c>
      <c r="EI245" s="173">
        <f t="shared" si="703"/>
        <v>5.4617385725878638</v>
      </c>
      <c r="EK245" s="528">
        <f t="shared" si="704"/>
        <v>7.0054901960784288E-2</v>
      </c>
      <c r="EL245" s="528">
        <f t="shared" si="705"/>
        <v>1.4946213333333331</v>
      </c>
      <c r="EM245" s="528">
        <f t="shared" si="706"/>
        <v>9.3041666666666654E-3</v>
      </c>
      <c r="EN245" s="528">
        <f t="shared" si="707"/>
        <v>7.5029990933333332E-2</v>
      </c>
      <c r="EO245">
        <f t="shared" si="708"/>
        <v>3.8249999999999999E-2</v>
      </c>
      <c r="EP245" s="460">
        <f t="shared" si="709"/>
        <v>47.55416666666666</v>
      </c>
      <c r="EQ245" s="460"/>
      <c r="ER245" s="460">
        <f t="shared" si="710"/>
        <v>1687.2603928941176</v>
      </c>
      <c r="ES245" s="528">
        <f t="shared" si="711"/>
        <v>2.0299999999999998</v>
      </c>
      <c r="EV245" s="460">
        <f t="shared" si="712"/>
        <v>2029.9999999999998</v>
      </c>
      <c r="EW245" s="528">
        <f t="shared" si="713"/>
        <v>0.10508235294117643</v>
      </c>
      <c r="EX245" s="528">
        <f t="shared" si="714"/>
        <v>0.89491764705882348</v>
      </c>
      <c r="EY245" s="528">
        <f t="shared" si="715"/>
        <v>0.75576830579749188</v>
      </c>
      <c r="EZ245" s="528"/>
      <c r="FA245" s="528">
        <f t="shared" si="716"/>
        <v>7.4433333333333331E-3</v>
      </c>
      <c r="FB245" s="460">
        <f t="shared" si="717"/>
        <v>1763.211639130825</v>
      </c>
      <c r="FC245" s="173">
        <f t="shared" si="718"/>
        <v>5.4804720320249434</v>
      </c>
      <c r="FD245" s="5">
        <f t="shared" si="719"/>
        <v>43.5</v>
      </c>
      <c r="FE245" s="173">
        <f t="shared" si="720"/>
        <v>0.88810904009986591</v>
      </c>
      <c r="FF245" s="5">
        <f t="shared" si="721"/>
        <v>88.810904009986587</v>
      </c>
      <c r="FI245" s="562">
        <f t="shared" si="676"/>
        <v>-50</v>
      </c>
      <c r="FJ245">
        <f t="shared" si="677"/>
        <v>-50</v>
      </c>
      <c r="FL245">
        <f t="shared" si="678"/>
        <v>0.57999999999999985</v>
      </c>
    </row>
    <row r="246" spans="5:168">
      <c r="E246" s="170">
        <v>30</v>
      </c>
      <c r="F246" s="217">
        <f t="shared" si="679"/>
        <v>3</v>
      </c>
      <c r="G246" s="217"/>
      <c r="H246" s="217">
        <f t="shared" si="603"/>
        <v>45</v>
      </c>
      <c r="I246" s="541">
        <f t="shared" si="604"/>
        <v>84.753268114390082</v>
      </c>
      <c r="J246" s="172">
        <f t="shared" si="605"/>
        <v>15.548039131365949</v>
      </c>
      <c r="K246" s="172">
        <f t="shared" si="606"/>
        <v>100.30130724575604</v>
      </c>
      <c r="L246" s="443"/>
      <c r="M246" s="217">
        <f t="shared" si="607"/>
        <v>0.15502984391561525</v>
      </c>
      <c r="N246" s="172">
        <f t="shared" si="608"/>
        <v>329.8781973075603</v>
      </c>
      <c r="O246" s="172">
        <f t="shared" si="599"/>
        <v>45</v>
      </c>
      <c r="P246" s="217">
        <f t="shared" si="609"/>
        <v>21.991879820504021</v>
      </c>
      <c r="Q246" s="217">
        <f t="shared" si="610"/>
        <v>15</v>
      </c>
      <c r="R246" s="217"/>
      <c r="S246" s="172">
        <f t="shared" si="611"/>
        <v>621.57847176810208</v>
      </c>
      <c r="T246" s="172">
        <f t="shared" si="612"/>
        <v>15</v>
      </c>
      <c r="U246" s="217">
        <f t="shared" si="613"/>
        <v>7.1008425052597914</v>
      </c>
      <c r="V246" s="217">
        <f t="shared" si="614"/>
        <v>1.0053902576135569</v>
      </c>
      <c r="W246" s="217">
        <f t="shared" si="615"/>
        <v>5.4804409316939697</v>
      </c>
      <c r="X246" s="197">
        <f t="shared" si="616"/>
        <v>109.48238241177424</v>
      </c>
      <c r="Y246" s="443">
        <f t="shared" si="680"/>
        <v>149.57003425382226</v>
      </c>
      <c r="AA246" s="217">
        <f t="shared" si="617"/>
        <v>10</v>
      </c>
      <c r="AB246" s="173">
        <f t="shared" si="618"/>
        <v>7.7180150491078416</v>
      </c>
      <c r="AC246" s="173">
        <f t="shared" si="619"/>
        <v>4.2249333753312666</v>
      </c>
      <c r="AD246" s="173"/>
      <c r="AE246" s="173">
        <f t="shared" si="620"/>
        <v>7.7180150491078416</v>
      </c>
      <c r="AF246" s="545">
        <f t="shared" si="621"/>
        <v>77.740195656829727</v>
      </c>
      <c r="AG246" s="528">
        <f t="shared" si="622"/>
        <v>4.2249333753312666</v>
      </c>
      <c r="AI246" s="173">
        <f t="shared" si="623"/>
        <v>4.7129061600439197</v>
      </c>
      <c r="AJ246" s="173">
        <f t="shared" si="624"/>
        <v>10</v>
      </c>
      <c r="AK246" s="173">
        <f t="shared" si="625"/>
        <v>1.0444229689467599</v>
      </c>
      <c r="AM246" s="545">
        <f t="shared" si="626"/>
        <v>3000</v>
      </c>
      <c r="AN246" s="460">
        <f t="shared" si="627"/>
        <v>77.740195656829727</v>
      </c>
      <c r="AP246">
        <f t="shared" si="628"/>
        <v>3000</v>
      </c>
      <c r="AQ246">
        <f t="shared" si="629"/>
        <v>77.740195656829727</v>
      </c>
      <c r="AS246" s="5">
        <f t="shared" si="600"/>
        <v>12.863358415179738</v>
      </c>
      <c r="AT246" s="5">
        <f t="shared" si="630"/>
        <v>1.4158746048357451</v>
      </c>
      <c r="AU246" s="5">
        <f t="shared" si="722"/>
        <v>11.447483810343993</v>
      </c>
      <c r="AV246" s="5"/>
      <c r="AW246" s="173">
        <f t="shared" si="723"/>
        <v>0.11007036880546731</v>
      </c>
      <c r="AX246" s="173">
        <f t="shared" si="631"/>
        <v>46.64411739409784</v>
      </c>
      <c r="AY246" s="173">
        <f t="shared" si="632"/>
        <v>4.4496481559726639</v>
      </c>
      <c r="AZ246" s="173">
        <f t="shared" si="633"/>
        <v>10.482652955714819</v>
      </c>
      <c r="BA246" s="460">
        <f t="shared" si="724"/>
        <v>28.317492096714908</v>
      </c>
      <c r="BB246" s="5">
        <f t="shared" si="725"/>
        <v>1.6883543350348322</v>
      </c>
      <c r="BD246" s="173">
        <f t="shared" si="681"/>
        <v>1.9154665994257321</v>
      </c>
      <c r="BE246" s="173">
        <f t="shared" si="682"/>
        <v>5.4464962168184563</v>
      </c>
      <c r="BG246" s="528">
        <f t="shared" si="683"/>
        <v>7.3380245870311556E-2</v>
      </c>
      <c r="BH246" s="528">
        <f t="shared" si="634"/>
        <v>1.4620206093601626</v>
      </c>
      <c r="BI246" s="528">
        <f t="shared" si="635"/>
        <v>0.16471839114421083</v>
      </c>
      <c r="BJ246" s="528">
        <f t="shared" si="684"/>
        <v>7.8209375114165938E-2</v>
      </c>
      <c r="BK246">
        <f t="shared" si="685"/>
        <v>3.8138970651475534E-2</v>
      </c>
      <c r="BL246" s="460">
        <f t="shared" si="686"/>
        <v>202.85736179568636</v>
      </c>
      <c r="BM246" s="528">
        <f t="shared" si="636"/>
        <v>1.6624072098408451</v>
      </c>
      <c r="BN246" s="460">
        <f t="shared" si="687"/>
        <v>1662.4072098408451</v>
      </c>
      <c r="BO246" s="528">
        <f t="shared" si="637"/>
        <v>2.0999999999999996</v>
      </c>
      <c r="BR246" s="460">
        <f t="shared" si="688"/>
        <v>2099.9999999999995</v>
      </c>
      <c r="BS246" s="528">
        <f t="shared" si="689"/>
        <v>0.11007036880546733</v>
      </c>
      <c r="BT246" s="528">
        <f t="shared" si="690"/>
        <v>0.88992963119453272</v>
      </c>
      <c r="BU246" s="528">
        <f t="shared" si="691"/>
        <v>0.8425274855789171</v>
      </c>
      <c r="BV246" s="528"/>
      <c r="BW246" s="528">
        <f t="shared" si="692"/>
        <v>7.7740195656829736E-3</v>
      </c>
      <c r="BX246" s="460">
        <f t="shared" si="693"/>
        <v>1850.3015051446</v>
      </c>
      <c r="BY246" s="173">
        <f t="shared" si="694"/>
        <v>5.7667690972849259</v>
      </c>
      <c r="BZ246" s="5">
        <f t="shared" si="695"/>
        <v>45</v>
      </c>
      <c r="CA246" s="173">
        <f t="shared" si="696"/>
        <v>0.88640661598468073</v>
      </c>
      <c r="CB246" s="5">
        <f t="shared" si="697"/>
        <v>88.640661598468071</v>
      </c>
      <c r="CE246" s="562">
        <f t="shared" si="638"/>
        <v>-50</v>
      </c>
      <c r="CF246">
        <f t="shared" si="639"/>
        <v>-50</v>
      </c>
      <c r="CG246" s="173">
        <f t="shared" si="640"/>
        <v>0.60794736614282663</v>
      </c>
      <c r="CI246" s="170">
        <v>30</v>
      </c>
      <c r="CJ246" s="217">
        <f t="shared" si="698"/>
        <v>3</v>
      </c>
      <c r="CK246" s="217"/>
      <c r="CL246" s="217">
        <f t="shared" si="641"/>
        <v>45</v>
      </c>
      <c r="CM246" s="541">
        <f t="shared" si="642"/>
        <v>85</v>
      </c>
      <c r="CN246" s="443">
        <f t="shared" si="643"/>
        <v>15.4</v>
      </c>
      <c r="CO246" s="443">
        <f t="shared" si="644"/>
        <v>100.4</v>
      </c>
      <c r="CP246" s="443"/>
      <c r="CQ246" s="217">
        <f t="shared" si="645"/>
        <v>0.15338645418326693</v>
      </c>
      <c r="CR246" s="172">
        <f t="shared" si="646"/>
        <v>327.33148655378488</v>
      </c>
      <c r="CS246" s="172">
        <f t="shared" si="647"/>
        <v>45</v>
      </c>
      <c r="CT246" s="217">
        <f t="shared" si="648"/>
        <v>21.822099103585661</v>
      </c>
      <c r="CU246" s="217">
        <f t="shared" si="649"/>
        <v>15</v>
      </c>
      <c r="CV246" s="217"/>
      <c r="CW246" s="172">
        <f t="shared" si="650"/>
        <v>623.3878390448458</v>
      </c>
      <c r="CX246" s="172">
        <f t="shared" si="651"/>
        <v>15</v>
      </c>
      <c r="CY246" s="217">
        <f t="shared" si="652"/>
        <v>6.902979373567609</v>
      </c>
      <c r="CZ246" s="217">
        <f t="shared" si="653"/>
        <v>0.97453826450366232</v>
      </c>
      <c r="DA246" s="217">
        <f t="shared" si="654"/>
        <v>5.3789449664163183</v>
      </c>
      <c r="DB246" s="197">
        <f t="shared" si="655"/>
        <v>108.64873837981409</v>
      </c>
      <c r="DC246" s="443">
        <f t="shared" si="656"/>
        <v>157.39397802033713</v>
      </c>
      <c r="DE246" s="217">
        <f t="shared" si="657"/>
        <v>10</v>
      </c>
      <c r="DF246" s="173">
        <f t="shared" si="658"/>
        <v>7.7922077922077913</v>
      </c>
      <c r="DG246" s="173">
        <f t="shared" si="659"/>
        <v>4.2330677290836656</v>
      </c>
      <c r="DH246" s="173"/>
      <c r="DI246" s="173">
        <f t="shared" si="660"/>
        <v>7.7922077922077913</v>
      </c>
      <c r="DJ246" s="545">
        <f t="shared" si="661"/>
        <v>77</v>
      </c>
      <c r="DK246" s="528">
        <f t="shared" si="662"/>
        <v>4.2330677290836656</v>
      </c>
      <c r="DM246" s="173">
        <f t="shared" si="663"/>
        <v>4.6904157598234297</v>
      </c>
      <c r="DN246" s="173">
        <f t="shared" si="664"/>
        <v>10</v>
      </c>
      <c r="DO246" s="173">
        <f t="shared" si="665"/>
        <v>1.044</v>
      </c>
      <c r="DQ246" s="545">
        <f t="shared" si="666"/>
        <v>3000</v>
      </c>
      <c r="DR246" s="460">
        <f t="shared" si="667"/>
        <v>77</v>
      </c>
      <c r="DT246">
        <f t="shared" si="668"/>
        <v>3000</v>
      </c>
      <c r="DU246">
        <f t="shared" si="669"/>
        <v>77</v>
      </c>
      <c r="DW246" s="5">
        <f t="shared" si="670"/>
        <v>12.987012987012989</v>
      </c>
      <c r="DX246" s="5">
        <f t="shared" si="671"/>
        <v>1.4117647058823528</v>
      </c>
      <c r="DY246" s="5">
        <f t="shared" si="672"/>
        <v>11.575248281130635</v>
      </c>
      <c r="DZ246" s="5"/>
      <c r="EA246" s="173">
        <f t="shared" si="673"/>
        <v>0.10870588235294115</v>
      </c>
      <c r="EB246" s="173">
        <f t="shared" si="699"/>
        <v>46.2</v>
      </c>
      <c r="EC246" s="173">
        <f t="shared" si="700"/>
        <v>4.4564705882352937</v>
      </c>
      <c r="ED246" s="173">
        <f t="shared" si="701"/>
        <v>10.366948257655757</v>
      </c>
      <c r="EE246" s="460">
        <f t="shared" si="674"/>
        <v>28.235294117647054</v>
      </c>
      <c r="EF246" s="5">
        <f t="shared" si="675"/>
        <v>1.7022423942839171</v>
      </c>
      <c r="EH246" s="173">
        <f t="shared" si="702"/>
        <v>1.9035570418993766</v>
      </c>
      <c r="EI246" s="173">
        <f t="shared" si="703"/>
        <v>5.4506700433587643</v>
      </c>
      <c r="EK246" s="528">
        <f t="shared" si="704"/>
        <v>7.2470588235294106E-2</v>
      </c>
      <c r="EL246" s="528">
        <f t="shared" si="705"/>
        <v>1.54616</v>
      </c>
      <c r="EM246" s="528">
        <f t="shared" si="706"/>
        <v>9.6249999999999999E-3</v>
      </c>
      <c r="EN246" s="528">
        <f t="shared" si="707"/>
        <v>7.7617232000000008E-2</v>
      </c>
      <c r="EO246">
        <f t="shared" si="708"/>
        <v>3.8249999999999999E-2</v>
      </c>
      <c r="EP246" s="460">
        <f t="shared" si="709"/>
        <v>47.875</v>
      </c>
      <c r="EQ246" s="460"/>
      <c r="ER246" s="460">
        <f t="shared" si="710"/>
        <v>1744.1228202352938</v>
      </c>
      <c r="ES246" s="528">
        <f t="shared" si="711"/>
        <v>2.0999999999999996</v>
      </c>
      <c r="EV246" s="460">
        <f t="shared" si="712"/>
        <v>2099.9999999999995</v>
      </c>
      <c r="EW246" s="528">
        <f t="shared" si="713"/>
        <v>0.10870588235294115</v>
      </c>
      <c r="EX246" s="528">
        <f t="shared" si="714"/>
        <v>0.8912941176470589</v>
      </c>
      <c r="EY246" s="528">
        <f t="shared" si="715"/>
        <v>0.82261536531358459</v>
      </c>
      <c r="EZ246" s="528"/>
      <c r="FA246" s="528">
        <f t="shared" si="716"/>
        <v>7.7000000000000011E-3</v>
      </c>
      <c r="FB246" s="460">
        <f t="shared" si="717"/>
        <v>1830.3153653135846</v>
      </c>
      <c r="FC246" s="173">
        <f t="shared" si="718"/>
        <v>5.6744381855488779</v>
      </c>
      <c r="FD246" s="5">
        <f t="shared" si="719"/>
        <v>45</v>
      </c>
      <c r="FE246" s="173">
        <f t="shared" si="720"/>
        <v>0.88802168531654113</v>
      </c>
      <c r="FF246" s="5">
        <f t="shared" si="721"/>
        <v>88.802168531654118</v>
      </c>
      <c r="FI246" s="562">
        <f t="shared" si="676"/>
        <v>-50</v>
      </c>
      <c r="FJ246">
        <f t="shared" si="677"/>
        <v>-50</v>
      </c>
      <c r="FL246">
        <f t="shared" si="678"/>
        <v>0.6</v>
      </c>
    </row>
    <row r="247" spans="5:168">
      <c r="E247" s="170">
        <v>31</v>
      </c>
      <c r="F247" s="217">
        <f t="shared" si="679"/>
        <v>3.1</v>
      </c>
      <c r="G247" s="217"/>
      <c r="H247" s="217">
        <f t="shared" si="603"/>
        <v>46.5</v>
      </c>
      <c r="I247" s="541">
        <f t="shared" si="604"/>
        <v>84.753268114390082</v>
      </c>
      <c r="J247" s="172">
        <f t="shared" si="605"/>
        <v>15.548039131365949</v>
      </c>
      <c r="K247" s="172">
        <f t="shared" si="606"/>
        <v>100.30130724575604</v>
      </c>
      <c r="L247" s="443"/>
      <c r="M247" s="217">
        <f t="shared" si="607"/>
        <v>0.15502984391561525</v>
      </c>
      <c r="N247" s="172">
        <f t="shared" si="608"/>
        <v>329.8781973075603</v>
      </c>
      <c r="O247" s="172">
        <f t="shared" si="599"/>
        <v>46.5</v>
      </c>
      <c r="P247" s="217">
        <f t="shared" si="609"/>
        <v>21.991879820504021</v>
      </c>
      <c r="Q247" s="217">
        <f t="shared" si="610"/>
        <v>15</v>
      </c>
      <c r="R247" s="217"/>
      <c r="S247" s="172">
        <f t="shared" si="611"/>
        <v>598.79740744266314</v>
      </c>
      <c r="T247" s="172">
        <f t="shared" si="612"/>
        <v>15</v>
      </c>
      <c r="U247" s="217">
        <f t="shared" si="613"/>
        <v>7.3375372554351177</v>
      </c>
      <c r="V247" s="217">
        <f t="shared" si="614"/>
        <v>1.0389032662006754</v>
      </c>
      <c r="W247" s="217">
        <f t="shared" si="615"/>
        <v>5.6631222960837686</v>
      </c>
      <c r="X247" s="197">
        <f t="shared" si="616"/>
        <v>109.48238241177424</v>
      </c>
      <c r="Y247" s="443">
        <f t="shared" si="680"/>
        <v>144.88500382618381</v>
      </c>
      <c r="AA247" s="217">
        <f t="shared" si="617"/>
        <v>10</v>
      </c>
      <c r="AB247" s="173">
        <f t="shared" si="618"/>
        <v>7.7180150491078416</v>
      </c>
      <c r="AC247" s="173">
        <f t="shared" si="619"/>
        <v>4.2249333753312666</v>
      </c>
      <c r="AD247" s="173"/>
      <c r="AE247" s="173">
        <f t="shared" si="620"/>
        <v>7.7180150491078416</v>
      </c>
      <c r="AF247" s="545">
        <f t="shared" si="621"/>
        <v>80.3315355120574</v>
      </c>
      <c r="AG247" s="528">
        <f t="shared" si="622"/>
        <v>4.2249333753312666</v>
      </c>
      <c r="AI247" s="173">
        <f t="shared" si="623"/>
        <v>4.7908107131423234</v>
      </c>
      <c r="AJ247" s="173">
        <f t="shared" si="624"/>
        <v>10</v>
      </c>
      <c r="AK247" s="173">
        <f t="shared" si="625"/>
        <v>1.0459037345783184</v>
      </c>
      <c r="AM247" s="545">
        <f t="shared" si="626"/>
        <v>3100</v>
      </c>
      <c r="AN247" s="460">
        <f t="shared" si="627"/>
        <v>80.3315355120574</v>
      </c>
      <c r="AP247">
        <f t="shared" si="628"/>
        <v>3100</v>
      </c>
      <c r="AQ247">
        <f t="shared" si="629"/>
        <v>80.3315355120574</v>
      </c>
      <c r="AS247" s="5">
        <f t="shared" si="600"/>
        <v>12.448411369528777</v>
      </c>
      <c r="AT247" s="5">
        <f t="shared" si="630"/>
        <v>1.4158746048357451</v>
      </c>
      <c r="AU247" s="5">
        <f t="shared" si="722"/>
        <v>11.032536764693033</v>
      </c>
      <c r="AV247" s="5"/>
      <c r="AW247" s="173">
        <f t="shared" si="723"/>
        <v>0.11373938109898289</v>
      </c>
      <c r="AX247" s="173">
        <f t="shared" si="631"/>
        <v>48.198921307234443</v>
      </c>
      <c r="AY247" s="173">
        <f t="shared" si="632"/>
        <v>4.4313030945050862</v>
      </c>
      <c r="AZ247" s="173">
        <f t="shared" si="633"/>
        <v>10.876918206520825</v>
      </c>
      <c r="BA247" s="460">
        <f t="shared" si="724"/>
        <v>29.261408499938735</v>
      </c>
      <c r="BB247" s="5">
        <f t="shared" si="725"/>
        <v>1.6813935680326835</v>
      </c>
      <c r="BD247" s="173">
        <f t="shared" si="681"/>
        <v>1.9471293494011714</v>
      </c>
      <c r="BE247" s="173">
        <f t="shared" si="682"/>
        <v>5.4352571815907584</v>
      </c>
      <c r="BG247" s="528">
        <f t="shared" si="683"/>
        <v>7.5826254065988585E-2</v>
      </c>
      <c r="BH247" s="528">
        <f t="shared" si="634"/>
        <v>1.5107546296721683</v>
      </c>
      <c r="BI247" s="528">
        <f t="shared" si="635"/>
        <v>0.17020900418235121</v>
      </c>
      <c r="BJ247" s="528">
        <f t="shared" si="684"/>
        <v>8.0816354284638139E-2</v>
      </c>
      <c r="BK247">
        <f t="shared" si="685"/>
        <v>3.8138970651475534E-2</v>
      </c>
      <c r="BL247" s="460">
        <f t="shared" si="686"/>
        <v>208.34797483382675</v>
      </c>
      <c r="BM247" s="528">
        <f t="shared" si="636"/>
        <v>1.718837448627081</v>
      </c>
      <c r="BN247" s="460">
        <f t="shared" si="687"/>
        <v>1718.8374486270809</v>
      </c>
      <c r="BO247" s="528">
        <f t="shared" si="637"/>
        <v>2.17</v>
      </c>
      <c r="BR247" s="460">
        <f t="shared" si="688"/>
        <v>2170</v>
      </c>
      <c r="BS247" s="528">
        <f t="shared" si="689"/>
        <v>0.11373938109898288</v>
      </c>
      <c r="BT247" s="528">
        <f t="shared" si="690"/>
        <v>0.88626061890101737</v>
      </c>
      <c r="BU247" s="528">
        <f t="shared" si="691"/>
        <v>0.91450308621725729</v>
      </c>
      <c r="BV247" s="528"/>
      <c r="BW247" s="528">
        <f t="shared" si="692"/>
        <v>8.0331535512057402E-3</v>
      </c>
      <c r="BX247" s="460">
        <f t="shared" si="693"/>
        <v>1922.5362397684632</v>
      </c>
      <c r="BY247" s="173">
        <f t="shared" si="694"/>
        <v>5.9682814526250851</v>
      </c>
      <c r="BZ247" s="5">
        <f t="shared" si="695"/>
        <v>46.5</v>
      </c>
      <c r="CA247" s="173">
        <f t="shared" si="696"/>
        <v>0.88624972483587072</v>
      </c>
      <c r="CB247" s="5">
        <f t="shared" si="697"/>
        <v>88.624972483587072</v>
      </c>
      <c r="CE247" s="562">
        <f t="shared" si="638"/>
        <v>-50</v>
      </c>
      <c r="CF247">
        <f t="shared" si="639"/>
        <v>-50</v>
      </c>
      <c r="CG247" s="173">
        <f t="shared" si="640"/>
        <v>0.62821227834758753</v>
      </c>
      <c r="CI247" s="170">
        <v>31</v>
      </c>
      <c r="CJ247" s="217">
        <f t="shared" si="698"/>
        <v>3.1</v>
      </c>
      <c r="CK247" s="217"/>
      <c r="CL247" s="217">
        <f t="shared" si="641"/>
        <v>46.5</v>
      </c>
      <c r="CM247" s="541">
        <f t="shared" si="642"/>
        <v>85</v>
      </c>
      <c r="CN247" s="443">
        <f t="shared" si="643"/>
        <v>15.4</v>
      </c>
      <c r="CO247" s="443">
        <f t="shared" si="644"/>
        <v>100.4</v>
      </c>
      <c r="CP247" s="443"/>
      <c r="CQ247" s="217">
        <f t="shared" si="645"/>
        <v>0.15338645418326693</v>
      </c>
      <c r="CR247" s="172">
        <f t="shared" si="646"/>
        <v>327.33148655378488</v>
      </c>
      <c r="CS247" s="172">
        <f t="shared" si="647"/>
        <v>46.5</v>
      </c>
      <c r="CT247" s="217">
        <f t="shared" si="648"/>
        <v>21.822099103585661</v>
      </c>
      <c r="CU247" s="217">
        <f t="shared" si="649"/>
        <v>15</v>
      </c>
      <c r="CV247" s="217"/>
      <c r="CW247" s="172">
        <f t="shared" si="650"/>
        <v>600.54044895322988</v>
      </c>
      <c r="CX247" s="172">
        <f t="shared" si="651"/>
        <v>15</v>
      </c>
      <c r="CY247" s="217">
        <f t="shared" si="652"/>
        <v>7.1330786860198625</v>
      </c>
      <c r="CZ247" s="217">
        <f t="shared" si="653"/>
        <v>1.0070228733204512</v>
      </c>
      <c r="DA247" s="217">
        <f t="shared" si="654"/>
        <v>5.558243131963529</v>
      </c>
      <c r="DB247" s="197">
        <f t="shared" si="655"/>
        <v>108.64873837981409</v>
      </c>
      <c r="DC247" s="443">
        <f t="shared" si="656"/>
        <v>152.31675292290689</v>
      </c>
      <c r="DE247" s="217">
        <f t="shared" si="657"/>
        <v>10</v>
      </c>
      <c r="DF247" s="173">
        <f t="shared" si="658"/>
        <v>7.7922077922077913</v>
      </c>
      <c r="DG247" s="173">
        <f t="shared" si="659"/>
        <v>4.2330677290836656</v>
      </c>
      <c r="DH247" s="173"/>
      <c r="DI247" s="173">
        <f t="shared" si="660"/>
        <v>7.7922077922077913</v>
      </c>
      <c r="DJ247" s="545">
        <f t="shared" si="661"/>
        <v>79.566666666666677</v>
      </c>
      <c r="DK247" s="528">
        <f t="shared" si="662"/>
        <v>4.2330677290836656</v>
      </c>
      <c r="DM247" s="173">
        <f t="shared" si="663"/>
        <v>4.7679485455836597</v>
      </c>
      <c r="DN247" s="173">
        <f t="shared" si="664"/>
        <v>10</v>
      </c>
      <c r="DO247" s="173">
        <f t="shared" si="665"/>
        <v>1.0454666666666668</v>
      </c>
      <c r="DQ247" s="545">
        <f t="shared" si="666"/>
        <v>3100</v>
      </c>
      <c r="DR247" s="460">
        <f t="shared" si="667"/>
        <v>79.566666666666677</v>
      </c>
      <c r="DT247">
        <f t="shared" si="668"/>
        <v>3100</v>
      </c>
      <c r="DU247">
        <f t="shared" si="669"/>
        <v>79.566666666666677</v>
      </c>
      <c r="DW247" s="5">
        <f t="shared" si="670"/>
        <v>12.568077084206115</v>
      </c>
      <c r="DX247" s="5">
        <f t="shared" si="671"/>
        <v>1.4117647058823528</v>
      </c>
      <c r="DY247" s="5">
        <f t="shared" si="672"/>
        <v>11.156312378323761</v>
      </c>
      <c r="DZ247" s="5"/>
      <c r="EA247" s="173">
        <f t="shared" si="673"/>
        <v>0.11232941176470589</v>
      </c>
      <c r="EB247" s="173">
        <f t="shared" si="699"/>
        <v>47.740000000000009</v>
      </c>
      <c r="EC247" s="173">
        <f t="shared" si="700"/>
        <v>4.4383529411764702</v>
      </c>
      <c r="ED247" s="173">
        <f t="shared" si="701"/>
        <v>10.756242379260991</v>
      </c>
      <c r="EE247" s="460">
        <f t="shared" si="674"/>
        <v>29.17647058823529</v>
      </c>
      <c r="EF247" s="5">
        <f t="shared" si="675"/>
        <v>1.6953219790590033</v>
      </c>
      <c r="EH247" s="173">
        <f t="shared" si="702"/>
        <v>1.9350229263474363</v>
      </c>
      <c r="EI247" s="173">
        <f t="shared" si="703"/>
        <v>5.4395789917826489</v>
      </c>
      <c r="EK247" s="528">
        <f t="shared" si="704"/>
        <v>7.4886274509803924E-2</v>
      </c>
      <c r="EL247" s="528">
        <f t="shared" si="705"/>
        <v>1.5976986666666668</v>
      </c>
      <c r="EM247" s="528">
        <f t="shared" si="706"/>
        <v>9.9458333333333343E-3</v>
      </c>
      <c r="EN247" s="528">
        <f t="shared" si="707"/>
        <v>8.0204473066666684E-2</v>
      </c>
      <c r="EO247">
        <f t="shared" si="708"/>
        <v>3.8249999999999999E-2</v>
      </c>
      <c r="EP247" s="460">
        <f t="shared" si="709"/>
        <v>48.195833333333333</v>
      </c>
      <c r="EQ247" s="460"/>
      <c r="ER247" s="460">
        <f t="shared" si="710"/>
        <v>1800.9852475764708</v>
      </c>
      <c r="ES247" s="528">
        <f t="shared" si="711"/>
        <v>2.17</v>
      </c>
      <c r="EV247" s="460">
        <f t="shared" si="712"/>
        <v>2170</v>
      </c>
      <c r="EW247" s="528">
        <f t="shared" si="713"/>
        <v>0.11232941176470587</v>
      </c>
      <c r="EX247" s="528">
        <f t="shared" si="714"/>
        <v>0.8876705882352941</v>
      </c>
      <c r="EY247" s="528">
        <f t="shared" si="715"/>
        <v>0.89288990949903424</v>
      </c>
      <c r="EZ247" s="528"/>
      <c r="FA247" s="528">
        <f t="shared" si="716"/>
        <v>7.9566666666666674E-3</v>
      </c>
      <c r="FB247" s="460">
        <f t="shared" si="717"/>
        <v>1900.8465761657008</v>
      </c>
      <c r="FC247" s="173">
        <f t="shared" si="718"/>
        <v>5.8718318237421725</v>
      </c>
      <c r="FD247" s="5">
        <f t="shared" si="719"/>
        <v>46.5</v>
      </c>
      <c r="FE247" s="173">
        <f t="shared" si="720"/>
        <v>0.8878818704775524</v>
      </c>
      <c r="FF247" s="5">
        <f t="shared" si="721"/>
        <v>88.788187047755244</v>
      </c>
      <c r="FI247" s="562">
        <f t="shared" si="676"/>
        <v>-50</v>
      </c>
      <c r="FJ247">
        <f t="shared" si="677"/>
        <v>-50</v>
      </c>
      <c r="FL247">
        <f t="shared" si="678"/>
        <v>0.62</v>
      </c>
    </row>
    <row r="248" spans="5:168">
      <c r="E248" s="170">
        <v>32</v>
      </c>
      <c r="F248" s="217">
        <f t="shared" si="679"/>
        <v>3.2</v>
      </c>
      <c r="G248" s="217"/>
      <c r="H248" s="217">
        <f t="shared" ref="H248:H279" si="726">F248*Vout</f>
        <v>48</v>
      </c>
      <c r="I248" s="541">
        <f t="shared" ref="I248:I279" si="727">VIN_max-F248*(Rdcr_pri+RON/1000)/CG248/Nps</f>
        <v>84.753268114390082</v>
      </c>
      <c r="J248" s="172">
        <f t="shared" ref="J248:J279" si="728">(T248+Vfwd1+F248/CG248*Rdcr_sec)*Nps</f>
        <v>15.548039131365949</v>
      </c>
      <c r="K248" s="172">
        <f t="shared" ref="K248:K279" si="729">(Vout+Vfwd1+F248/CG248*Rdcr_sec)*Nps+I248</f>
        <v>100.30130724575604</v>
      </c>
      <c r="L248" s="443"/>
      <c r="M248" s="217">
        <f t="shared" ref="M248:M279" si="730">(Vout+Vfwd1+F248/FL248*Rdcr_sec)*Nps/((Vout+Vfwd1+F248/FL248*Rdcr_sec)*Nps+I248)</f>
        <v>0.15502984391561525</v>
      </c>
      <c r="N248" s="172">
        <f t="shared" ref="N248:N279" si="731">M248*I248*(Isw_max+VIN_max/Lmag*ILIM_delay)*0.5*Efficiency</f>
        <v>329.8781973075603</v>
      </c>
      <c r="O248" s="172">
        <f t="shared" si="599"/>
        <v>48</v>
      </c>
      <c r="P248" s="217">
        <f t="shared" ref="P248:P279" si="732">N248/Vout</f>
        <v>21.991879820504021</v>
      </c>
      <c r="Q248" s="217">
        <f t="shared" ref="Q248:Q279" si="733">MIN(Vout,N248/F248)</f>
        <v>15</v>
      </c>
      <c r="R248" s="217"/>
      <c r="S248" s="172">
        <f t="shared" ref="S248:S279" si="734">(SQRT(Isw_max^2*Nps^2*I248^2+4*Isw_max*F248/Efficiency*(Nps^2*Vfwd1*I248-Nps*I248^2)+4*(F248/Efficiency)^2*Nps^2*Vfwd1^2+8*(F248/Efficiency)^2*Nps*Vfwd1*I248+4*(F248/Efficiency)^2*I248^2)-2*F248/Efficiency*I248-2*F248/Efficiency*Nps*Vfwd1+Isw_max*Nps*I248)/(4*F248/Efficiency*Nps)</f>
        <v>577.44030801927022</v>
      </c>
      <c r="T248" s="172">
        <f t="shared" ref="T248:T279" si="735">MIN(Vout, S248)</f>
        <v>15</v>
      </c>
      <c r="U248" s="217">
        <f t="shared" ref="U248:U279" si="736">MIN(2*(Vout+Vfwd1+F248/FL248*Rdcr_sec)*F248/(I248*M248), Isw_max)</f>
        <v>7.574232005610444</v>
      </c>
      <c r="V248" s="217">
        <f t="shared" ref="V248:V279" si="737">L*U248/I248*1000000</f>
        <v>1.0724162747877939</v>
      </c>
      <c r="W248" s="217">
        <f t="shared" ref="W248:W279" si="738">L*U248/J248*1000000</f>
        <v>5.8458036604735666</v>
      </c>
      <c r="X248" s="197">
        <f t="shared" ref="X248:X279" si="739">IF(1/((350000*L)*(1/I248+1/J248))&gt;Isw_min, 350, 0.001/((Isw_min*L)*(1/I248+1/J248)))</f>
        <v>109.48238241177424</v>
      </c>
      <c r="Y248" s="443">
        <f t="shared" si="680"/>
        <v>140.48456061975878</v>
      </c>
      <c r="AA248" s="217">
        <f t="shared" ref="AA248:AA279" si="740">1/((X248*1000*L)*(1/I248+1/J248))</f>
        <v>10</v>
      </c>
      <c r="AB248" s="173">
        <f t="shared" ref="AB248:AB279" si="741">L*AA248/J248*1000000</f>
        <v>7.7180150491078416</v>
      </c>
      <c r="AC248" s="173">
        <f t="shared" ref="AC248:AC279" si="742">0.5*AB248*AA248*Nps*X248/1000</f>
        <v>4.2249333753312666</v>
      </c>
      <c r="AD248" s="173"/>
      <c r="AE248" s="173">
        <f t="shared" ref="AE248:AE279" si="743">L*Isw_min/J248*1000000</f>
        <v>7.7180150491078416</v>
      </c>
      <c r="AF248" s="545">
        <f t="shared" ref="AF248:AF279" si="744">MAX(12000,F248/(0.5*AE248/1000000*Isw_min*Nps))/1000</f>
        <v>82.922875367285059</v>
      </c>
      <c r="AG248" s="528">
        <f t="shared" ref="AG248:AG279" si="745">0.5*AE248/1000000*Isw_min*Nps*X248*1000</f>
        <v>4.2249333753312666</v>
      </c>
      <c r="AI248" s="173">
        <f t="shared" ref="AI248:AI279" si="746">SQRT(F248/(0.5*L/J248*Fsw_DCM*Nps))</f>
        <v>4.8674685520235865</v>
      </c>
      <c r="AJ248" s="173">
        <f t="shared" ref="AJ248:AJ279" si="747">MAX(IF(F248&gt;AC248,U248,AI248),Isw_min)</f>
        <v>10</v>
      </c>
      <c r="AK248" s="173">
        <f t="shared" ref="AK248:AK279" si="748">IF(F248&gt;AG248, (AJ248-Isw_min)/1.08*0.8+1.2, AF248*0.2/350+1)</f>
        <v>1.0473845002098772</v>
      </c>
      <c r="AM248" s="545">
        <f t="shared" ref="AM248:AM279" si="749">F248*1000</f>
        <v>3200</v>
      </c>
      <c r="AN248" s="460">
        <f t="shared" ref="AN248:AN279" si="750">IF(F248&gt;AG248, Y248, AF248)</f>
        <v>82.922875367285059</v>
      </c>
      <c r="AP248">
        <f t="shared" ref="AP248:AP279" si="751">IF(H248&gt;N248, "",AM248)</f>
        <v>3200</v>
      </c>
      <c r="AQ248">
        <f t="shared" ref="AQ248:AQ279" si="752">IF(H248&gt;N248, "",AN248)</f>
        <v>82.922875367285059</v>
      </c>
      <c r="AS248" s="5">
        <f t="shared" si="600"/>
        <v>12.059398514231003</v>
      </c>
      <c r="AT248" s="5">
        <f t="shared" ref="AT248:AT279" si="753">L*AJ248/I248*1000000</f>
        <v>1.4158746048357451</v>
      </c>
      <c r="AU248" s="5">
        <f t="shared" si="722"/>
        <v>10.643523909395258</v>
      </c>
      <c r="AV248" s="5"/>
      <c r="AW248" s="173">
        <f t="shared" si="723"/>
        <v>0.11740839339249848</v>
      </c>
      <c r="AX248" s="173">
        <f t="shared" si="631"/>
        <v>49.753725220371038</v>
      </c>
      <c r="AY248" s="173">
        <f t="shared" si="632"/>
        <v>4.4129580330375076</v>
      </c>
      <c r="AZ248" s="173">
        <f t="shared" si="633"/>
        <v>11.274461449189168</v>
      </c>
      <c r="BA248" s="460">
        <f t="shared" si="724"/>
        <v>30.205324903162563</v>
      </c>
      <c r="BB248" s="5">
        <f t="shared" si="725"/>
        <v>1.6744328010305347</v>
      </c>
      <c r="BD248" s="173">
        <f t="shared" si="681"/>
        <v>1.9782853972779768</v>
      </c>
      <c r="BE248" s="173">
        <f t="shared" si="682"/>
        <v>5.4239948580589612</v>
      </c>
      <c r="BG248" s="528">
        <f t="shared" si="683"/>
        <v>7.8272262261665657E-2</v>
      </c>
      <c r="BH248" s="528">
        <f t="shared" ref="BH248:BH279" si="754">0.5*K248*AJ248*AN248*1000*Tfall</f>
        <v>1.5594886499841738</v>
      </c>
      <c r="BI248" s="528">
        <f t="shared" ref="BI248:BI279" si="755">Qg*Vdd*AN248*1000*0+Qg*I248*AN248*1000</f>
        <v>0.17569961722049157</v>
      </c>
      <c r="BJ248" s="528">
        <f t="shared" si="684"/>
        <v>8.3423333455110341E-2</v>
      </c>
      <c r="BK248">
        <f t="shared" si="685"/>
        <v>3.8138970651475534E-2</v>
      </c>
      <c r="BL248" s="460">
        <f t="shared" si="686"/>
        <v>213.83858787196709</v>
      </c>
      <c r="BM248" s="528">
        <f t="shared" ref="BM248:BM279" si="756">(BH248+BI248*0+BJ248+BK248*0+BG248*(1+RdsonTC*(Ta-25)))/(1-BG248*RdsonTC*ThetaJA)</f>
        <v>1.7753345216609155</v>
      </c>
      <c r="BN248" s="460">
        <f t="shared" si="687"/>
        <v>1775.3345216609155</v>
      </c>
      <c r="BO248" s="528">
        <f t="shared" si="637"/>
        <v>2.2399999999999998</v>
      </c>
      <c r="BR248" s="460">
        <f t="shared" si="688"/>
        <v>2239.9999999999995</v>
      </c>
      <c r="BS248" s="528">
        <f t="shared" si="689"/>
        <v>0.11740839339249848</v>
      </c>
      <c r="BT248" s="528">
        <f t="shared" si="690"/>
        <v>0.88259160660750147</v>
      </c>
      <c r="BU248" s="528">
        <f t="shared" si="691"/>
        <v>0.99004716991348951</v>
      </c>
      <c r="BV248" s="528"/>
      <c r="BW248" s="528">
        <f t="shared" si="692"/>
        <v>8.292287536728506E-3</v>
      </c>
      <c r="BX248" s="460">
        <f t="shared" si="693"/>
        <v>1998.3394574502183</v>
      </c>
      <c r="BY248" s="173">
        <f t="shared" si="694"/>
        <v>6.1733622910231345</v>
      </c>
      <c r="BZ248" s="5">
        <f t="shared" si="695"/>
        <v>48</v>
      </c>
      <c r="CA248" s="173">
        <f t="shared" si="696"/>
        <v>0.886044320862726</v>
      </c>
      <c r="CB248" s="5">
        <f t="shared" si="697"/>
        <v>88.604432086272595</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0.64847719055234843</v>
      </c>
      <c r="CI248" s="170">
        <v>32</v>
      </c>
      <c r="CJ248" s="217">
        <f t="shared" si="698"/>
        <v>3.2</v>
      </c>
      <c r="CK248" s="217"/>
      <c r="CL248" s="217">
        <f t="shared" si="641"/>
        <v>48</v>
      </c>
      <c r="CM248" s="541">
        <f t="shared" si="642"/>
        <v>85</v>
      </c>
      <c r="CN248" s="443">
        <f t="shared" si="643"/>
        <v>15.4</v>
      </c>
      <c r="CO248" s="443">
        <f t="shared" si="644"/>
        <v>100.4</v>
      </c>
      <c r="CP248" s="443"/>
      <c r="CQ248" s="217">
        <f t="shared" si="645"/>
        <v>0.15338645418326693</v>
      </c>
      <c r="CR248" s="172">
        <f t="shared" si="646"/>
        <v>327.33148655378488</v>
      </c>
      <c r="CS248" s="172">
        <f t="shared" si="647"/>
        <v>48</v>
      </c>
      <c r="CT248" s="217">
        <f t="shared" si="648"/>
        <v>21.822099103585661</v>
      </c>
      <c r="CU248" s="217">
        <f t="shared" si="649"/>
        <v>15</v>
      </c>
      <c r="CV248" s="217"/>
      <c r="CW248" s="172">
        <f t="shared" si="650"/>
        <v>579.12116912515251</v>
      </c>
      <c r="CX248" s="172">
        <f t="shared" si="651"/>
        <v>15</v>
      </c>
      <c r="CY248" s="217">
        <f t="shared" si="652"/>
        <v>7.363177998472116</v>
      </c>
      <c r="CZ248" s="217">
        <f t="shared" si="653"/>
        <v>1.0395074821372399</v>
      </c>
      <c r="DA248" s="217">
        <f t="shared" si="654"/>
        <v>5.7375412975107398</v>
      </c>
      <c r="DB248" s="197">
        <f t="shared" si="655"/>
        <v>108.64873837981409</v>
      </c>
      <c r="DC248" s="443">
        <f t="shared" si="656"/>
        <v>147.55685439406605</v>
      </c>
      <c r="DE248" s="217">
        <f t="shared" si="657"/>
        <v>10</v>
      </c>
      <c r="DF248" s="173">
        <f t="shared" si="658"/>
        <v>7.7922077922077913</v>
      </c>
      <c r="DG248" s="173">
        <f t="shared" si="659"/>
        <v>4.2330677290836656</v>
      </c>
      <c r="DH248" s="173"/>
      <c r="DI248" s="173">
        <f t="shared" si="660"/>
        <v>7.7922077922077913</v>
      </c>
      <c r="DJ248" s="545">
        <f t="shared" si="661"/>
        <v>82.13333333333334</v>
      </c>
      <c r="DK248" s="528">
        <f t="shared" si="662"/>
        <v>4.2330677290836656</v>
      </c>
      <c r="DM248" s="173">
        <f t="shared" si="663"/>
        <v>4.8442405665559871</v>
      </c>
      <c r="DN248" s="173">
        <f t="shared" si="664"/>
        <v>10</v>
      </c>
      <c r="DO248" s="173">
        <f t="shared" si="665"/>
        <v>1.0469333333333333</v>
      </c>
      <c r="DQ248" s="545">
        <f t="shared" si="666"/>
        <v>3200</v>
      </c>
      <c r="DR248" s="460">
        <f t="shared" si="667"/>
        <v>82.13333333333334</v>
      </c>
      <c r="DT248">
        <f t="shared" si="668"/>
        <v>3200</v>
      </c>
      <c r="DU248">
        <f t="shared" si="669"/>
        <v>82.13333333333334</v>
      </c>
      <c r="DW248" s="5">
        <f t="shared" si="670"/>
        <v>12.175324675324674</v>
      </c>
      <c r="DX248" s="5">
        <f t="shared" si="671"/>
        <v>1.4117647058823528</v>
      </c>
      <c r="DY248" s="5">
        <f t="shared" si="672"/>
        <v>10.763559969442321</v>
      </c>
      <c r="DZ248" s="5"/>
      <c r="EA248" s="173">
        <f t="shared" si="673"/>
        <v>0.11595294117647059</v>
      </c>
      <c r="EB248" s="173">
        <f t="shared" si="699"/>
        <v>49.280000000000008</v>
      </c>
      <c r="EC248" s="173">
        <f t="shared" si="700"/>
        <v>4.4202352941176475</v>
      </c>
      <c r="ED248" s="173">
        <f t="shared" si="701"/>
        <v>11.148727776003408</v>
      </c>
      <c r="EE248" s="460">
        <f t="shared" si="674"/>
        <v>30.117647058823529</v>
      </c>
      <c r="EF248" s="5">
        <f t="shared" si="675"/>
        <v>1.6884015638340897</v>
      </c>
      <c r="EH248" s="173">
        <f t="shared" si="702"/>
        <v>1.9659852591552376</v>
      </c>
      <c r="EI248" s="173">
        <f t="shared" si="703"/>
        <v>5.4284652798113795</v>
      </c>
      <c r="EK248" s="528">
        <f t="shared" si="704"/>
        <v>7.7301960784313742E-2</v>
      </c>
      <c r="EL248" s="528">
        <f t="shared" si="705"/>
        <v>1.6492373333333334</v>
      </c>
      <c r="EM248" s="528">
        <f t="shared" si="706"/>
        <v>1.0266666666666667E-2</v>
      </c>
      <c r="EN248" s="528">
        <f t="shared" si="707"/>
        <v>8.2791714133333347E-2</v>
      </c>
      <c r="EO248">
        <f t="shared" si="708"/>
        <v>3.8249999999999999E-2</v>
      </c>
      <c r="EP248" s="460">
        <f t="shared" si="709"/>
        <v>48.516666666666666</v>
      </c>
      <c r="EQ248" s="460"/>
      <c r="ER248" s="460">
        <f t="shared" si="710"/>
        <v>1857.8476749176471</v>
      </c>
      <c r="ES248" s="528">
        <f t="shared" si="711"/>
        <v>2.2399999999999998</v>
      </c>
      <c r="EV248" s="460">
        <f t="shared" si="712"/>
        <v>2239.9999999999995</v>
      </c>
      <c r="EW248" s="528">
        <f t="shared" si="713"/>
        <v>0.11595294117647061</v>
      </c>
      <c r="EX248" s="528">
        <f t="shared" si="714"/>
        <v>0.88404705882352919</v>
      </c>
      <c r="EY248" s="528">
        <f t="shared" si="715"/>
        <v>0.96664859995214658</v>
      </c>
      <c r="EZ248" s="528"/>
      <c r="FA248" s="528">
        <f t="shared" si="716"/>
        <v>8.2133333333333346E-3</v>
      </c>
      <c r="FB248" s="460">
        <f t="shared" si="717"/>
        <v>1974.8619332854798</v>
      </c>
      <c r="FC248" s="173">
        <f t="shared" si="718"/>
        <v>6.0727096082031267</v>
      </c>
      <c r="FD248" s="5">
        <f t="shared" si="719"/>
        <v>48</v>
      </c>
      <c r="FE248" s="173">
        <f t="shared" si="720"/>
        <v>0.88769363229243714</v>
      </c>
      <c r="FF248" s="5">
        <f t="shared" si="721"/>
        <v>88.769363229243709</v>
      </c>
      <c r="FI248" s="562">
        <f t="shared" si="676"/>
        <v>-50</v>
      </c>
      <c r="FJ248">
        <f t="shared" si="677"/>
        <v>-50</v>
      </c>
      <c r="FL248">
        <f t="shared" ref="FL248:FL279" si="760">MIN(SQRT(2*L*DR248*1000*CJ248*(CX248+Vfwd1))/(Nps*(CX248+Vfwd1)), 1-EA248)</f>
        <v>0.64000000000000012</v>
      </c>
    </row>
    <row r="249" spans="5:168">
      <c r="E249" s="170">
        <v>33</v>
      </c>
      <c r="F249" s="217">
        <f t="shared" ref="F249:F280" si="761">IF(PLOT_TYPE=1, E249/100*Iout_max, min_I*EXP(N249*rr/100))</f>
        <v>3.3000000000000003</v>
      </c>
      <c r="G249" s="217"/>
      <c r="H249" s="217">
        <f t="shared" si="726"/>
        <v>49.500000000000007</v>
      </c>
      <c r="I249" s="541">
        <f t="shared" si="727"/>
        <v>84.753268114390082</v>
      </c>
      <c r="J249" s="172">
        <f t="shared" si="728"/>
        <v>15.548039131365949</v>
      </c>
      <c r="K249" s="172">
        <f t="shared" si="729"/>
        <v>100.30130724575604</v>
      </c>
      <c r="L249" s="443"/>
      <c r="M249" s="217">
        <f t="shared" si="730"/>
        <v>0.15502984391561525</v>
      </c>
      <c r="N249" s="172">
        <f t="shared" si="731"/>
        <v>329.8781973075603</v>
      </c>
      <c r="O249" s="172">
        <f t="shared" si="599"/>
        <v>49.500000000000007</v>
      </c>
      <c r="P249" s="217">
        <f t="shared" si="732"/>
        <v>21.991879820504021</v>
      </c>
      <c r="Q249" s="217">
        <f t="shared" si="733"/>
        <v>15</v>
      </c>
      <c r="R249" s="217"/>
      <c r="S249" s="172">
        <f t="shared" si="734"/>
        <v>557.37772411535889</v>
      </c>
      <c r="T249" s="172">
        <f t="shared" si="735"/>
        <v>15</v>
      </c>
      <c r="U249" s="217">
        <f t="shared" si="736"/>
        <v>7.8109267557857702</v>
      </c>
      <c r="V249" s="217">
        <f t="shared" si="737"/>
        <v>1.1059292833749126</v>
      </c>
      <c r="W249" s="217">
        <f t="shared" si="738"/>
        <v>6.0284850248633672</v>
      </c>
      <c r="X249" s="197">
        <f t="shared" si="739"/>
        <v>109.48238241177424</v>
      </c>
      <c r="Y249" s="443">
        <f t="shared" si="680"/>
        <v>136.34353855314168</v>
      </c>
      <c r="AA249" s="217">
        <f t="shared" si="740"/>
        <v>10</v>
      </c>
      <c r="AB249" s="173">
        <f t="shared" si="741"/>
        <v>7.7180150491078416</v>
      </c>
      <c r="AC249" s="173">
        <f t="shared" si="742"/>
        <v>4.2249333753312666</v>
      </c>
      <c r="AD249" s="173"/>
      <c r="AE249" s="173">
        <f t="shared" si="743"/>
        <v>7.7180150491078416</v>
      </c>
      <c r="AF249" s="545">
        <f t="shared" si="744"/>
        <v>85.514215222512703</v>
      </c>
      <c r="AG249" s="528">
        <f t="shared" si="745"/>
        <v>4.2249333753312666</v>
      </c>
      <c r="AI249" s="173">
        <f t="shared" si="746"/>
        <v>4.942937681249675</v>
      </c>
      <c r="AJ249" s="173">
        <f t="shared" si="747"/>
        <v>10</v>
      </c>
      <c r="AK249" s="173">
        <f t="shared" si="748"/>
        <v>1.0488652658414359</v>
      </c>
      <c r="AM249" s="545">
        <f t="shared" si="749"/>
        <v>3300.0000000000005</v>
      </c>
      <c r="AN249" s="460">
        <f t="shared" si="750"/>
        <v>85.514215222512703</v>
      </c>
      <c r="AP249">
        <f t="shared" si="751"/>
        <v>3300.0000000000005</v>
      </c>
      <c r="AQ249">
        <f t="shared" si="752"/>
        <v>85.514215222512703</v>
      </c>
      <c r="AS249" s="5">
        <f t="shared" si="600"/>
        <v>11.693962195617942</v>
      </c>
      <c r="AT249" s="5">
        <f t="shared" si="753"/>
        <v>1.4158746048357451</v>
      </c>
      <c r="AU249" s="5">
        <f t="shared" si="722"/>
        <v>10.278087590782198</v>
      </c>
      <c r="AV249" s="5"/>
      <c r="AW249" s="173">
        <f t="shared" si="723"/>
        <v>0.12107740568601405</v>
      </c>
      <c r="AX249" s="173">
        <f t="shared" si="631"/>
        <v>51.308529133507626</v>
      </c>
      <c r="AY249" s="173">
        <f t="shared" si="632"/>
        <v>4.3946129715699298</v>
      </c>
      <c r="AZ249" s="173">
        <f t="shared" si="633"/>
        <v>11.675323735090643</v>
      </c>
      <c r="BA249" s="460">
        <f t="shared" si="724"/>
        <v>31.149241306386397</v>
      </c>
      <c r="BB249" s="5">
        <f t="shared" si="725"/>
        <v>1.6674720340283864</v>
      </c>
      <c r="BD249" s="173">
        <f t="shared" si="681"/>
        <v>2.0089583178520991</v>
      </c>
      <c r="BE249" s="173">
        <f t="shared" si="682"/>
        <v>5.4127091008538599</v>
      </c>
      <c r="BG249" s="528">
        <f t="shared" si="683"/>
        <v>8.07182704573427E-2</v>
      </c>
      <c r="BH249" s="528">
        <f t="shared" si="754"/>
        <v>1.608222670296179</v>
      </c>
      <c r="BI249" s="528">
        <f t="shared" si="755"/>
        <v>0.18119023025863193</v>
      </c>
      <c r="BJ249" s="528">
        <f t="shared" si="684"/>
        <v>8.6030312625582528E-2</v>
      </c>
      <c r="BK249">
        <f t="shared" si="685"/>
        <v>3.8138970651475534E-2</v>
      </c>
      <c r="BL249" s="460">
        <f t="shared" si="686"/>
        <v>219.32920091010746</v>
      </c>
      <c r="BM249" s="528">
        <f t="shared" si="756"/>
        <v>1.8318985477473571</v>
      </c>
      <c r="BN249" s="460">
        <f t="shared" si="687"/>
        <v>1831.898547747357</v>
      </c>
      <c r="BO249" s="528">
        <f t="shared" si="637"/>
        <v>2.31</v>
      </c>
      <c r="BR249" s="460">
        <f t="shared" si="688"/>
        <v>2310</v>
      </c>
      <c r="BS249" s="528">
        <f t="shared" si="689"/>
        <v>0.12107740568601405</v>
      </c>
      <c r="BT249" s="528">
        <f t="shared" si="690"/>
        <v>0.87892259431398601</v>
      </c>
      <c r="BU249" s="528">
        <f t="shared" si="691"/>
        <v>1.0692168408590828</v>
      </c>
      <c r="BV249" s="528"/>
      <c r="BW249" s="528">
        <f t="shared" si="692"/>
        <v>8.55142152225127E-3</v>
      </c>
      <c r="BX249" s="460">
        <f t="shared" si="693"/>
        <v>2077.7682623813339</v>
      </c>
      <c r="BY249" s="173">
        <f t="shared" si="694"/>
        <v>6.3820687166705463</v>
      </c>
      <c r="BZ249" s="5">
        <f t="shared" si="695"/>
        <v>49.500000000000007</v>
      </c>
      <c r="CA249" s="173">
        <f t="shared" si="696"/>
        <v>0.88579397894110767</v>
      </c>
      <c r="CB249" s="5">
        <f t="shared" si="697"/>
        <v>88.57939789411077</v>
      </c>
      <c r="CE249" s="562">
        <f t="shared" si="757"/>
        <v>-50</v>
      </c>
      <c r="CF249">
        <f t="shared" si="758"/>
        <v>-50</v>
      </c>
      <c r="CG249" s="173">
        <f t="shared" si="759"/>
        <v>0.66874210275710932</v>
      </c>
      <c r="CI249" s="170">
        <v>33</v>
      </c>
      <c r="CJ249" s="217">
        <f t="shared" si="698"/>
        <v>3.3000000000000003</v>
      </c>
      <c r="CK249" s="217"/>
      <c r="CL249" s="217">
        <f t="shared" si="641"/>
        <v>49.500000000000007</v>
      </c>
      <c r="CM249" s="541">
        <f t="shared" si="642"/>
        <v>85</v>
      </c>
      <c r="CN249" s="443">
        <f t="shared" si="643"/>
        <v>15.4</v>
      </c>
      <c r="CO249" s="443">
        <f t="shared" si="644"/>
        <v>100.4</v>
      </c>
      <c r="CP249" s="443"/>
      <c r="CQ249" s="217">
        <f t="shared" si="645"/>
        <v>0.15338645418326693</v>
      </c>
      <c r="CR249" s="172">
        <f t="shared" si="646"/>
        <v>327.33148655378488</v>
      </c>
      <c r="CS249" s="172">
        <f t="shared" si="647"/>
        <v>49.500000000000007</v>
      </c>
      <c r="CT249" s="217">
        <f t="shared" si="648"/>
        <v>21.822099103585661</v>
      </c>
      <c r="CU249" s="217">
        <f t="shared" si="649"/>
        <v>15</v>
      </c>
      <c r="CV249" s="217"/>
      <c r="CW249" s="172">
        <f t="shared" si="650"/>
        <v>559.00017332706875</v>
      </c>
      <c r="CX249" s="172">
        <f t="shared" si="651"/>
        <v>15</v>
      </c>
      <c r="CY249" s="217">
        <f t="shared" si="652"/>
        <v>7.5932773109243703</v>
      </c>
      <c r="CZ249" s="217">
        <f t="shared" si="653"/>
        <v>1.0719920909540288</v>
      </c>
      <c r="DA249" s="217">
        <f t="shared" si="654"/>
        <v>5.9168394630579506</v>
      </c>
      <c r="DB249" s="197">
        <f t="shared" si="655"/>
        <v>108.64873837981409</v>
      </c>
      <c r="DC249" s="443">
        <f t="shared" si="656"/>
        <v>143.08543456394281</v>
      </c>
      <c r="DE249" s="217">
        <f t="shared" si="657"/>
        <v>10</v>
      </c>
      <c r="DF249" s="173">
        <f t="shared" si="658"/>
        <v>7.7922077922077913</v>
      </c>
      <c r="DG249" s="173">
        <f t="shared" si="659"/>
        <v>4.2330677290836656</v>
      </c>
      <c r="DH249" s="173"/>
      <c r="DI249" s="173">
        <f t="shared" si="660"/>
        <v>7.7922077922077913</v>
      </c>
      <c r="DJ249" s="545">
        <f t="shared" si="661"/>
        <v>84.700000000000017</v>
      </c>
      <c r="DK249" s="528">
        <f t="shared" si="662"/>
        <v>4.2330677290836656</v>
      </c>
      <c r="DM249" s="173">
        <f t="shared" si="663"/>
        <v>4.9193495504995379</v>
      </c>
      <c r="DN249" s="173">
        <f t="shared" si="664"/>
        <v>10</v>
      </c>
      <c r="DO249" s="173">
        <f t="shared" si="665"/>
        <v>1.0484</v>
      </c>
      <c r="DQ249" s="545">
        <f t="shared" si="666"/>
        <v>3300.0000000000005</v>
      </c>
      <c r="DR249" s="460">
        <f t="shared" si="667"/>
        <v>84.700000000000017</v>
      </c>
      <c r="DT249">
        <f t="shared" si="668"/>
        <v>3300.0000000000005</v>
      </c>
      <c r="DU249">
        <f t="shared" si="669"/>
        <v>84.700000000000017</v>
      </c>
      <c r="DW249" s="5">
        <f t="shared" si="670"/>
        <v>11.806375442739077</v>
      </c>
      <c r="DX249" s="5">
        <f t="shared" si="671"/>
        <v>1.4117647058823528</v>
      </c>
      <c r="DY249" s="5">
        <f t="shared" si="672"/>
        <v>10.394610736856723</v>
      </c>
      <c r="DZ249" s="5"/>
      <c r="EA249" s="173">
        <f t="shared" si="673"/>
        <v>0.11957647058823531</v>
      </c>
      <c r="EB249" s="173">
        <f t="shared" si="699"/>
        <v>50.820000000000014</v>
      </c>
      <c r="EC249" s="173">
        <f t="shared" si="700"/>
        <v>4.4021176470588239</v>
      </c>
      <c r="ED249" s="173">
        <f t="shared" si="701"/>
        <v>11.544443850553211</v>
      </c>
      <c r="EE249" s="460">
        <f t="shared" si="674"/>
        <v>31.058823529411768</v>
      </c>
      <c r="EF249" s="5">
        <f t="shared" si="675"/>
        <v>1.6814811486091761</v>
      </c>
      <c r="EH249" s="173">
        <f t="shared" si="702"/>
        <v>1.9964674685406667</v>
      </c>
      <c r="EI249" s="173">
        <f t="shared" si="703"/>
        <v>5.4173287679807807</v>
      </c>
      <c r="EK249" s="528">
        <f t="shared" si="704"/>
        <v>7.971764705882356E-2</v>
      </c>
      <c r="EL249" s="528">
        <f t="shared" si="705"/>
        <v>1.7007760000000003</v>
      </c>
      <c r="EM249" s="528">
        <f t="shared" si="706"/>
        <v>1.0587500000000001E-2</v>
      </c>
      <c r="EN249" s="528">
        <f t="shared" si="707"/>
        <v>8.5378955200000023E-2</v>
      </c>
      <c r="EO249">
        <f t="shared" si="708"/>
        <v>3.8249999999999999E-2</v>
      </c>
      <c r="EP249" s="460">
        <f t="shared" si="709"/>
        <v>48.837499999999999</v>
      </c>
      <c r="EQ249" s="460"/>
      <c r="ER249" s="460">
        <f t="shared" si="710"/>
        <v>1914.7101022588236</v>
      </c>
      <c r="ES249" s="528">
        <f t="shared" si="711"/>
        <v>2.31</v>
      </c>
      <c r="EV249" s="460">
        <f t="shared" si="712"/>
        <v>2310</v>
      </c>
      <c r="EW249" s="528">
        <f t="shared" si="713"/>
        <v>0.11957647058823533</v>
      </c>
      <c r="EX249" s="528">
        <f t="shared" si="714"/>
        <v>0.88042352941176494</v>
      </c>
      <c r="EY249" s="528">
        <f t="shared" si="715"/>
        <v>1.043947191275747</v>
      </c>
      <c r="EZ249" s="528"/>
      <c r="FA249" s="528">
        <f t="shared" si="716"/>
        <v>8.4700000000000018E-3</v>
      </c>
      <c r="FB249" s="460">
        <f t="shared" si="717"/>
        <v>2052.4171912757474</v>
      </c>
      <c r="FC249" s="173">
        <f t="shared" si="718"/>
        <v>6.2771272935345701</v>
      </c>
      <c r="FD249" s="5">
        <f t="shared" si="719"/>
        <v>49.500000000000007</v>
      </c>
      <c r="FE249" s="173">
        <f t="shared" si="720"/>
        <v>0.88746054882854852</v>
      </c>
      <c r="FF249" s="5">
        <f t="shared" si="721"/>
        <v>88.74605488285485</v>
      </c>
      <c r="FI249" s="562">
        <f t="shared" si="676"/>
        <v>-50</v>
      </c>
      <c r="FJ249">
        <f t="shared" si="677"/>
        <v>-50</v>
      </c>
      <c r="FL249">
        <f t="shared" si="760"/>
        <v>0.66</v>
      </c>
    </row>
    <row r="250" spans="5:168">
      <c r="E250" s="170">
        <v>34</v>
      </c>
      <c r="F250" s="217">
        <f t="shared" si="761"/>
        <v>3.4000000000000004</v>
      </c>
      <c r="G250" s="217"/>
      <c r="H250" s="217">
        <f t="shared" si="726"/>
        <v>51.000000000000007</v>
      </c>
      <c r="I250" s="541">
        <f t="shared" si="727"/>
        <v>84.753268114390082</v>
      </c>
      <c r="J250" s="172">
        <f t="shared" si="728"/>
        <v>15.548039131365949</v>
      </c>
      <c r="K250" s="172">
        <f t="shared" si="729"/>
        <v>100.30130724575604</v>
      </c>
      <c r="L250" s="443"/>
      <c r="M250" s="217">
        <f t="shared" si="730"/>
        <v>0.15502984391561525</v>
      </c>
      <c r="N250" s="172">
        <f t="shared" si="731"/>
        <v>329.8781973075603</v>
      </c>
      <c r="O250" s="172">
        <f t="shared" si="599"/>
        <v>51.000000000000007</v>
      </c>
      <c r="P250" s="217">
        <f t="shared" si="732"/>
        <v>21.991879820504021</v>
      </c>
      <c r="Q250" s="217">
        <f t="shared" si="733"/>
        <v>15</v>
      </c>
      <c r="R250" s="217"/>
      <c r="S250" s="172">
        <f t="shared" si="734"/>
        <v>538.49543572240714</v>
      </c>
      <c r="T250" s="172">
        <f t="shared" si="735"/>
        <v>15</v>
      </c>
      <c r="U250" s="217">
        <f t="shared" si="736"/>
        <v>8.0476215059610965</v>
      </c>
      <c r="V250" s="217">
        <f t="shared" si="737"/>
        <v>1.1394422919620311</v>
      </c>
      <c r="W250" s="217">
        <f t="shared" si="738"/>
        <v>6.2111663892531652</v>
      </c>
      <c r="X250" s="197">
        <f t="shared" si="739"/>
        <v>109.48238241177424</v>
      </c>
      <c r="Y250" s="443">
        <f t="shared" si="680"/>
        <v>132.43965383716056</v>
      </c>
      <c r="AA250" s="217">
        <f t="shared" si="740"/>
        <v>10</v>
      </c>
      <c r="AB250" s="173">
        <f t="shared" si="741"/>
        <v>7.7180150491078416</v>
      </c>
      <c r="AC250" s="173">
        <f t="shared" si="742"/>
        <v>4.2249333753312666</v>
      </c>
      <c r="AD250" s="173"/>
      <c r="AE250" s="173">
        <f t="shared" si="743"/>
        <v>7.7180150491078416</v>
      </c>
      <c r="AF250" s="545">
        <f t="shared" si="744"/>
        <v>88.105555077740377</v>
      </c>
      <c r="AG250" s="528">
        <f t="shared" si="745"/>
        <v>4.2249333753312666</v>
      </c>
      <c r="AI250" s="173">
        <f t="shared" si="746"/>
        <v>5.0172717423413742</v>
      </c>
      <c r="AJ250" s="173">
        <f t="shared" si="747"/>
        <v>10</v>
      </c>
      <c r="AK250" s="173">
        <f t="shared" si="748"/>
        <v>1.0503460314729944</v>
      </c>
      <c r="AM250" s="545">
        <f t="shared" si="749"/>
        <v>3400.0000000000005</v>
      </c>
      <c r="AN250" s="460">
        <f t="shared" si="750"/>
        <v>88.105555077740377</v>
      </c>
      <c r="AP250">
        <f t="shared" si="751"/>
        <v>3400.0000000000005</v>
      </c>
      <c r="AQ250">
        <f t="shared" si="752"/>
        <v>88.105555077740377</v>
      </c>
      <c r="AS250" s="5">
        <f t="shared" si="600"/>
        <v>11.350022131040943</v>
      </c>
      <c r="AT250" s="5">
        <f t="shared" si="753"/>
        <v>1.4158746048357451</v>
      </c>
      <c r="AU250" s="5">
        <f t="shared" si="722"/>
        <v>9.9341475262051979</v>
      </c>
      <c r="AV250" s="5"/>
      <c r="AW250" s="173">
        <f t="shared" si="723"/>
        <v>0.12474641797952964</v>
      </c>
      <c r="AX250" s="173">
        <f t="shared" si="631"/>
        <v>52.863333046644229</v>
      </c>
      <c r="AY250" s="173">
        <f t="shared" si="632"/>
        <v>4.3762679101023512</v>
      </c>
      <c r="AZ250" s="173">
        <f t="shared" si="633"/>
        <v>12.07954680393593</v>
      </c>
      <c r="BA250" s="460">
        <f t="shared" si="724"/>
        <v>32.093157709610232</v>
      </c>
      <c r="BB250" s="5">
        <f t="shared" si="725"/>
        <v>1.6605112670262379</v>
      </c>
      <c r="BD250" s="173">
        <f t="shared" si="681"/>
        <v>2.0391699126485237</v>
      </c>
      <c r="BE250" s="173">
        <f t="shared" si="682"/>
        <v>5.4013997630875599</v>
      </c>
      <c r="BG250" s="528">
        <f t="shared" si="683"/>
        <v>8.3164278653019758E-2</v>
      </c>
      <c r="BH250" s="528">
        <f t="shared" si="754"/>
        <v>1.6569566906081847</v>
      </c>
      <c r="BI250" s="528">
        <f t="shared" si="755"/>
        <v>0.18668084329677231</v>
      </c>
      <c r="BJ250" s="528">
        <f t="shared" si="684"/>
        <v>8.8637291796054757E-2</v>
      </c>
      <c r="BK250">
        <f t="shared" si="685"/>
        <v>3.8138970651475534E-2</v>
      </c>
      <c r="BL250" s="460">
        <f t="shared" si="686"/>
        <v>224.81981394824786</v>
      </c>
      <c r="BM250" s="528">
        <f t="shared" si="756"/>
        <v>1.8885296459731695</v>
      </c>
      <c r="BN250" s="460">
        <f t="shared" si="687"/>
        <v>1888.5296459731696</v>
      </c>
      <c r="BO250" s="528">
        <f t="shared" si="637"/>
        <v>2.38</v>
      </c>
      <c r="BR250" s="460">
        <f t="shared" si="688"/>
        <v>2380</v>
      </c>
      <c r="BS250" s="528">
        <f t="shared" si="689"/>
        <v>0.12474641797952962</v>
      </c>
      <c r="BT250" s="528">
        <f t="shared" si="690"/>
        <v>0.87525358202047043</v>
      </c>
      <c r="BU250" s="528">
        <f t="shared" si="691"/>
        <v>1.1520683175334721</v>
      </c>
      <c r="BV250" s="528"/>
      <c r="BW250" s="528">
        <f t="shared" si="692"/>
        <v>8.8105555077740375E-3</v>
      </c>
      <c r="BX250" s="460">
        <f t="shared" si="693"/>
        <v>2160.8788730412462</v>
      </c>
      <c r="BY250" s="173">
        <f t="shared" si="694"/>
        <v>6.5944569480467541</v>
      </c>
      <c r="BZ250" s="5">
        <f t="shared" si="695"/>
        <v>51.000000000000007</v>
      </c>
      <c r="CA250" s="173">
        <f t="shared" si="696"/>
        <v>0.88550188164817145</v>
      </c>
      <c r="CB250" s="5">
        <f t="shared" si="697"/>
        <v>88.550188164817143</v>
      </c>
      <c r="CE250" s="562">
        <f t="shared" si="757"/>
        <v>-50</v>
      </c>
      <c r="CF250">
        <f t="shared" si="758"/>
        <v>-50</v>
      </c>
      <c r="CG250" s="173">
        <f t="shared" si="759"/>
        <v>0.68900701496187022</v>
      </c>
      <c r="CI250" s="170">
        <v>34</v>
      </c>
      <c r="CJ250" s="217">
        <f t="shared" si="698"/>
        <v>3.4000000000000004</v>
      </c>
      <c r="CK250" s="217"/>
      <c r="CL250" s="217">
        <f t="shared" si="641"/>
        <v>51.000000000000007</v>
      </c>
      <c r="CM250" s="541">
        <f t="shared" si="642"/>
        <v>85</v>
      </c>
      <c r="CN250" s="443">
        <f t="shared" si="643"/>
        <v>15.4</v>
      </c>
      <c r="CO250" s="443">
        <f t="shared" si="644"/>
        <v>100.4</v>
      </c>
      <c r="CP250" s="443"/>
      <c r="CQ250" s="217">
        <f t="shared" si="645"/>
        <v>0.15338645418326693</v>
      </c>
      <c r="CR250" s="172">
        <f t="shared" si="646"/>
        <v>327.33148655378488</v>
      </c>
      <c r="CS250" s="172">
        <f t="shared" si="647"/>
        <v>51.000000000000007</v>
      </c>
      <c r="CT250" s="217">
        <f t="shared" si="648"/>
        <v>21.822099103585661</v>
      </c>
      <c r="CU250" s="217">
        <f t="shared" si="649"/>
        <v>15</v>
      </c>
      <c r="CV250" s="217"/>
      <c r="CW250" s="172">
        <f t="shared" si="650"/>
        <v>540.06290903488775</v>
      </c>
      <c r="CX250" s="172">
        <f t="shared" si="651"/>
        <v>15</v>
      </c>
      <c r="CY250" s="217">
        <f t="shared" si="652"/>
        <v>7.8233766233766247</v>
      </c>
      <c r="CZ250" s="217">
        <f t="shared" si="653"/>
        <v>1.1044766997708175</v>
      </c>
      <c r="DA250" s="217">
        <f t="shared" si="654"/>
        <v>6.0961376286051623</v>
      </c>
      <c r="DB250" s="197">
        <f t="shared" si="655"/>
        <v>108.64873837981409</v>
      </c>
      <c r="DC250" s="443">
        <f t="shared" si="656"/>
        <v>138.87703942970921</v>
      </c>
      <c r="DE250" s="217">
        <f t="shared" si="657"/>
        <v>10</v>
      </c>
      <c r="DF250" s="173">
        <f t="shared" si="658"/>
        <v>7.7922077922077913</v>
      </c>
      <c r="DG250" s="173">
        <f t="shared" si="659"/>
        <v>4.2330677290836656</v>
      </c>
      <c r="DH250" s="173"/>
      <c r="DI250" s="173">
        <f t="shared" si="660"/>
        <v>7.7922077922077913</v>
      </c>
      <c r="DJ250" s="545">
        <f t="shared" si="661"/>
        <v>87.26666666666668</v>
      </c>
      <c r="DK250" s="528">
        <f t="shared" si="662"/>
        <v>4.2330677290836656</v>
      </c>
      <c r="DM250" s="173">
        <f t="shared" si="663"/>
        <v>4.993328882953068</v>
      </c>
      <c r="DN250" s="173">
        <f t="shared" si="664"/>
        <v>10</v>
      </c>
      <c r="DO250" s="173">
        <f t="shared" si="665"/>
        <v>1.0498666666666667</v>
      </c>
      <c r="DQ250" s="545">
        <f t="shared" si="666"/>
        <v>3400.0000000000005</v>
      </c>
      <c r="DR250" s="460">
        <f t="shared" si="667"/>
        <v>87.26666666666668</v>
      </c>
      <c r="DT250">
        <f t="shared" si="668"/>
        <v>3400.0000000000005</v>
      </c>
      <c r="DU250">
        <f t="shared" si="669"/>
        <v>87.26666666666668</v>
      </c>
      <c r="DW250" s="5">
        <f t="shared" si="670"/>
        <v>11.459129106187929</v>
      </c>
      <c r="DX250" s="5">
        <f t="shared" si="671"/>
        <v>1.4117647058823528</v>
      </c>
      <c r="DY250" s="5">
        <f t="shared" si="672"/>
        <v>10.047364400305575</v>
      </c>
      <c r="DZ250" s="5"/>
      <c r="EA250" s="173">
        <f t="shared" si="673"/>
        <v>0.1232</v>
      </c>
      <c r="EB250" s="173">
        <f t="shared" si="699"/>
        <v>52.360000000000014</v>
      </c>
      <c r="EC250" s="173">
        <f t="shared" si="700"/>
        <v>4.3840000000000003</v>
      </c>
      <c r="ED250" s="173">
        <f t="shared" si="701"/>
        <v>11.943430656934309</v>
      </c>
      <c r="EE250" s="460">
        <f t="shared" si="674"/>
        <v>32</v>
      </c>
      <c r="EF250" s="5">
        <f t="shared" si="675"/>
        <v>1.6745607333842627</v>
      </c>
      <c r="EH250" s="173">
        <f t="shared" si="702"/>
        <v>2.0264912204760885</v>
      </c>
      <c r="EI250" s="173">
        <f t="shared" si="703"/>
        <v>5.4061693153902111</v>
      </c>
      <c r="EK250" s="528">
        <f t="shared" si="704"/>
        <v>8.2133333333333336E-2</v>
      </c>
      <c r="EL250" s="528">
        <f t="shared" si="705"/>
        <v>1.7523146666666671</v>
      </c>
      <c r="EM250" s="528">
        <f t="shared" si="706"/>
        <v>1.0908333333333336E-2</v>
      </c>
      <c r="EN250" s="528">
        <f t="shared" si="707"/>
        <v>8.7966196266666685E-2</v>
      </c>
      <c r="EO250">
        <f t="shared" si="708"/>
        <v>3.8249999999999999E-2</v>
      </c>
      <c r="EP250" s="460">
        <f t="shared" si="709"/>
        <v>49.158333333333331</v>
      </c>
      <c r="EQ250" s="460"/>
      <c r="ER250" s="460">
        <f t="shared" si="710"/>
        <v>1971.5725296000005</v>
      </c>
      <c r="ES250" s="528">
        <f t="shared" si="711"/>
        <v>2.38</v>
      </c>
      <c r="EV250" s="460">
        <f t="shared" si="712"/>
        <v>2380</v>
      </c>
      <c r="EW250" s="528">
        <f t="shared" si="713"/>
        <v>0.12319999999999999</v>
      </c>
      <c r="EX250" s="528">
        <f t="shared" si="714"/>
        <v>0.87679999999999991</v>
      </c>
      <c r="EY250" s="528">
        <f t="shared" si="715"/>
        <v>1.1248405732933582</v>
      </c>
      <c r="EZ250" s="528"/>
      <c r="FA250" s="528">
        <f t="shared" si="716"/>
        <v>8.726666666666669E-3</v>
      </c>
      <c r="FB250" s="460">
        <f t="shared" si="717"/>
        <v>2133.5672399600244</v>
      </c>
      <c r="FC250" s="173">
        <f t="shared" si="718"/>
        <v>6.4851397695600257</v>
      </c>
      <c r="FD250" s="5">
        <f t="shared" si="719"/>
        <v>51.000000000000007</v>
      </c>
      <c r="FE250" s="173">
        <f t="shared" si="720"/>
        <v>0.88718580496530186</v>
      </c>
      <c r="FF250" s="5">
        <f t="shared" si="721"/>
        <v>88.71858049653018</v>
      </c>
      <c r="FI250" s="562">
        <f t="shared" si="676"/>
        <v>-50</v>
      </c>
      <c r="FJ250">
        <f t="shared" si="677"/>
        <v>-50</v>
      </c>
      <c r="FL250">
        <f t="shared" si="760"/>
        <v>0.68</v>
      </c>
    </row>
    <row r="251" spans="5:168">
      <c r="E251" s="170">
        <v>35</v>
      </c>
      <c r="F251" s="217">
        <f t="shared" si="761"/>
        <v>3.5</v>
      </c>
      <c r="G251" s="217"/>
      <c r="H251" s="217">
        <f t="shared" si="726"/>
        <v>52.5</v>
      </c>
      <c r="I251" s="541">
        <f t="shared" si="727"/>
        <v>84.753268114390082</v>
      </c>
      <c r="J251" s="172">
        <f t="shared" si="728"/>
        <v>15.548039131365949</v>
      </c>
      <c r="K251" s="172">
        <f t="shared" si="729"/>
        <v>100.30130724575604</v>
      </c>
      <c r="L251" s="443"/>
      <c r="M251" s="217">
        <f t="shared" si="730"/>
        <v>0.15502984391561525</v>
      </c>
      <c r="N251" s="172">
        <f t="shared" si="731"/>
        <v>329.8781973075603</v>
      </c>
      <c r="O251" s="172">
        <f t="shared" si="599"/>
        <v>52.5</v>
      </c>
      <c r="P251" s="217">
        <f t="shared" si="732"/>
        <v>21.991879820504021</v>
      </c>
      <c r="Q251" s="217">
        <f t="shared" si="733"/>
        <v>15</v>
      </c>
      <c r="R251" s="217"/>
      <c r="S251" s="172">
        <f t="shared" si="734"/>
        <v>520.69227658184423</v>
      </c>
      <c r="T251" s="172">
        <f t="shared" si="735"/>
        <v>15</v>
      </c>
      <c r="U251" s="217">
        <f t="shared" si="736"/>
        <v>8.2843162561364228</v>
      </c>
      <c r="V251" s="217">
        <f t="shared" si="737"/>
        <v>1.1729553005491495</v>
      </c>
      <c r="W251" s="217">
        <f t="shared" si="738"/>
        <v>6.3938477536429632</v>
      </c>
      <c r="X251" s="197">
        <f t="shared" si="739"/>
        <v>109.48238241177424</v>
      </c>
      <c r="Y251" s="443">
        <f t="shared" si="680"/>
        <v>128.75310382181667</v>
      </c>
      <c r="AA251" s="217">
        <f t="shared" si="740"/>
        <v>10</v>
      </c>
      <c r="AB251" s="173">
        <f t="shared" si="741"/>
        <v>7.7180150491078416</v>
      </c>
      <c r="AC251" s="173">
        <f t="shared" si="742"/>
        <v>4.2249333753312666</v>
      </c>
      <c r="AD251" s="173"/>
      <c r="AE251" s="173">
        <f t="shared" si="743"/>
        <v>7.7180150491078416</v>
      </c>
      <c r="AF251" s="545">
        <f t="shared" si="744"/>
        <v>90.696894932968021</v>
      </c>
      <c r="AG251" s="528">
        <f t="shared" si="745"/>
        <v>4.2249333753312666</v>
      </c>
      <c r="AI251" s="173">
        <f t="shared" si="746"/>
        <v>5.0905204598622902</v>
      </c>
      <c r="AJ251" s="173">
        <f t="shared" si="747"/>
        <v>10</v>
      </c>
      <c r="AK251" s="173">
        <f t="shared" si="748"/>
        <v>1.0518267971045532</v>
      </c>
      <c r="AM251" s="545">
        <f t="shared" si="749"/>
        <v>3500</v>
      </c>
      <c r="AN251" s="460">
        <f t="shared" si="750"/>
        <v>90.696894932968021</v>
      </c>
      <c r="AP251">
        <f t="shared" si="751"/>
        <v>3500</v>
      </c>
      <c r="AQ251">
        <f t="shared" si="752"/>
        <v>90.696894932968021</v>
      </c>
      <c r="AS251" s="5">
        <f t="shared" si="600"/>
        <v>11.025735784439775</v>
      </c>
      <c r="AT251" s="5">
        <f t="shared" si="753"/>
        <v>1.4158746048357451</v>
      </c>
      <c r="AU251" s="5">
        <f t="shared" si="722"/>
        <v>9.6098611796040299</v>
      </c>
      <c r="AV251" s="5"/>
      <c r="AW251" s="173">
        <f t="shared" si="723"/>
        <v>0.12841543027304519</v>
      </c>
      <c r="AX251" s="173">
        <f t="shared" si="631"/>
        <v>54.418136959780817</v>
      </c>
      <c r="AY251" s="173">
        <f t="shared" si="632"/>
        <v>4.3579228486347743</v>
      </c>
      <c r="AZ251" s="173">
        <f t="shared" si="633"/>
        <v>12.487173098263689</v>
      </c>
      <c r="BA251" s="460">
        <f t="shared" si="724"/>
        <v>33.037074112834055</v>
      </c>
      <c r="BB251" s="5">
        <f t="shared" si="725"/>
        <v>1.6535505000240893</v>
      </c>
      <c r="BD251" s="173">
        <f t="shared" si="681"/>
        <v>2.0689403912232076</v>
      </c>
      <c r="BE251" s="173">
        <f t="shared" si="682"/>
        <v>5.3900666963311767</v>
      </c>
      <c r="BG251" s="528">
        <f t="shared" si="683"/>
        <v>8.5610286848696801E-2</v>
      </c>
      <c r="BH251" s="528">
        <f t="shared" si="754"/>
        <v>1.70569071092019</v>
      </c>
      <c r="BI251" s="528">
        <f t="shared" si="755"/>
        <v>0.19217145633491264</v>
      </c>
      <c r="BJ251" s="528">
        <f t="shared" si="684"/>
        <v>9.124427096652693E-2</v>
      </c>
      <c r="BK251">
        <f t="shared" si="685"/>
        <v>3.8138970651475534E-2</v>
      </c>
      <c r="BL251" s="460">
        <f t="shared" si="686"/>
        <v>230.31042698638817</v>
      </c>
      <c r="BM251" s="528">
        <f t="shared" si="756"/>
        <v>1.9452279357077011</v>
      </c>
      <c r="BN251" s="460">
        <f t="shared" si="687"/>
        <v>1945.2279357077011</v>
      </c>
      <c r="BO251" s="528">
        <f t="shared" si="637"/>
        <v>2.4499999999999997</v>
      </c>
      <c r="BR251" s="460">
        <f t="shared" si="688"/>
        <v>2449.9999999999995</v>
      </c>
      <c r="BS251" s="528">
        <f t="shared" si="689"/>
        <v>0.12841543027304519</v>
      </c>
      <c r="BT251" s="528">
        <f t="shared" si="690"/>
        <v>0.87158456972695453</v>
      </c>
      <c r="BU251" s="528">
        <f t="shared" si="691"/>
        <v>1.238656972688003</v>
      </c>
      <c r="BV251" s="528"/>
      <c r="BW251" s="528">
        <f t="shared" si="692"/>
        <v>9.0696894932968033E-3</v>
      </c>
      <c r="BX251" s="460">
        <f t="shared" si="693"/>
        <v>2247.7266621812996</v>
      </c>
      <c r="BY251" s="173">
        <f t="shared" si="694"/>
        <v>6.8105823579031011</v>
      </c>
      <c r="BZ251" s="5">
        <f t="shared" si="695"/>
        <v>52.5</v>
      </c>
      <c r="CA251" s="173">
        <f t="shared" si="696"/>
        <v>0.88517087360893876</v>
      </c>
      <c r="CB251" s="5">
        <f t="shared" si="697"/>
        <v>88.517087360893882</v>
      </c>
      <c r="CE251" s="562">
        <f t="shared" si="757"/>
        <v>-50</v>
      </c>
      <c r="CF251">
        <f t="shared" si="758"/>
        <v>-50</v>
      </c>
      <c r="CG251" s="173">
        <f t="shared" si="759"/>
        <v>0.70927192716663101</v>
      </c>
      <c r="CI251" s="170">
        <v>35</v>
      </c>
      <c r="CJ251" s="217">
        <f t="shared" si="698"/>
        <v>3.5</v>
      </c>
      <c r="CK251" s="217"/>
      <c r="CL251" s="217">
        <f t="shared" si="641"/>
        <v>52.5</v>
      </c>
      <c r="CM251" s="541">
        <f t="shared" si="642"/>
        <v>85</v>
      </c>
      <c r="CN251" s="443">
        <f t="shared" si="643"/>
        <v>15.4</v>
      </c>
      <c r="CO251" s="443">
        <f t="shared" si="644"/>
        <v>100.4</v>
      </c>
      <c r="CP251" s="443"/>
      <c r="CQ251" s="217">
        <f t="shared" si="645"/>
        <v>0.15338645418326693</v>
      </c>
      <c r="CR251" s="172">
        <f t="shared" si="646"/>
        <v>327.33148655378488</v>
      </c>
      <c r="CS251" s="172">
        <f t="shared" si="647"/>
        <v>52.5</v>
      </c>
      <c r="CT251" s="217">
        <f t="shared" si="648"/>
        <v>21.822099103585661</v>
      </c>
      <c r="CU251" s="217">
        <f t="shared" si="649"/>
        <v>15</v>
      </c>
      <c r="CV251" s="217"/>
      <c r="CW251" s="172">
        <f t="shared" si="650"/>
        <v>522.20791547625231</v>
      </c>
      <c r="CX251" s="172">
        <f t="shared" si="651"/>
        <v>15</v>
      </c>
      <c r="CY251" s="217">
        <f t="shared" si="652"/>
        <v>8.0534759358288763</v>
      </c>
      <c r="CZ251" s="217">
        <f t="shared" si="653"/>
        <v>1.1369613085876062</v>
      </c>
      <c r="DA251" s="217">
        <f t="shared" si="654"/>
        <v>6.2754357941523713</v>
      </c>
      <c r="DB251" s="197">
        <f t="shared" si="655"/>
        <v>108.64873837981409</v>
      </c>
      <c r="DC251" s="443">
        <f t="shared" si="656"/>
        <v>134.90912401743182</v>
      </c>
      <c r="DE251" s="217">
        <f t="shared" si="657"/>
        <v>10</v>
      </c>
      <c r="DF251" s="173">
        <f t="shared" si="658"/>
        <v>7.7922077922077913</v>
      </c>
      <c r="DG251" s="173">
        <f t="shared" si="659"/>
        <v>4.2330677290836656</v>
      </c>
      <c r="DH251" s="173"/>
      <c r="DI251" s="173">
        <f t="shared" si="660"/>
        <v>7.7922077922077913</v>
      </c>
      <c r="DJ251" s="545">
        <f t="shared" si="661"/>
        <v>89.833333333333343</v>
      </c>
      <c r="DK251" s="528">
        <f t="shared" si="662"/>
        <v>4.2330677290836656</v>
      </c>
      <c r="DM251" s="173">
        <f t="shared" si="663"/>
        <v>5.0662280511902216</v>
      </c>
      <c r="DN251" s="173">
        <f t="shared" si="664"/>
        <v>10</v>
      </c>
      <c r="DO251" s="173">
        <f t="shared" si="665"/>
        <v>1.0513333333333335</v>
      </c>
      <c r="DQ251" s="545">
        <f t="shared" si="666"/>
        <v>3500</v>
      </c>
      <c r="DR251" s="460">
        <f t="shared" si="667"/>
        <v>89.833333333333343</v>
      </c>
      <c r="DT251">
        <f t="shared" si="668"/>
        <v>3500</v>
      </c>
      <c r="DU251">
        <f t="shared" si="669"/>
        <v>89.833333333333343</v>
      </c>
      <c r="DW251" s="5">
        <f t="shared" si="670"/>
        <v>11.131725417439702</v>
      </c>
      <c r="DX251" s="5">
        <f t="shared" si="671"/>
        <v>1.4117647058823528</v>
      </c>
      <c r="DY251" s="5">
        <f t="shared" si="672"/>
        <v>9.7199607115573485</v>
      </c>
      <c r="DZ251" s="5"/>
      <c r="EA251" s="173">
        <f t="shared" si="673"/>
        <v>0.1268235294117647</v>
      </c>
      <c r="EB251" s="173">
        <f t="shared" si="699"/>
        <v>53.900000000000013</v>
      </c>
      <c r="EC251" s="173">
        <f t="shared" si="700"/>
        <v>4.3658823529411768</v>
      </c>
      <c r="ED251" s="173">
        <f t="shared" si="701"/>
        <v>12.345728914039345</v>
      </c>
      <c r="EE251" s="460">
        <f t="shared" si="674"/>
        <v>32.941176470588232</v>
      </c>
      <c r="EF251" s="5">
        <f t="shared" si="675"/>
        <v>1.6676403181593491</v>
      </c>
      <c r="EH251" s="173">
        <f t="shared" si="702"/>
        <v>2.0560765988630276</v>
      </c>
      <c r="EI251" s="173">
        <f t="shared" si="703"/>
        <v>5.3949867796817799</v>
      </c>
      <c r="EK251" s="528">
        <f t="shared" si="704"/>
        <v>8.4549019607843098E-2</v>
      </c>
      <c r="EL251" s="528">
        <f t="shared" si="705"/>
        <v>1.8038533333333335</v>
      </c>
      <c r="EM251" s="528">
        <f t="shared" si="706"/>
        <v>1.1229166666666667E-2</v>
      </c>
      <c r="EN251" s="528">
        <f t="shared" si="707"/>
        <v>9.0553437333333348E-2</v>
      </c>
      <c r="EO251">
        <f t="shared" si="708"/>
        <v>3.8249999999999999E-2</v>
      </c>
      <c r="EP251" s="460">
        <f t="shared" si="709"/>
        <v>49.479166666666664</v>
      </c>
      <c r="EQ251" s="460"/>
      <c r="ER251" s="460">
        <f t="shared" si="710"/>
        <v>2028.4349569411768</v>
      </c>
      <c r="ES251" s="528">
        <f t="shared" si="711"/>
        <v>2.4499999999999997</v>
      </c>
      <c r="EV251" s="460">
        <f t="shared" si="712"/>
        <v>2449.9999999999995</v>
      </c>
      <c r="EW251" s="528">
        <f t="shared" si="713"/>
        <v>0.12682352941176464</v>
      </c>
      <c r="EX251" s="528">
        <f t="shared" si="714"/>
        <v>0.87317647058823544</v>
      </c>
      <c r="EY251" s="528">
        <f t="shared" si="715"/>
        <v>1.2093828100881767</v>
      </c>
      <c r="EZ251" s="528"/>
      <c r="FA251" s="528">
        <f t="shared" si="716"/>
        <v>8.9833333333333345E-3</v>
      </c>
      <c r="FB251" s="460">
        <f t="shared" si="717"/>
        <v>2218.3661434215101</v>
      </c>
      <c r="FC251" s="173">
        <f t="shared" si="718"/>
        <v>6.6968011003626868</v>
      </c>
      <c r="FD251" s="5">
        <f t="shared" si="719"/>
        <v>52.5</v>
      </c>
      <c r="FE251" s="173">
        <f t="shared" si="720"/>
        <v>0.88687224688021771</v>
      </c>
      <c r="FF251" s="5">
        <f t="shared" si="721"/>
        <v>88.687224688021772</v>
      </c>
      <c r="FI251" s="562">
        <f t="shared" si="676"/>
        <v>-50</v>
      </c>
      <c r="FJ251">
        <f t="shared" si="677"/>
        <v>-50</v>
      </c>
      <c r="FL251">
        <f t="shared" si="760"/>
        <v>0.70000000000000007</v>
      </c>
    </row>
    <row r="252" spans="5:168">
      <c r="E252" s="170">
        <v>36</v>
      </c>
      <c r="F252" s="217">
        <f t="shared" si="761"/>
        <v>3.5999999999999996</v>
      </c>
      <c r="G252" s="217"/>
      <c r="H252" s="217">
        <f t="shared" si="726"/>
        <v>53.999999999999993</v>
      </c>
      <c r="I252" s="541">
        <f t="shared" si="727"/>
        <v>84.753268114390082</v>
      </c>
      <c r="J252" s="172">
        <f t="shared" si="728"/>
        <v>15.548039131365949</v>
      </c>
      <c r="K252" s="172">
        <f t="shared" si="729"/>
        <v>100.30130724575604</v>
      </c>
      <c r="L252" s="443"/>
      <c r="M252" s="217">
        <f t="shared" si="730"/>
        <v>0.15502984391561525</v>
      </c>
      <c r="N252" s="172">
        <f t="shared" si="731"/>
        <v>329.8781973075603</v>
      </c>
      <c r="O252" s="172">
        <f t="shared" si="599"/>
        <v>53.999999999999993</v>
      </c>
      <c r="P252" s="217">
        <f t="shared" si="732"/>
        <v>21.991879820504021</v>
      </c>
      <c r="Q252" s="217">
        <f t="shared" si="733"/>
        <v>15</v>
      </c>
      <c r="R252" s="217"/>
      <c r="S252" s="172">
        <f t="shared" si="734"/>
        <v>503.87832116499487</v>
      </c>
      <c r="T252" s="172">
        <f t="shared" si="735"/>
        <v>15</v>
      </c>
      <c r="U252" s="217">
        <f t="shared" si="736"/>
        <v>8.521011006311749</v>
      </c>
      <c r="V252" s="217">
        <f t="shared" si="737"/>
        <v>1.2064683091362682</v>
      </c>
      <c r="W252" s="217">
        <f t="shared" si="738"/>
        <v>6.5765291180327639</v>
      </c>
      <c r="X252" s="197">
        <f t="shared" si="739"/>
        <v>109.48238241177424</v>
      </c>
      <c r="Y252" s="443">
        <f t="shared" si="680"/>
        <v>125.26623102703724</v>
      </c>
      <c r="AA252" s="217">
        <f t="shared" si="740"/>
        <v>10</v>
      </c>
      <c r="AB252" s="173">
        <f t="shared" si="741"/>
        <v>7.7180150491078416</v>
      </c>
      <c r="AC252" s="173">
        <f t="shared" si="742"/>
        <v>4.2249333753312666</v>
      </c>
      <c r="AD252" s="173"/>
      <c r="AE252" s="173">
        <f t="shared" si="743"/>
        <v>7.7180150491078416</v>
      </c>
      <c r="AF252" s="545">
        <f t="shared" si="744"/>
        <v>93.288234788195666</v>
      </c>
      <c r="AG252" s="528">
        <f t="shared" si="745"/>
        <v>4.2249333753312666</v>
      </c>
      <c r="AI252" s="173">
        <f t="shared" si="746"/>
        <v>5.1627300305222148</v>
      </c>
      <c r="AJ252" s="173">
        <f t="shared" si="747"/>
        <v>10</v>
      </c>
      <c r="AK252" s="173">
        <f t="shared" si="748"/>
        <v>1.0533075627361117</v>
      </c>
      <c r="AM252" s="545">
        <f t="shared" si="749"/>
        <v>3599.9999999999995</v>
      </c>
      <c r="AN252" s="460">
        <f t="shared" si="750"/>
        <v>93.288234788195666</v>
      </c>
      <c r="AP252">
        <f t="shared" si="751"/>
        <v>3599.9999999999995</v>
      </c>
      <c r="AQ252">
        <f t="shared" si="752"/>
        <v>93.288234788195666</v>
      </c>
      <c r="AS252" s="5">
        <f t="shared" si="600"/>
        <v>10.719465345983116</v>
      </c>
      <c r="AT252" s="5">
        <f t="shared" si="753"/>
        <v>1.4158746048357451</v>
      </c>
      <c r="AU252" s="5">
        <f t="shared" si="722"/>
        <v>9.3035907411473708</v>
      </c>
      <c r="AV252" s="5"/>
      <c r="AW252" s="173">
        <f t="shared" si="723"/>
        <v>0.13208444256656077</v>
      </c>
      <c r="AX252" s="173">
        <f t="shared" si="631"/>
        <v>55.972940872917405</v>
      </c>
      <c r="AY252" s="173">
        <f t="shared" si="632"/>
        <v>4.3395777871671957</v>
      </c>
      <c r="AZ252" s="173">
        <f t="shared" si="633"/>
        <v>12.898245778296236</v>
      </c>
      <c r="BA252" s="460">
        <f t="shared" si="724"/>
        <v>33.980990516057879</v>
      </c>
      <c r="BB252" s="5">
        <f t="shared" si="725"/>
        <v>1.646589733021941</v>
      </c>
      <c r="BD252" s="173">
        <f t="shared" si="681"/>
        <v>2.0982885293063709</v>
      </c>
      <c r="BE252" s="173">
        <f t="shared" si="682"/>
        <v>5.37870975059211</v>
      </c>
      <c r="BG252" s="528">
        <f t="shared" si="683"/>
        <v>8.8056295044373858E-2</v>
      </c>
      <c r="BH252" s="528">
        <f t="shared" si="754"/>
        <v>1.754424731232195</v>
      </c>
      <c r="BI252" s="528">
        <f t="shared" si="755"/>
        <v>0.19766206937305297</v>
      </c>
      <c r="BJ252" s="528">
        <f t="shared" si="684"/>
        <v>9.3851250136999118E-2</v>
      </c>
      <c r="BK252">
        <f t="shared" si="685"/>
        <v>3.8138970651475534E-2</v>
      </c>
      <c r="BL252" s="460">
        <f t="shared" si="686"/>
        <v>235.8010400245285</v>
      </c>
      <c r="BM252" s="528">
        <f t="shared" si="756"/>
        <v>2.0019935366037278</v>
      </c>
      <c r="BN252" s="460">
        <f t="shared" si="687"/>
        <v>2001.9935366037278</v>
      </c>
      <c r="BO252" s="528">
        <f t="shared" si="637"/>
        <v>2.5199999999999996</v>
      </c>
      <c r="BR252" s="460">
        <f t="shared" si="688"/>
        <v>2519.9999999999995</v>
      </c>
      <c r="BS252" s="528">
        <f t="shared" si="689"/>
        <v>0.13208444256656079</v>
      </c>
      <c r="BT252" s="528">
        <f t="shared" si="690"/>
        <v>0.86791555743343907</v>
      </c>
      <c r="BU252" s="528">
        <f t="shared" si="691"/>
        <v>1.3290373704086857</v>
      </c>
      <c r="BV252" s="528"/>
      <c r="BW252" s="528">
        <f t="shared" si="692"/>
        <v>9.3288234788195673E-3</v>
      </c>
      <c r="BX252" s="460">
        <f t="shared" si="693"/>
        <v>2338.3661938875048</v>
      </c>
      <c r="BY252" s="173">
        <f t="shared" si="694"/>
        <v>7.0304995103256012</v>
      </c>
      <c r="BZ252" s="5">
        <f t="shared" si="695"/>
        <v>53.999999999999993</v>
      </c>
      <c r="CA252" s="173">
        <f t="shared" si="696"/>
        <v>0.88480350698856514</v>
      </c>
      <c r="CB252" s="5">
        <f t="shared" si="697"/>
        <v>88.480350698856512</v>
      </c>
      <c r="CE252" s="562">
        <f t="shared" si="757"/>
        <v>-50</v>
      </c>
      <c r="CF252">
        <f t="shared" si="758"/>
        <v>-50</v>
      </c>
      <c r="CG252" s="173">
        <f t="shared" si="759"/>
        <v>0.7295368393713918</v>
      </c>
      <c r="CI252" s="170">
        <v>36</v>
      </c>
      <c r="CJ252" s="217">
        <f t="shared" si="698"/>
        <v>3.5999999999999996</v>
      </c>
      <c r="CK252" s="217"/>
      <c r="CL252" s="217">
        <f t="shared" si="641"/>
        <v>53.999999999999993</v>
      </c>
      <c r="CM252" s="541">
        <f t="shared" si="642"/>
        <v>85</v>
      </c>
      <c r="CN252" s="443">
        <f t="shared" si="643"/>
        <v>15.4</v>
      </c>
      <c r="CO252" s="443">
        <f t="shared" si="644"/>
        <v>100.4</v>
      </c>
      <c r="CP252" s="443"/>
      <c r="CQ252" s="217">
        <f t="shared" si="645"/>
        <v>0.15338645418326693</v>
      </c>
      <c r="CR252" s="172">
        <f t="shared" si="646"/>
        <v>327.33148655378488</v>
      </c>
      <c r="CS252" s="172">
        <f t="shared" si="647"/>
        <v>53.999999999999993</v>
      </c>
      <c r="CT252" s="217">
        <f t="shared" si="648"/>
        <v>21.822099103585661</v>
      </c>
      <c r="CU252" s="217">
        <f t="shared" si="649"/>
        <v>15</v>
      </c>
      <c r="CV252" s="217"/>
      <c r="CW252" s="172">
        <f t="shared" si="650"/>
        <v>505.34500533245762</v>
      </c>
      <c r="CX252" s="172">
        <f t="shared" si="651"/>
        <v>15</v>
      </c>
      <c r="CY252" s="217">
        <f t="shared" si="652"/>
        <v>8.2835752482811298</v>
      </c>
      <c r="CZ252" s="217">
        <f t="shared" si="653"/>
        <v>1.169445917404395</v>
      </c>
      <c r="DA252" s="217">
        <f t="shared" si="654"/>
        <v>6.4547339596995821</v>
      </c>
      <c r="DB252" s="197">
        <f t="shared" si="655"/>
        <v>108.64873837981409</v>
      </c>
      <c r="DC252" s="443">
        <f t="shared" si="656"/>
        <v>131.16164835028093</v>
      </c>
      <c r="DE252" s="217">
        <f t="shared" si="657"/>
        <v>10</v>
      </c>
      <c r="DF252" s="173">
        <f t="shared" si="658"/>
        <v>7.7922077922077913</v>
      </c>
      <c r="DG252" s="173">
        <f t="shared" si="659"/>
        <v>4.2330677290836656</v>
      </c>
      <c r="DH252" s="173"/>
      <c r="DI252" s="173">
        <f t="shared" si="660"/>
        <v>7.7922077922077913</v>
      </c>
      <c r="DJ252" s="545">
        <f t="shared" si="661"/>
        <v>92.4</v>
      </c>
      <c r="DK252" s="528">
        <f t="shared" si="662"/>
        <v>4.2330677290836656</v>
      </c>
      <c r="DM252" s="173">
        <f t="shared" si="663"/>
        <v>5.1380930314660516</v>
      </c>
      <c r="DN252" s="173">
        <f t="shared" si="664"/>
        <v>10</v>
      </c>
      <c r="DO252" s="173">
        <f t="shared" si="665"/>
        <v>1.0528</v>
      </c>
      <c r="DQ252" s="545">
        <f t="shared" si="666"/>
        <v>3599.9999999999995</v>
      </c>
      <c r="DR252" s="460">
        <f t="shared" si="667"/>
        <v>92.4</v>
      </c>
      <c r="DT252">
        <f t="shared" si="668"/>
        <v>3599.9999999999995</v>
      </c>
      <c r="DU252">
        <f t="shared" si="669"/>
        <v>92.4</v>
      </c>
      <c r="DW252" s="5">
        <f t="shared" si="670"/>
        <v>10.822510822510822</v>
      </c>
      <c r="DX252" s="5">
        <f t="shared" si="671"/>
        <v>1.4117647058823528</v>
      </c>
      <c r="DY252" s="5">
        <f t="shared" si="672"/>
        <v>9.4107461166284683</v>
      </c>
      <c r="DZ252" s="5"/>
      <c r="EA252" s="173">
        <f t="shared" si="673"/>
        <v>0.13044705882352942</v>
      </c>
      <c r="EB252" s="173">
        <f t="shared" si="699"/>
        <v>55.440000000000012</v>
      </c>
      <c r="EC252" s="173">
        <f t="shared" si="700"/>
        <v>4.3477647058823532</v>
      </c>
      <c r="ED252" s="173">
        <f t="shared" si="701"/>
        <v>12.75138001948263</v>
      </c>
      <c r="EE252" s="460">
        <f t="shared" si="674"/>
        <v>33.882352941176464</v>
      </c>
      <c r="EF252" s="5">
        <f t="shared" si="675"/>
        <v>1.6607199029344355</v>
      </c>
      <c r="EH252" s="173">
        <f t="shared" si="702"/>
        <v>2.0852422626921907</v>
      </c>
      <c r="EI252" s="173">
        <f t="shared" si="703"/>
        <v>5.3837810170191434</v>
      </c>
      <c r="EK252" s="528">
        <f t="shared" si="704"/>
        <v>8.6964705882352944E-2</v>
      </c>
      <c r="EL252" s="528">
        <f t="shared" si="705"/>
        <v>1.8553919999999999</v>
      </c>
      <c r="EM252" s="528">
        <f t="shared" si="706"/>
        <v>1.155E-2</v>
      </c>
      <c r="EN252" s="528">
        <f t="shared" si="707"/>
        <v>9.314067840000001E-2</v>
      </c>
      <c r="EO252">
        <f t="shared" si="708"/>
        <v>3.8249999999999999E-2</v>
      </c>
      <c r="EP252" s="460">
        <f t="shared" si="709"/>
        <v>49.8</v>
      </c>
      <c r="EQ252" s="460"/>
      <c r="ER252" s="460">
        <f t="shared" si="710"/>
        <v>2085.2973842823526</v>
      </c>
      <c r="ES252" s="528">
        <f t="shared" si="711"/>
        <v>2.5199999999999996</v>
      </c>
      <c r="EV252" s="460">
        <f t="shared" si="712"/>
        <v>2519.9999999999995</v>
      </c>
      <c r="EW252" s="528">
        <f t="shared" si="713"/>
        <v>0.13044705882352942</v>
      </c>
      <c r="EX252" s="528">
        <f t="shared" si="714"/>
        <v>0.86955294117647042</v>
      </c>
      <c r="EY252" s="528">
        <f t="shared" si="715"/>
        <v>1.2976271761898954</v>
      </c>
      <c r="EZ252" s="528"/>
      <c r="FA252" s="528">
        <f t="shared" si="716"/>
        <v>9.2400000000000017E-3</v>
      </c>
      <c r="FB252" s="460">
        <f t="shared" si="717"/>
        <v>2306.867176189895</v>
      </c>
      <c r="FC252" s="173">
        <f t="shared" si="718"/>
        <v>6.912164560472247</v>
      </c>
      <c r="FD252" s="5">
        <f t="shared" si="719"/>
        <v>53.999999999999993</v>
      </c>
      <c r="FE252" s="173">
        <f t="shared" si="720"/>
        <v>0.88652242765712252</v>
      </c>
      <c r="FF252" s="5">
        <f t="shared" si="721"/>
        <v>88.652242765712259</v>
      </c>
      <c r="FI252" s="562">
        <f t="shared" si="676"/>
        <v>-50</v>
      </c>
      <c r="FJ252">
        <f t="shared" si="677"/>
        <v>-50</v>
      </c>
      <c r="FL252">
        <f t="shared" si="760"/>
        <v>0.72</v>
      </c>
    </row>
    <row r="253" spans="5:168">
      <c r="E253" s="170">
        <v>37</v>
      </c>
      <c r="F253" s="217">
        <f t="shared" si="761"/>
        <v>3.7</v>
      </c>
      <c r="G253" s="217"/>
      <c r="H253" s="217">
        <f t="shared" si="726"/>
        <v>55.5</v>
      </c>
      <c r="I253" s="541">
        <f t="shared" si="727"/>
        <v>84.753268114390082</v>
      </c>
      <c r="J253" s="172">
        <f t="shared" si="728"/>
        <v>15.548039131365949</v>
      </c>
      <c r="K253" s="172">
        <f t="shared" si="729"/>
        <v>100.30130724575604</v>
      </c>
      <c r="L253" s="443"/>
      <c r="M253" s="217">
        <f t="shared" si="730"/>
        <v>0.15502984391561525</v>
      </c>
      <c r="N253" s="172">
        <f t="shared" si="731"/>
        <v>329.8781973075603</v>
      </c>
      <c r="O253" s="172">
        <f t="shared" si="599"/>
        <v>55.5</v>
      </c>
      <c r="P253" s="217">
        <f t="shared" si="732"/>
        <v>21.991879820504021</v>
      </c>
      <c r="Q253" s="217">
        <f t="shared" si="733"/>
        <v>15</v>
      </c>
      <c r="R253" s="217"/>
      <c r="S253" s="172">
        <f t="shared" si="734"/>
        <v>487.97336565629672</v>
      </c>
      <c r="T253" s="172">
        <f t="shared" si="735"/>
        <v>15</v>
      </c>
      <c r="U253" s="217">
        <f t="shared" si="736"/>
        <v>8.7577057564870753</v>
      </c>
      <c r="V253" s="217">
        <f t="shared" si="737"/>
        <v>1.2399813177233865</v>
      </c>
      <c r="W253" s="217">
        <f t="shared" si="738"/>
        <v>6.7592104824225618</v>
      </c>
      <c r="X253" s="197">
        <f t="shared" si="739"/>
        <v>109.48238241177424</v>
      </c>
      <c r="Y253" s="443">
        <f t="shared" si="680"/>
        <v>121.9632403259794</v>
      </c>
      <c r="AA253" s="217">
        <f t="shared" si="740"/>
        <v>10</v>
      </c>
      <c r="AB253" s="173">
        <f t="shared" si="741"/>
        <v>7.7180150491078416</v>
      </c>
      <c r="AC253" s="173">
        <f t="shared" si="742"/>
        <v>4.2249333753312666</v>
      </c>
      <c r="AD253" s="173"/>
      <c r="AE253" s="173">
        <f t="shared" si="743"/>
        <v>7.7180150491078416</v>
      </c>
      <c r="AF253" s="545">
        <f t="shared" si="744"/>
        <v>95.879574643423339</v>
      </c>
      <c r="AG253" s="528">
        <f t="shared" si="745"/>
        <v>4.2249333753312666</v>
      </c>
      <c r="AI253" s="173">
        <f t="shared" si="746"/>
        <v>5.2339434639509852</v>
      </c>
      <c r="AJ253" s="173">
        <f t="shared" si="747"/>
        <v>10</v>
      </c>
      <c r="AK253" s="173">
        <f t="shared" si="748"/>
        <v>1.0547883283676704</v>
      </c>
      <c r="AM253" s="545">
        <f t="shared" si="749"/>
        <v>3700</v>
      </c>
      <c r="AN253" s="460">
        <f t="shared" si="750"/>
        <v>95.879574643423339</v>
      </c>
      <c r="AP253">
        <f t="shared" si="751"/>
        <v>3700</v>
      </c>
      <c r="AQ253">
        <f t="shared" si="752"/>
        <v>95.879574643423339</v>
      </c>
      <c r="AS253" s="5">
        <f t="shared" si="600"/>
        <v>10.429750066361949</v>
      </c>
      <c r="AT253" s="5">
        <f t="shared" si="753"/>
        <v>1.4158746048357451</v>
      </c>
      <c r="AU253" s="5">
        <f t="shared" si="722"/>
        <v>9.0138754615262044</v>
      </c>
      <c r="AV253" s="5"/>
      <c r="AW253" s="173">
        <f t="shared" si="723"/>
        <v>0.13575345486007634</v>
      </c>
      <c r="AX253" s="173">
        <f t="shared" si="631"/>
        <v>57.527744786054015</v>
      </c>
      <c r="AY253" s="173">
        <f t="shared" si="632"/>
        <v>4.3212327256996188</v>
      </c>
      <c r="AZ253" s="173">
        <f t="shared" si="633"/>
        <v>13.312808737173517</v>
      </c>
      <c r="BA253" s="460">
        <f t="shared" si="724"/>
        <v>34.924906919281717</v>
      </c>
      <c r="BB253" s="5">
        <f t="shared" si="725"/>
        <v>1.6396289660197925</v>
      </c>
      <c r="BD253" s="173">
        <f t="shared" si="681"/>
        <v>2.1272318073032248</v>
      </c>
      <c r="BE253" s="173">
        <f t="shared" si="682"/>
        <v>5.3673287742908746</v>
      </c>
      <c r="BG253" s="528">
        <f t="shared" si="683"/>
        <v>9.0502303240050888E-2</v>
      </c>
      <c r="BH253" s="528">
        <f t="shared" si="754"/>
        <v>1.8031587515442005</v>
      </c>
      <c r="BI253" s="528">
        <f t="shared" si="755"/>
        <v>0.20315268241119339</v>
      </c>
      <c r="BJ253" s="528">
        <f t="shared" si="684"/>
        <v>9.6458229307471333E-2</v>
      </c>
      <c r="BK253">
        <f t="shared" si="685"/>
        <v>3.8138970651475534E-2</v>
      </c>
      <c r="BL253" s="460">
        <f t="shared" si="686"/>
        <v>241.29165306266893</v>
      </c>
      <c r="BM253" s="528">
        <f t="shared" si="756"/>
        <v>2.058826568598294</v>
      </c>
      <c r="BN253" s="460">
        <f t="shared" si="687"/>
        <v>2058.8265685982942</v>
      </c>
      <c r="BO253" s="528">
        <f t="shared" si="637"/>
        <v>2.59</v>
      </c>
      <c r="BR253" s="460">
        <f t="shared" si="688"/>
        <v>2590</v>
      </c>
      <c r="BS253" s="528">
        <f t="shared" si="689"/>
        <v>0.13575345486007631</v>
      </c>
      <c r="BT253" s="528">
        <f t="shared" si="690"/>
        <v>0.86424654513992349</v>
      </c>
      <c r="BU253" s="528">
        <f t="shared" si="691"/>
        <v>1.4232633005481632</v>
      </c>
      <c r="BV253" s="528"/>
      <c r="BW253" s="528">
        <f t="shared" si="692"/>
        <v>9.5879574643423348E-3</v>
      </c>
      <c r="BX253" s="460">
        <f t="shared" si="693"/>
        <v>2432.8512580125052</v>
      </c>
      <c r="BY253" s="173">
        <f t="shared" si="694"/>
        <v>7.2542621951668966</v>
      </c>
      <c r="BZ253" s="5">
        <f t="shared" si="695"/>
        <v>55.5</v>
      </c>
      <c r="CA253" s="173">
        <f t="shared" si="696"/>
        <v>0.88440207977258967</v>
      </c>
      <c r="CB253" s="5">
        <f t="shared" si="697"/>
        <v>88.440207977258964</v>
      </c>
      <c r="CE253" s="562">
        <f t="shared" si="757"/>
        <v>-50</v>
      </c>
      <c r="CF253">
        <f t="shared" si="758"/>
        <v>-50</v>
      </c>
      <c r="CG253" s="173">
        <f t="shared" si="759"/>
        <v>0.74980175157615281</v>
      </c>
      <c r="CI253" s="170">
        <v>37</v>
      </c>
      <c r="CJ253" s="217">
        <f t="shared" si="698"/>
        <v>3.7</v>
      </c>
      <c r="CK253" s="217"/>
      <c r="CL253" s="217">
        <f t="shared" si="641"/>
        <v>55.5</v>
      </c>
      <c r="CM253" s="541">
        <f t="shared" si="642"/>
        <v>85</v>
      </c>
      <c r="CN253" s="443">
        <f t="shared" si="643"/>
        <v>15.4</v>
      </c>
      <c r="CO253" s="443">
        <f t="shared" si="644"/>
        <v>100.4</v>
      </c>
      <c r="CP253" s="443"/>
      <c r="CQ253" s="217">
        <f t="shared" si="645"/>
        <v>0.15338645418326693</v>
      </c>
      <c r="CR253" s="172">
        <f t="shared" si="646"/>
        <v>327.33148655378488</v>
      </c>
      <c r="CS253" s="172">
        <f t="shared" si="647"/>
        <v>55.5</v>
      </c>
      <c r="CT253" s="217">
        <f t="shared" si="648"/>
        <v>21.822099103585661</v>
      </c>
      <c r="CU253" s="217">
        <f t="shared" si="649"/>
        <v>15</v>
      </c>
      <c r="CV253" s="217"/>
      <c r="CW253" s="172">
        <f t="shared" si="650"/>
        <v>489.39374129953882</v>
      </c>
      <c r="CX253" s="172">
        <f t="shared" si="651"/>
        <v>15</v>
      </c>
      <c r="CY253" s="217">
        <f t="shared" si="652"/>
        <v>8.5136745607333832</v>
      </c>
      <c r="CZ253" s="217">
        <f t="shared" si="653"/>
        <v>1.2019305262211835</v>
      </c>
      <c r="DA253" s="217">
        <f t="shared" si="654"/>
        <v>6.634032125246792</v>
      </c>
      <c r="DB253" s="197">
        <f t="shared" si="655"/>
        <v>108.64873837981409</v>
      </c>
      <c r="DC253" s="443">
        <f t="shared" si="656"/>
        <v>127.61673893540851</v>
      </c>
      <c r="DE253" s="217">
        <f t="shared" si="657"/>
        <v>10</v>
      </c>
      <c r="DF253" s="173">
        <f t="shared" si="658"/>
        <v>7.7922077922077913</v>
      </c>
      <c r="DG253" s="173">
        <f t="shared" si="659"/>
        <v>4.2330677290836656</v>
      </c>
      <c r="DH253" s="173"/>
      <c r="DI253" s="173">
        <f t="shared" si="660"/>
        <v>7.7922077922077913</v>
      </c>
      <c r="DJ253" s="545">
        <f t="shared" si="661"/>
        <v>94.966666666666669</v>
      </c>
      <c r="DK253" s="528">
        <f t="shared" si="662"/>
        <v>4.2330677290836656</v>
      </c>
      <c r="DM253" s="173">
        <f t="shared" si="663"/>
        <v>5.2089666281646823</v>
      </c>
      <c r="DN253" s="173">
        <f t="shared" si="664"/>
        <v>10</v>
      </c>
      <c r="DO253" s="173">
        <f t="shared" si="665"/>
        <v>1.0542666666666667</v>
      </c>
      <c r="DQ253" s="545">
        <f t="shared" si="666"/>
        <v>3700</v>
      </c>
      <c r="DR253" s="460">
        <f t="shared" si="667"/>
        <v>94.966666666666669</v>
      </c>
      <c r="DT253">
        <f t="shared" si="668"/>
        <v>3700</v>
      </c>
      <c r="DU253">
        <f t="shared" si="669"/>
        <v>94.966666666666669</v>
      </c>
      <c r="DW253" s="5">
        <f t="shared" si="670"/>
        <v>10.53001053001053</v>
      </c>
      <c r="DX253" s="5">
        <f t="shared" si="671"/>
        <v>1.4117647058823528</v>
      </c>
      <c r="DY253" s="5">
        <f t="shared" si="672"/>
        <v>9.1182458241281772</v>
      </c>
      <c r="DZ253" s="5"/>
      <c r="EA253" s="173">
        <f t="shared" si="673"/>
        <v>0.13407058823529411</v>
      </c>
      <c r="EB253" s="173">
        <f t="shared" si="699"/>
        <v>56.980000000000011</v>
      </c>
      <c r="EC253" s="173">
        <f t="shared" si="700"/>
        <v>4.3296470588235287</v>
      </c>
      <c r="ED253" s="173">
        <f t="shared" si="701"/>
        <v>13.160426063800886</v>
      </c>
      <c r="EE253" s="460">
        <f t="shared" si="674"/>
        <v>34.823529411764703</v>
      </c>
      <c r="EF253" s="5">
        <f t="shared" si="675"/>
        <v>1.6537994877095223</v>
      </c>
      <c r="EH253" s="173">
        <f t="shared" si="702"/>
        <v>2.1140055836830558</v>
      </c>
      <c r="EI253" s="173">
        <f t="shared" si="703"/>
        <v>5.3725518820659328</v>
      </c>
      <c r="EK253" s="528">
        <f t="shared" si="704"/>
        <v>8.9380392156862748E-2</v>
      </c>
      <c r="EL253" s="528">
        <f t="shared" si="705"/>
        <v>1.906930666666667</v>
      </c>
      <c r="EM253" s="528">
        <f t="shared" si="706"/>
        <v>1.1870833333333334E-2</v>
      </c>
      <c r="EN253" s="528">
        <f t="shared" si="707"/>
        <v>9.5727919466666672E-2</v>
      </c>
      <c r="EO253">
        <f t="shared" si="708"/>
        <v>3.8249999999999999E-2</v>
      </c>
      <c r="EP253" s="460">
        <f t="shared" si="709"/>
        <v>50.120833333333337</v>
      </c>
      <c r="EQ253" s="460"/>
      <c r="ER253" s="460">
        <f t="shared" si="710"/>
        <v>2142.1598116235295</v>
      </c>
      <c r="ES253" s="528">
        <f t="shared" si="711"/>
        <v>2.59</v>
      </c>
      <c r="EV253" s="460">
        <f t="shared" si="712"/>
        <v>2590</v>
      </c>
      <c r="EW253" s="528">
        <f t="shared" si="713"/>
        <v>0.13407058823529411</v>
      </c>
      <c r="EX253" s="528">
        <f t="shared" si="714"/>
        <v>0.86592941176470584</v>
      </c>
      <c r="EY253" s="528">
        <f t="shared" si="715"/>
        <v>1.3896261901929081</v>
      </c>
      <c r="EZ253" s="528"/>
      <c r="FA253" s="528">
        <f t="shared" si="716"/>
        <v>9.4966666666666689E-3</v>
      </c>
      <c r="FB253" s="460">
        <f t="shared" si="717"/>
        <v>2399.1228568595752</v>
      </c>
      <c r="FC253" s="173">
        <f t="shared" si="718"/>
        <v>7.1312826684831032</v>
      </c>
      <c r="FD253" s="5">
        <f t="shared" si="719"/>
        <v>55.5</v>
      </c>
      <c r="FE253" s="173">
        <f t="shared" si="720"/>
        <v>0.88613864566322131</v>
      </c>
      <c r="FF253" s="5">
        <f t="shared" si="721"/>
        <v>88.613864566322135</v>
      </c>
      <c r="FI253" s="562">
        <f t="shared" si="676"/>
        <v>-50</v>
      </c>
      <c r="FJ253">
        <f t="shared" si="677"/>
        <v>-50</v>
      </c>
      <c r="FL253">
        <f t="shared" si="760"/>
        <v>0.74</v>
      </c>
    </row>
    <row r="254" spans="5:168">
      <c r="E254" s="170">
        <v>38</v>
      </c>
      <c r="F254" s="217">
        <f t="shared" si="761"/>
        <v>3.8</v>
      </c>
      <c r="G254" s="217"/>
      <c r="H254" s="217">
        <f t="shared" si="726"/>
        <v>57</v>
      </c>
      <c r="I254" s="541">
        <f t="shared" si="727"/>
        <v>84.753268114390082</v>
      </c>
      <c r="J254" s="172">
        <f t="shared" si="728"/>
        <v>15.548039131365949</v>
      </c>
      <c r="K254" s="172">
        <f t="shared" si="729"/>
        <v>100.30130724575604</v>
      </c>
      <c r="L254" s="443"/>
      <c r="M254" s="217">
        <f t="shared" si="730"/>
        <v>0.15502984391561525</v>
      </c>
      <c r="N254" s="172">
        <f t="shared" si="731"/>
        <v>329.8781973075603</v>
      </c>
      <c r="O254" s="172">
        <f t="shared" si="599"/>
        <v>57</v>
      </c>
      <c r="P254" s="217">
        <f t="shared" si="732"/>
        <v>21.991879820504021</v>
      </c>
      <c r="Q254" s="217">
        <f t="shared" si="733"/>
        <v>15</v>
      </c>
      <c r="R254" s="217"/>
      <c r="S254" s="172">
        <f t="shared" si="734"/>
        <v>472.90564878129288</v>
      </c>
      <c r="T254" s="172">
        <f t="shared" si="735"/>
        <v>15</v>
      </c>
      <c r="U254" s="217">
        <f t="shared" si="736"/>
        <v>8.9944005066624015</v>
      </c>
      <c r="V254" s="217">
        <f t="shared" si="737"/>
        <v>1.2734943263105052</v>
      </c>
      <c r="W254" s="217">
        <f t="shared" si="738"/>
        <v>6.9418918468123616</v>
      </c>
      <c r="X254" s="197">
        <f t="shared" si="739"/>
        <v>109.48238241177424</v>
      </c>
      <c r="Y254" s="443">
        <f t="shared" si="680"/>
        <v>118.8299597223249</v>
      </c>
      <c r="AA254" s="217">
        <f t="shared" si="740"/>
        <v>10</v>
      </c>
      <c r="AB254" s="173">
        <f t="shared" si="741"/>
        <v>7.7180150491078416</v>
      </c>
      <c r="AC254" s="173">
        <f t="shared" si="742"/>
        <v>4.2249333753312666</v>
      </c>
      <c r="AD254" s="173"/>
      <c r="AE254" s="173">
        <f t="shared" si="743"/>
        <v>7.7180150491078416</v>
      </c>
      <c r="AF254" s="545">
        <f t="shared" si="744"/>
        <v>98.470914498650998</v>
      </c>
      <c r="AG254" s="528">
        <f t="shared" si="745"/>
        <v>4.2249333753312666</v>
      </c>
      <c r="AI254" s="173">
        <f t="shared" si="746"/>
        <v>5.3042008822832658</v>
      </c>
      <c r="AJ254" s="173">
        <f t="shared" si="747"/>
        <v>10</v>
      </c>
      <c r="AK254" s="173">
        <f t="shared" si="748"/>
        <v>1.0562690939992292</v>
      </c>
      <c r="AM254" s="545">
        <f t="shared" si="749"/>
        <v>3800</v>
      </c>
      <c r="AN254" s="460">
        <f t="shared" si="750"/>
        <v>98.470914498650998</v>
      </c>
      <c r="AP254">
        <f t="shared" si="751"/>
        <v>3800</v>
      </c>
      <c r="AQ254">
        <f t="shared" si="752"/>
        <v>98.470914498650998</v>
      </c>
      <c r="AS254" s="5">
        <f t="shared" si="600"/>
        <v>10.155282959352423</v>
      </c>
      <c r="AT254" s="5">
        <f t="shared" si="753"/>
        <v>1.4158746048357451</v>
      </c>
      <c r="AU254" s="5">
        <f t="shared" si="722"/>
        <v>8.7394083545166783</v>
      </c>
      <c r="AV254" s="5"/>
      <c r="AW254" s="173">
        <f t="shared" si="723"/>
        <v>0.13942246715359194</v>
      </c>
      <c r="AX254" s="173">
        <f t="shared" si="631"/>
        <v>59.08254869919061</v>
      </c>
      <c r="AY254" s="173">
        <f t="shared" si="632"/>
        <v>4.3028876642320402</v>
      </c>
      <c r="AZ254" s="173">
        <f t="shared" si="633"/>
        <v>13.730906616576846</v>
      </c>
      <c r="BA254" s="460">
        <f t="shared" si="724"/>
        <v>35.868823322505534</v>
      </c>
      <c r="BB254" s="5">
        <f t="shared" si="725"/>
        <v>1.6326681990176437</v>
      </c>
      <c r="BD254" s="173">
        <f t="shared" si="681"/>
        <v>2.1557865320542287</v>
      </c>
      <c r="BE254" s="173">
        <f t="shared" si="682"/>
        <v>5.3559236142375042</v>
      </c>
      <c r="BG254" s="528">
        <f t="shared" si="683"/>
        <v>9.2948311435727946E-2</v>
      </c>
      <c r="BH254" s="528">
        <f t="shared" si="754"/>
        <v>1.8518927718562059</v>
      </c>
      <c r="BI254" s="528">
        <f t="shared" si="755"/>
        <v>0.20864329544933372</v>
      </c>
      <c r="BJ254" s="528">
        <f t="shared" si="684"/>
        <v>9.9065208477943534E-2</v>
      </c>
      <c r="BK254">
        <f t="shared" si="685"/>
        <v>3.8138970651475534E-2</v>
      </c>
      <c r="BL254" s="460">
        <f t="shared" si="686"/>
        <v>246.78226610080924</v>
      </c>
      <c r="BM254" s="528">
        <f t="shared" si="756"/>
        <v>2.1157271519135548</v>
      </c>
      <c r="BN254" s="460">
        <f t="shared" si="687"/>
        <v>2115.7271519135547</v>
      </c>
      <c r="BO254" s="528">
        <f t="shared" si="637"/>
        <v>2.6599999999999997</v>
      </c>
      <c r="BR254" s="460">
        <f t="shared" si="688"/>
        <v>2659.9999999999995</v>
      </c>
      <c r="BS254" s="528">
        <f t="shared" si="689"/>
        <v>0.13942246715359191</v>
      </c>
      <c r="BT254" s="528">
        <f t="shared" si="690"/>
        <v>0.86057753284640781</v>
      </c>
      <c r="BU254" s="528">
        <f t="shared" si="691"/>
        <v>1.5213878107811243</v>
      </c>
      <c r="BV254" s="528"/>
      <c r="BW254" s="528">
        <f t="shared" si="692"/>
        <v>9.8470914498651006E-3</v>
      </c>
      <c r="BX254" s="460">
        <f t="shared" si="693"/>
        <v>2531.2349022309891</v>
      </c>
      <c r="BY254" s="173">
        <f t="shared" si="694"/>
        <v>7.481923460101676</v>
      </c>
      <c r="BZ254" s="5">
        <f t="shared" si="695"/>
        <v>57</v>
      </c>
      <c r="CA254" s="173">
        <f t="shared" si="696"/>
        <v>0.8839686681379606</v>
      </c>
      <c r="CB254" s="5">
        <f t="shared" si="697"/>
        <v>88.396866813796066</v>
      </c>
      <c r="CE254" s="562">
        <f t="shared" si="757"/>
        <v>-50</v>
      </c>
      <c r="CF254">
        <f t="shared" si="758"/>
        <v>-50</v>
      </c>
      <c r="CG254" s="173">
        <f t="shared" si="759"/>
        <v>0.77006666378091349</v>
      </c>
      <c r="CI254" s="170">
        <v>38</v>
      </c>
      <c r="CJ254" s="217">
        <f t="shared" si="698"/>
        <v>3.8</v>
      </c>
      <c r="CK254" s="217"/>
      <c r="CL254" s="217">
        <f t="shared" si="641"/>
        <v>57</v>
      </c>
      <c r="CM254" s="541">
        <f t="shared" si="642"/>
        <v>85</v>
      </c>
      <c r="CN254" s="443">
        <f t="shared" si="643"/>
        <v>15.4</v>
      </c>
      <c r="CO254" s="443">
        <f t="shared" si="644"/>
        <v>100.4</v>
      </c>
      <c r="CP254" s="443"/>
      <c r="CQ254" s="217">
        <f t="shared" si="645"/>
        <v>0.15338645418326693</v>
      </c>
      <c r="CR254" s="172">
        <f t="shared" si="646"/>
        <v>327.33148655378488</v>
      </c>
      <c r="CS254" s="172">
        <f t="shared" si="647"/>
        <v>57</v>
      </c>
      <c r="CT254" s="217">
        <f t="shared" si="648"/>
        <v>21.822099103585661</v>
      </c>
      <c r="CU254" s="217">
        <f t="shared" si="649"/>
        <v>15</v>
      </c>
      <c r="CV254" s="217"/>
      <c r="CW254" s="172">
        <f t="shared" si="650"/>
        <v>474.28215319236642</v>
      </c>
      <c r="CX254" s="172">
        <f t="shared" si="651"/>
        <v>15</v>
      </c>
      <c r="CY254" s="217">
        <f t="shared" si="652"/>
        <v>8.7437738731856385</v>
      </c>
      <c r="CZ254" s="217">
        <f t="shared" si="653"/>
        <v>1.2344151350379724</v>
      </c>
      <c r="DA254" s="217">
        <f t="shared" si="654"/>
        <v>6.8133302907940037</v>
      </c>
      <c r="DB254" s="197">
        <f t="shared" si="655"/>
        <v>108.64873837981409</v>
      </c>
      <c r="DC254" s="443">
        <f t="shared" si="656"/>
        <v>124.25840370026614</v>
      </c>
      <c r="DE254" s="217">
        <f t="shared" si="657"/>
        <v>10</v>
      </c>
      <c r="DF254" s="173">
        <f t="shared" si="658"/>
        <v>7.7922077922077913</v>
      </c>
      <c r="DG254" s="173">
        <f t="shared" si="659"/>
        <v>4.2330677290836656</v>
      </c>
      <c r="DH254" s="173"/>
      <c r="DI254" s="173">
        <f t="shared" si="660"/>
        <v>7.7922077922077913</v>
      </c>
      <c r="DJ254" s="545">
        <f t="shared" si="661"/>
        <v>97.533333333333331</v>
      </c>
      <c r="DK254" s="528">
        <f t="shared" si="662"/>
        <v>4.2330677290836656</v>
      </c>
      <c r="DM254" s="173">
        <f t="shared" si="663"/>
        <v>5.2788887719544411</v>
      </c>
      <c r="DN254" s="173">
        <f t="shared" si="664"/>
        <v>10</v>
      </c>
      <c r="DO254" s="173">
        <f t="shared" si="665"/>
        <v>1.0557333333333334</v>
      </c>
      <c r="DQ254" s="545">
        <f t="shared" si="666"/>
        <v>3800</v>
      </c>
      <c r="DR254" s="460">
        <f t="shared" si="667"/>
        <v>97.533333333333331</v>
      </c>
      <c r="DT254">
        <f t="shared" si="668"/>
        <v>3800</v>
      </c>
      <c r="DU254">
        <f t="shared" si="669"/>
        <v>97.533333333333331</v>
      </c>
      <c r="DW254" s="5">
        <f t="shared" si="670"/>
        <v>10.252904989747096</v>
      </c>
      <c r="DX254" s="5">
        <f t="shared" si="671"/>
        <v>1.4117647058823528</v>
      </c>
      <c r="DY254" s="5">
        <f t="shared" si="672"/>
        <v>8.8411402838647426</v>
      </c>
      <c r="DZ254" s="5"/>
      <c r="EA254" s="173">
        <f t="shared" si="673"/>
        <v>0.1376941176470588</v>
      </c>
      <c r="EB254" s="173">
        <f t="shared" si="699"/>
        <v>58.52</v>
      </c>
      <c r="EC254" s="173">
        <f t="shared" si="700"/>
        <v>4.3115294117647061</v>
      </c>
      <c r="ED254" s="173">
        <f t="shared" si="701"/>
        <v>13.572909845012006</v>
      </c>
      <c r="EE254" s="460">
        <f t="shared" si="674"/>
        <v>35.764705882352942</v>
      </c>
      <c r="EF254" s="5">
        <f t="shared" si="675"/>
        <v>1.6468790724846087</v>
      </c>
      <c r="EH254" s="173">
        <f t="shared" si="702"/>
        <v>2.1423827672870752</v>
      </c>
      <c r="EI254" s="173">
        <f t="shared" si="703"/>
        <v>5.3612992279637508</v>
      </c>
      <c r="EK254" s="528">
        <f t="shared" si="704"/>
        <v>9.1796078431372538E-2</v>
      </c>
      <c r="EL254" s="528">
        <f t="shared" si="705"/>
        <v>1.9584693333333332</v>
      </c>
      <c r="EM254" s="528">
        <f t="shared" si="706"/>
        <v>1.2191666666666665E-2</v>
      </c>
      <c r="EN254" s="528">
        <f t="shared" si="707"/>
        <v>9.8315160533333334E-2</v>
      </c>
      <c r="EO254">
        <f t="shared" si="708"/>
        <v>3.8249999999999999E-2</v>
      </c>
      <c r="EP254" s="460">
        <f t="shared" si="709"/>
        <v>50.441666666666663</v>
      </c>
      <c r="EQ254" s="460"/>
      <c r="ER254" s="460">
        <f t="shared" si="710"/>
        <v>2199.022238964706</v>
      </c>
      <c r="ES254" s="528">
        <f t="shared" si="711"/>
        <v>2.6599999999999997</v>
      </c>
      <c r="EV254" s="460">
        <f t="shared" si="712"/>
        <v>2659.9999999999995</v>
      </c>
      <c r="EW254" s="528">
        <f t="shared" si="713"/>
        <v>0.1376941176470588</v>
      </c>
      <c r="EX254" s="528">
        <f t="shared" si="714"/>
        <v>0.86230588235294137</v>
      </c>
      <c r="EY254" s="528">
        <f t="shared" si="715"/>
        <v>1.4854316460541377</v>
      </c>
      <c r="EZ254" s="528"/>
      <c r="FA254" s="528">
        <f t="shared" si="716"/>
        <v>9.7533333333333343E-3</v>
      </c>
      <c r="FB254" s="460">
        <f t="shared" si="717"/>
        <v>2495.1849793874712</v>
      </c>
      <c r="FC254" s="173">
        <f t="shared" si="718"/>
        <v>7.3542072183521761</v>
      </c>
      <c r="FD254" s="5">
        <f t="shared" si="719"/>
        <v>57</v>
      </c>
      <c r="FE254" s="173">
        <f t="shared" si="720"/>
        <v>0.88572297700133984</v>
      </c>
      <c r="FF254" s="5">
        <f t="shared" si="721"/>
        <v>88.572297700133987</v>
      </c>
      <c r="FI254" s="562">
        <f t="shared" si="676"/>
        <v>-50</v>
      </c>
      <c r="FJ254">
        <f t="shared" si="677"/>
        <v>-50</v>
      </c>
      <c r="FL254">
        <f t="shared" si="760"/>
        <v>0.76</v>
      </c>
    </row>
    <row r="255" spans="5:168">
      <c r="E255" s="170">
        <v>39</v>
      </c>
      <c r="F255" s="217">
        <f t="shared" si="761"/>
        <v>3.9000000000000004</v>
      </c>
      <c r="G255" s="217"/>
      <c r="H255" s="217">
        <f t="shared" si="726"/>
        <v>58.500000000000007</v>
      </c>
      <c r="I255" s="541">
        <f t="shared" si="727"/>
        <v>84.753268114390082</v>
      </c>
      <c r="J255" s="172">
        <f t="shared" si="728"/>
        <v>15.548039131365949</v>
      </c>
      <c r="K255" s="172">
        <f t="shared" si="729"/>
        <v>100.30130724575604</v>
      </c>
      <c r="L255" s="443"/>
      <c r="M255" s="217">
        <f t="shared" si="730"/>
        <v>0.15502984391561525</v>
      </c>
      <c r="N255" s="172">
        <f t="shared" si="731"/>
        <v>329.8781973075603</v>
      </c>
      <c r="O255" s="172">
        <f t="shared" si="599"/>
        <v>58.500000000000007</v>
      </c>
      <c r="P255" s="217">
        <f t="shared" si="732"/>
        <v>21.991879820504021</v>
      </c>
      <c r="Q255" s="217">
        <f t="shared" si="733"/>
        <v>15</v>
      </c>
      <c r="R255" s="217"/>
      <c r="S255" s="172">
        <f t="shared" si="734"/>
        <v>458.61076943033902</v>
      </c>
      <c r="T255" s="172">
        <f t="shared" si="735"/>
        <v>15</v>
      </c>
      <c r="U255" s="217">
        <f t="shared" si="736"/>
        <v>9.2310952568377296</v>
      </c>
      <c r="V255" s="217">
        <f t="shared" si="737"/>
        <v>1.3070073348976241</v>
      </c>
      <c r="W255" s="217">
        <f t="shared" si="738"/>
        <v>7.1245732112021614</v>
      </c>
      <c r="X255" s="197">
        <f t="shared" si="739"/>
        <v>109.48238241177424</v>
      </c>
      <c r="Y255" s="443">
        <f t="shared" si="680"/>
        <v>115.85363707830474</v>
      </c>
      <c r="AA255" s="217">
        <f t="shared" si="740"/>
        <v>10</v>
      </c>
      <c r="AB255" s="173">
        <f t="shared" si="741"/>
        <v>7.7180150491078416</v>
      </c>
      <c r="AC255" s="173">
        <f t="shared" si="742"/>
        <v>4.2249333753312666</v>
      </c>
      <c r="AD255" s="173"/>
      <c r="AE255" s="173">
        <f t="shared" si="743"/>
        <v>7.7180150491078416</v>
      </c>
      <c r="AF255" s="545">
        <f t="shared" si="744"/>
        <v>101.06225435387866</v>
      </c>
      <c r="AG255" s="528">
        <f t="shared" si="745"/>
        <v>4.2249333753312666</v>
      </c>
      <c r="AI255" s="173">
        <f t="shared" si="746"/>
        <v>5.3735397844804229</v>
      </c>
      <c r="AJ255" s="173">
        <f t="shared" si="747"/>
        <v>10</v>
      </c>
      <c r="AK255" s="173">
        <f t="shared" si="748"/>
        <v>1.0577498596307877</v>
      </c>
      <c r="AM255" s="545">
        <f t="shared" si="749"/>
        <v>3900.0000000000005</v>
      </c>
      <c r="AN255" s="460">
        <f t="shared" si="750"/>
        <v>101.06225435387866</v>
      </c>
      <c r="AP255">
        <f t="shared" si="751"/>
        <v>3900.0000000000005</v>
      </c>
      <c r="AQ255">
        <f t="shared" si="752"/>
        <v>101.06225435387866</v>
      </c>
      <c r="AS255" s="5">
        <f t="shared" si="600"/>
        <v>9.8948910885997972</v>
      </c>
      <c r="AT255" s="5">
        <f t="shared" si="753"/>
        <v>1.4158746048357451</v>
      </c>
      <c r="AU255" s="5">
        <f t="shared" si="722"/>
        <v>8.4790164837640525</v>
      </c>
      <c r="AV255" s="5"/>
      <c r="AW255" s="173">
        <f t="shared" si="723"/>
        <v>0.14309147944710751</v>
      </c>
      <c r="AX255" s="173">
        <f t="shared" si="631"/>
        <v>60.637352612327199</v>
      </c>
      <c r="AY255" s="173">
        <f t="shared" si="632"/>
        <v>4.2845426027644624</v>
      </c>
      <c r="AZ255" s="173">
        <f t="shared" si="633"/>
        <v>14.152584822753989</v>
      </c>
      <c r="BA255" s="460">
        <f t="shared" si="724"/>
        <v>36.812739725729379</v>
      </c>
      <c r="BB255" s="5">
        <f t="shared" si="725"/>
        <v>1.6257074320154954</v>
      </c>
      <c r="BD255" s="173">
        <f t="shared" si="681"/>
        <v>2.1839679442634341</v>
      </c>
      <c r="BE255" s="173">
        <f t="shared" si="682"/>
        <v>5.3444941156074899</v>
      </c>
      <c r="BG255" s="528">
        <f t="shared" si="683"/>
        <v>9.5394319631405017E-2</v>
      </c>
      <c r="BH255" s="528">
        <f t="shared" si="754"/>
        <v>1.9006267921682118</v>
      </c>
      <c r="BI255" s="528">
        <f t="shared" si="755"/>
        <v>0.21413390848747407</v>
      </c>
      <c r="BJ255" s="528">
        <f t="shared" si="684"/>
        <v>0.10167218764841572</v>
      </c>
      <c r="BK255">
        <f t="shared" si="685"/>
        <v>3.8138970651475534E-2</v>
      </c>
      <c r="BL255" s="460">
        <f t="shared" si="686"/>
        <v>252.27287913894958</v>
      </c>
      <c r="BM255" s="528">
        <f t="shared" si="756"/>
        <v>2.1726954070576276</v>
      </c>
      <c r="BN255" s="460">
        <f t="shared" si="687"/>
        <v>2172.6954070576276</v>
      </c>
      <c r="BO255" s="528">
        <f t="shared" si="637"/>
        <v>2.73</v>
      </c>
      <c r="BR255" s="460">
        <f t="shared" si="688"/>
        <v>2730</v>
      </c>
      <c r="BS255" s="528">
        <f t="shared" si="689"/>
        <v>0.14309147944710751</v>
      </c>
      <c r="BT255" s="528">
        <f t="shared" si="690"/>
        <v>0.85690852055289257</v>
      </c>
      <c r="BU255" s="528">
        <f t="shared" si="691"/>
        <v>1.6234632365067305</v>
      </c>
      <c r="BV255" s="528"/>
      <c r="BW255" s="528">
        <f t="shared" si="692"/>
        <v>1.0106225435387868E-2</v>
      </c>
      <c r="BX255" s="460">
        <f t="shared" si="693"/>
        <v>2633.5694619421188</v>
      </c>
      <c r="BY255" s="173">
        <f t="shared" si="694"/>
        <v>7.7135356405291011</v>
      </c>
      <c r="BZ255" s="5">
        <f t="shared" si="695"/>
        <v>58.500000000000007</v>
      </c>
      <c r="CA255" s="173">
        <f t="shared" si="696"/>
        <v>0.88350515395514295</v>
      </c>
      <c r="CB255" s="5">
        <f t="shared" si="697"/>
        <v>88.350515395514293</v>
      </c>
      <c r="CE255" s="562">
        <f t="shared" si="757"/>
        <v>-50</v>
      </c>
      <c r="CF255">
        <f t="shared" si="758"/>
        <v>-50</v>
      </c>
      <c r="CG255" s="173">
        <f t="shared" si="759"/>
        <v>0.79033157598567472</v>
      </c>
      <c r="CI255" s="170">
        <v>39</v>
      </c>
      <c r="CJ255" s="217">
        <f t="shared" si="698"/>
        <v>3.9000000000000004</v>
      </c>
      <c r="CK255" s="217"/>
      <c r="CL255" s="217">
        <f t="shared" si="641"/>
        <v>58.500000000000007</v>
      </c>
      <c r="CM255" s="541">
        <f t="shared" si="642"/>
        <v>85</v>
      </c>
      <c r="CN255" s="443">
        <f t="shared" si="643"/>
        <v>15.4</v>
      </c>
      <c r="CO255" s="443">
        <f t="shared" si="644"/>
        <v>100.4</v>
      </c>
      <c r="CP255" s="443"/>
      <c r="CQ255" s="217">
        <f t="shared" si="645"/>
        <v>0.15338645418326693</v>
      </c>
      <c r="CR255" s="172">
        <f t="shared" si="646"/>
        <v>327.33148655378488</v>
      </c>
      <c r="CS255" s="172">
        <f t="shared" si="647"/>
        <v>58.500000000000007</v>
      </c>
      <c r="CT255" s="217">
        <f t="shared" si="648"/>
        <v>21.822099103585661</v>
      </c>
      <c r="CU255" s="217">
        <f t="shared" si="649"/>
        <v>15</v>
      </c>
      <c r="CV255" s="217"/>
      <c r="CW255" s="172">
        <f t="shared" si="650"/>
        <v>459.94565241736183</v>
      </c>
      <c r="CX255" s="172">
        <f t="shared" si="651"/>
        <v>15</v>
      </c>
      <c r="CY255" s="217">
        <f t="shared" si="652"/>
        <v>8.9738731856378919</v>
      </c>
      <c r="CZ255" s="217">
        <f t="shared" si="653"/>
        <v>1.2668997438547611</v>
      </c>
      <c r="DA255" s="217">
        <f t="shared" si="654"/>
        <v>6.9926284563412144</v>
      </c>
      <c r="DB255" s="197">
        <f t="shared" si="655"/>
        <v>108.64873837981409</v>
      </c>
      <c r="DC255" s="443">
        <f t="shared" si="656"/>
        <v>121.07229078487472</v>
      </c>
      <c r="DE255" s="217">
        <f t="shared" si="657"/>
        <v>10</v>
      </c>
      <c r="DF255" s="173">
        <f t="shared" si="658"/>
        <v>7.7922077922077913</v>
      </c>
      <c r="DG255" s="173">
        <f t="shared" si="659"/>
        <v>4.2330677290836656</v>
      </c>
      <c r="DH255" s="173"/>
      <c r="DI255" s="173">
        <f t="shared" si="660"/>
        <v>7.7922077922077913</v>
      </c>
      <c r="DJ255" s="545">
        <f t="shared" si="661"/>
        <v>100.10000000000001</v>
      </c>
      <c r="DK255" s="528">
        <f t="shared" si="662"/>
        <v>4.2330677290836656</v>
      </c>
      <c r="DM255" s="173">
        <f t="shared" si="663"/>
        <v>5.3478967828483759</v>
      </c>
      <c r="DN255" s="173">
        <f t="shared" si="664"/>
        <v>10</v>
      </c>
      <c r="DO255" s="173">
        <f t="shared" si="665"/>
        <v>1.0571999999999999</v>
      </c>
      <c r="DQ255" s="545">
        <f t="shared" si="666"/>
        <v>3900.0000000000005</v>
      </c>
      <c r="DR255" s="460">
        <f t="shared" si="667"/>
        <v>100.10000000000001</v>
      </c>
      <c r="DT255">
        <f t="shared" si="668"/>
        <v>3900.0000000000005</v>
      </c>
      <c r="DU255">
        <f t="shared" si="669"/>
        <v>100.10000000000001</v>
      </c>
      <c r="DW255" s="5">
        <f t="shared" si="670"/>
        <v>9.9900099900099892</v>
      </c>
      <c r="DX255" s="5">
        <f t="shared" si="671"/>
        <v>1.4117647058823528</v>
      </c>
      <c r="DY255" s="5">
        <f t="shared" si="672"/>
        <v>8.578245284127636</v>
      </c>
      <c r="DZ255" s="5"/>
      <c r="EA255" s="173">
        <f t="shared" si="673"/>
        <v>0.14131764705882352</v>
      </c>
      <c r="EB255" s="173">
        <f t="shared" si="699"/>
        <v>60.060000000000009</v>
      </c>
      <c r="EC255" s="173">
        <f t="shared" si="700"/>
        <v>4.2934117647058825</v>
      </c>
      <c r="ED255" s="173">
        <f t="shared" si="701"/>
        <v>13.988874883542502</v>
      </c>
      <c r="EE255" s="460">
        <f t="shared" si="674"/>
        <v>36.705882352941181</v>
      </c>
      <c r="EF255" s="5">
        <f t="shared" si="675"/>
        <v>1.6399586572596954</v>
      </c>
      <c r="EH255" s="173">
        <f t="shared" si="702"/>
        <v>2.1703889594480792</v>
      </c>
      <c r="EI255" s="173">
        <f t="shared" si="703"/>
        <v>5.3500229063097677</v>
      </c>
      <c r="EK255" s="528">
        <f t="shared" si="704"/>
        <v>9.4211764705882328E-2</v>
      </c>
      <c r="EL255" s="528">
        <f t="shared" si="705"/>
        <v>2.0100080000000005</v>
      </c>
      <c r="EM255" s="528">
        <f t="shared" si="706"/>
        <v>1.2512500000000001E-2</v>
      </c>
      <c r="EN255" s="528">
        <f t="shared" si="707"/>
        <v>0.10090240160000001</v>
      </c>
      <c r="EO255">
        <f t="shared" si="708"/>
        <v>3.8249999999999999E-2</v>
      </c>
      <c r="EP255" s="460">
        <f t="shared" si="709"/>
        <v>50.762500000000003</v>
      </c>
      <c r="EQ255" s="460"/>
      <c r="ER255" s="460">
        <f t="shared" si="710"/>
        <v>2255.884666305883</v>
      </c>
      <c r="ES255" s="528">
        <f t="shared" si="711"/>
        <v>2.73</v>
      </c>
      <c r="EV255" s="460">
        <f t="shared" si="712"/>
        <v>2730</v>
      </c>
      <c r="EW255" s="528">
        <f t="shared" si="713"/>
        <v>0.14131764705882349</v>
      </c>
      <c r="EX255" s="528">
        <f t="shared" si="714"/>
        <v>0.85868235294117634</v>
      </c>
      <c r="EY255" s="528">
        <f t="shared" si="715"/>
        <v>1.5850946422887529</v>
      </c>
      <c r="EZ255" s="528"/>
      <c r="FA255" s="528">
        <f t="shared" si="716"/>
        <v>1.0010000000000003E-2</v>
      </c>
      <c r="FB255" s="460">
        <f t="shared" si="717"/>
        <v>2595.1046422887525</v>
      </c>
      <c r="FC255" s="173">
        <f t="shared" si="718"/>
        <v>7.5809893085946358</v>
      </c>
      <c r="FD255" s="5">
        <f t="shared" si="719"/>
        <v>58.500000000000007</v>
      </c>
      <c r="FE255" s="173">
        <f t="shared" si="720"/>
        <v>0.88527730308043928</v>
      </c>
      <c r="FF255" s="5">
        <f t="shared" si="721"/>
        <v>88.527730308043928</v>
      </c>
      <c r="FI255" s="562">
        <f t="shared" si="676"/>
        <v>-50</v>
      </c>
      <c r="FJ255">
        <f t="shared" si="677"/>
        <v>-50</v>
      </c>
      <c r="FL255">
        <f t="shared" si="760"/>
        <v>0.78</v>
      </c>
    </row>
    <row r="256" spans="5:168">
      <c r="E256" s="170">
        <v>40</v>
      </c>
      <c r="F256" s="217">
        <f t="shared" si="761"/>
        <v>4</v>
      </c>
      <c r="G256" s="217"/>
      <c r="H256" s="217">
        <f t="shared" si="726"/>
        <v>60</v>
      </c>
      <c r="I256" s="541">
        <f t="shared" si="727"/>
        <v>84.753268114390082</v>
      </c>
      <c r="J256" s="172">
        <f t="shared" si="728"/>
        <v>15.548039131365949</v>
      </c>
      <c r="K256" s="172">
        <f t="shared" si="729"/>
        <v>100.30130724575604</v>
      </c>
      <c r="L256" s="443"/>
      <c r="M256" s="217">
        <f t="shared" si="730"/>
        <v>0.15502984391561525</v>
      </c>
      <c r="N256" s="172">
        <f t="shared" si="731"/>
        <v>329.8781973075603</v>
      </c>
      <c r="O256" s="172">
        <f t="shared" si="599"/>
        <v>60</v>
      </c>
      <c r="P256" s="217">
        <f t="shared" si="732"/>
        <v>21.991879820504021</v>
      </c>
      <c r="Q256" s="217">
        <f t="shared" si="733"/>
        <v>15</v>
      </c>
      <c r="R256" s="217"/>
      <c r="S256" s="172">
        <f t="shared" si="734"/>
        <v>445.03076663877528</v>
      </c>
      <c r="T256" s="172">
        <f t="shared" si="735"/>
        <v>15</v>
      </c>
      <c r="U256" s="217">
        <f t="shared" si="736"/>
        <v>9.4677900070130541</v>
      </c>
      <c r="V256" s="217">
        <f t="shared" si="737"/>
        <v>1.3405203434847424</v>
      </c>
      <c r="W256" s="217">
        <f t="shared" si="738"/>
        <v>7.3072545755919593</v>
      </c>
      <c r="X256" s="197">
        <f t="shared" si="739"/>
        <v>109.48238241177424</v>
      </c>
      <c r="Y256" s="443">
        <f t="shared" si="680"/>
        <v>113.02276664428912</v>
      </c>
      <c r="AA256" s="217">
        <f t="shared" si="740"/>
        <v>10</v>
      </c>
      <c r="AB256" s="173">
        <f t="shared" si="741"/>
        <v>7.7180150491078416</v>
      </c>
      <c r="AC256" s="173">
        <f t="shared" si="742"/>
        <v>4.2249333753312666</v>
      </c>
      <c r="AD256" s="173"/>
      <c r="AE256" s="173">
        <f t="shared" si="743"/>
        <v>7.7180150491078416</v>
      </c>
      <c r="AF256" s="545">
        <f t="shared" si="744"/>
        <v>103.6535942091063</v>
      </c>
      <c r="AG256" s="528">
        <f t="shared" si="745"/>
        <v>4.2249333753312666</v>
      </c>
      <c r="AI256" s="173">
        <f t="shared" si="746"/>
        <v>5.4419952803336047</v>
      </c>
      <c r="AJ256" s="173">
        <f t="shared" si="747"/>
        <v>10</v>
      </c>
      <c r="AK256" s="173">
        <f t="shared" si="748"/>
        <v>1.0592306252623465</v>
      </c>
      <c r="AM256" s="545">
        <f t="shared" si="749"/>
        <v>4000</v>
      </c>
      <c r="AN256" s="460">
        <f t="shared" si="750"/>
        <v>103.6535942091063</v>
      </c>
      <c r="AP256">
        <f t="shared" si="751"/>
        <v>4000</v>
      </c>
      <c r="AQ256">
        <f t="shared" si="752"/>
        <v>103.6535942091063</v>
      </c>
      <c r="AS256" s="5">
        <f t="shared" si="600"/>
        <v>9.6475188113848045</v>
      </c>
      <c r="AT256" s="5">
        <f t="shared" si="753"/>
        <v>1.4158746048357451</v>
      </c>
      <c r="AU256" s="5">
        <f t="shared" si="722"/>
        <v>8.2316442065490598</v>
      </c>
      <c r="AV256" s="5"/>
      <c r="AW256" s="173">
        <f t="shared" si="723"/>
        <v>0.14676049174062306</v>
      </c>
      <c r="AX256" s="173">
        <f t="shared" si="631"/>
        <v>62.192156525463787</v>
      </c>
      <c r="AY256" s="173">
        <f t="shared" si="632"/>
        <v>4.2661975412968847</v>
      </c>
      <c r="AZ256" s="173">
        <f t="shared" si="633"/>
        <v>14.577889542957719</v>
      </c>
      <c r="BA256" s="460">
        <f t="shared" si="724"/>
        <v>37.756656128953203</v>
      </c>
      <c r="BB256" s="5">
        <f t="shared" si="725"/>
        <v>1.6187466650133471</v>
      </c>
      <c r="BD256" s="173">
        <f t="shared" si="681"/>
        <v>2.2117903136043666</v>
      </c>
      <c r="BE256" s="173">
        <f t="shared" si="682"/>
        <v>5.3330401219172563</v>
      </c>
      <c r="BG256" s="528">
        <f t="shared" si="683"/>
        <v>9.784032782708206E-2</v>
      </c>
      <c r="BH256" s="528">
        <f t="shared" si="754"/>
        <v>1.9493608124802169</v>
      </c>
      <c r="BI256" s="528">
        <f t="shared" si="755"/>
        <v>0.21962452152561443</v>
      </c>
      <c r="BJ256" s="528">
        <f t="shared" si="684"/>
        <v>0.10427916681888791</v>
      </c>
      <c r="BK256">
        <f t="shared" si="685"/>
        <v>3.8138970651475534E-2</v>
      </c>
      <c r="BL256" s="460">
        <f t="shared" si="686"/>
        <v>257.76349217708992</v>
      </c>
      <c r="BM256" s="528">
        <f t="shared" si="756"/>
        <v>2.2297314548254379</v>
      </c>
      <c r="BN256" s="460">
        <f t="shared" si="687"/>
        <v>2229.731454825438</v>
      </c>
      <c r="BO256" s="528">
        <f t="shared" si="637"/>
        <v>2.8</v>
      </c>
      <c r="BR256" s="460">
        <f t="shared" si="688"/>
        <v>2800</v>
      </c>
      <c r="BS256" s="528">
        <f t="shared" si="689"/>
        <v>0.14676049174062308</v>
      </c>
      <c r="BT256" s="528">
        <f t="shared" si="690"/>
        <v>0.85323950825937667</v>
      </c>
      <c r="BU256" s="528">
        <f t="shared" si="691"/>
        <v>1.7295412287951919</v>
      </c>
      <c r="BV256" s="528"/>
      <c r="BW256" s="528">
        <f t="shared" si="692"/>
        <v>1.0365359420910632E-2</v>
      </c>
      <c r="BX256" s="460">
        <f t="shared" si="693"/>
        <v>2739.9065882161026</v>
      </c>
      <c r="BY256" s="173">
        <f t="shared" si="694"/>
        <v>7.9491503875193796</v>
      </c>
      <c r="BZ256" s="5">
        <f t="shared" si="695"/>
        <v>60</v>
      </c>
      <c r="CA256" s="173">
        <f t="shared" si="696"/>
        <v>0.88301324825719307</v>
      </c>
      <c r="CB256" s="5">
        <f t="shared" si="697"/>
        <v>88.301324825719306</v>
      </c>
      <c r="CE256" s="562">
        <f t="shared" si="757"/>
        <v>-50</v>
      </c>
      <c r="CF256">
        <f t="shared" si="758"/>
        <v>-50</v>
      </c>
      <c r="CG256" s="173">
        <f t="shared" si="759"/>
        <v>0.81059648819043539</v>
      </c>
      <c r="CI256" s="170">
        <v>40</v>
      </c>
      <c r="CJ256" s="217">
        <f t="shared" si="698"/>
        <v>4</v>
      </c>
      <c r="CK256" s="217"/>
      <c r="CL256" s="217">
        <f t="shared" si="641"/>
        <v>60</v>
      </c>
      <c r="CM256" s="541">
        <f t="shared" si="642"/>
        <v>85</v>
      </c>
      <c r="CN256" s="443">
        <f t="shared" si="643"/>
        <v>15.4</v>
      </c>
      <c r="CO256" s="443">
        <f t="shared" si="644"/>
        <v>100.4</v>
      </c>
      <c r="CP256" s="443"/>
      <c r="CQ256" s="217">
        <f t="shared" si="645"/>
        <v>0.15338645418326693</v>
      </c>
      <c r="CR256" s="172">
        <f t="shared" si="646"/>
        <v>327.33148655378488</v>
      </c>
      <c r="CS256" s="172">
        <f t="shared" si="647"/>
        <v>60</v>
      </c>
      <c r="CT256" s="217">
        <f t="shared" si="648"/>
        <v>21.822099103585661</v>
      </c>
      <c r="CU256" s="217">
        <f t="shared" si="649"/>
        <v>15</v>
      </c>
      <c r="CV256" s="217"/>
      <c r="CW256" s="172">
        <f t="shared" si="650"/>
        <v>446.32610927432745</v>
      </c>
      <c r="CX256" s="172">
        <f t="shared" si="651"/>
        <v>15</v>
      </c>
      <c r="CY256" s="217">
        <f t="shared" si="652"/>
        <v>9.2039724980901454</v>
      </c>
      <c r="CZ256" s="217">
        <f t="shared" si="653"/>
        <v>1.2993843526715498</v>
      </c>
      <c r="DA256" s="217">
        <f t="shared" si="654"/>
        <v>7.1719266218884243</v>
      </c>
      <c r="DB256" s="197">
        <f t="shared" si="655"/>
        <v>108.64873837981409</v>
      </c>
      <c r="DC256" s="443">
        <f t="shared" si="656"/>
        <v>118.04548351525284</v>
      </c>
      <c r="DE256" s="217">
        <f t="shared" si="657"/>
        <v>10</v>
      </c>
      <c r="DF256" s="173">
        <f t="shared" si="658"/>
        <v>7.7922077922077913</v>
      </c>
      <c r="DG256" s="173">
        <f t="shared" si="659"/>
        <v>4.2330677290836656</v>
      </c>
      <c r="DH256" s="173"/>
      <c r="DI256" s="173">
        <f t="shared" si="660"/>
        <v>7.7922077922077913</v>
      </c>
      <c r="DJ256" s="545">
        <f t="shared" si="661"/>
        <v>102.66666666666667</v>
      </c>
      <c r="DK256" s="528">
        <f t="shared" si="662"/>
        <v>4.2330677290836656</v>
      </c>
      <c r="DM256" s="173">
        <f t="shared" si="663"/>
        <v>5.4160256030906408</v>
      </c>
      <c r="DN256" s="173">
        <f t="shared" si="664"/>
        <v>10</v>
      </c>
      <c r="DO256" s="173">
        <f t="shared" si="665"/>
        <v>1.0586666666666666</v>
      </c>
      <c r="DQ256" s="545">
        <f t="shared" si="666"/>
        <v>4000</v>
      </c>
      <c r="DR256" s="460">
        <f t="shared" si="667"/>
        <v>102.66666666666667</v>
      </c>
      <c r="DT256">
        <f t="shared" si="668"/>
        <v>4000</v>
      </c>
      <c r="DU256">
        <f t="shared" si="669"/>
        <v>102.66666666666667</v>
      </c>
      <c r="DW256" s="5">
        <f t="shared" si="670"/>
        <v>9.7402597402597397</v>
      </c>
      <c r="DX256" s="5">
        <f t="shared" si="671"/>
        <v>1.4117647058823528</v>
      </c>
      <c r="DY256" s="5">
        <f t="shared" si="672"/>
        <v>8.3284950343773865</v>
      </c>
      <c r="DZ256" s="5"/>
      <c r="EA256" s="173">
        <f t="shared" si="673"/>
        <v>0.14494117647058824</v>
      </c>
      <c r="EB256" s="173">
        <f t="shared" si="699"/>
        <v>61.600000000000009</v>
      </c>
      <c r="EC256" s="173">
        <f t="shared" si="700"/>
        <v>4.2752941176470589</v>
      </c>
      <c r="ED256" s="173">
        <f t="shared" si="701"/>
        <v>14.4083654375344</v>
      </c>
      <c r="EE256" s="460">
        <f t="shared" si="674"/>
        <v>37.647058823529406</v>
      </c>
      <c r="EF256" s="5">
        <f t="shared" si="675"/>
        <v>1.6330382420347818</v>
      </c>
      <c r="EH256" s="173">
        <f t="shared" si="702"/>
        <v>2.1980383411168258</v>
      </c>
      <c r="EI256" s="173">
        <f t="shared" si="703"/>
        <v>5.3387227671338886</v>
      </c>
      <c r="EK256" s="528">
        <f t="shared" si="704"/>
        <v>9.662745098039216E-2</v>
      </c>
      <c r="EL256" s="528">
        <f t="shared" si="705"/>
        <v>2.0615466666666671</v>
      </c>
      <c r="EM256" s="528">
        <f t="shared" si="706"/>
        <v>1.2833333333333334E-2</v>
      </c>
      <c r="EN256" s="528">
        <f t="shared" si="707"/>
        <v>0.10348964266666669</v>
      </c>
      <c r="EO256">
        <f t="shared" si="708"/>
        <v>3.8249999999999999E-2</v>
      </c>
      <c r="EP256" s="460">
        <f t="shared" si="709"/>
        <v>51.083333333333336</v>
      </c>
      <c r="EQ256" s="460"/>
      <c r="ER256" s="460">
        <f t="shared" si="710"/>
        <v>2312.7470936470595</v>
      </c>
      <c r="ES256" s="528">
        <f t="shared" si="711"/>
        <v>2.8</v>
      </c>
      <c r="EV256" s="460">
        <f t="shared" si="712"/>
        <v>2800</v>
      </c>
      <c r="EW256" s="528">
        <f t="shared" si="713"/>
        <v>0.14494117647058821</v>
      </c>
      <c r="EX256" s="528">
        <f t="shared" si="714"/>
        <v>0.85505882352941165</v>
      </c>
      <c r="EY256" s="528">
        <f t="shared" si="715"/>
        <v>1.6886656092562493</v>
      </c>
      <c r="EZ256" s="528"/>
      <c r="FA256" s="528">
        <f t="shared" si="716"/>
        <v>1.0266666666666667E-2</v>
      </c>
      <c r="FB256" s="460">
        <f t="shared" si="717"/>
        <v>2698.9322759229162</v>
      </c>
      <c r="FC256" s="173">
        <f t="shared" si="718"/>
        <v>7.8116793695699744</v>
      </c>
      <c r="FD256" s="5">
        <f t="shared" si="719"/>
        <v>60</v>
      </c>
      <c r="FE256" s="173">
        <f t="shared" si="720"/>
        <v>0.88480333414253398</v>
      </c>
      <c r="FF256" s="5">
        <f t="shared" si="721"/>
        <v>88.480333414253394</v>
      </c>
      <c r="FI256" s="562">
        <f t="shared" si="676"/>
        <v>-50</v>
      </c>
      <c r="FJ256">
        <f t="shared" si="677"/>
        <v>-50</v>
      </c>
      <c r="FL256">
        <f t="shared" si="760"/>
        <v>0.8</v>
      </c>
    </row>
    <row r="257" spans="5:168">
      <c r="E257" s="170">
        <v>41</v>
      </c>
      <c r="F257" s="217">
        <f t="shared" si="761"/>
        <v>4.0999999999999996</v>
      </c>
      <c r="G257" s="217"/>
      <c r="H257" s="217">
        <f t="shared" si="726"/>
        <v>61.499999999999993</v>
      </c>
      <c r="I257" s="541">
        <f t="shared" si="727"/>
        <v>84.753268114390082</v>
      </c>
      <c r="J257" s="172">
        <f t="shared" si="728"/>
        <v>15.548039131365949</v>
      </c>
      <c r="K257" s="172">
        <f t="shared" si="729"/>
        <v>100.30130724575604</v>
      </c>
      <c r="L257" s="443"/>
      <c r="M257" s="217">
        <f t="shared" si="730"/>
        <v>0.15502984391561525</v>
      </c>
      <c r="N257" s="172">
        <f t="shared" si="731"/>
        <v>329.8781973075603</v>
      </c>
      <c r="O257" s="172">
        <f t="shared" si="599"/>
        <v>61.499999999999993</v>
      </c>
      <c r="P257" s="217">
        <f t="shared" si="732"/>
        <v>21.991879820504021</v>
      </c>
      <c r="Q257" s="217">
        <f t="shared" si="733"/>
        <v>15</v>
      </c>
      <c r="R257" s="217"/>
      <c r="S257" s="172">
        <f t="shared" si="734"/>
        <v>432.1133342041673</v>
      </c>
      <c r="T257" s="172">
        <f t="shared" si="735"/>
        <v>15</v>
      </c>
      <c r="U257" s="217">
        <f t="shared" si="736"/>
        <v>9.7044847571883803</v>
      </c>
      <c r="V257" s="217">
        <f t="shared" si="737"/>
        <v>1.3740333520718611</v>
      </c>
      <c r="W257" s="217">
        <f t="shared" si="738"/>
        <v>7.4899359399817582</v>
      </c>
      <c r="X257" s="197">
        <f t="shared" si="739"/>
        <v>109.48238241177424</v>
      </c>
      <c r="Y257" s="443">
        <f t="shared" si="680"/>
        <v>110.32694041414062</v>
      </c>
      <c r="AA257" s="217">
        <f t="shared" si="740"/>
        <v>10</v>
      </c>
      <c r="AB257" s="173">
        <f t="shared" si="741"/>
        <v>7.7180150491078416</v>
      </c>
      <c r="AC257" s="173">
        <f t="shared" si="742"/>
        <v>4.2249333753312666</v>
      </c>
      <c r="AD257" s="173"/>
      <c r="AE257" s="173">
        <f t="shared" si="743"/>
        <v>7.7180150491078416</v>
      </c>
      <c r="AF257" s="545">
        <f t="shared" si="744"/>
        <v>106.24493406433395</v>
      </c>
      <c r="AG257" s="528">
        <f t="shared" si="745"/>
        <v>4.2249333753312666</v>
      </c>
      <c r="AI257" s="173">
        <f t="shared" si="746"/>
        <v>5.5096002982932042</v>
      </c>
      <c r="AJ257" s="173">
        <f t="shared" si="747"/>
        <v>10</v>
      </c>
      <c r="AK257" s="173">
        <f t="shared" si="748"/>
        <v>1.0607113908939052</v>
      </c>
      <c r="AM257" s="545">
        <f t="shared" si="749"/>
        <v>4100</v>
      </c>
      <c r="AN257" s="460">
        <f t="shared" si="750"/>
        <v>106.24493406433395</v>
      </c>
      <c r="AP257">
        <f t="shared" si="751"/>
        <v>4100</v>
      </c>
      <c r="AQ257">
        <f t="shared" si="752"/>
        <v>106.24493406433395</v>
      </c>
      <c r="AS257" s="5">
        <f t="shared" si="600"/>
        <v>9.4122134745217618</v>
      </c>
      <c r="AT257" s="5">
        <f t="shared" si="753"/>
        <v>1.4158746048357451</v>
      </c>
      <c r="AU257" s="5">
        <f t="shared" si="722"/>
        <v>7.9963388696860171</v>
      </c>
      <c r="AV257" s="5"/>
      <c r="AW257" s="173">
        <f t="shared" si="723"/>
        <v>0.1504295040341386</v>
      </c>
      <c r="AX257" s="173">
        <f t="shared" si="631"/>
        <v>63.746960438600368</v>
      </c>
      <c r="AY257" s="173">
        <f t="shared" si="632"/>
        <v>4.2478524798293069</v>
      </c>
      <c r="AZ257" s="173">
        <f t="shared" si="633"/>
        <v>15.006867762310318</v>
      </c>
      <c r="BA257" s="460">
        <f t="shared" si="724"/>
        <v>38.700572532177034</v>
      </c>
      <c r="BB257" s="5">
        <f t="shared" si="725"/>
        <v>1.6117858980111988</v>
      </c>
      <c r="BD257" s="173">
        <f t="shared" si="681"/>
        <v>2.2392670231881575</v>
      </c>
      <c r="BE257" s="173">
        <f t="shared" si="682"/>
        <v>5.3215614749991733</v>
      </c>
      <c r="BG257" s="528">
        <f t="shared" si="683"/>
        <v>0.10028633602275905</v>
      </c>
      <c r="BH257" s="528">
        <f t="shared" si="754"/>
        <v>1.9980948327922219</v>
      </c>
      <c r="BI257" s="528">
        <f t="shared" si="755"/>
        <v>0.22511513456375476</v>
      </c>
      <c r="BJ257" s="528">
        <f t="shared" si="684"/>
        <v>0.1068861459893601</v>
      </c>
      <c r="BK257">
        <f t="shared" si="685"/>
        <v>3.8138970651475534E-2</v>
      </c>
      <c r="BL257" s="460">
        <f t="shared" si="686"/>
        <v>263.25410521523031</v>
      </c>
      <c r="BM257" s="528">
        <f t="shared" si="756"/>
        <v>2.2868354162995792</v>
      </c>
      <c r="BN257" s="460">
        <f t="shared" si="687"/>
        <v>2286.8354162995793</v>
      </c>
      <c r="BO257" s="528">
        <f t="shared" si="637"/>
        <v>2.8699999999999997</v>
      </c>
      <c r="BR257" s="460">
        <f t="shared" si="688"/>
        <v>2869.9999999999995</v>
      </c>
      <c r="BS257" s="528">
        <f t="shared" si="689"/>
        <v>0.15042950403413857</v>
      </c>
      <c r="BT257" s="528">
        <f t="shared" si="690"/>
        <v>0.84957049596586132</v>
      </c>
      <c r="BU257" s="528">
        <f t="shared" si="691"/>
        <v>1.839672780553105</v>
      </c>
      <c r="BV257" s="528"/>
      <c r="BW257" s="528">
        <f t="shared" si="692"/>
        <v>1.0624493406433394E-2</v>
      </c>
      <c r="BX257" s="460">
        <f t="shared" si="693"/>
        <v>2850.2972739595384</v>
      </c>
      <c r="BY257" s="173">
        <f t="shared" si="694"/>
        <v>8.1888186939791101</v>
      </c>
      <c r="BZ257" s="5">
        <f t="shared" si="695"/>
        <v>61.499999999999993</v>
      </c>
      <c r="CA257" s="173">
        <f t="shared" si="696"/>
        <v>0.88249451135140855</v>
      </c>
      <c r="CB257" s="5">
        <f t="shared" si="697"/>
        <v>88.249451135140859</v>
      </c>
      <c r="CE257" s="562">
        <f t="shared" si="757"/>
        <v>-50</v>
      </c>
      <c r="CF257">
        <f t="shared" si="758"/>
        <v>-50</v>
      </c>
      <c r="CG257" s="173">
        <f t="shared" si="759"/>
        <v>0.83086140039519618</v>
      </c>
      <c r="CI257" s="170">
        <v>41</v>
      </c>
      <c r="CJ257" s="217">
        <f t="shared" si="698"/>
        <v>4.0999999999999996</v>
      </c>
      <c r="CK257" s="217"/>
      <c r="CL257" s="217">
        <f t="shared" si="641"/>
        <v>61.499999999999993</v>
      </c>
      <c r="CM257" s="541">
        <f t="shared" si="642"/>
        <v>85</v>
      </c>
      <c r="CN257" s="443">
        <f t="shared" si="643"/>
        <v>15.4</v>
      </c>
      <c r="CO257" s="443">
        <f t="shared" si="644"/>
        <v>100.4</v>
      </c>
      <c r="CP257" s="443"/>
      <c r="CQ257" s="217">
        <f t="shared" si="645"/>
        <v>0.15338645418326693</v>
      </c>
      <c r="CR257" s="172">
        <f t="shared" si="646"/>
        <v>327.33148655378488</v>
      </c>
      <c r="CS257" s="172">
        <f t="shared" si="647"/>
        <v>61.499999999999993</v>
      </c>
      <c r="CT257" s="217">
        <f t="shared" si="648"/>
        <v>21.822099103585661</v>
      </c>
      <c r="CU257" s="217">
        <f t="shared" si="649"/>
        <v>15</v>
      </c>
      <c r="CV257" s="217"/>
      <c r="CW257" s="172">
        <f t="shared" si="650"/>
        <v>433.37106528729743</v>
      </c>
      <c r="CX257" s="172">
        <f t="shared" si="651"/>
        <v>15</v>
      </c>
      <c r="CY257" s="217">
        <f t="shared" si="652"/>
        <v>9.4340718105423971</v>
      </c>
      <c r="CZ257" s="217">
        <f t="shared" si="653"/>
        <v>1.3318689614883386</v>
      </c>
      <c r="DA257" s="217">
        <f t="shared" si="654"/>
        <v>7.3512247874356342</v>
      </c>
      <c r="DB257" s="197">
        <f t="shared" si="655"/>
        <v>108.64873837981409</v>
      </c>
      <c r="DC257" s="443">
        <f t="shared" si="656"/>
        <v>115.16632538073451</v>
      </c>
      <c r="DE257" s="217">
        <f t="shared" si="657"/>
        <v>10</v>
      </c>
      <c r="DF257" s="173">
        <f t="shared" si="658"/>
        <v>7.7922077922077913</v>
      </c>
      <c r="DG257" s="173">
        <f t="shared" si="659"/>
        <v>4.2330677290836656</v>
      </c>
      <c r="DH257" s="173"/>
      <c r="DI257" s="173">
        <f t="shared" si="660"/>
        <v>7.7922077922077913</v>
      </c>
      <c r="DJ257" s="545">
        <f t="shared" si="661"/>
        <v>105.23333333333333</v>
      </c>
      <c r="DK257" s="528">
        <f t="shared" si="662"/>
        <v>4.2330677290836656</v>
      </c>
      <c r="DM257" s="173">
        <f t="shared" si="663"/>
        <v>5.4833080039941828</v>
      </c>
      <c r="DN257" s="173">
        <f t="shared" si="664"/>
        <v>10</v>
      </c>
      <c r="DO257" s="173">
        <f t="shared" si="665"/>
        <v>1.0601333333333334</v>
      </c>
      <c r="DQ257" s="545">
        <f t="shared" si="666"/>
        <v>4100</v>
      </c>
      <c r="DR257" s="460">
        <f t="shared" si="667"/>
        <v>105.23333333333333</v>
      </c>
      <c r="DT257">
        <f t="shared" si="668"/>
        <v>4100</v>
      </c>
      <c r="DU257">
        <f t="shared" si="669"/>
        <v>105.23333333333333</v>
      </c>
      <c r="DW257" s="5">
        <f t="shared" si="670"/>
        <v>9.5026924295216979</v>
      </c>
      <c r="DX257" s="5">
        <f t="shared" si="671"/>
        <v>1.4117647058823528</v>
      </c>
      <c r="DY257" s="5">
        <f t="shared" si="672"/>
        <v>8.0909277236393446</v>
      </c>
      <c r="DZ257" s="5"/>
      <c r="EA257" s="173">
        <f t="shared" si="673"/>
        <v>0.14856470588235293</v>
      </c>
      <c r="EB257" s="173">
        <f t="shared" si="699"/>
        <v>63.14</v>
      </c>
      <c r="EC257" s="173">
        <f t="shared" si="700"/>
        <v>4.2571764705882353</v>
      </c>
      <c r="ED257" s="173">
        <f t="shared" si="701"/>
        <v>14.831426518543083</v>
      </c>
      <c r="EE257" s="460">
        <f t="shared" si="674"/>
        <v>38.588235294117638</v>
      </c>
      <c r="EF257" s="5">
        <f t="shared" si="675"/>
        <v>1.6261178268098679</v>
      </c>
      <c r="EH257" s="173">
        <f t="shared" si="702"/>
        <v>2.2253442121939466</v>
      </c>
      <c r="EI257" s="173">
        <f t="shared" si="703"/>
        <v>5.3273986588754774</v>
      </c>
      <c r="EK257" s="528">
        <f t="shared" si="704"/>
        <v>9.904313725490195E-2</v>
      </c>
      <c r="EL257" s="528">
        <f t="shared" si="705"/>
        <v>2.1130853333333333</v>
      </c>
      <c r="EM257" s="528">
        <f t="shared" si="706"/>
        <v>1.3154166666666666E-2</v>
      </c>
      <c r="EN257" s="528">
        <f t="shared" si="707"/>
        <v>0.10607688373333335</v>
      </c>
      <c r="EO257">
        <f t="shared" si="708"/>
        <v>3.8249999999999999E-2</v>
      </c>
      <c r="EP257" s="460">
        <f t="shared" si="709"/>
        <v>51.404166666666669</v>
      </c>
      <c r="EQ257" s="460"/>
      <c r="ER257" s="460">
        <f t="shared" si="710"/>
        <v>2369.6095209882355</v>
      </c>
      <c r="ES257" s="528">
        <f t="shared" si="711"/>
        <v>2.8699999999999997</v>
      </c>
      <c r="EV257" s="460">
        <f t="shared" si="712"/>
        <v>2869.9999999999995</v>
      </c>
      <c r="EW257" s="528">
        <f t="shared" si="713"/>
        <v>0.1485647058823529</v>
      </c>
      <c r="EX257" s="528">
        <f t="shared" si="714"/>
        <v>0.85143529411764696</v>
      </c>
      <c r="EY257" s="528">
        <f t="shared" si="715"/>
        <v>1.7961943347074276</v>
      </c>
      <c r="EZ257" s="528"/>
      <c r="FA257" s="528">
        <f t="shared" si="716"/>
        <v>1.0523333333333334E-2</v>
      </c>
      <c r="FB257" s="460">
        <f t="shared" si="717"/>
        <v>2806.7176680407611</v>
      </c>
      <c r="FC257" s="173">
        <f t="shared" si="718"/>
        <v>8.0463271890289967</v>
      </c>
      <c r="FD257" s="5">
        <f t="shared" si="719"/>
        <v>61.499999999999993</v>
      </c>
      <c r="FE257" s="173">
        <f t="shared" si="720"/>
        <v>0.88430262942342253</v>
      </c>
      <c r="FF257" s="5">
        <f t="shared" si="721"/>
        <v>88.430262942342253</v>
      </c>
      <c r="FI257" s="562">
        <f t="shared" si="676"/>
        <v>-50</v>
      </c>
      <c r="FJ257">
        <f t="shared" si="677"/>
        <v>-50</v>
      </c>
      <c r="FL257">
        <f t="shared" si="760"/>
        <v>0.82</v>
      </c>
    </row>
    <row r="258" spans="5:168">
      <c r="E258" s="170">
        <v>42</v>
      </c>
      <c r="F258" s="217">
        <f t="shared" si="761"/>
        <v>4.2</v>
      </c>
      <c r="G258" s="217"/>
      <c r="H258" s="217">
        <f t="shared" si="726"/>
        <v>63</v>
      </c>
      <c r="I258" s="541">
        <f t="shared" si="727"/>
        <v>84.750718691280113</v>
      </c>
      <c r="J258" s="172">
        <f t="shared" si="728"/>
        <v>15.549568785231934</v>
      </c>
      <c r="K258" s="172">
        <f t="shared" si="729"/>
        <v>100.30028747651204</v>
      </c>
      <c r="L258" s="443"/>
      <c r="M258" s="217">
        <f t="shared" si="730"/>
        <v>0.15503378443241284</v>
      </c>
      <c r="N258" s="172">
        <f t="shared" si="731"/>
        <v>329.87665892118264</v>
      </c>
      <c r="O258" s="172">
        <f t="shared" si="599"/>
        <v>63</v>
      </c>
      <c r="P258" s="217">
        <f t="shared" si="732"/>
        <v>21.991777261412174</v>
      </c>
      <c r="Q258" s="217">
        <f t="shared" si="733"/>
        <v>15</v>
      </c>
      <c r="R258" s="217"/>
      <c r="S258" s="172">
        <f t="shared" si="734"/>
        <v>419.79852178388012</v>
      </c>
      <c r="T258" s="172">
        <f t="shared" si="735"/>
        <v>15</v>
      </c>
      <c r="U258" s="217">
        <f t="shared" si="736"/>
        <v>9.941225868252598</v>
      </c>
      <c r="V258" s="217">
        <f t="shared" si="737"/>
        <v>1.4075952659892341</v>
      </c>
      <c r="W258" s="217">
        <f t="shared" si="738"/>
        <v>7.6718983057800472</v>
      </c>
      <c r="X258" s="197">
        <f t="shared" si="739"/>
        <v>109.49097314373003</v>
      </c>
      <c r="Y258" s="443">
        <f t="shared" si="680"/>
        <v>107.76450161485852</v>
      </c>
      <c r="AA258" s="217">
        <f t="shared" si="740"/>
        <v>10</v>
      </c>
      <c r="AB258" s="173">
        <f t="shared" si="741"/>
        <v>7.7172558067313703</v>
      </c>
      <c r="AC258" s="173">
        <f t="shared" si="742"/>
        <v>4.2248492413905954</v>
      </c>
      <c r="AD258" s="173"/>
      <c r="AE258" s="173">
        <f t="shared" si="743"/>
        <v>7.7172558067313703</v>
      </c>
      <c r="AF258" s="545">
        <f t="shared" si="744"/>
        <v>108.84698149662354</v>
      </c>
      <c r="AG258" s="528">
        <f t="shared" si="745"/>
        <v>4.2248492413905954</v>
      </c>
      <c r="AI258" s="173">
        <f t="shared" si="746"/>
        <v>5.5766600730602063</v>
      </c>
      <c r="AJ258" s="173">
        <f t="shared" si="747"/>
        <v>10</v>
      </c>
      <c r="AK258" s="173">
        <f t="shared" si="748"/>
        <v>1.0621982751409278</v>
      </c>
      <c r="AM258" s="545">
        <f t="shared" si="749"/>
        <v>4200</v>
      </c>
      <c r="AN258" s="460">
        <f t="shared" si="750"/>
        <v>108.84698149662354</v>
      </c>
      <c r="AP258">
        <f t="shared" si="751"/>
        <v>4200</v>
      </c>
      <c r="AQ258">
        <f t="shared" si="752"/>
        <v>108.84698149662354</v>
      </c>
      <c r="AS258" s="5">
        <f t="shared" si="600"/>
        <v>9.1872092937278218</v>
      </c>
      <c r="AT258" s="5">
        <f t="shared" si="753"/>
        <v>1.4159171963735411</v>
      </c>
      <c r="AU258" s="5">
        <f t="shared" si="722"/>
        <v>7.7712920973542809</v>
      </c>
      <c r="AV258" s="5"/>
      <c r="AW258" s="173">
        <f t="shared" si="723"/>
        <v>0.1541183128744219</v>
      </c>
      <c r="AX258" s="173">
        <f t="shared" si="631"/>
        <v>65.308188897974134</v>
      </c>
      <c r="AY258" s="173">
        <f t="shared" si="632"/>
        <v>4.2294084356278905</v>
      </c>
      <c r="AZ258" s="173">
        <f t="shared" si="633"/>
        <v>15.441447637884279</v>
      </c>
      <c r="BA258" s="460">
        <f t="shared" si="724"/>
        <v>39.645681498459155</v>
      </c>
      <c r="BB258" s="5">
        <f t="shared" si="725"/>
        <v>1.6046779756416689</v>
      </c>
      <c r="BD258" s="173">
        <f t="shared" si="681"/>
        <v>2.2665562194249809</v>
      </c>
      <c r="BE258" s="173">
        <f t="shared" si="682"/>
        <v>5.309995879237503</v>
      </c>
      <c r="BG258" s="528">
        <f t="shared" si="683"/>
        <v>0.10274554191628124</v>
      </c>
      <c r="BH258" s="528">
        <f t="shared" si="754"/>
        <v>2.0470094128241114</v>
      </c>
      <c r="BI258" s="528">
        <f t="shared" si="755"/>
        <v>0.23062149773038282</v>
      </c>
      <c r="BJ258" s="528">
        <f t="shared" si="684"/>
        <v>0.10950167070580508</v>
      </c>
      <c r="BK258">
        <f t="shared" si="685"/>
        <v>3.8137823411076049E-2</v>
      </c>
      <c r="BL258" s="460">
        <f t="shared" si="686"/>
        <v>268.75932114145883</v>
      </c>
      <c r="BM258" s="528">
        <f t="shared" si="756"/>
        <v>2.3442259648339379</v>
      </c>
      <c r="BN258" s="460">
        <f t="shared" si="687"/>
        <v>2344.2259648339377</v>
      </c>
      <c r="BO258" s="528">
        <f t="shared" si="637"/>
        <v>2.94</v>
      </c>
      <c r="BR258" s="460">
        <f t="shared" si="688"/>
        <v>2940</v>
      </c>
      <c r="BS258" s="528">
        <f t="shared" si="689"/>
        <v>0.15411831287442185</v>
      </c>
      <c r="BT258" s="528">
        <f t="shared" si="690"/>
        <v>0.84588168712557776</v>
      </c>
      <c r="BU258" s="528">
        <f t="shared" si="691"/>
        <v>1.9543888621259085</v>
      </c>
      <c r="BV258" s="528"/>
      <c r="BW258" s="528">
        <f t="shared" si="692"/>
        <v>1.0884698149662355E-2</v>
      </c>
      <c r="BX258" s="460">
        <f t="shared" si="693"/>
        <v>2965.2735602755706</v>
      </c>
      <c r="BY258" s="173">
        <f t="shared" si="694"/>
        <v>8.4332895068632272</v>
      </c>
      <c r="BZ258" s="5">
        <f t="shared" si="695"/>
        <v>63</v>
      </c>
      <c r="CA258" s="173">
        <f t="shared" si="696"/>
        <v>0.88194174501717482</v>
      </c>
      <c r="CB258" s="5">
        <f t="shared" si="697"/>
        <v>88.194174501717484</v>
      </c>
      <c r="CE258" s="562">
        <f t="shared" si="757"/>
        <v>-50</v>
      </c>
      <c r="CF258">
        <f t="shared" si="758"/>
        <v>-50</v>
      </c>
      <c r="CG258" s="173">
        <f t="shared" si="759"/>
        <v>0.84242176470588237</v>
      </c>
      <c r="CI258" s="170">
        <v>42</v>
      </c>
      <c r="CJ258" s="217">
        <f t="shared" si="698"/>
        <v>4.2</v>
      </c>
      <c r="CK258" s="217"/>
      <c r="CL258" s="217">
        <f t="shared" si="641"/>
        <v>63</v>
      </c>
      <c r="CM258" s="541">
        <f t="shared" si="642"/>
        <v>85</v>
      </c>
      <c r="CN258" s="443">
        <f t="shared" si="643"/>
        <v>15.4</v>
      </c>
      <c r="CO258" s="443">
        <f t="shared" si="644"/>
        <v>100.4</v>
      </c>
      <c r="CP258" s="443"/>
      <c r="CQ258" s="217">
        <f t="shared" si="645"/>
        <v>0.15338645418326693</v>
      </c>
      <c r="CR258" s="172">
        <f t="shared" si="646"/>
        <v>327.33148655378488</v>
      </c>
      <c r="CS258" s="172">
        <f t="shared" si="647"/>
        <v>63</v>
      </c>
      <c r="CT258" s="217">
        <f t="shared" si="648"/>
        <v>21.822099103585661</v>
      </c>
      <c r="CU258" s="217">
        <f t="shared" si="649"/>
        <v>15</v>
      </c>
      <c r="CV258" s="217"/>
      <c r="CW258" s="172">
        <f t="shared" si="650"/>
        <v>421.0330580595745</v>
      </c>
      <c r="CX258" s="172">
        <f t="shared" si="651"/>
        <v>15</v>
      </c>
      <c r="CY258" s="217">
        <f t="shared" si="652"/>
        <v>9.6641711229946523</v>
      </c>
      <c r="CZ258" s="217">
        <f t="shared" si="653"/>
        <v>1.3643535703051275</v>
      </c>
      <c r="DA258" s="217">
        <f t="shared" si="654"/>
        <v>7.5305229529828459</v>
      </c>
      <c r="DB258" s="197">
        <f t="shared" si="655"/>
        <v>108.64873837981409</v>
      </c>
      <c r="DC258" s="443">
        <f t="shared" si="656"/>
        <v>112.42427001452653</v>
      </c>
      <c r="DE258" s="217">
        <f t="shared" si="657"/>
        <v>10</v>
      </c>
      <c r="DF258" s="173">
        <f t="shared" si="658"/>
        <v>7.7922077922077913</v>
      </c>
      <c r="DG258" s="173">
        <f t="shared" si="659"/>
        <v>4.2330677290836656</v>
      </c>
      <c r="DH258" s="173"/>
      <c r="DI258" s="173">
        <f t="shared" si="660"/>
        <v>7.7922077922077913</v>
      </c>
      <c r="DJ258" s="545">
        <f t="shared" si="661"/>
        <v>107.80000000000001</v>
      </c>
      <c r="DK258" s="528">
        <f t="shared" si="662"/>
        <v>4.2330677290836656</v>
      </c>
      <c r="DM258" s="173">
        <f t="shared" si="663"/>
        <v>5.5497747702046434</v>
      </c>
      <c r="DN258" s="173">
        <f t="shared" si="664"/>
        <v>10</v>
      </c>
      <c r="DO258" s="173">
        <f t="shared" si="665"/>
        <v>1.0616000000000001</v>
      </c>
      <c r="DQ258" s="545">
        <f t="shared" si="666"/>
        <v>4200</v>
      </c>
      <c r="DR258" s="460">
        <f t="shared" si="667"/>
        <v>107.80000000000001</v>
      </c>
      <c r="DT258">
        <f t="shared" si="668"/>
        <v>4200</v>
      </c>
      <c r="DU258">
        <f t="shared" si="669"/>
        <v>107.80000000000001</v>
      </c>
      <c r="DW258" s="5">
        <f t="shared" si="670"/>
        <v>9.2764378478664185</v>
      </c>
      <c r="DX258" s="5">
        <f t="shared" si="671"/>
        <v>1.4117647058823528</v>
      </c>
      <c r="DY258" s="5">
        <f t="shared" si="672"/>
        <v>7.8646731419840652</v>
      </c>
      <c r="DZ258" s="5"/>
      <c r="EA258" s="173">
        <f t="shared" si="673"/>
        <v>0.15218823529411765</v>
      </c>
      <c r="EB258" s="173">
        <f t="shared" si="699"/>
        <v>64.680000000000021</v>
      </c>
      <c r="EC258" s="173">
        <f t="shared" si="700"/>
        <v>4.2390588235294118</v>
      </c>
      <c r="ED258" s="173">
        <f t="shared" si="701"/>
        <v>15.258103907637661</v>
      </c>
      <c r="EE258" s="460">
        <f t="shared" si="674"/>
        <v>39.529411764705877</v>
      </c>
      <c r="EF258" s="5">
        <f t="shared" si="675"/>
        <v>1.6191974115849546</v>
      </c>
      <c r="EH258" s="173">
        <f t="shared" si="702"/>
        <v>2.2523190663115624</v>
      </c>
      <c r="EI258" s="173">
        <f t="shared" si="703"/>
        <v>5.3160504283596435</v>
      </c>
      <c r="EK258" s="528">
        <f t="shared" si="704"/>
        <v>0.10145882352941177</v>
      </c>
      <c r="EL258" s="528">
        <f t="shared" si="705"/>
        <v>2.1646240000000003</v>
      </c>
      <c r="EM258" s="528">
        <f t="shared" si="706"/>
        <v>1.3475000000000001E-2</v>
      </c>
      <c r="EN258" s="528">
        <f t="shared" si="707"/>
        <v>0.10866412480000004</v>
      </c>
      <c r="EO258">
        <f t="shared" si="708"/>
        <v>3.8249999999999999E-2</v>
      </c>
      <c r="EP258" s="460">
        <f t="shared" si="709"/>
        <v>51.725000000000001</v>
      </c>
      <c r="EQ258" s="460"/>
      <c r="ER258" s="460">
        <f t="shared" si="710"/>
        <v>2426.4719483294125</v>
      </c>
      <c r="ES258" s="528">
        <f t="shared" si="711"/>
        <v>2.94</v>
      </c>
      <c r="EV258" s="460">
        <f t="shared" si="712"/>
        <v>2940</v>
      </c>
      <c r="EW258" s="528">
        <f t="shared" si="713"/>
        <v>0.15218823529411765</v>
      </c>
      <c r="EX258" s="528">
        <f t="shared" si="714"/>
        <v>0.84781176470588249</v>
      </c>
      <c r="EY258" s="528">
        <f t="shared" si="715"/>
        <v>1.9077299877435299</v>
      </c>
      <c r="EZ258" s="528"/>
      <c r="FA258" s="528">
        <f t="shared" si="716"/>
        <v>1.0780000000000001E-2</v>
      </c>
      <c r="FB258" s="460">
        <f t="shared" si="717"/>
        <v>2918.5099877435305</v>
      </c>
      <c r="FC258" s="173">
        <f t="shared" si="718"/>
        <v>8.284981936072942</v>
      </c>
      <c r="FD258" s="5">
        <f t="shared" si="719"/>
        <v>63</v>
      </c>
      <c r="FE258" s="173">
        <f t="shared" si="720"/>
        <v>0.88377661449780887</v>
      </c>
      <c r="FF258" s="5">
        <f t="shared" si="721"/>
        <v>88.377661449780888</v>
      </c>
      <c r="FI258" s="562">
        <f t="shared" si="676"/>
        <v>-50</v>
      </c>
      <c r="FJ258">
        <f t="shared" si="677"/>
        <v>-50</v>
      </c>
      <c r="FL258">
        <f t="shared" si="760"/>
        <v>0.84000000000000008</v>
      </c>
    </row>
    <row r="259" spans="5:168">
      <c r="E259" s="170">
        <v>43</v>
      </c>
      <c r="F259" s="217">
        <f t="shared" si="761"/>
        <v>4.3</v>
      </c>
      <c r="G259" s="217"/>
      <c r="H259" s="217">
        <f t="shared" si="726"/>
        <v>64.5</v>
      </c>
      <c r="I259" s="541">
        <f t="shared" si="727"/>
        <v>84.743890288415088</v>
      </c>
      <c r="J259" s="172">
        <f t="shared" si="728"/>
        <v>15.553665826950947</v>
      </c>
      <c r="K259" s="172">
        <f t="shared" si="729"/>
        <v>100.29755611536604</v>
      </c>
      <c r="L259" s="443"/>
      <c r="M259" s="217">
        <f t="shared" si="730"/>
        <v>0.15506681089975444</v>
      </c>
      <c r="N259" s="172">
        <f t="shared" si="731"/>
        <v>329.92034776767042</v>
      </c>
      <c r="O259" s="172">
        <f t="shared" si="599"/>
        <v>64.5</v>
      </c>
      <c r="P259" s="217">
        <f t="shared" si="732"/>
        <v>21.994689851178027</v>
      </c>
      <c r="Q259" s="217">
        <f t="shared" si="733"/>
        <v>15</v>
      </c>
      <c r="R259" s="217"/>
      <c r="S259" s="172">
        <f t="shared" si="734"/>
        <v>408.036139799919</v>
      </c>
      <c r="T259" s="172">
        <f t="shared" si="735"/>
        <v>15</v>
      </c>
      <c r="U259" s="217">
        <f t="shared" si="736"/>
        <v>10.178319553476159</v>
      </c>
      <c r="V259" s="217">
        <f t="shared" si="737"/>
        <v>1.4412818933143907</v>
      </c>
      <c r="W259" s="217">
        <f t="shared" si="738"/>
        <v>7.8528004909346505</v>
      </c>
      <c r="X259" s="197">
        <f t="shared" si="739"/>
        <v>109.51398032285209</v>
      </c>
      <c r="Y259" s="443">
        <f t="shared" si="680"/>
        <v>105.3287679132666</v>
      </c>
      <c r="AA259" s="217">
        <f t="shared" si="740"/>
        <v>10</v>
      </c>
      <c r="AB259" s="173">
        <f t="shared" si="741"/>
        <v>7.7152229792713838</v>
      </c>
      <c r="AC259" s="173">
        <f t="shared" si="742"/>
        <v>4.2246238876917133</v>
      </c>
      <c r="AD259" s="173"/>
      <c r="AE259" s="173">
        <f t="shared" si="743"/>
        <v>7.7152229792713838</v>
      </c>
      <c r="AF259" s="545">
        <f t="shared" si="744"/>
        <v>111.46793842648178</v>
      </c>
      <c r="AG259" s="528">
        <f t="shared" si="745"/>
        <v>4.2246238876917133</v>
      </c>
      <c r="AI259" s="173">
        <f t="shared" si="746"/>
        <v>5.6434016698766198</v>
      </c>
      <c r="AJ259" s="173">
        <f t="shared" si="747"/>
        <v>10.178319553476159</v>
      </c>
      <c r="AK259" s="173">
        <f t="shared" si="748"/>
        <v>1.3320885581304882</v>
      </c>
      <c r="AM259" s="545">
        <f t="shared" si="749"/>
        <v>4300</v>
      </c>
      <c r="AN259" s="460">
        <f t="shared" si="750"/>
        <v>105.3287679132666</v>
      </c>
      <c r="AP259">
        <f t="shared" si="751"/>
        <v>4300</v>
      </c>
      <c r="AQ259">
        <f t="shared" si="752"/>
        <v>105.3287679132666</v>
      </c>
      <c r="AS259" s="5">
        <f t="shared" si="600"/>
        <v>9.4940823842490403</v>
      </c>
      <c r="AT259" s="5">
        <f t="shared" si="753"/>
        <v>1.4412818933143907</v>
      </c>
      <c r="AU259" s="5">
        <f t="shared" si="722"/>
        <v>8.0528004909346489</v>
      </c>
      <c r="AV259" s="5"/>
      <c r="AW259" s="173">
        <f t="shared" si="723"/>
        <v>0.15180844603850494</v>
      </c>
      <c r="AX259" s="173">
        <f t="shared" si="631"/>
        <v>65.471217589946889</v>
      </c>
      <c r="AY259" s="173">
        <f t="shared" si="632"/>
        <v>4.3165823393898073</v>
      </c>
      <c r="AZ259" s="173">
        <f t="shared" si="633"/>
        <v>15.167373732804066</v>
      </c>
      <c r="BA259" s="460">
        <f t="shared" si="724"/>
        <v>41.316747608345871</v>
      </c>
      <c r="BB259" s="5">
        <f t="shared" si="725"/>
        <v>1.702533853923974</v>
      </c>
      <c r="BD259" s="173">
        <f t="shared" si="681"/>
        <v>2.2896200612236117</v>
      </c>
      <c r="BE259" s="173">
        <f t="shared" si="682"/>
        <v>5.412057798976968</v>
      </c>
      <c r="BG259" s="528">
        <f t="shared" si="683"/>
        <v>0.10484720049515231</v>
      </c>
      <c r="BH259" s="528">
        <f t="shared" si="754"/>
        <v>2.0161122514099019</v>
      </c>
      <c r="BI259" s="528">
        <f t="shared" si="755"/>
        <v>0.22314923880639501</v>
      </c>
      <c r="BJ259" s="528">
        <f t="shared" si="684"/>
        <v>0.10595652487073599</v>
      </c>
      <c r="BK259">
        <f t="shared" si="685"/>
        <v>3.8134750629786787E-2</v>
      </c>
      <c r="BL259" s="460">
        <f t="shared" si="686"/>
        <v>261.2839894361818</v>
      </c>
      <c r="BM259" s="528">
        <f t="shared" si="756"/>
        <v>2.3128415231418322</v>
      </c>
      <c r="BN259" s="460">
        <f t="shared" si="687"/>
        <v>2312.8415231418321</v>
      </c>
      <c r="BO259" s="528">
        <f t="shared" si="637"/>
        <v>3.01</v>
      </c>
      <c r="BR259" s="460">
        <f t="shared" si="688"/>
        <v>3010</v>
      </c>
      <c r="BS259" s="528">
        <f t="shared" si="689"/>
        <v>0.15727080074272845</v>
      </c>
      <c r="BT259" s="528">
        <f t="shared" si="690"/>
        <v>0.87871108858402269</v>
      </c>
      <c r="BU259" s="528">
        <f t="shared" si="691"/>
        <v>1.8816017943492505</v>
      </c>
      <c r="BV259" s="528"/>
      <c r="BW259" s="528">
        <f t="shared" si="692"/>
        <v>1.0911869598324483E-2</v>
      </c>
      <c r="BX259" s="460">
        <f t="shared" si="693"/>
        <v>2928.4955532743261</v>
      </c>
      <c r="BY259" s="173">
        <f t="shared" si="694"/>
        <v>8.426695519486298</v>
      </c>
      <c r="BZ259" s="5">
        <f t="shared" si="695"/>
        <v>64.5</v>
      </c>
      <c r="CA259" s="173">
        <f t="shared" si="696"/>
        <v>0.88444978262816454</v>
      </c>
      <c r="CB259" s="5">
        <f t="shared" si="697"/>
        <v>88.444978262816448</v>
      </c>
      <c r="CE259" s="562">
        <f t="shared" si="757"/>
        <v>-50</v>
      </c>
      <c r="CF259">
        <f t="shared" si="758"/>
        <v>-50</v>
      </c>
      <c r="CG259" s="173">
        <f t="shared" si="759"/>
        <v>0.83948398000798718</v>
      </c>
      <c r="CI259" s="170">
        <v>43</v>
      </c>
      <c r="CJ259" s="217">
        <f t="shared" si="698"/>
        <v>4.3</v>
      </c>
      <c r="CK259" s="217"/>
      <c r="CL259" s="217">
        <f t="shared" si="641"/>
        <v>64.5</v>
      </c>
      <c r="CM259" s="541">
        <f t="shared" si="642"/>
        <v>85</v>
      </c>
      <c r="CN259" s="443">
        <f t="shared" si="643"/>
        <v>15.4</v>
      </c>
      <c r="CO259" s="443">
        <f t="shared" si="644"/>
        <v>100.4</v>
      </c>
      <c r="CP259" s="443"/>
      <c r="CQ259" s="217">
        <f t="shared" si="645"/>
        <v>0.15338645418326693</v>
      </c>
      <c r="CR259" s="172">
        <f t="shared" si="646"/>
        <v>327.33148655378488</v>
      </c>
      <c r="CS259" s="172">
        <f t="shared" si="647"/>
        <v>64.5</v>
      </c>
      <c r="CT259" s="217">
        <f t="shared" si="648"/>
        <v>21.822099103585661</v>
      </c>
      <c r="CU259" s="217">
        <f t="shared" si="649"/>
        <v>15</v>
      </c>
      <c r="CV259" s="217"/>
      <c r="CW259" s="172">
        <f t="shared" si="650"/>
        <v>409.26904033506207</v>
      </c>
      <c r="CX259" s="172">
        <f t="shared" si="651"/>
        <v>15</v>
      </c>
      <c r="CY259" s="217">
        <f t="shared" si="652"/>
        <v>9.8942704354469058</v>
      </c>
      <c r="CZ259" s="217">
        <f t="shared" si="653"/>
        <v>1.396838179121916</v>
      </c>
      <c r="DA259" s="217">
        <f t="shared" si="654"/>
        <v>7.7098211185300567</v>
      </c>
      <c r="DB259" s="197">
        <f t="shared" si="655"/>
        <v>108.64873837981409</v>
      </c>
      <c r="DC259" s="443">
        <f t="shared" si="656"/>
        <v>109.80975210721195</v>
      </c>
      <c r="DE259" s="217">
        <f t="shared" si="657"/>
        <v>10</v>
      </c>
      <c r="DF259" s="173">
        <f t="shared" si="658"/>
        <v>7.7922077922077913</v>
      </c>
      <c r="DG259" s="173">
        <f t="shared" si="659"/>
        <v>4.2330677290836656</v>
      </c>
      <c r="DH259" s="173"/>
      <c r="DI259" s="173">
        <f t="shared" si="660"/>
        <v>7.7922077922077913</v>
      </c>
      <c r="DJ259" s="545">
        <f t="shared" si="661"/>
        <v>110.36666666666667</v>
      </c>
      <c r="DK259" s="528">
        <f t="shared" si="662"/>
        <v>4.2330677290836656</v>
      </c>
      <c r="DM259" s="173">
        <f t="shared" si="663"/>
        <v>5.6154548643305233</v>
      </c>
      <c r="DN259" s="173">
        <f t="shared" si="664"/>
        <v>10</v>
      </c>
      <c r="DO259" s="173">
        <f t="shared" si="665"/>
        <v>1.2</v>
      </c>
      <c r="DQ259" s="545">
        <f t="shared" si="666"/>
        <v>4300</v>
      </c>
      <c r="DR259" s="460">
        <f t="shared" si="667"/>
        <v>109.80975210721195</v>
      </c>
      <c r="DT259">
        <f t="shared" si="668"/>
        <v>4300</v>
      </c>
      <c r="DU259">
        <f t="shared" si="669"/>
        <v>109.80975210721195</v>
      </c>
      <c r="DW259" s="5">
        <f t="shared" si="670"/>
        <v>9.1066592976519729</v>
      </c>
      <c r="DX259" s="5">
        <f t="shared" si="671"/>
        <v>1.4117647058823528</v>
      </c>
      <c r="DY259" s="5">
        <f t="shared" si="672"/>
        <v>7.6948945917696197</v>
      </c>
      <c r="DZ259" s="5"/>
      <c r="EA259" s="173">
        <f t="shared" si="673"/>
        <v>0.15502553238665215</v>
      </c>
      <c r="EB259" s="173">
        <f t="shared" si="699"/>
        <v>65.885851264327187</v>
      </c>
      <c r="EC259" s="173">
        <f t="shared" si="700"/>
        <v>4.2248723380667395</v>
      </c>
      <c r="ED259" s="173">
        <f t="shared" si="701"/>
        <v>15.59475553158984</v>
      </c>
      <c r="EE259" s="460">
        <f t="shared" si="674"/>
        <v>40.470588235294109</v>
      </c>
      <c r="EF259" s="5">
        <f t="shared" si="675"/>
        <v>1.6219630757161452</v>
      </c>
      <c r="EH259" s="173">
        <f t="shared" si="702"/>
        <v>2.2732174876640681</v>
      </c>
      <c r="EI259" s="173">
        <f t="shared" si="703"/>
        <v>5.3071475942460458</v>
      </c>
      <c r="EK259" s="528">
        <f t="shared" si="704"/>
        <v>0.10335035492443474</v>
      </c>
      <c r="EL259" s="528">
        <f t="shared" si="705"/>
        <v>2.2049798223128159</v>
      </c>
      <c r="EM259" s="528">
        <f t="shared" si="706"/>
        <v>1.3726219013401493E-2</v>
      </c>
      <c r="EN259" s="528">
        <f t="shared" si="707"/>
        <v>0.11068998708010337</v>
      </c>
      <c r="EO259">
        <f t="shared" si="708"/>
        <v>3.8249999999999999E-2</v>
      </c>
      <c r="EP259" s="460">
        <f t="shared" si="709"/>
        <v>51.97621901340149</v>
      </c>
      <c r="EQ259" s="460"/>
      <c r="ER259" s="460">
        <f t="shared" si="710"/>
        <v>2470.9963833307552</v>
      </c>
      <c r="ES259" s="528">
        <f t="shared" si="711"/>
        <v>3.01</v>
      </c>
      <c r="EV259" s="460">
        <f t="shared" si="712"/>
        <v>3010</v>
      </c>
      <c r="EW259" s="528">
        <f t="shared" si="713"/>
        <v>0.15502553238665209</v>
      </c>
      <c r="EX259" s="528">
        <f t="shared" si="714"/>
        <v>0.84497446761334771</v>
      </c>
      <c r="EY259" s="528">
        <f t="shared" si="715"/>
        <v>1.9978932618650547</v>
      </c>
      <c r="EZ259" s="528"/>
      <c r="FA259" s="528">
        <f t="shared" si="716"/>
        <v>1.0980975210721196E-2</v>
      </c>
      <c r="FB259" s="460">
        <f t="shared" si="717"/>
        <v>3008.8742370757755</v>
      </c>
      <c r="FC259" s="173">
        <f t="shared" si="718"/>
        <v>8.4898706204065313</v>
      </c>
      <c r="FD259" s="5">
        <f t="shared" si="719"/>
        <v>64.5</v>
      </c>
      <c r="FE259" s="173">
        <f t="shared" si="720"/>
        <v>0.8836842626484539</v>
      </c>
      <c r="FF259" s="5">
        <f t="shared" si="721"/>
        <v>88.368426264845397</v>
      </c>
      <c r="FI259" s="562">
        <f t="shared" si="676"/>
        <v>-50</v>
      </c>
      <c r="FJ259">
        <f t="shared" si="677"/>
        <v>-50</v>
      </c>
      <c r="FL259">
        <f t="shared" si="760"/>
        <v>0.84497446761334782</v>
      </c>
    </row>
    <row r="260" spans="5:168">
      <c r="E260" s="170">
        <v>44</v>
      </c>
      <c r="F260" s="217">
        <f t="shared" si="761"/>
        <v>4.4000000000000004</v>
      </c>
      <c r="G260" s="217"/>
      <c r="H260" s="217">
        <f t="shared" si="726"/>
        <v>66</v>
      </c>
      <c r="I260" s="541">
        <f t="shared" si="727"/>
        <v>84.738483727373875</v>
      </c>
      <c r="J260" s="172">
        <f t="shared" si="728"/>
        <v>15.556909763575678</v>
      </c>
      <c r="K260" s="172">
        <f t="shared" si="729"/>
        <v>100.29539349094955</v>
      </c>
      <c r="L260" s="443"/>
      <c r="M260" s="217">
        <f t="shared" si="730"/>
        <v>0.15510253260288501</v>
      </c>
      <c r="N260" s="172">
        <f t="shared" si="731"/>
        <v>329.97529592857461</v>
      </c>
      <c r="O260" s="172">
        <f t="shared" si="599"/>
        <v>66</v>
      </c>
      <c r="P260" s="217">
        <f t="shared" si="732"/>
        <v>21.998353061904975</v>
      </c>
      <c r="Q260" s="217">
        <f t="shared" si="733"/>
        <v>15</v>
      </c>
      <c r="R260" s="217"/>
      <c r="S260" s="172">
        <f t="shared" si="734"/>
        <v>396.81550631779106</v>
      </c>
      <c r="T260" s="172">
        <f t="shared" si="735"/>
        <v>15</v>
      </c>
      <c r="U260" s="217">
        <f t="shared" si="736"/>
        <v>10.415464999688375</v>
      </c>
      <c r="V260" s="217">
        <f t="shared" si="737"/>
        <v>1.474956530947287</v>
      </c>
      <c r="W260" s="217">
        <f t="shared" si="738"/>
        <v>8.0340878680736907</v>
      </c>
      <c r="X260" s="197">
        <f t="shared" si="739"/>
        <v>109.53219443123768</v>
      </c>
      <c r="Y260" s="443">
        <f t="shared" si="680"/>
        <v>102.99674807345986</v>
      </c>
      <c r="AA260" s="217">
        <f t="shared" si="740"/>
        <v>10</v>
      </c>
      <c r="AB260" s="173">
        <f t="shared" si="741"/>
        <v>7.7136141961151683</v>
      </c>
      <c r="AC260" s="173">
        <f t="shared" si="742"/>
        <v>4.2244454494822081</v>
      </c>
      <c r="AD260" s="173"/>
      <c r="AE260" s="173">
        <f t="shared" si="743"/>
        <v>7.7136141961151683</v>
      </c>
      <c r="AF260" s="545">
        <f t="shared" si="744"/>
        <v>114.08400493288831</v>
      </c>
      <c r="AG260" s="528">
        <f t="shared" si="745"/>
        <v>4.224445449482209</v>
      </c>
      <c r="AI260" s="173">
        <f t="shared" si="746"/>
        <v>5.7092407534474523</v>
      </c>
      <c r="AJ260" s="173">
        <f t="shared" si="747"/>
        <v>10.415464999688375</v>
      </c>
      <c r="AK260" s="173">
        <f t="shared" si="748"/>
        <v>1.5077518516210184</v>
      </c>
      <c r="AM260" s="545">
        <f t="shared" si="749"/>
        <v>4400</v>
      </c>
      <c r="AN260" s="460">
        <f t="shared" si="750"/>
        <v>102.99674807345986</v>
      </c>
      <c r="AP260">
        <f t="shared" si="751"/>
        <v>4400</v>
      </c>
      <c r="AQ260">
        <f t="shared" si="752"/>
        <v>102.99674807345986</v>
      </c>
      <c r="AS260" s="5">
        <f t="shared" si="600"/>
        <v>9.7090443990209785</v>
      </c>
      <c r="AT260" s="5">
        <f t="shared" si="753"/>
        <v>1.474956530947287</v>
      </c>
      <c r="AU260" s="5">
        <f t="shared" si="722"/>
        <v>8.2340878680736918</v>
      </c>
      <c r="AV260" s="5"/>
      <c r="AW260" s="173">
        <f t="shared" si="723"/>
        <v>0.15191572623728197</v>
      </c>
      <c r="AX260" s="173">
        <f t="shared" si="631"/>
        <v>67.039704445479188</v>
      </c>
      <c r="AY260" s="173">
        <f t="shared" si="632"/>
        <v>4.416596035080862</v>
      </c>
      <c r="AZ260" s="173">
        <f t="shared" si="633"/>
        <v>15.179043750658934</v>
      </c>
      <c r="BA260" s="460">
        <f t="shared" si="724"/>
        <v>43.265391574453758</v>
      </c>
      <c r="BB260" s="5">
        <f t="shared" si="725"/>
        <v>1.7814606887116806</v>
      </c>
      <c r="BD260" s="173">
        <f t="shared" si="681"/>
        <v>2.343793813275052</v>
      </c>
      <c r="BE260" s="173">
        <f t="shared" si="682"/>
        <v>5.5378035008564632</v>
      </c>
      <c r="BG260" s="528">
        <f t="shared" si="683"/>
        <v>0.10986738878292819</v>
      </c>
      <c r="BH260" s="528">
        <f t="shared" si="754"/>
        <v>2.0173647843247595</v>
      </c>
      <c r="BI260" s="528">
        <f t="shared" si="755"/>
        <v>0.2181947065148826</v>
      </c>
      <c r="BJ260" s="528">
        <f t="shared" si="684"/>
        <v>0.10360613817482114</v>
      </c>
      <c r="BK260">
        <f t="shared" si="685"/>
        <v>3.8132317677318242E-2</v>
      </c>
      <c r="BL260" s="460">
        <f t="shared" si="686"/>
        <v>256.32702419220084</v>
      </c>
      <c r="BM260" s="528">
        <f t="shared" si="756"/>
        <v>2.3210934712176798</v>
      </c>
      <c r="BN260" s="460">
        <f t="shared" si="687"/>
        <v>2321.09347121768</v>
      </c>
      <c r="BO260" s="528">
        <f t="shared" si="637"/>
        <v>3.08</v>
      </c>
      <c r="BR260" s="460">
        <f t="shared" si="688"/>
        <v>3080</v>
      </c>
      <c r="BS260" s="528">
        <f t="shared" si="689"/>
        <v>0.16480108317439227</v>
      </c>
      <c r="BT260" s="528">
        <f t="shared" si="690"/>
        <v>0.920018028422943</v>
      </c>
      <c r="BU260" s="528">
        <f t="shared" si="691"/>
        <v>1.884627162630647</v>
      </c>
      <c r="BV260" s="528"/>
      <c r="BW260" s="528">
        <f t="shared" si="692"/>
        <v>1.1173284074246531E-2</v>
      </c>
      <c r="BX260" s="460">
        <f t="shared" si="693"/>
        <v>2980.6195583022286</v>
      </c>
      <c r="BY260" s="173">
        <f t="shared" si="694"/>
        <v>8.5477848937769387</v>
      </c>
      <c r="BZ260" s="5">
        <f t="shared" si="695"/>
        <v>66</v>
      </c>
      <c r="CA260" s="173">
        <f t="shared" si="696"/>
        <v>0.88533817730524567</v>
      </c>
      <c r="CB260" s="5">
        <f t="shared" si="697"/>
        <v>88.533817730524561</v>
      </c>
      <c r="CE260" s="562">
        <f t="shared" si="757"/>
        <v>-50</v>
      </c>
      <c r="CF260">
        <f t="shared" si="758"/>
        <v>-50</v>
      </c>
      <c r="CG260" s="173">
        <f t="shared" si="759"/>
        <v>0.84124784202058522</v>
      </c>
      <c r="CI260" s="170">
        <v>44</v>
      </c>
      <c r="CJ260" s="217">
        <f t="shared" si="698"/>
        <v>4.4000000000000004</v>
      </c>
      <c r="CK260" s="217"/>
      <c r="CL260" s="217">
        <f t="shared" si="641"/>
        <v>66</v>
      </c>
      <c r="CM260" s="541">
        <f t="shared" si="642"/>
        <v>85</v>
      </c>
      <c r="CN260" s="443">
        <f t="shared" si="643"/>
        <v>15.4</v>
      </c>
      <c r="CO260" s="443">
        <f t="shared" si="644"/>
        <v>100.4</v>
      </c>
      <c r="CP260" s="443"/>
      <c r="CQ260" s="217">
        <f t="shared" si="645"/>
        <v>0.15338645418326693</v>
      </c>
      <c r="CR260" s="172">
        <f t="shared" si="646"/>
        <v>327.33148655378488</v>
      </c>
      <c r="CS260" s="172">
        <f t="shared" si="647"/>
        <v>66</v>
      </c>
      <c r="CT260" s="217">
        <f t="shared" si="648"/>
        <v>21.822099103585661</v>
      </c>
      <c r="CU260" s="217">
        <f t="shared" si="649"/>
        <v>15</v>
      </c>
      <c r="CV260" s="217"/>
      <c r="CW260" s="172">
        <f t="shared" si="650"/>
        <v>398.03987827852603</v>
      </c>
      <c r="CX260" s="172">
        <f t="shared" si="651"/>
        <v>15</v>
      </c>
      <c r="CY260" s="217">
        <f t="shared" si="652"/>
        <v>10.124369747899159</v>
      </c>
      <c r="CZ260" s="217">
        <f t="shared" si="653"/>
        <v>1.4293227879387047</v>
      </c>
      <c r="DA260" s="217">
        <f t="shared" si="654"/>
        <v>7.8891192840772666</v>
      </c>
      <c r="DB260" s="197">
        <f t="shared" si="655"/>
        <v>108.64873837981409</v>
      </c>
      <c r="DC260" s="443">
        <f t="shared" si="656"/>
        <v>107.31407592295714</v>
      </c>
      <c r="DE260" s="217">
        <f t="shared" si="657"/>
        <v>10</v>
      </c>
      <c r="DF260" s="173">
        <f t="shared" si="658"/>
        <v>7.7922077922077913</v>
      </c>
      <c r="DG260" s="173">
        <f t="shared" si="659"/>
        <v>4.2330677290836656</v>
      </c>
      <c r="DH260" s="173"/>
      <c r="DI260" s="173">
        <f t="shared" si="660"/>
        <v>7.7922077922077913</v>
      </c>
      <c r="DJ260" s="545">
        <f t="shared" si="661"/>
        <v>112.93333333333334</v>
      </c>
      <c r="DK260" s="528">
        <f t="shared" si="662"/>
        <v>4.2330677290836656</v>
      </c>
      <c r="DM260" s="173">
        <f t="shared" si="663"/>
        <v>5.6803755744375453</v>
      </c>
      <c r="DN260" s="173">
        <f t="shared" si="664"/>
        <v>10.124369747899159</v>
      </c>
      <c r="DO260" s="173">
        <f t="shared" si="665"/>
        <v>1.2921257391845624</v>
      </c>
      <c r="DQ260" s="545">
        <f t="shared" si="666"/>
        <v>4400</v>
      </c>
      <c r="DR260" s="460">
        <f t="shared" si="667"/>
        <v>107.31407592295714</v>
      </c>
      <c r="DT260">
        <f t="shared" si="668"/>
        <v>4400</v>
      </c>
      <c r="DU260">
        <f t="shared" si="669"/>
        <v>107.31407592295714</v>
      </c>
      <c r="DW260" s="5">
        <f t="shared" si="670"/>
        <v>9.3184420720159711</v>
      </c>
      <c r="DX260" s="5">
        <f t="shared" si="671"/>
        <v>1.4293227879387047</v>
      </c>
      <c r="DY260" s="5">
        <f t="shared" si="672"/>
        <v>7.8891192840772666</v>
      </c>
      <c r="DZ260" s="5"/>
      <c r="EA260" s="173">
        <f t="shared" si="673"/>
        <v>0.15338645418326693</v>
      </c>
      <c r="EB260" s="173">
        <f t="shared" si="699"/>
        <v>66</v>
      </c>
      <c r="EC260" s="173">
        <f t="shared" si="700"/>
        <v>4.2857142857142856</v>
      </c>
      <c r="ED260" s="173">
        <f t="shared" si="701"/>
        <v>15.4</v>
      </c>
      <c r="EE260" s="460">
        <f t="shared" si="674"/>
        <v>41.926801779535339</v>
      </c>
      <c r="EF260" s="5">
        <f t="shared" si="675"/>
        <v>1.7015747475460772</v>
      </c>
      <c r="EH260" s="173">
        <f t="shared" si="702"/>
        <v>2.2892903316184947</v>
      </c>
      <c r="EI260" s="173">
        <f t="shared" si="703"/>
        <v>5.3783613404347719</v>
      </c>
      <c r="EK260" s="528">
        <f t="shared" si="704"/>
        <v>0.10481700444883835</v>
      </c>
      <c r="EL260" s="528">
        <f t="shared" si="705"/>
        <v>2.1816666666666671</v>
      </c>
      <c r="EM260" s="528">
        <f t="shared" si="706"/>
        <v>1.3414259490369642E-2</v>
      </c>
      <c r="EN260" s="528">
        <f t="shared" si="707"/>
        <v>0.10817430555555559</v>
      </c>
      <c r="EO260">
        <f t="shared" si="708"/>
        <v>3.8249999999999999E-2</v>
      </c>
      <c r="EP260" s="460">
        <f t="shared" si="709"/>
        <v>51.664259490369638</v>
      </c>
      <c r="EQ260" s="460"/>
      <c r="ER260" s="460">
        <f t="shared" si="710"/>
        <v>2446.3222361614307</v>
      </c>
      <c r="ES260" s="528">
        <f t="shared" si="711"/>
        <v>3.08</v>
      </c>
      <c r="EV260" s="460">
        <f t="shared" si="712"/>
        <v>3080</v>
      </c>
      <c r="EW260" s="528">
        <f t="shared" si="713"/>
        <v>0.15722550667325752</v>
      </c>
      <c r="EX260" s="528">
        <f t="shared" si="714"/>
        <v>0.86780312124849945</v>
      </c>
      <c r="EY260" s="528">
        <f t="shared" si="715"/>
        <v>1.9455021880180849</v>
      </c>
      <c r="EZ260" s="528"/>
      <c r="FA260" s="528">
        <f t="shared" si="716"/>
        <v>1.1000000000000001E-2</v>
      </c>
      <c r="FB260" s="460">
        <f t="shared" si="717"/>
        <v>2981.5308159398423</v>
      </c>
      <c r="FC260" s="173">
        <f t="shared" si="718"/>
        <v>8.5078530521012716</v>
      </c>
      <c r="FD260" s="5">
        <f t="shared" si="719"/>
        <v>66</v>
      </c>
      <c r="FE260" s="173">
        <f t="shared" si="720"/>
        <v>0.88581266667082781</v>
      </c>
      <c r="FF260" s="5">
        <f t="shared" si="721"/>
        <v>88.581266667082787</v>
      </c>
      <c r="FI260" s="562">
        <f t="shared" si="676"/>
        <v>-50</v>
      </c>
      <c r="FJ260">
        <f t="shared" si="677"/>
        <v>-50</v>
      </c>
      <c r="FL260">
        <f t="shared" si="760"/>
        <v>0.84661354581673309</v>
      </c>
    </row>
    <row r="261" spans="5:168">
      <c r="E261" s="170">
        <v>45</v>
      </c>
      <c r="F261" s="217">
        <f t="shared" si="761"/>
        <v>4.5</v>
      </c>
      <c r="G261" s="217"/>
      <c r="H261" s="217">
        <f t="shared" si="726"/>
        <v>67.5</v>
      </c>
      <c r="I261" s="541">
        <f t="shared" si="727"/>
        <v>84.732578079913267</v>
      </c>
      <c r="J261" s="172">
        <f t="shared" si="728"/>
        <v>15.560453152052036</v>
      </c>
      <c r="K261" s="172">
        <f t="shared" si="729"/>
        <v>100.2930312319653</v>
      </c>
      <c r="L261" s="443"/>
      <c r="M261" s="217">
        <f t="shared" si="730"/>
        <v>0.15514151775090043</v>
      </c>
      <c r="N261" s="172">
        <f t="shared" si="731"/>
        <v>330.03523286302612</v>
      </c>
      <c r="O261" s="172">
        <f t="shared" si="599"/>
        <v>67.5</v>
      </c>
      <c r="P261" s="217">
        <f t="shared" si="732"/>
        <v>22.002348857535075</v>
      </c>
      <c r="Q261" s="217">
        <f t="shared" si="733"/>
        <v>15</v>
      </c>
      <c r="R261" s="217"/>
      <c r="S261" s="172">
        <f t="shared" si="734"/>
        <v>386.09166089005276</v>
      </c>
      <c r="T261" s="172">
        <f t="shared" si="735"/>
        <v>15</v>
      </c>
      <c r="U261" s="217">
        <f t="shared" si="736"/>
        <v>10.652671647494241</v>
      </c>
      <c r="V261" s="217">
        <f t="shared" si="737"/>
        <v>1.508653019495872</v>
      </c>
      <c r="W261" s="217">
        <f t="shared" si="738"/>
        <v>8.2151887558025916</v>
      </c>
      <c r="X261" s="197">
        <f t="shared" si="739"/>
        <v>109.55208747385512</v>
      </c>
      <c r="Y261" s="443">
        <f t="shared" si="680"/>
        <v>100.76742683353842</v>
      </c>
      <c r="AA261" s="217">
        <f t="shared" si="740"/>
        <v>10</v>
      </c>
      <c r="AB261" s="173">
        <f t="shared" si="741"/>
        <v>7.7118576706858315</v>
      </c>
      <c r="AC261" s="173">
        <f t="shared" si="742"/>
        <v>4.2242505306244746</v>
      </c>
      <c r="AD261" s="173"/>
      <c r="AE261" s="173">
        <f t="shared" si="743"/>
        <v>7.7118576706858315</v>
      </c>
      <c r="AF261" s="545">
        <f t="shared" si="744"/>
        <v>116.70339864039025</v>
      </c>
      <c r="AG261" s="528">
        <f t="shared" si="745"/>
        <v>4.2242505306244738</v>
      </c>
      <c r="AI261" s="173">
        <f t="shared" si="746"/>
        <v>5.7744115010075836</v>
      </c>
      <c r="AJ261" s="173">
        <f t="shared" si="747"/>
        <v>10.652671647494241</v>
      </c>
      <c r="AK261" s="173">
        <f t="shared" si="748"/>
        <v>1.6834604796253638</v>
      </c>
      <c r="AM261" s="545">
        <f t="shared" si="749"/>
        <v>4500</v>
      </c>
      <c r="AN261" s="460">
        <f t="shared" si="750"/>
        <v>100.76742683353842</v>
      </c>
      <c r="AP261">
        <f t="shared" si="751"/>
        <v>4500</v>
      </c>
      <c r="AQ261">
        <f t="shared" si="752"/>
        <v>100.76742683353842</v>
      </c>
      <c r="AS261" s="5">
        <f t="shared" si="600"/>
        <v>9.9238417752984631</v>
      </c>
      <c r="AT261" s="5">
        <f t="shared" si="753"/>
        <v>1.508653019495872</v>
      </c>
      <c r="AU261" s="5">
        <f t="shared" si="722"/>
        <v>8.4151887558025908</v>
      </c>
      <c r="AV261" s="5"/>
      <c r="AW261" s="173">
        <f t="shared" si="723"/>
        <v>0.15202308275924711</v>
      </c>
      <c r="AX261" s="173">
        <f t="shared" si="631"/>
        <v>68.610170818194902</v>
      </c>
      <c r="AY261" s="173">
        <f t="shared" si="632"/>
        <v>4.5166098320100696</v>
      </c>
      <c r="AZ261" s="173">
        <f t="shared" si="633"/>
        <v>15.190634872187015</v>
      </c>
      <c r="BA261" s="460">
        <f t="shared" si="724"/>
        <v>45.259590584876165</v>
      </c>
      <c r="BB261" s="5">
        <f t="shared" si="725"/>
        <v>1.8621502230522016</v>
      </c>
      <c r="BD261" s="173">
        <f t="shared" si="681"/>
        <v>2.3980193374833938</v>
      </c>
      <c r="BE261" s="173">
        <f t="shared" si="682"/>
        <v>5.6635655141878827</v>
      </c>
      <c r="BG261" s="528">
        <f t="shared" si="683"/>
        <v>0.11500993485888589</v>
      </c>
      <c r="BH261" s="528">
        <f t="shared" si="754"/>
        <v>2.0186021850907867</v>
      </c>
      <c r="BI261" s="528">
        <f t="shared" si="755"/>
        <v>0.21345709655211853</v>
      </c>
      <c r="BJ261" s="528">
        <f t="shared" si="684"/>
        <v>0.10135885216079485</v>
      </c>
      <c r="BK261">
        <f t="shared" si="685"/>
        <v>3.8129660135960967E-2</v>
      </c>
      <c r="BL261" s="460">
        <f t="shared" si="686"/>
        <v>251.5867566880795</v>
      </c>
      <c r="BM261" s="528">
        <f t="shared" si="756"/>
        <v>2.3296854798486781</v>
      </c>
      <c r="BN261" s="460">
        <f t="shared" si="687"/>
        <v>2329.6854798486779</v>
      </c>
      <c r="BO261" s="528">
        <f t="shared" si="637"/>
        <v>3.15</v>
      </c>
      <c r="BR261" s="460">
        <f t="shared" si="688"/>
        <v>3150</v>
      </c>
      <c r="BS261" s="528">
        <f t="shared" si="689"/>
        <v>0.17251490228832883</v>
      </c>
      <c r="BT261" s="528">
        <f t="shared" si="690"/>
        <v>0.96227923000494775</v>
      </c>
      <c r="BU261" s="528">
        <f t="shared" si="691"/>
        <v>1.8876295958247087</v>
      </c>
      <c r="BV261" s="528"/>
      <c r="BW261" s="528">
        <f t="shared" si="692"/>
        <v>1.1435028469699149E-2</v>
      </c>
      <c r="BX261" s="460">
        <f t="shared" si="693"/>
        <v>3033.8587565876846</v>
      </c>
      <c r="BY261" s="173">
        <f t="shared" si="694"/>
        <v>8.670416485386232</v>
      </c>
      <c r="BZ261" s="5">
        <f t="shared" si="695"/>
        <v>67.5</v>
      </c>
      <c r="CA261" s="173">
        <f t="shared" si="696"/>
        <v>0.88617081426816535</v>
      </c>
      <c r="CB261" s="5">
        <f t="shared" si="697"/>
        <v>88.61708142681654</v>
      </c>
      <c r="CE261" s="562">
        <f t="shared" si="757"/>
        <v>-50</v>
      </c>
      <c r="CF261">
        <f t="shared" si="758"/>
        <v>-50</v>
      </c>
      <c r="CG261" s="173">
        <f t="shared" si="759"/>
        <v>0.84136707988272186</v>
      </c>
      <c r="CI261" s="170">
        <v>45</v>
      </c>
      <c r="CJ261" s="217">
        <f t="shared" si="698"/>
        <v>4.5</v>
      </c>
      <c r="CK261" s="217"/>
      <c r="CL261" s="217">
        <f t="shared" si="641"/>
        <v>67.5</v>
      </c>
      <c r="CM261" s="541">
        <f t="shared" si="642"/>
        <v>85</v>
      </c>
      <c r="CN261" s="443">
        <f t="shared" si="643"/>
        <v>15.4</v>
      </c>
      <c r="CO261" s="443">
        <f t="shared" si="644"/>
        <v>100.4</v>
      </c>
      <c r="CP261" s="443"/>
      <c r="CQ261" s="217">
        <f t="shared" si="645"/>
        <v>0.15338645418326693</v>
      </c>
      <c r="CR261" s="172">
        <f t="shared" si="646"/>
        <v>327.33148655378488</v>
      </c>
      <c r="CS261" s="172">
        <f t="shared" si="647"/>
        <v>67.5</v>
      </c>
      <c r="CT261" s="217">
        <f t="shared" si="648"/>
        <v>21.822099103585661</v>
      </c>
      <c r="CU261" s="217">
        <f t="shared" si="649"/>
        <v>15</v>
      </c>
      <c r="CV261" s="217"/>
      <c r="CW261" s="172">
        <f t="shared" si="650"/>
        <v>387.3099166518453</v>
      </c>
      <c r="CX261" s="172">
        <f t="shared" si="651"/>
        <v>15</v>
      </c>
      <c r="CY261" s="217">
        <f t="shared" si="652"/>
        <v>10.354469060351413</v>
      </c>
      <c r="CZ261" s="217">
        <f t="shared" si="653"/>
        <v>1.4618073967554934</v>
      </c>
      <c r="DA261" s="217">
        <f t="shared" si="654"/>
        <v>8.0684174496244765</v>
      </c>
      <c r="DB261" s="197">
        <f t="shared" si="655"/>
        <v>108.64873837981409</v>
      </c>
      <c r="DC261" s="443">
        <f t="shared" si="656"/>
        <v>104.92931868022477</v>
      </c>
      <c r="DE261" s="217">
        <f t="shared" si="657"/>
        <v>10</v>
      </c>
      <c r="DF261" s="173">
        <f t="shared" si="658"/>
        <v>7.7922077922077913</v>
      </c>
      <c r="DG261" s="173">
        <f t="shared" si="659"/>
        <v>4.2330677290836656</v>
      </c>
      <c r="DH261" s="173"/>
      <c r="DI261" s="173">
        <f t="shared" si="660"/>
        <v>7.7922077922077913</v>
      </c>
      <c r="DJ261" s="545">
        <f t="shared" si="661"/>
        <v>115.5</v>
      </c>
      <c r="DK261" s="528">
        <f t="shared" si="662"/>
        <v>4.2330677290836656</v>
      </c>
      <c r="DM261" s="173">
        <f t="shared" si="663"/>
        <v>5.7445626465380286</v>
      </c>
      <c r="DN261" s="173">
        <f t="shared" si="664"/>
        <v>10.354469060351413</v>
      </c>
      <c r="DO261" s="173">
        <f t="shared" si="665"/>
        <v>1.4625696743343797</v>
      </c>
      <c r="DQ261" s="545">
        <f t="shared" si="666"/>
        <v>4500</v>
      </c>
      <c r="DR261" s="460">
        <f t="shared" si="667"/>
        <v>104.92931868022477</v>
      </c>
      <c r="DT261">
        <f t="shared" si="668"/>
        <v>4500</v>
      </c>
      <c r="DU261">
        <f t="shared" si="669"/>
        <v>104.92931868022477</v>
      </c>
      <c r="DW261" s="5">
        <f t="shared" si="670"/>
        <v>9.5302248463799693</v>
      </c>
      <c r="DX261" s="5">
        <f t="shared" si="671"/>
        <v>1.4618073967554934</v>
      </c>
      <c r="DY261" s="5">
        <f t="shared" si="672"/>
        <v>8.0684174496244765</v>
      </c>
      <c r="DZ261" s="5"/>
      <c r="EA261" s="173">
        <f t="shared" si="673"/>
        <v>0.15338645418326693</v>
      </c>
      <c r="EB261" s="173">
        <f t="shared" si="699"/>
        <v>67.5</v>
      </c>
      <c r="EC261" s="173">
        <f t="shared" si="700"/>
        <v>4.383116883116883</v>
      </c>
      <c r="ED261" s="173">
        <f t="shared" si="701"/>
        <v>15.4</v>
      </c>
      <c r="EE261" s="460">
        <f t="shared" si="674"/>
        <v>43.854221902664804</v>
      </c>
      <c r="EF261" s="5">
        <f t="shared" si="675"/>
        <v>1.7797979668289285</v>
      </c>
      <c r="EH261" s="173">
        <f t="shared" si="702"/>
        <v>2.3413196573370967</v>
      </c>
      <c r="EI261" s="173">
        <f t="shared" si="703"/>
        <v>5.5005968254446529</v>
      </c>
      <c r="EK261" s="528">
        <f t="shared" si="704"/>
        <v>0.10963555475666199</v>
      </c>
      <c r="EL261" s="528">
        <f t="shared" si="705"/>
        <v>2.1816666666666671</v>
      </c>
      <c r="EM261" s="528">
        <f t="shared" si="706"/>
        <v>1.3116164835028095E-2</v>
      </c>
      <c r="EN261" s="528">
        <f t="shared" si="707"/>
        <v>0.10577043209876545</v>
      </c>
      <c r="EO261">
        <f t="shared" si="708"/>
        <v>3.8249999999999999E-2</v>
      </c>
      <c r="EP261" s="460">
        <f t="shared" si="709"/>
        <v>51.366164835028094</v>
      </c>
      <c r="EQ261" s="460"/>
      <c r="ER261" s="460">
        <f t="shared" si="710"/>
        <v>2448.4388183571223</v>
      </c>
      <c r="ES261" s="528">
        <f t="shared" si="711"/>
        <v>3.15</v>
      </c>
      <c r="EV261" s="460">
        <f t="shared" si="712"/>
        <v>3150</v>
      </c>
      <c r="EW261" s="528">
        <f t="shared" si="713"/>
        <v>0.164453332134993</v>
      </c>
      <c r="EX261" s="528">
        <f t="shared" si="714"/>
        <v>0.90769696308275383</v>
      </c>
      <c r="EY261" s="528">
        <f t="shared" si="715"/>
        <v>1.9455021880180834</v>
      </c>
      <c r="EZ261" s="528"/>
      <c r="FA261" s="528">
        <f t="shared" si="716"/>
        <v>1.1250000000000001E-2</v>
      </c>
      <c r="FB261" s="460">
        <f t="shared" si="717"/>
        <v>3028.90248323583</v>
      </c>
      <c r="FC261" s="173">
        <f t="shared" si="718"/>
        <v>8.6273413015929528</v>
      </c>
      <c r="FD261" s="5">
        <f t="shared" si="719"/>
        <v>67.5</v>
      </c>
      <c r="FE261" s="173">
        <f t="shared" si="720"/>
        <v>0.88667223688511476</v>
      </c>
      <c r="FF261" s="5">
        <f t="shared" si="721"/>
        <v>88.66722368851147</v>
      </c>
      <c r="FI261" s="562">
        <f t="shared" si="676"/>
        <v>-50</v>
      </c>
      <c r="FJ261">
        <f t="shared" si="677"/>
        <v>-50</v>
      </c>
      <c r="FL261">
        <f t="shared" si="760"/>
        <v>0.84661354581673309</v>
      </c>
    </row>
    <row r="262" spans="5:168">
      <c r="E262" s="170">
        <v>46</v>
      </c>
      <c r="F262" s="217">
        <f t="shared" si="761"/>
        <v>4.6000000000000005</v>
      </c>
      <c r="G262" s="217"/>
      <c r="H262" s="217">
        <f t="shared" si="726"/>
        <v>69.000000000000014</v>
      </c>
      <c r="I262" s="541">
        <f t="shared" si="727"/>
        <v>84.726672422177671</v>
      </c>
      <c r="J262" s="172">
        <f t="shared" si="728"/>
        <v>15.563996546693394</v>
      </c>
      <c r="K262" s="172">
        <f t="shared" si="729"/>
        <v>100.29066896887106</v>
      </c>
      <c r="L262" s="443"/>
      <c r="M262" s="217">
        <f t="shared" si="730"/>
        <v>0.15518050475124531</v>
      </c>
      <c r="N262" s="172">
        <f t="shared" si="731"/>
        <v>330.09516213711271</v>
      </c>
      <c r="O262" s="172">
        <f t="shared" ref="O262:O316" si="762">T262*F262</f>
        <v>69.000000000000014</v>
      </c>
      <c r="P262" s="217">
        <f t="shared" si="732"/>
        <v>22.00634414247418</v>
      </c>
      <c r="Q262" s="217">
        <f t="shared" si="733"/>
        <v>15</v>
      </c>
      <c r="R262" s="217"/>
      <c r="S262" s="172">
        <f t="shared" si="734"/>
        <v>375.83445194060317</v>
      </c>
      <c r="T262" s="172">
        <f t="shared" si="735"/>
        <v>15</v>
      </c>
      <c r="U262" s="217">
        <f t="shared" si="736"/>
        <v>10.889900211513332</v>
      </c>
      <c r="V262" s="217">
        <f t="shared" si="737"/>
        <v>1.5423573097148342</v>
      </c>
      <c r="W262" s="217">
        <f t="shared" si="738"/>
        <v>8.3962240769015715</v>
      </c>
      <c r="X262" s="197">
        <f t="shared" si="739"/>
        <v>109.57197801064446</v>
      </c>
      <c r="Y262" s="443">
        <f t="shared" si="680"/>
        <v>98.633128429591324</v>
      </c>
      <c r="AA262" s="217">
        <f t="shared" si="740"/>
        <v>10</v>
      </c>
      <c r="AB262" s="173">
        <f t="shared" si="741"/>
        <v>7.7101019420037247</v>
      </c>
      <c r="AC262" s="173">
        <f t="shared" si="742"/>
        <v>4.2240556022452962</v>
      </c>
      <c r="AD262" s="173"/>
      <c r="AE262" s="173">
        <f t="shared" si="743"/>
        <v>7.7101019420037247</v>
      </c>
      <c r="AF262" s="545">
        <f t="shared" si="744"/>
        <v>119.32397352464935</v>
      </c>
      <c r="AG262" s="528">
        <f t="shared" si="745"/>
        <v>4.2240556022452962</v>
      </c>
      <c r="AI262" s="173">
        <f t="shared" si="746"/>
        <v>5.8388837858091955</v>
      </c>
      <c r="AJ262" s="173">
        <f t="shared" si="747"/>
        <v>10.889900211513332</v>
      </c>
      <c r="AK262" s="173">
        <f t="shared" si="748"/>
        <v>1.8591853418617275</v>
      </c>
      <c r="AM262" s="545">
        <f t="shared" si="749"/>
        <v>4600.0000000000009</v>
      </c>
      <c r="AN262" s="460">
        <f t="shared" si="750"/>
        <v>98.633128429591324</v>
      </c>
      <c r="AP262">
        <f t="shared" si="751"/>
        <v>4600.0000000000009</v>
      </c>
      <c r="AQ262">
        <f t="shared" si="752"/>
        <v>98.633128429591324</v>
      </c>
      <c r="AS262" s="5">
        <f t="shared" si="600"/>
        <v>10.138581386616407</v>
      </c>
      <c r="AT262" s="5">
        <f t="shared" si="753"/>
        <v>1.5423573097148342</v>
      </c>
      <c r="AU262" s="5">
        <f t="shared" si="722"/>
        <v>8.5962240769015725</v>
      </c>
      <c r="AV262" s="5"/>
      <c r="AW262" s="173">
        <f t="shared" si="723"/>
        <v>0.15212752661342219</v>
      </c>
      <c r="AX262" s="173">
        <f t="shared" si="631"/>
        <v>70.181372774655415</v>
      </c>
      <c r="AY262" s="173">
        <f t="shared" si="632"/>
        <v>4.6166233136344124</v>
      </c>
      <c r="AZ262" s="173">
        <f t="shared" si="633"/>
        <v>15.201884149262657</v>
      </c>
      <c r="BA262" s="460">
        <f t="shared" si="724"/>
        <v>47.298957497921592</v>
      </c>
      <c r="BB262" s="5">
        <f t="shared" si="725"/>
        <v>1.9446174004447241</v>
      </c>
      <c r="BD262" s="173">
        <f t="shared" si="681"/>
        <v>2.4522637308868016</v>
      </c>
      <c r="BE262" s="173">
        <f t="shared" si="682"/>
        <v>5.7893331337109268</v>
      </c>
      <c r="BG262" s="528">
        <f t="shared" si="683"/>
        <v>0.12027194811645713</v>
      </c>
      <c r="BH262" s="528">
        <f t="shared" si="754"/>
        <v>2.0198006547394773</v>
      </c>
      <c r="BI262" s="528">
        <f t="shared" si="755"/>
        <v>0.20892141906071407</v>
      </c>
      <c r="BJ262" s="528">
        <f t="shared" si="684"/>
        <v>9.9207353560343145E-2</v>
      </c>
      <c r="BK262">
        <f t="shared" si="685"/>
        <v>3.8127002589979954E-2</v>
      </c>
      <c r="BL262" s="460">
        <f t="shared" si="686"/>
        <v>247.04842165069402</v>
      </c>
      <c r="BM262" s="528">
        <f t="shared" si="756"/>
        <v>2.3385821436751617</v>
      </c>
      <c r="BN262" s="460">
        <f t="shared" si="687"/>
        <v>2338.5821436751617</v>
      </c>
      <c r="BO262" s="528">
        <f t="shared" si="637"/>
        <v>3.22</v>
      </c>
      <c r="BR262" s="460">
        <f t="shared" si="688"/>
        <v>3220</v>
      </c>
      <c r="BS262" s="528">
        <f t="shared" si="689"/>
        <v>0.18040792217468568</v>
      </c>
      <c r="BT262" s="528">
        <f t="shared" si="690"/>
        <v>1.0054913439924953</v>
      </c>
      <c r="BU262" s="528">
        <f t="shared" si="691"/>
        <v>1.8905439383264548</v>
      </c>
      <c r="BV262" s="528"/>
      <c r="BW262" s="528">
        <f t="shared" si="692"/>
        <v>1.1696895462442571E-2</v>
      </c>
      <c r="BX262" s="460">
        <f t="shared" si="693"/>
        <v>3088.1400999560783</v>
      </c>
      <c r="BY262" s="173">
        <f t="shared" si="694"/>
        <v>8.7944684780230507</v>
      </c>
      <c r="BZ262" s="5">
        <f t="shared" si="695"/>
        <v>69.000000000000014</v>
      </c>
      <c r="CA262" s="173">
        <f t="shared" si="696"/>
        <v>0.88695252181705586</v>
      </c>
      <c r="CB262" s="5">
        <f t="shared" si="697"/>
        <v>88.695252181705584</v>
      </c>
      <c r="CE262" s="562">
        <f t="shared" si="757"/>
        <v>-50</v>
      </c>
      <c r="CF262">
        <f t="shared" si="758"/>
        <v>-50</v>
      </c>
      <c r="CG262" s="173">
        <f t="shared" si="759"/>
        <v>0.84148113348998299</v>
      </c>
      <c r="CI262" s="170">
        <v>46</v>
      </c>
      <c r="CJ262" s="217">
        <f t="shared" si="698"/>
        <v>4.6000000000000005</v>
      </c>
      <c r="CK262" s="217"/>
      <c r="CL262" s="217">
        <f t="shared" si="641"/>
        <v>69.000000000000014</v>
      </c>
      <c r="CM262" s="541">
        <f t="shared" si="642"/>
        <v>85</v>
      </c>
      <c r="CN262" s="443">
        <f t="shared" si="643"/>
        <v>15.4</v>
      </c>
      <c r="CO262" s="443">
        <f t="shared" si="644"/>
        <v>100.4</v>
      </c>
      <c r="CP262" s="443"/>
      <c r="CQ262" s="217">
        <f t="shared" si="645"/>
        <v>0.15338645418326693</v>
      </c>
      <c r="CR262" s="172">
        <f t="shared" si="646"/>
        <v>327.33148655378488</v>
      </c>
      <c r="CS262" s="172">
        <f t="shared" si="647"/>
        <v>69.000000000000014</v>
      </c>
      <c r="CT262" s="217">
        <f t="shared" si="648"/>
        <v>21.822099103585661</v>
      </c>
      <c r="CU262" s="217">
        <f t="shared" si="649"/>
        <v>15</v>
      </c>
      <c r="CV262" s="217"/>
      <c r="CW262" s="172">
        <f t="shared" si="650"/>
        <v>377.0466007064237</v>
      </c>
      <c r="CX262" s="172">
        <f t="shared" si="651"/>
        <v>15</v>
      </c>
      <c r="CY262" s="217">
        <f t="shared" si="652"/>
        <v>10.584568372803668</v>
      </c>
      <c r="CZ262" s="217">
        <f t="shared" si="653"/>
        <v>1.4942920055722828</v>
      </c>
      <c r="DA262" s="217">
        <f t="shared" si="654"/>
        <v>8.2477156151716891</v>
      </c>
      <c r="DB262" s="197">
        <f t="shared" si="655"/>
        <v>108.64873837981409</v>
      </c>
      <c r="DC262" s="443">
        <f t="shared" si="656"/>
        <v>102.64824653500246</v>
      </c>
      <c r="DE262" s="217">
        <f t="shared" si="657"/>
        <v>10</v>
      </c>
      <c r="DF262" s="173">
        <f t="shared" si="658"/>
        <v>7.7922077922077913</v>
      </c>
      <c r="DG262" s="173">
        <f t="shared" si="659"/>
        <v>4.2330677290836656</v>
      </c>
      <c r="DH262" s="173"/>
      <c r="DI262" s="173">
        <f t="shared" si="660"/>
        <v>7.7922077922077913</v>
      </c>
      <c r="DJ262" s="545">
        <f t="shared" si="661"/>
        <v>118.06666666666669</v>
      </c>
      <c r="DK262" s="528">
        <f t="shared" si="662"/>
        <v>4.2330677290836656</v>
      </c>
      <c r="DM262" s="173">
        <f t="shared" si="663"/>
        <v>5.8080404038998683</v>
      </c>
      <c r="DN262" s="173">
        <f t="shared" si="664"/>
        <v>10.584568372803668</v>
      </c>
      <c r="DO262" s="173">
        <f t="shared" si="665"/>
        <v>1.6330136094841985</v>
      </c>
      <c r="DQ262" s="545">
        <f t="shared" si="666"/>
        <v>4600.0000000000009</v>
      </c>
      <c r="DR262" s="460">
        <f t="shared" si="667"/>
        <v>102.64824653500246</v>
      </c>
      <c r="DT262">
        <f t="shared" si="668"/>
        <v>4600.0000000000009</v>
      </c>
      <c r="DU262">
        <f t="shared" si="669"/>
        <v>102.64824653500246</v>
      </c>
      <c r="DW262" s="5">
        <f t="shared" si="670"/>
        <v>9.7420076207439728</v>
      </c>
      <c r="DX262" s="5">
        <f t="shared" si="671"/>
        <v>1.4942920055722828</v>
      </c>
      <c r="DY262" s="5">
        <f t="shared" si="672"/>
        <v>8.2477156151716891</v>
      </c>
      <c r="DZ262" s="5"/>
      <c r="EA262" s="173">
        <f t="shared" si="673"/>
        <v>0.15338645418326693</v>
      </c>
      <c r="EB262" s="173">
        <f t="shared" si="699"/>
        <v>69</v>
      </c>
      <c r="EC262" s="173">
        <f t="shared" si="700"/>
        <v>4.4805194805194812</v>
      </c>
      <c r="ED262" s="173">
        <f t="shared" si="701"/>
        <v>15.399999999999997</v>
      </c>
      <c r="EE262" s="460">
        <f t="shared" si="674"/>
        <v>45.82495483755001</v>
      </c>
      <c r="EF262" s="5">
        <f t="shared" si="675"/>
        <v>1.8597790112642045</v>
      </c>
      <c r="EH262" s="173">
        <f t="shared" si="702"/>
        <v>2.3933489830556995</v>
      </c>
      <c r="EI262" s="173">
        <f t="shared" si="703"/>
        <v>5.6228323104545348</v>
      </c>
      <c r="EK262" s="528">
        <f t="shared" si="704"/>
        <v>0.11456238709387502</v>
      </c>
      <c r="EL262" s="528">
        <f t="shared" si="705"/>
        <v>2.1816666666666666</v>
      </c>
      <c r="EM262" s="528">
        <f t="shared" si="706"/>
        <v>1.2831030816875307E-2</v>
      </c>
      <c r="EN262" s="528">
        <f t="shared" si="707"/>
        <v>0.10347107487922706</v>
      </c>
      <c r="EO262">
        <f t="shared" si="708"/>
        <v>3.8249999999999999E-2</v>
      </c>
      <c r="EP262" s="460">
        <f t="shared" si="709"/>
        <v>51.081030816875305</v>
      </c>
      <c r="EQ262" s="460"/>
      <c r="ER262" s="460">
        <f t="shared" si="710"/>
        <v>2450.7811594566438</v>
      </c>
      <c r="ES262" s="528">
        <f t="shared" si="711"/>
        <v>3.22</v>
      </c>
      <c r="EV262" s="460">
        <f t="shared" si="712"/>
        <v>3220</v>
      </c>
      <c r="EW262" s="528">
        <f t="shared" si="713"/>
        <v>0.17184358064081254</v>
      </c>
      <c r="EX262" s="528">
        <f t="shared" si="714"/>
        <v>0.94848729574474444</v>
      </c>
      <c r="EY262" s="528">
        <f t="shared" si="715"/>
        <v>1.9455021880180834</v>
      </c>
      <c r="EZ262" s="528"/>
      <c r="FA262" s="528">
        <f t="shared" si="716"/>
        <v>1.15E-2</v>
      </c>
      <c r="FB262" s="460">
        <f t="shared" si="717"/>
        <v>3077.33306440364</v>
      </c>
      <c r="FC262" s="173">
        <f t="shared" si="718"/>
        <v>8.7481142238602843</v>
      </c>
      <c r="FD262" s="5">
        <f t="shared" si="719"/>
        <v>69.000000000000014</v>
      </c>
      <c r="FE262" s="173">
        <f t="shared" si="720"/>
        <v>0.88748133236168503</v>
      </c>
      <c r="FF262" s="5">
        <f t="shared" si="721"/>
        <v>88.748133236168499</v>
      </c>
      <c r="FI262" s="562">
        <f t="shared" si="676"/>
        <v>-50</v>
      </c>
      <c r="FJ262">
        <f t="shared" si="677"/>
        <v>-50</v>
      </c>
      <c r="FL262">
        <f t="shared" si="760"/>
        <v>0.84661354581673309</v>
      </c>
    </row>
    <row r="263" spans="5:168">
      <c r="E263" s="170">
        <v>47</v>
      </c>
      <c r="F263" s="217">
        <f t="shared" si="761"/>
        <v>4.6999999999999993</v>
      </c>
      <c r="G263" s="217"/>
      <c r="H263" s="217">
        <f t="shared" si="726"/>
        <v>70.499999999999986</v>
      </c>
      <c r="I263" s="541">
        <f t="shared" si="727"/>
        <v>84.72076675482684</v>
      </c>
      <c r="J263" s="172">
        <f t="shared" si="728"/>
        <v>15.567539947103892</v>
      </c>
      <c r="K263" s="172">
        <f t="shared" si="729"/>
        <v>100.28830670193074</v>
      </c>
      <c r="L263" s="443"/>
      <c r="M263" s="217">
        <f t="shared" si="730"/>
        <v>0.15521949360304144</v>
      </c>
      <c r="N263" s="172">
        <f t="shared" si="731"/>
        <v>330.15508375068322</v>
      </c>
      <c r="O263" s="172">
        <f t="shared" si="762"/>
        <v>70.499999999999986</v>
      </c>
      <c r="P263" s="217">
        <f t="shared" si="732"/>
        <v>22.010338916712215</v>
      </c>
      <c r="Q263" s="217">
        <f t="shared" si="733"/>
        <v>15</v>
      </c>
      <c r="R263" s="217"/>
      <c r="S263" s="172">
        <f t="shared" si="734"/>
        <v>366.01409596258281</v>
      </c>
      <c r="T263" s="172">
        <f t="shared" si="735"/>
        <v>15</v>
      </c>
      <c r="U263" s="217">
        <f t="shared" si="736"/>
        <v>11.127150696328899</v>
      </c>
      <c r="V263" s="217">
        <f t="shared" si="737"/>
        <v>1.5760694038848435</v>
      </c>
      <c r="W263" s="217">
        <f t="shared" si="738"/>
        <v>8.5771938796782905</v>
      </c>
      <c r="X263" s="197">
        <f t="shared" si="739"/>
        <v>109.59186603919123</v>
      </c>
      <c r="Y263" s="443">
        <f t="shared" si="680"/>
        <v>96.587903988455736</v>
      </c>
      <c r="AA263" s="217">
        <f t="shared" si="740"/>
        <v>10</v>
      </c>
      <c r="AB263" s="173">
        <f t="shared" si="741"/>
        <v>7.7083470097228952</v>
      </c>
      <c r="AC263" s="173">
        <f t="shared" si="742"/>
        <v>4.2238606643657599</v>
      </c>
      <c r="AD263" s="173"/>
      <c r="AE263" s="173">
        <f t="shared" si="743"/>
        <v>7.7083470097228952</v>
      </c>
      <c r="AF263" s="545">
        <f t="shared" si="744"/>
        <v>121.94572958564714</v>
      </c>
      <c r="AG263" s="528">
        <f t="shared" si="745"/>
        <v>4.223860664365759</v>
      </c>
      <c r="AI263" s="173">
        <f t="shared" si="746"/>
        <v>5.9026804948659217</v>
      </c>
      <c r="AJ263" s="173">
        <f t="shared" si="747"/>
        <v>11.127150696328899</v>
      </c>
      <c r="AK263" s="173">
        <f t="shared" si="748"/>
        <v>2.0349264417251103</v>
      </c>
      <c r="AM263" s="545">
        <f t="shared" si="749"/>
        <v>4699.9999999999991</v>
      </c>
      <c r="AN263" s="460">
        <f t="shared" si="750"/>
        <v>96.587903988455736</v>
      </c>
      <c r="AP263">
        <f t="shared" si="751"/>
        <v>4699.9999999999991</v>
      </c>
      <c r="AQ263">
        <f t="shared" si="752"/>
        <v>96.587903988455736</v>
      </c>
      <c r="AS263" s="5">
        <f t="shared" ref="AS263:AS316" si="763">1/AN263*1000</f>
        <v>10.353263283563134</v>
      </c>
      <c r="AT263" s="5">
        <f t="shared" si="753"/>
        <v>1.5760694038848435</v>
      </c>
      <c r="AU263" s="5">
        <f t="shared" si="722"/>
        <v>8.7771938796782898</v>
      </c>
      <c r="AV263" s="5"/>
      <c r="AW263" s="173">
        <f t="shared" si="723"/>
        <v>0.15222924026157195</v>
      </c>
      <c r="AX263" s="173">
        <f t="shared" si="631"/>
        <v>71.75330862997329</v>
      </c>
      <c r="AY263" s="173">
        <f t="shared" si="632"/>
        <v>4.7166364997753645</v>
      </c>
      <c r="AZ263" s="173">
        <f t="shared" si="633"/>
        <v>15.212812908815557</v>
      </c>
      <c r="BA263" s="460">
        <f t="shared" si="724"/>
        <v>49.383507988391749</v>
      </c>
      <c r="BB263" s="5">
        <f t="shared" si="725"/>
        <v>2.0288616364209209</v>
      </c>
      <c r="BD263" s="173">
        <f t="shared" si="681"/>
        <v>2.5065269726058004</v>
      </c>
      <c r="BE263" s="173">
        <f t="shared" si="682"/>
        <v>5.9151063733915352</v>
      </c>
      <c r="BG263" s="528">
        <f t="shared" si="683"/>
        <v>0.12565354928800798</v>
      </c>
      <c r="BH263" s="528">
        <f t="shared" si="754"/>
        <v>2.0209626264473481</v>
      </c>
      <c r="BI263" s="528">
        <f t="shared" si="755"/>
        <v>0.20457503212858921</v>
      </c>
      <c r="BJ263" s="528">
        <f t="shared" si="684"/>
        <v>9.7145645635306366E-2</v>
      </c>
      <c r="BK263">
        <f t="shared" si="685"/>
        <v>3.8124345039672075E-2</v>
      </c>
      <c r="BL263" s="460">
        <f t="shared" si="686"/>
        <v>242.69937716826129</v>
      </c>
      <c r="BM263" s="528">
        <f t="shared" si="756"/>
        <v>2.3477819757154719</v>
      </c>
      <c r="BN263" s="460">
        <f t="shared" si="687"/>
        <v>2347.7819757154721</v>
      </c>
      <c r="BO263" s="528">
        <f t="shared" si="637"/>
        <v>3.2899999999999991</v>
      </c>
      <c r="BR263" s="460">
        <f t="shared" si="688"/>
        <v>3289.9999999999991</v>
      </c>
      <c r="BS263" s="528">
        <f t="shared" si="689"/>
        <v>0.18848032393201195</v>
      </c>
      <c r="BT263" s="528">
        <f t="shared" si="690"/>
        <v>1.0496545022561146</v>
      </c>
      <c r="BU263" s="528">
        <f t="shared" si="691"/>
        <v>1.8933756309696905</v>
      </c>
      <c r="BV263" s="528"/>
      <c r="BW263" s="528">
        <f t="shared" si="692"/>
        <v>1.1958884771662215E-2</v>
      </c>
      <c r="BX263" s="460">
        <f t="shared" si="693"/>
        <v>3143.469341929479</v>
      </c>
      <c r="BY263" s="173">
        <f t="shared" si="694"/>
        <v>8.9199305404684033</v>
      </c>
      <c r="BZ263" s="5">
        <f t="shared" si="695"/>
        <v>70.499999999999986</v>
      </c>
      <c r="CA263" s="173">
        <f t="shared" si="696"/>
        <v>0.8876864978379293</v>
      </c>
      <c r="CB263" s="5">
        <f t="shared" si="697"/>
        <v>88.768649783792924</v>
      </c>
      <c r="CE263" s="562">
        <f t="shared" si="757"/>
        <v>-50</v>
      </c>
      <c r="CF263">
        <f t="shared" si="758"/>
        <v>-50</v>
      </c>
      <c r="CG263" s="173">
        <f t="shared" si="759"/>
        <v>0.84159033375225423</v>
      </c>
      <c r="CI263" s="170">
        <v>47</v>
      </c>
      <c r="CJ263" s="217">
        <f t="shared" si="698"/>
        <v>4.6999999999999993</v>
      </c>
      <c r="CK263" s="217"/>
      <c r="CL263" s="217">
        <f t="shared" si="641"/>
        <v>70.499999999999986</v>
      </c>
      <c r="CM263" s="541">
        <f t="shared" si="642"/>
        <v>85</v>
      </c>
      <c r="CN263" s="443">
        <f t="shared" si="643"/>
        <v>15.4</v>
      </c>
      <c r="CO263" s="443">
        <f t="shared" si="644"/>
        <v>100.4</v>
      </c>
      <c r="CP263" s="443"/>
      <c r="CQ263" s="217">
        <f t="shared" si="645"/>
        <v>0.15338645418326693</v>
      </c>
      <c r="CR263" s="172">
        <f t="shared" si="646"/>
        <v>327.33148655378488</v>
      </c>
      <c r="CS263" s="172">
        <f t="shared" si="647"/>
        <v>70.499999999999986</v>
      </c>
      <c r="CT263" s="217">
        <f t="shared" si="648"/>
        <v>21.822099103585661</v>
      </c>
      <c r="CU263" s="217">
        <f t="shared" si="649"/>
        <v>15</v>
      </c>
      <c r="CV263" s="217"/>
      <c r="CW263" s="172">
        <f t="shared" si="650"/>
        <v>367.22014634467934</v>
      </c>
      <c r="CX263" s="172">
        <f t="shared" si="651"/>
        <v>15</v>
      </c>
      <c r="CY263" s="217">
        <f t="shared" si="652"/>
        <v>10.814667685255918</v>
      </c>
      <c r="CZ263" s="217">
        <f t="shared" si="653"/>
        <v>1.5267766143890706</v>
      </c>
      <c r="DA263" s="217">
        <f t="shared" si="654"/>
        <v>8.4270137807188963</v>
      </c>
      <c r="DB263" s="197">
        <f t="shared" si="655"/>
        <v>108.64873837981409</v>
      </c>
      <c r="DC263" s="443">
        <f t="shared" si="656"/>
        <v>100.46424128957692</v>
      </c>
      <c r="DE263" s="217">
        <f t="shared" si="657"/>
        <v>10</v>
      </c>
      <c r="DF263" s="173">
        <f t="shared" si="658"/>
        <v>7.7922077922077913</v>
      </c>
      <c r="DG263" s="173">
        <f t="shared" si="659"/>
        <v>4.2330677290836656</v>
      </c>
      <c r="DH263" s="173"/>
      <c r="DI263" s="173">
        <f t="shared" si="660"/>
        <v>7.7922077922077913</v>
      </c>
      <c r="DJ263" s="545">
        <f t="shared" si="661"/>
        <v>120.63333333333331</v>
      </c>
      <c r="DK263" s="528">
        <f t="shared" si="662"/>
        <v>4.2330677290836656</v>
      </c>
      <c r="DM263" s="173">
        <f t="shared" si="663"/>
        <v>5.8708318547431304</v>
      </c>
      <c r="DN263" s="173">
        <f t="shared" si="664"/>
        <v>10.814667685255918</v>
      </c>
      <c r="DO263" s="173">
        <f t="shared" si="665"/>
        <v>1.8034575446340131</v>
      </c>
      <c r="DQ263" s="545">
        <f t="shared" si="666"/>
        <v>4699.9999999999991</v>
      </c>
      <c r="DR263" s="460">
        <f t="shared" si="667"/>
        <v>100.46424128957692</v>
      </c>
      <c r="DT263">
        <f t="shared" si="668"/>
        <v>4699.9999999999991</v>
      </c>
      <c r="DU263">
        <f t="shared" si="669"/>
        <v>100.46424128957692</v>
      </c>
      <c r="DW263" s="5">
        <f t="shared" si="670"/>
        <v>9.9537903951079674</v>
      </c>
      <c r="DX263" s="5">
        <f t="shared" si="671"/>
        <v>1.5267766143890706</v>
      </c>
      <c r="DY263" s="5">
        <f t="shared" si="672"/>
        <v>8.4270137807188963</v>
      </c>
      <c r="DZ263" s="5"/>
      <c r="EA263" s="173">
        <f t="shared" si="673"/>
        <v>0.15338645418326693</v>
      </c>
      <c r="EB263" s="173">
        <f t="shared" si="699"/>
        <v>70.499999999999986</v>
      </c>
      <c r="EC263" s="173">
        <f t="shared" si="700"/>
        <v>4.5779220779220768</v>
      </c>
      <c r="ED263" s="173">
        <f t="shared" si="701"/>
        <v>15.4</v>
      </c>
      <c r="EE263" s="460">
        <f t="shared" si="674"/>
        <v>47.839000584190877</v>
      </c>
      <c r="EF263" s="5">
        <f t="shared" si="675"/>
        <v>1.9415178808519022</v>
      </c>
      <c r="EH263" s="173">
        <f t="shared" si="702"/>
        <v>2.4453783087743006</v>
      </c>
      <c r="EI263" s="173">
        <f t="shared" si="703"/>
        <v>5.745067795464414</v>
      </c>
      <c r="EK263" s="528">
        <f t="shared" si="704"/>
        <v>0.11959750146047718</v>
      </c>
      <c r="EL263" s="528">
        <f t="shared" si="705"/>
        <v>2.1816666666666671</v>
      </c>
      <c r="EM263" s="528">
        <f t="shared" si="706"/>
        <v>1.2558030161197114E-2</v>
      </c>
      <c r="EN263" s="528">
        <f t="shared" si="707"/>
        <v>0.10126956264775419</v>
      </c>
      <c r="EO263">
        <f t="shared" si="708"/>
        <v>3.8249999999999999E-2</v>
      </c>
      <c r="EP263" s="460">
        <f t="shared" si="709"/>
        <v>50.808030161197117</v>
      </c>
      <c r="EQ263" s="460"/>
      <c r="ER263" s="460">
        <f t="shared" si="710"/>
        <v>2453.3417609360954</v>
      </c>
      <c r="ES263" s="528">
        <f t="shared" si="711"/>
        <v>3.2899999999999991</v>
      </c>
      <c r="EV263" s="460">
        <f t="shared" si="712"/>
        <v>3289.9999999999991</v>
      </c>
      <c r="EW263" s="528">
        <f t="shared" si="713"/>
        <v>0.17939625219071575</v>
      </c>
      <c r="EX263" s="528">
        <f t="shared" si="714"/>
        <v>0.99017411923447018</v>
      </c>
      <c r="EY263" s="528">
        <f t="shared" si="715"/>
        <v>1.9455021880180872</v>
      </c>
      <c r="EZ263" s="528"/>
      <c r="FA263" s="528">
        <f t="shared" si="716"/>
        <v>1.1749999999999998E-2</v>
      </c>
      <c r="FB263" s="460">
        <f t="shared" si="717"/>
        <v>3126.8225594432733</v>
      </c>
      <c r="FC263" s="173">
        <f t="shared" si="718"/>
        <v>8.8701643203793665</v>
      </c>
      <c r="FD263" s="5">
        <f t="shared" si="719"/>
        <v>70.499999999999986</v>
      </c>
      <c r="FE263" s="173">
        <f t="shared" si="720"/>
        <v>0.88824308987726464</v>
      </c>
      <c r="FF263" s="5">
        <f t="shared" si="721"/>
        <v>88.824308987726468</v>
      </c>
      <c r="FI263" s="562">
        <f t="shared" si="676"/>
        <v>-50</v>
      </c>
      <c r="FJ263">
        <f t="shared" si="677"/>
        <v>-50</v>
      </c>
      <c r="FL263">
        <f t="shared" si="760"/>
        <v>0.84661354581673309</v>
      </c>
    </row>
    <row r="264" spans="5:168">
      <c r="E264" s="170">
        <v>48</v>
      </c>
      <c r="F264" s="217">
        <f t="shared" si="761"/>
        <v>4.8</v>
      </c>
      <c r="G264" s="217"/>
      <c r="H264" s="217">
        <f t="shared" si="726"/>
        <v>72</v>
      </c>
      <c r="I264" s="541">
        <f t="shared" si="727"/>
        <v>84.714861078465248</v>
      </c>
      <c r="J264" s="172">
        <f t="shared" si="728"/>
        <v>15.571083352920855</v>
      </c>
      <c r="K264" s="172">
        <f t="shared" si="729"/>
        <v>100.2859444313861</v>
      </c>
      <c r="L264" s="443"/>
      <c r="M264" s="217">
        <f t="shared" si="730"/>
        <v>0.15525848430549496</v>
      </c>
      <c r="N264" s="172">
        <f t="shared" si="731"/>
        <v>330.21499770355382</v>
      </c>
      <c r="O264" s="172">
        <f t="shared" si="762"/>
        <v>72</v>
      </c>
      <c r="P264" s="217">
        <f t="shared" si="732"/>
        <v>22.014333180236921</v>
      </c>
      <c r="Q264" s="217">
        <f t="shared" si="733"/>
        <v>15</v>
      </c>
      <c r="R264" s="217"/>
      <c r="S264" s="172">
        <f t="shared" si="734"/>
        <v>356.60329144194515</v>
      </c>
      <c r="T264" s="172">
        <f t="shared" si="735"/>
        <v>15</v>
      </c>
      <c r="U264" s="217">
        <f t="shared" si="736"/>
        <v>11.364423106525493</v>
      </c>
      <c r="V264" s="217">
        <f t="shared" si="737"/>
        <v>1.6097893042873954</v>
      </c>
      <c r="W264" s="217">
        <f t="shared" si="738"/>
        <v>8.7580982123973286</v>
      </c>
      <c r="X264" s="197">
        <f t="shared" si="739"/>
        <v>109.61175155726831</v>
      </c>
      <c r="Y264" s="443">
        <f t="shared" si="680"/>
        <v>94.626291055916937</v>
      </c>
      <c r="AA264" s="217">
        <f t="shared" si="740"/>
        <v>10</v>
      </c>
      <c r="AB264" s="173">
        <f t="shared" si="741"/>
        <v>7.7065928734810969</v>
      </c>
      <c r="AC264" s="173">
        <f t="shared" si="742"/>
        <v>4.2236657170051224</v>
      </c>
      <c r="AD264" s="173"/>
      <c r="AE264" s="173">
        <f t="shared" si="743"/>
        <v>7.7065928734810969</v>
      </c>
      <c r="AF264" s="545">
        <f t="shared" si="744"/>
        <v>124.56866682336681</v>
      </c>
      <c r="AG264" s="528">
        <f t="shared" si="745"/>
        <v>4.2236657170051224</v>
      </c>
      <c r="AI264" s="173">
        <f t="shared" si="746"/>
        <v>5.9658233014244644</v>
      </c>
      <c r="AJ264" s="173">
        <f t="shared" si="747"/>
        <v>11.364423106525493</v>
      </c>
      <c r="AK264" s="173">
        <f t="shared" si="748"/>
        <v>2.210683782611476</v>
      </c>
      <c r="AM264" s="545">
        <f t="shared" si="749"/>
        <v>4800</v>
      </c>
      <c r="AN264" s="460">
        <f t="shared" si="750"/>
        <v>94.626291055916937</v>
      </c>
      <c r="AP264">
        <f t="shared" si="751"/>
        <v>4800</v>
      </c>
      <c r="AQ264">
        <f t="shared" si="752"/>
        <v>94.626291055916937</v>
      </c>
      <c r="AS264" s="5">
        <f t="shared" si="763"/>
        <v>10.567887516684724</v>
      </c>
      <c r="AT264" s="5">
        <f t="shared" si="753"/>
        <v>1.6097893042873954</v>
      </c>
      <c r="AU264" s="5">
        <f t="shared" si="722"/>
        <v>8.9580982123973278</v>
      </c>
      <c r="AV264" s="5"/>
      <c r="AW264" s="173">
        <f t="shared" si="723"/>
        <v>0.15232839124620112</v>
      </c>
      <c r="AX264" s="173">
        <f t="shared" si="631"/>
        <v>73.325976837031959</v>
      </c>
      <c r="AY264" s="173">
        <f t="shared" si="632"/>
        <v>4.8166494086336549</v>
      </c>
      <c r="AZ264" s="173">
        <f t="shared" si="633"/>
        <v>15.22344073986328</v>
      </c>
      <c r="BA264" s="460">
        <f t="shared" si="724"/>
        <v>51.513257737196653</v>
      </c>
      <c r="BB264" s="5">
        <f t="shared" si="725"/>
        <v>2.1148823472897131</v>
      </c>
      <c r="BD264" s="173">
        <f t="shared" si="681"/>
        <v>2.5608090435845479</v>
      </c>
      <c r="BE264" s="173">
        <f t="shared" si="682"/>
        <v>6.040885246137834</v>
      </c>
      <c r="BG264" s="528">
        <f t="shared" si="683"/>
        <v>0.13115485915408814</v>
      </c>
      <c r="BH264" s="528">
        <f t="shared" si="754"/>
        <v>2.0220903344384364</v>
      </c>
      <c r="BI264" s="528">
        <f t="shared" si="755"/>
        <v>0.20040632752931051</v>
      </c>
      <c r="BJ264" s="528">
        <f t="shared" si="684"/>
        <v>9.5168221980187664E-2</v>
      </c>
      <c r="BK264">
        <f t="shared" si="685"/>
        <v>3.8121687485309363E-2</v>
      </c>
      <c r="BL264" s="460">
        <f t="shared" si="686"/>
        <v>238.52801501461988</v>
      </c>
      <c r="BM264" s="528">
        <f t="shared" si="756"/>
        <v>2.3572838364879591</v>
      </c>
      <c r="BN264" s="460">
        <f t="shared" si="687"/>
        <v>2357.283836487959</v>
      </c>
      <c r="BO264" s="528">
        <f t="shared" si="637"/>
        <v>3.36</v>
      </c>
      <c r="BR264" s="460">
        <f t="shared" si="688"/>
        <v>3360</v>
      </c>
      <c r="BS264" s="528">
        <f t="shared" si="689"/>
        <v>0.19673228873113219</v>
      </c>
      <c r="BT264" s="528">
        <f t="shared" si="690"/>
        <v>1.0947688367101727</v>
      </c>
      <c r="BU264" s="528">
        <f t="shared" si="691"/>
        <v>1.8961296762617845</v>
      </c>
      <c r="BV264" s="528"/>
      <c r="BW264" s="528">
        <f t="shared" si="692"/>
        <v>1.2220996139505327E-2</v>
      </c>
      <c r="BX264" s="460">
        <f t="shared" si="693"/>
        <v>3199.8517978425944</v>
      </c>
      <c r="BY264" s="173">
        <f t="shared" si="694"/>
        <v>9.0467932284299284</v>
      </c>
      <c r="BZ264" s="5">
        <f t="shared" si="695"/>
        <v>72</v>
      </c>
      <c r="CA264" s="173">
        <f t="shared" si="696"/>
        <v>0.88837567943087403</v>
      </c>
      <c r="CB264" s="5">
        <f t="shared" si="697"/>
        <v>88.837567943087407</v>
      </c>
      <c r="CE264" s="562">
        <f t="shared" si="757"/>
        <v>-50</v>
      </c>
      <c r="CF264">
        <f t="shared" si="758"/>
        <v>-50</v>
      </c>
      <c r="CG264" s="173">
        <f t="shared" si="759"/>
        <v>0.84169498400359755</v>
      </c>
      <c r="CI264" s="170">
        <v>48</v>
      </c>
      <c r="CJ264" s="217">
        <f t="shared" si="698"/>
        <v>4.8</v>
      </c>
      <c r="CK264" s="217"/>
      <c r="CL264" s="217">
        <f t="shared" si="641"/>
        <v>72</v>
      </c>
      <c r="CM264" s="541">
        <f t="shared" si="642"/>
        <v>85</v>
      </c>
      <c r="CN264" s="443">
        <f t="shared" si="643"/>
        <v>15.4</v>
      </c>
      <c r="CO264" s="443">
        <f t="shared" si="644"/>
        <v>100.4</v>
      </c>
      <c r="CP264" s="443"/>
      <c r="CQ264" s="217">
        <f t="shared" si="645"/>
        <v>0.15338645418326693</v>
      </c>
      <c r="CR264" s="172">
        <f t="shared" si="646"/>
        <v>327.33148655378488</v>
      </c>
      <c r="CS264" s="172">
        <f t="shared" si="647"/>
        <v>72</v>
      </c>
      <c r="CT264" s="217">
        <f t="shared" si="648"/>
        <v>21.822099103585661</v>
      </c>
      <c r="CU264" s="217">
        <f t="shared" si="649"/>
        <v>15</v>
      </c>
      <c r="CV264" s="217"/>
      <c r="CW264" s="172">
        <f t="shared" si="650"/>
        <v>357.8032515113693</v>
      </c>
      <c r="CX264" s="172">
        <f t="shared" si="651"/>
        <v>15</v>
      </c>
      <c r="CY264" s="217">
        <f t="shared" si="652"/>
        <v>11.044766997708173</v>
      </c>
      <c r="CZ264" s="217">
        <f t="shared" si="653"/>
        <v>1.5592612232058598</v>
      </c>
      <c r="DA264" s="217">
        <f t="shared" si="654"/>
        <v>8.6063119462661088</v>
      </c>
      <c r="DB264" s="197">
        <f t="shared" si="655"/>
        <v>108.64873837981409</v>
      </c>
      <c r="DC264" s="443">
        <f t="shared" si="656"/>
        <v>98.37123626271071</v>
      </c>
      <c r="DE264" s="217">
        <f t="shared" si="657"/>
        <v>10</v>
      </c>
      <c r="DF264" s="173">
        <f t="shared" si="658"/>
        <v>7.7922077922077913</v>
      </c>
      <c r="DG264" s="173">
        <f t="shared" si="659"/>
        <v>4.2330677290836656</v>
      </c>
      <c r="DH264" s="173"/>
      <c r="DI264" s="173">
        <f t="shared" si="660"/>
        <v>7.7922077922077913</v>
      </c>
      <c r="DJ264" s="545">
        <f t="shared" si="661"/>
        <v>123.2</v>
      </c>
      <c r="DK264" s="528">
        <f t="shared" si="662"/>
        <v>4.2330677290836656</v>
      </c>
      <c r="DM264" s="173">
        <f t="shared" si="663"/>
        <v>5.9329587896765306</v>
      </c>
      <c r="DN264" s="173">
        <f t="shared" si="664"/>
        <v>11.044766997708173</v>
      </c>
      <c r="DO264" s="173">
        <f t="shared" si="665"/>
        <v>1.9739014797838319</v>
      </c>
      <c r="DQ264" s="545">
        <f t="shared" si="666"/>
        <v>4800</v>
      </c>
      <c r="DR264" s="460">
        <f t="shared" si="667"/>
        <v>98.37123626271071</v>
      </c>
      <c r="DT264">
        <f t="shared" si="668"/>
        <v>4800</v>
      </c>
      <c r="DU264">
        <f t="shared" si="669"/>
        <v>98.37123626271071</v>
      </c>
      <c r="DW264" s="5">
        <f t="shared" si="670"/>
        <v>10.165573169471969</v>
      </c>
      <c r="DX264" s="5">
        <f t="shared" si="671"/>
        <v>1.5592612232058598</v>
      </c>
      <c r="DY264" s="5">
        <f t="shared" si="672"/>
        <v>8.6063119462661088</v>
      </c>
      <c r="DZ264" s="5"/>
      <c r="EA264" s="173">
        <f t="shared" si="673"/>
        <v>0.15338645418326693</v>
      </c>
      <c r="EB264" s="173">
        <f t="shared" si="699"/>
        <v>72</v>
      </c>
      <c r="EC264" s="173">
        <f t="shared" si="700"/>
        <v>4.6753246753246751</v>
      </c>
      <c r="ED264" s="173">
        <f t="shared" si="701"/>
        <v>15.4</v>
      </c>
      <c r="EE264" s="460">
        <f t="shared" si="674"/>
        <v>49.896359142587507</v>
      </c>
      <c r="EF264" s="5">
        <f t="shared" si="675"/>
        <v>2.0250145755920257</v>
      </c>
      <c r="EH264" s="173">
        <f t="shared" si="702"/>
        <v>2.497407634492903</v>
      </c>
      <c r="EI264" s="173">
        <f t="shared" si="703"/>
        <v>5.8673032804742959</v>
      </c>
      <c r="EK264" s="528">
        <f t="shared" si="704"/>
        <v>0.12474089785646875</v>
      </c>
      <c r="EL264" s="528">
        <f t="shared" si="705"/>
        <v>2.1816666666666666</v>
      </c>
      <c r="EM264" s="528">
        <f t="shared" si="706"/>
        <v>1.2296404532838838E-2</v>
      </c>
      <c r="EN264" s="528">
        <f t="shared" si="707"/>
        <v>9.9159780092592617E-2</v>
      </c>
      <c r="EO264">
        <f t="shared" si="708"/>
        <v>3.8249999999999999E-2</v>
      </c>
      <c r="EP264" s="460">
        <f t="shared" si="709"/>
        <v>50.546404532838835</v>
      </c>
      <c r="EQ264" s="460"/>
      <c r="ER264" s="460">
        <f t="shared" si="710"/>
        <v>2456.113749148567</v>
      </c>
      <c r="ES264" s="528">
        <f t="shared" si="711"/>
        <v>3.36</v>
      </c>
      <c r="EV264" s="460">
        <f t="shared" si="712"/>
        <v>3360</v>
      </c>
      <c r="EW264" s="528">
        <f t="shared" si="713"/>
        <v>0.18711134678470312</v>
      </c>
      <c r="EX264" s="528">
        <f t="shared" si="714"/>
        <v>1.0327574335519329</v>
      </c>
      <c r="EY264" s="528">
        <f t="shared" si="715"/>
        <v>1.9455021880180834</v>
      </c>
      <c r="EZ264" s="528"/>
      <c r="FA264" s="528">
        <f t="shared" si="716"/>
        <v>1.2E-2</v>
      </c>
      <c r="FB264" s="460">
        <f t="shared" si="717"/>
        <v>3177.3709683547195</v>
      </c>
      <c r="FC264" s="173">
        <f t="shared" si="718"/>
        <v>8.9934847175032875</v>
      </c>
      <c r="FD264" s="5">
        <f t="shared" si="719"/>
        <v>72</v>
      </c>
      <c r="FE264" s="173">
        <f t="shared" si="720"/>
        <v>0.8889603929393628</v>
      </c>
      <c r="FF264" s="5">
        <f t="shared" si="721"/>
        <v>88.896039293936283</v>
      </c>
      <c r="FI264" s="562">
        <f t="shared" si="676"/>
        <v>-50</v>
      </c>
      <c r="FJ264">
        <f t="shared" si="677"/>
        <v>-50</v>
      </c>
      <c r="FL264">
        <f t="shared" si="760"/>
        <v>0.84661354581673309</v>
      </c>
    </row>
    <row r="265" spans="5:168">
      <c r="E265" s="170">
        <v>49</v>
      </c>
      <c r="F265" s="217">
        <f t="shared" si="761"/>
        <v>4.9000000000000004</v>
      </c>
      <c r="G265" s="217"/>
      <c r="H265" s="217">
        <f t="shared" si="726"/>
        <v>73.5</v>
      </c>
      <c r="I265" s="541">
        <f t="shared" si="727"/>
        <v>84.708955393647713</v>
      </c>
      <c r="J265" s="172">
        <f t="shared" si="728"/>
        <v>15.574626763811375</v>
      </c>
      <c r="K265" s="172">
        <f t="shared" si="729"/>
        <v>100.28358215745909</v>
      </c>
      <c r="L265" s="443"/>
      <c r="M265" s="217">
        <f t="shared" si="730"/>
        <v>0.15529747685788803</v>
      </c>
      <c r="N265" s="172">
        <f t="shared" si="731"/>
        <v>330.27490399551135</v>
      </c>
      <c r="O265" s="172">
        <f t="shared" si="762"/>
        <v>73.5</v>
      </c>
      <c r="P265" s="217">
        <f t="shared" si="732"/>
        <v>22.018326933034089</v>
      </c>
      <c r="Q265" s="217">
        <f t="shared" si="733"/>
        <v>15</v>
      </c>
      <c r="R265" s="217"/>
      <c r="S265" s="172">
        <f t="shared" si="734"/>
        <v>347.57696559372431</v>
      </c>
      <c r="T265" s="172">
        <f t="shared" si="735"/>
        <v>15</v>
      </c>
      <c r="U265" s="217">
        <f t="shared" si="736"/>
        <v>11.60171744668893</v>
      </c>
      <c r="V265" s="217">
        <f t="shared" si="737"/>
        <v>1.6435170132048078</v>
      </c>
      <c r="W265" s="217">
        <f t="shared" si="738"/>
        <v>8.9389371232802191</v>
      </c>
      <c r="X265" s="197">
        <f t="shared" si="739"/>
        <v>109.63163456281657</v>
      </c>
      <c r="Y265" s="443">
        <f t="shared" si="680"/>
        <v>92.743264876616507</v>
      </c>
      <c r="AA265" s="217">
        <f t="shared" si="740"/>
        <v>10</v>
      </c>
      <c r="AB265" s="173">
        <f t="shared" si="741"/>
        <v>7.7048395329015236</v>
      </c>
      <c r="AC265" s="173">
        <f t="shared" si="742"/>
        <v>4.2234707601810104</v>
      </c>
      <c r="AD265" s="173"/>
      <c r="AE265" s="173">
        <f t="shared" si="743"/>
        <v>7.7048395329015236</v>
      </c>
      <c r="AF265" s="545">
        <f t="shared" si="744"/>
        <v>127.1927852377929</v>
      </c>
      <c r="AG265" s="528">
        <f t="shared" si="745"/>
        <v>4.2234707601810113</v>
      </c>
      <c r="AI265" s="173">
        <f t="shared" si="746"/>
        <v>6.0283327531106439</v>
      </c>
      <c r="AJ265" s="173">
        <f t="shared" si="747"/>
        <v>11.60171744668893</v>
      </c>
      <c r="AK265" s="173">
        <f t="shared" si="748"/>
        <v>2.3864573679177261</v>
      </c>
      <c r="AM265" s="545">
        <f t="shared" si="749"/>
        <v>4900</v>
      </c>
      <c r="AN265" s="460">
        <f t="shared" si="750"/>
        <v>92.743264876616507</v>
      </c>
      <c r="AP265">
        <f t="shared" si="751"/>
        <v>4900</v>
      </c>
      <c r="AQ265">
        <f t="shared" si="752"/>
        <v>92.743264876616507</v>
      </c>
      <c r="AS265" s="5">
        <f t="shared" si="763"/>
        <v>10.782454136485025</v>
      </c>
      <c r="AT265" s="5">
        <f t="shared" si="753"/>
        <v>1.6435170132048078</v>
      </c>
      <c r="AU265" s="5">
        <f t="shared" si="722"/>
        <v>9.1389371232802183</v>
      </c>
      <c r="AV265" s="5"/>
      <c r="AW265" s="173">
        <f t="shared" si="723"/>
        <v>0.15242513368487912</v>
      </c>
      <c r="AX265" s="173">
        <f t="shared" si="631"/>
        <v>74.899375972686244</v>
      </c>
      <c r="AY265" s="173">
        <f t="shared" si="632"/>
        <v>4.916662056951588</v>
      </c>
      <c r="AZ265" s="173">
        <f t="shared" si="633"/>
        <v>15.23378566700293</v>
      </c>
      <c r="BA265" s="460">
        <f t="shared" si="724"/>
        <v>53.688222431357055</v>
      </c>
      <c r="BB265" s="5">
        <f t="shared" si="725"/>
        <v>2.202678950136479</v>
      </c>
      <c r="BD265" s="173">
        <f t="shared" si="681"/>
        <v>2.6151099264077389</v>
      </c>
      <c r="BE265" s="173">
        <f t="shared" si="682"/>
        <v>6.1666697639059995</v>
      </c>
      <c r="BG265" s="528">
        <f t="shared" si="683"/>
        <v>0.1367759985439258</v>
      </c>
      <c r="BH265" s="528">
        <f t="shared" si="754"/>
        <v>2.0231858339115316</v>
      </c>
      <c r="BI265" s="528">
        <f t="shared" si="755"/>
        <v>0.19640462718736404</v>
      </c>
      <c r="BJ265" s="528">
        <f t="shared" si="684"/>
        <v>9.3270017410064937E-2</v>
      </c>
      <c r="BK265">
        <f t="shared" si="685"/>
        <v>3.8119029927141466E-2</v>
      </c>
      <c r="BL265" s="460">
        <f t="shared" si="686"/>
        <v>234.52365711450551</v>
      </c>
      <c r="BM265" s="528">
        <f t="shared" si="756"/>
        <v>2.3670869058986037</v>
      </c>
      <c r="BN265" s="460">
        <f t="shared" si="687"/>
        <v>2367.0869058986036</v>
      </c>
      <c r="BO265" s="528">
        <f t="shared" si="637"/>
        <v>3.43</v>
      </c>
      <c r="BR265" s="460">
        <f t="shared" si="688"/>
        <v>3430</v>
      </c>
      <c r="BS265" s="528">
        <f t="shared" si="689"/>
        <v>0.20516399781588868</v>
      </c>
      <c r="BT265" s="528">
        <f t="shared" si="690"/>
        <v>1.1408344793121743</v>
      </c>
      <c r="BU265" s="528">
        <f t="shared" si="691"/>
        <v>1.8988106816450636</v>
      </c>
      <c r="BV265" s="528"/>
      <c r="BW265" s="528">
        <f t="shared" si="692"/>
        <v>1.2483229328781039E-2</v>
      </c>
      <c r="BX265" s="460">
        <f t="shared" si="693"/>
        <v>3257.2923881019074</v>
      </c>
      <c r="BY265" s="173">
        <f t="shared" si="694"/>
        <v>9.175047895081935</v>
      </c>
      <c r="BZ265" s="5">
        <f t="shared" si="695"/>
        <v>73.5</v>
      </c>
      <c r="CA265" s="173">
        <f t="shared" si="696"/>
        <v>0.88902276891662102</v>
      </c>
      <c r="CB265" s="5">
        <f t="shared" si="697"/>
        <v>88.902276891662098</v>
      </c>
      <c r="CE265" s="562">
        <f t="shared" si="757"/>
        <v>-50</v>
      </c>
      <c r="CF265">
        <f t="shared" si="758"/>
        <v>-50</v>
      </c>
      <c r="CG265" s="173">
        <f t="shared" si="759"/>
        <v>0.84179536281611056</v>
      </c>
      <c r="CI265" s="170">
        <v>49</v>
      </c>
      <c r="CJ265" s="217">
        <f t="shared" si="698"/>
        <v>4.9000000000000004</v>
      </c>
      <c r="CK265" s="217"/>
      <c r="CL265" s="217">
        <f t="shared" si="641"/>
        <v>73.5</v>
      </c>
      <c r="CM265" s="541">
        <f t="shared" si="642"/>
        <v>85</v>
      </c>
      <c r="CN265" s="443">
        <f t="shared" si="643"/>
        <v>15.4</v>
      </c>
      <c r="CO265" s="443">
        <f t="shared" si="644"/>
        <v>100.4</v>
      </c>
      <c r="CP265" s="443"/>
      <c r="CQ265" s="217">
        <f t="shared" si="645"/>
        <v>0.15338645418326693</v>
      </c>
      <c r="CR265" s="172">
        <f t="shared" si="646"/>
        <v>327.33148655378488</v>
      </c>
      <c r="CS265" s="172">
        <f t="shared" si="647"/>
        <v>73.5</v>
      </c>
      <c r="CT265" s="217">
        <f t="shared" si="648"/>
        <v>21.822099103585661</v>
      </c>
      <c r="CU265" s="217">
        <f t="shared" si="649"/>
        <v>15</v>
      </c>
      <c r="CV265" s="217"/>
      <c r="CW265" s="172">
        <f t="shared" si="650"/>
        <v>348.77084292477548</v>
      </c>
      <c r="CX265" s="172">
        <f t="shared" si="651"/>
        <v>15</v>
      </c>
      <c r="CY265" s="217">
        <f t="shared" si="652"/>
        <v>11.274866310160428</v>
      </c>
      <c r="CZ265" s="217">
        <f t="shared" si="653"/>
        <v>1.5917458320226487</v>
      </c>
      <c r="DA265" s="217">
        <f t="shared" si="654"/>
        <v>8.7856101118133214</v>
      </c>
      <c r="DB265" s="197">
        <f t="shared" si="655"/>
        <v>108.64873837981409</v>
      </c>
      <c r="DC265" s="443">
        <f t="shared" si="656"/>
        <v>96.363660012451277</v>
      </c>
      <c r="DE265" s="217">
        <f t="shared" si="657"/>
        <v>10</v>
      </c>
      <c r="DF265" s="173">
        <f t="shared" si="658"/>
        <v>7.7922077922077913</v>
      </c>
      <c r="DG265" s="173">
        <f t="shared" si="659"/>
        <v>4.2330677290836656</v>
      </c>
      <c r="DH265" s="173"/>
      <c r="DI265" s="173">
        <f t="shared" si="660"/>
        <v>7.7922077922077913</v>
      </c>
      <c r="DJ265" s="545">
        <f t="shared" si="661"/>
        <v>125.76666666666668</v>
      </c>
      <c r="DK265" s="528">
        <f t="shared" si="662"/>
        <v>4.2330677290836656</v>
      </c>
      <c r="DM265" s="173">
        <f t="shared" si="663"/>
        <v>5.994441870043727</v>
      </c>
      <c r="DN265" s="173">
        <f t="shared" si="664"/>
        <v>11.274866310160428</v>
      </c>
      <c r="DO265" s="173">
        <f t="shared" si="665"/>
        <v>2.1443454149336505</v>
      </c>
      <c r="DQ265" s="545">
        <f t="shared" si="666"/>
        <v>4900</v>
      </c>
      <c r="DR265" s="460">
        <f t="shared" si="667"/>
        <v>96.363660012451277</v>
      </c>
      <c r="DT265">
        <f t="shared" si="668"/>
        <v>4900</v>
      </c>
      <c r="DU265">
        <f t="shared" si="669"/>
        <v>96.363660012451277</v>
      </c>
      <c r="DW265" s="5">
        <f t="shared" si="670"/>
        <v>10.377355943835973</v>
      </c>
      <c r="DX265" s="5">
        <f t="shared" si="671"/>
        <v>1.5917458320226487</v>
      </c>
      <c r="DY265" s="5">
        <f t="shared" si="672"/>
        <v>8.7856101118133232</v>
      </c>
      <c r="DZ265" s="5"/>
      <c r="EA265" s="173">
        <f t="shared" si="673"/>
        <v>0.15338645418326688</v>
      </c>
      <c r="EB265" s="173">
        <f t="shared" si="699"/>
        <v>73.5</v>
      </c>
      <c r="EC265" s="173">
        <f t="shared" si="700"/>
        <v>4.7727272727272734</v>
      </c>
      <c r="ED265" s="173">
        <f t="shared" si="701"/>
        <v>15.399999999999999</v>
      </c>
      <c r="EE265" s="460">
        <f t="shared" si="674"/>
        <v>51.997030512739855</v>
      </c>
      <c r="EF265" s="5">
        <f t="shared" si="675"/>
        <v>2.1102690954845729</v>
      </c>
      <c r="EH265" s="173">
        <f t="shared" si="702"/>
        <v>2.5494369602115055</v>
      </c>
      <c r="EI265" s="173">
        <f t="shared" si="703"/>
        <v>5.9895387654841779</v>
      </c>
      <c r="EK265" s="528">
        <f t="shared" si="704"/>
        <v>0.12999257628184963</v>
      </c>
      <c r="EL265" s="528">
        <f t="shared" si="705"/>
        <v>2.1816666666666662</v>
      </c>
      <c r="EM265" s="528">
        <f t="shared" si="706"/>
        <v>1.2045457501556408E-2</v>
      </c>
      <c r="EN265" s="528">
        <f t="shared" si="707"/>
        <v>9.7136111111111104E-2</v>
      </c>
      <c r="EO265">
        <f t="shared" si="708"/>
        <v>3.8249999999999999E-2</v>
      </c>
      <c r="EP265" s="460">
        <f t="shared" si="709"/>
        <v>50.295457501556406</v>
      </c>
      <c r="EQ265" s="460"/>
      <c r="ER265" s="460">
        <f t="shared" si="710"/>
        <v>2459.0908115611833</v>
      </c>
      <c r="ES265" s="528">
        <f t="shared" si="711"/>
        <v>3.43</v>
      </c>
      <c r="EV265" s="460">
        <f t="shared" si="712"/>
        <v>3430</v>
      </c>
      <c r="EW265" s="528">
        <f t="shared" si="713"/>
        <v>0.19498886442277441</v>
      </c>
      <c r="EX265" s="528">
        <f t="shared" si="714"/>
        <v>1.0762372386971317</v>
      </c>
      <c r="EY265" s="528">
        <f t="shared" si="715"/>
        <v>1.9455021880180821</v>
      </c>
      <c r="EZ265" s="528"/>
      <c r="FA265" s="528">
        <f t="shared" si="716"/>
        <v>1.225E-2</v>
      </c>
      <c r="FB265" s="460">
        <f t="shared" si="717"/>
        <v>3228.978291137988</v>
      </c>
      <c r="FC265" s="173">
        <f t="shared" si="718"/>
        <v>9.118069102699172</v>
      </c>
      <c r="FD265" s="5">
        <f t="shared" si="719"/>
        <v>73.5</v>
      </c>
      <c r="FE265" s="173">
        <f t="shared" si="720"/>
        <v>0.88963589682343136</v>
      </c>
      <c r="FF265" s="5">
        <f t="shared" si="721"/>
        <v>88.963589682343141</v>
      </c>
      <c r="FI265" s="562">
        <f t="shared" si="676"/>
        <v>-50</v>
      </c>
      <c r="FJ265">
        <f t="shared" si="677"/>
        <v>-50</v>
      </c>
      <c r="FL265">
        <f t="shared" si="760"/>
        <v>0.84661354581673309</v>
      </c>
    </row>
    <row r="266" spans="5:168">
      <c r="E266" s="170">
        <v>50</v>
      </c>
      <c r="F266" s="217">
        <f t="shared" si="761"/>
        <v>5</v>
      </c>
      <c r="G266" s="217"/>
      <c r="H266" s="217">
        <f t="shared" si="726"/>
        <v>75</v>
      </c>
      <c r="I266" s="541">
        <f t="shared" si="727"/>
        <v>84.703049700884435</v>
      </c>
      <c r="J266" s="172">
        <f t="shared" si="728"/>
        <v>15.578170179469337</v>
      </c>
      <c r="K266" s="172">
        <f t="shared" si="729"/>
        <v>100.28121988035377</v>
      </c>
      <c r="L266" s="443"/>
      <c r="M266" s="217">
        <f t="shared" si="730"/>
        <v>0.15533647125957092</v>
      </c>
      <c r="N266" s="172">
        <f t="shared" si="731"/>
        <v>330.33480262631616</v>
      </c>
      <c r="O266" s="172">
        <f t="shared" si="762"/>
        <v>75</v>
      </c>
      <c r="P266" s="217">
        <f t="shared" si="732"/>
        <v>22.022320175087746</v>
      </c>
      <c r="Q266" s="217">
        <f t="shared" si="733"/>
        <v>15</v>
      </c>
      <c r="R266" s="217"/>
      <c r="S266" s="172">
        <f t="shared" si="734"/>
        <v>338.91205148997068</v>
      </c>
      <c r="T266" s="172">
        <f t="shared" si="735"/>
        <v>15</v>
      </c>
      <c r="U266" s="217">
        <f t="shared" si="736"/>
        <v>11.839033721406324</v>
      </c>
      <c r="V266" s="217">
        <f t="shared" si="737"/>
        <v>1.6772525329202224</v>
      </c>
      <c r="W266" s="217">
        <f t="shared" si="738"/>
        <v>9.1197106605055325</v>
      </c>
      <c r="X266" s="197">
        <f t="shared" si="739"/>
        <v>109.65151505392815</v>
      </c>
      <c r="Y266" s="443">
        <f t="shared" si="680"/>
        <v>90.934195414769022</v>
      </c>
      <c r="AA266" s="217">
        <f t="shared" si="740"/>
        <v>10</v>
      </c>
      <c r="AB266" s="173">
        <f t="shared" si="741"/>
        <v>7.703086987594312</v>
      </c>
      <c r="AC266" s="173">
        <f t="shared" si="742"/>
        <v>4.2232757939095791</v>
      </c>
      <c r="AD266" s="173"/>
      <c r="AE266" s="173">
        <f t="shared" si="743"/>
        <v>7.703086987594312</v>
      </c>
      <c r="AF266" s="545">
        <f t="shared" si="744"/>
        <v>129.81808482891117</v>
      </c>
      <c r="AG266" s="528">
        <f t="shared" si="745"/>
        <v>4.2232757939095782</v>
      </c>
      <c r="AI266" s="173">
        <f t="shared" si="746"/>
        <v>6.090228352015127</v>
      </c>
      <c r="AJ266" s="173">
        <f t="shared" si="747"/>
        <v>11.839033721406324</v>
      </c>
      <c r="AK266" s="173">
        <f t="shared" si="748"/>
        <v>2.5622472010417212</v>
      </c>
      <c r="AM266" s="545">
        <f t="shared" si="749"/>
        <v>5000</v>
      </c>
      <c r="AN266" s="460">
        <f t="shared" si="750"/>
        <v>90.934195414769022</v>
      </c>
      <c r="AP266">
        <f t="shared" si="751"/>
        <v>5000</v>
      </c>
      <c r="AQ266">
        <f t="shared" si="752"/>
        <v>90.934195414769022</v>
      </c>
      <c r="AS266" s="5">
        <f t="shared" si="763"/>
        <v>10.996963193425755</v>
      </c>
      <c r="AT266" s="5">
        <f t="shared" si="753"/>
        <v>1.6772525329202224</v>
      </c>
      <c r="AU266" s="5">
        <f t="shared" si="722"/>
        <v>9.3197106605055318</v>
      </c>
      <c r="AV266" s="5"/>
      <c r="AW266" s="173">
        <f t="shared" si="723"/>
        <v>0.15251960958848382</v>
      </c>
      <c r="AX266" s="173">
        <f t="shared" si="631"/>
        <v>76.473504725589336</v>
      </c>
      <c r="AY266" s="173">
        <f t="shared" si="632"/>
        <v>5.0166744601562687</v>
      </c>
      <c r="AZ266" s="173">
        <f t="shared" si="633"/>
        <v>15.243864303526523</v>
      </c>
      <c r="BA266" s="460">
        <f t="shared" si="724"/>
        <v>55.908417764007417</v>
      </c>
      <c r="BB266" s="5">
        <f t="shared" si="725"/>
        <v>2.2922508628222933</v>
      </c>
      <c r="BD266" s="173">
        <f t="shared" si="681"/>
        <v>2.6694296051391588</v>
      </c>
      <c r="BE266" s="173">
        <f t="shared" si="682"/>
        <v>6.2924599377936934</v>
      </c>
      <c r="BG266" s="528">
        <f t="shared" si="683"/>
        <v>0.14251708833586813</v>
      </c>
      <c r="BH266" s="528">
        <f t="shared" si="754"/>
        <v>2.0242510186193261</v>
      </c>
      <c r="BI266" s="528">
        <f t="shared" si="755"/>
        <v>0.19256009184317796</v>
      </c>
      <c r="BJ266" s="528">
        <f t="shared" si="684"/>
        <v>9.1446364635500182E-2</v>
      </c>
      <c r="BK266">
        <f t="shared" si="685"/>
        <v>3.8116372365397992E-2</v>
      </c>
      <c r="BL266" s="460">
        <f t="shared" si="686"/>
        <v>230.67646420857596</v>
      </c>
      <c r="BM266" s="528">
        <f t="shared" si="756"/>
        <v>2.3771906586027689</v>
      </c>
      <c r="BN266" s="460">
        <f t="shared" si="687"/>
        <v>2377.190658602769</v>
      </c>
      <c r="BO266" s="528">
        <f t="shared" si="637"/>
        <v>3.5</v>
      </c>
      <c r="BR266" s="460">
        <f t="shared" si="688"/>
        <v>3500</v>
      </c>
      <c r="BS266" s="528">
        <f t="shared" si="689"/>
        <v>0.21377563250380216</v>
      </c>
      <c r="BT266" s="528">
        <f t="shared" si="690"/>
        <v>1.1878515620621584</v>
      </c>
      <c r="BU266" s="528">
        <f t="shared" si="691"/>
        <v>1.9014228977344985</v>
      </c>
      <c r="BV266" s="528"/>
      <c r="BW266" s="528">
        <f t="shared" si="692"/>
        <v>1.2745584120931557E-2</v>
      </c>
      <c r="BX266" s="460">
        <f t="shared" si="693"/>
        <v>3315.7956764213905</v>
      </c>
      <c r="BY266" s="173">
        <f t="shared" si="694"/>
        <v>9.304686612220662</v>
      </c>
      <c r="BZ266" s="5">
        <f t="shared" si="695"/>
        <v>75</v>
      </c>
      <c r="CA266" s="173">
        <f t="shared" si="696"/>
        <v>0.88963025679675711</v>
      </c>
      <c r="CB266" s="5">
        <f t="shared" si="697"/>
        <v>88.96302567967571</v>
      </c>
      <c r="CE266" s="562">
        <f t="shared" si="757"/>
        <v>-50</v>
      </c>
      <c r="CF266">
        <f t="shared" si="758"/>
        <v>-50</v>
      </c>
      <c r="CG266" s="173">
        <f t="shared" si="759"/>
        <v>0.84189172647612287</v>
      </c>
      <c r="CI266" s="170">
        <v>50</v>
      </c>
      <c r="CJ266" s="217">
        <f t="shared" si="698"/>
        <v>5</v>
      </c>
      <c r="CK266" s="217"/>
      <c r="CL266" s="217">
        <f t="shared" si="641"/>
        <v>75</v>
      </c>
      <c r="CM266" s="541">
        <f t="shared" si="642"/>
        <v>85</v>
      </c>
      <c r="CN266" s="443">
        <f t="shared" si="643"/>
        <v>15.4</v>
      </c>
      <c r="CO266" s="443">
        <f t="shared" si="644"/>
        <v>100.4</v>
      </c>
      <c r="CP266" s="443"/>
      <c r="CQ266" s="217">
        <f t="shared" si="645"/>
        <v>0.15338645418326693</v>
      </c>
      <c r="CR266" s="172">
        <f t="shared" si="646"/>
        <v>327.33148655378488</v>
      </c>
      <c r="CS266" s="172">
        <f t="shared" si="647"/>
        <v>75</v>
      </c>
      <c r="CT266" s="217">
        <f t="shared" si="648"/>
        <v>21.822099103585661</v>
      </c>
      <c r="CU266" s="217">
        <f t="shared" si="649"/>
        <v>15</v>
      </c>
      <c r="CV266" s="217"/>
      <c r="CW266" s="172">
        <f t="shared" si="650"/>
        <v>340.09985320017159</v>
      </c>
      <c r="CX266" s="172">
        <f t="shared" si="651"/>
        <v>15</v>
      </c>
      <c r="CY266" s="217">
        <f t="shared" si="652"/>
        <v>11.504965622612682</v>
      </c>
      <c r="CZ266" s="217">
        <f t="shared" si="653"/>
        <v>1.6242304408394375</v>
      </c>
      <c r="DA266" s="217">
        <f t="shared" si="654"/>
        <v>8.9649082773605322</v>
      </c>
      <c r="DB266" s="197">
        <f t="shared" si="655"/>
        <v>108.64873837981409</v>
      </c>
      <c r="DC266" s="443">
        <f t="shared" si="656"/>
        <v>94.436386812202272</v>
      </c>
      <c r="DE266" s="217">
        <f t="shared" si="657"/>
        <v>10</v>
      </c>
      <c r="DF266" s="173">
        <f t="shared" si="658"/>
        <v>7.7922077922077913</v>
      </c>
      <c r="DG266" s="173">
        <f t="shared" si="659"/>
        <v>4.2330677290836656</v>
      </c>
      <c r="DH266" s="173"/>
      <c r="DI266" s="173">
        <f t="shared" si="660"/>
        <v>7.7922077922077913</v>
      </c>
      <c r="DJ266" s="545">
        <f t="shared" si="661"/>
        <v>128.33333333333334</v>
      </c>
      <c r="DK266" s="528">
        <f t="shared" si="662"/>
        <v>4.2330677290836656</v>
      </c>
      <c r="DM266" s="173">
        <f t="shared" si="663"/>
        <v>6.0553007081949835</v>
      </c>
      <c r="DN266" s="173">
        <f t="shared" si="664"/>
        <v>11.504965622612682</v>
      </c>
      <c r="DO266" s="173">
        <f t="shared" si="665"/>
        <v>2.3147893500834678</v>
      </c>
      <c r="DQ266" s="545">
        <f t="shared" si="666"/>
        <v>5000</v>
      </c>
      <c r="DR266" s="460">
        <f t="shared" si="667"/>
        <v>94.436386812202272</v>
      </c>
      <c r="DT266">
        <f t="shared" si="668"/>
        <v>5000</v>
      </c>
      <c r="DU266">
        <f t="shared" si="669"/>
        <v>94.436386812202272</v>
      </c>
      <c r="DW266" s="5">
        <f t="shared" si="670"/>
        <v>10.589138718199967</v>
      </c>
      <c r="DX266" s="5">
        <f t="shared" si="671"/>
        <v>1.6242304408394375</v>
      </c>
      <c r="DY266" s="5">
        <f t="shared" si="672"/>
        <v>8.9649082773605304</v>
      </c>
      <c r="DZ266" s="5"/>
      <c r="EA266" s="173">
        <f t="shared" si="673"/>
        <v>0.15338645418326696</v>
      </c>
      <c r="EB266" s="173">
        <f t="shared" si="699"/>
        <v>75.000000000000014</v>
      </c>
      <c r="EC266" s="173">
        <f t="shared" si="700"/>
        <v>4.8701298701298699</v>
      </c>
      <c r="ED266" s="173">
        <f t="shared" si="701"/>
        <v>15.400000000000004</v>
      </c>
      <c r="EE266" s="460">
        <f t="shared" si="674"/>
        <v>54.141014694647914</v>
      </c>
      <c r="EF266" s="5">
        <f t="shared" si="675"/>
        <v>2.1972814405295416</v>
      </c>
      <c r="EH266" s="173">
        <f t="shared" si="702"/>
        <v>2.6014662859301083</v>
      </c>
      <c r="EI266" s="173">
        <f t="shared" si="703"/>
        <v>6.111774250494058</v>
      </c>
      <c r="EK266" s="528">
        <f t="shared" si="704"/>
        <v>0.13535253673661984</v>
      </c>
      <c r="EL266" s="528">
        <f t="shared" si="705"/>
        <v>2.1816666666666671</v>
      </c>
      <c r="EM266" s="528">
        <f t="shared" si="706"/>
        <v>1.1804548351525283E-2</v>
      </c>
      <c r="EN266" s="528">
        <f t="shared" si="707"/>
        <v>9.5193388888888897E-2</v>
      </c>
      <c r="EO266">
        <f t="shared" si="708"/>
        <v>3.8249999999999999E-2</v>
      </c>
      <c r="EP266" s="460">
        <f t="shared" si="709"/>
        <v>50.054548351525284</v>
      </c>
      <c r="EQ266" s="460"/>
      <c r="ER266" s="460">
        <f t="shared" si="710"/>
        <v>2462.2671406437007</v>
      </c>
      <c r="ES266" s="528">
        <f t="shared" si="711"/>
        <v>3.5</v>
      </c>
      <c r="EV266" s="460">
        <f t="shared" si="712"/>
        <v>3500</v>
      </c>
      <c r="EW266" s="528">
        <f t="shared" si="713"/>
        <v>0.20302880510492974</v>
      </c>
      <c r="EX266" s="528">
        <f t="shared" si="714"/>
        <v>1.1206135346700661</v>
      </c>
      <c r="EY266" s="528">
        <f t="shared" si="715"/>
        <v>1.9455021880180816</v>
      </c>
      <c r="EZ266" s="528"/>
      <c r="FA266" s="528">
        <f t="shared" si="716"/>
        <v>1.2500000000000002E-2</v>
      </c>
      <c r="FB266" s="460">
        <f t="shared" si="717"/>
        <v>3281.6445277930775</v>
      </c>
      <c r="FC266" s="173">
        <f t="shared" si="718"/>
        <v>9.2439116684367786</v>
      </c>
      <c r="FD266" s="5">
        <f t="shared" si="719"/>
        <v>75</v>
      </c>
      <c r="FE266" s="173">
        <f t="shared" si="720"/>
        <v>0.89027205069941984</v>
      </c>
      <c r="FF266" s="5">
        <f t="shared" si="721"/>
        <v>89.027205069941985</v>
      </c>
      <c r="FI266" s="562">
        <f t="shared" si="676"/>
        <v>-50</v>
      </c>
      <c r="FJ266">
        <f t="shared" si="677"/>
        <v>-50</v>
      </c>
      <c r="FL266">
        <f t="shared" si="760"/>
        <v>0.84661354581673298</v>
      </c>
    </row>
    <row r="267" spans="5:168">
      <c r="E267" s="170">
        <v>51</v>
      </c>
      <c r="F267" s="217">
        <f t="shared" si="761"/>
        <v>5.0999999999999996</v>
      </c>
      <c r="G267" s="217"/>
      <c r="H267" s="217">
        <f t="shared" si="726"/>
        <v>76.5</v>
      </c>
      <c r="I267" s="541">
        <f t="shared" si="727"/>
        <v>84.697144000645409</v>
      </c>
      <c r="J267" s="172">
        <f t="shared" si="728"/>
        <v>15.581713599612756</v>
      </c>
      <c r="K267" s="172">
        <f t="shared" si="729"/>
        <v>100.27885760025816</v>
      </c>
      <c r="L267" s="443"/>
      <c r="M267" s="217">
        <f t="shared" si="730"/>
        <v>0.15537546750995532</v>
      </c>
      <c r="N267" s="172">
        <f t="shared" si="731"/>
        <v>330.39469359570461</v>
      </c>
      <c r="O267" s="172">
        <f t="shared" si="762"/>
        <v>76.5</v>
      </c>
      <c r="P267" s="217">
        <f t="shared" si="732"/>
        <v>22.026312906380308</v>
      </c>
      <c r="Q267" s="217">
        <f t="shared" si="733"/>
        <v>15</v>
      </c>
      <c r="R267" s="217"/>
      <c r="S267" s="172">
        <f t="shared" si="734"/>
        <v>330.58729140794918</v>
      </c>
      <c r="T267" s="172">
        <f t="shared" si="735"/>
        <v>15</v>
      </c>
      <c r="U267" s="217">
        <f t="shared" si="736"/>
        <v>12.076371935266069</v>
      </c>
      <c r="V267" s="217">
        <f t="shared" si="737"/>
        <v>1.7109958657176036</v>
      </c>
      <c r="W267" s="217">
        <f t="shared" si="738"/>
        <v>9.3004188722089172</v>
      </c>
      <c r="X267" s="197">
        <f t="shared" si="739"/>
        <v>109.67139302883146</v>
      </c>
      <c r="Y267" s="443">
        <f t="shared" si="680"/>
        <v>89.194809341692746</v>
      </c>
      <c r="AA267" s="217">
        <f t="shared" si="740"/>
        <v>10</v>
      </c>
      <c r="AB267" s="173">
        <f t="shared" si="741"/>
        <v>7.7013352371578883</v>
      </c>
      <c r="AC267" s="173">
        <f t="shared" si="742"/>
        <v>4.2230808182056592</v>
      </c>
      <c r="AD267" s="173"/>
      <c r="AE267" s="173">
        <f t="shared" si="743"/>
        <v>7.7013352371578883</v>
      </c>
      <c r="AF267" s="545">
        <f t="shared" si="744"/>
        <v>132.44456559670846</v>
      </c>
      <c r="AG267" s="528">
        <f t="shared" si="745"/>
        <v>4.2230808182056583</v>
      </c>
      <c r="AI267" s="173">
        <f t="shared" si="746"/>
        <v>6.151528627601631</v>
      </c>
      <c r="AJ267" s="173">
        <f t="shared" si="747"/>
        <v>12.076371935266069</v>
      </c>
      <c r="AK267" s="173">
        <f t="shared" si="748"/>
        <v>2.7380532853822732</v>
      </c>
      <c r="AM267" s="545">
        <f t="shared" si="749"/>
        <v>5100</v>
      </c>
      <c r="AN267" s="460">
        <f t="shared" si="750"/>
        <v>89.194809341692746</v>
      </c>
      <c r="AP267">
        <f t="shared" si="751"/>
        <v>5100</v>
      </c>
      <c r="AQ267">
        <f t="shared" si="752"/>
        <v>89.194809341692746</v>
      </c>
      <c r="AS267" s="5">
        <f t="shared" si="763"/>
        <v>11.211414737926519</v>
      </c>
      <c r="AT267" s="5">
        <f t="shared" si="753"/>
        <v>1.7109958657176036</v>
      </c>
      <c r="AU267" s="5">
        <f t="shared" si="722"/>
        <v>9.5004188722089165</v>
      </c>
      <c r="AV267" s="5"/>
      <c r="AW267" s="173">
        <f t="shared" si="723"/>
        <v>0.15261195002710617</v>
      </c>
      <c r="AX267" s="173">
        <f t="shared" si="631"/>
        <v>78.048361885426388</v>
      </c>
      <c r="AY267" s="173">
        <f t="shared" si="632"/>
        <v>5.1166866324862479</v>
      </c>
      <c r="AZ267" s="173">
        <f t="shared" si="633"/>
        <v>15.253691986898547</v>
      </c>
      <c r="BA267" s="460">
        <f t="shared" si="724"/>
        <v>58.173859434398523</v>
      </c>
      <c r="BB267" s="5">
        <f t="shared" si="725"/>
        <v>2.3835975039831458</v>
      </c>
      <c r="BD267" s="173">
        <f t="shared" si="681"/>
        <v>2.7237680651789469</v>
      </c>
      <c r="BE267" s="173">
        <f t="shared" si="682"/>
        <v>6.4182557781226919</v>
      </c>
      <c r="BG267" s="528">
        <f t="shared" si="683"/>
        <v>0.14837824945777328</v>
      </c>
      <c r="BH267" s="528">
        <f t="shared" si="754"/>
        <v>2.0252876364160821</v>
      </c>
      <c r="BI267" s="528">
        <f t="shared" si="755"/>
        <v>0.18886364027308655</v>
      </c>
      <c r="BJ267" s="528">
        <f t="shared" si="684"/>
        <v>8.9692955944225675E-2</v>
      </c>
      <c r="BK267">
        <f t="shared" si="685"/>
        <v>3.8113714800290431E-2</v>
      </c>
      <c r="BL267" s="460">
        <f t="shared" si="686"/>
        <v>226.977355073377</v>
      </c>
      <c r="BM267" s="528">
        <f t="shared" si="756"/>
        <v>2.3875948423785456</v>
      </c>
      <c r="BN267" s="460">
        <f t="shared" si="687"/>
        <v>2387.5948423785458</v>
      </c>
      <c r="BO267" s="528">
        <f t="shared" si="637"/>
        <v>3.5699999999999994</v>
      </c>
      <c r="BR267" s="460">
        <f t="shared" si="688"/>
        <v>3569.9999999999995</v>
      </c>
      <c r="BS267" s="528">
        <f t="shared" si="689"/>
        <v>0.22256737418665992</v>
      </c>
      <c r="BT267" s="528">
        <f t="shared" si="690"/>
        <v>1.2358202170021597</v>
      </c>
      <c r="BU267" s="528">
        <f t="shared" si="691"/>
        <v>1.9039702521993245</v>
      </c>
      <c r="BV267" s="528"/>
      <c r="BW267" s="528">
        <f t="shared" si="692"/>
        <v>1.3008060314237731E-2</v>
      </c>
      <c r="BX267" s="460">
        <f t="shared" si="693"/>
        <v>3375.3659037023817</v>
      </c>
      <c r="BY267" s="173">
        <f t="shared" si="694"/>
        <v>9.43570210059384</v>
      </c>
      <c r="BZ267" s="5">
        <f t="shared" si="695"/>
        <v>76.5</v>
      </c>
      <c r="CA267" s="173">
        <f t="shared" si="696"/>
        <v>0.89020044207530091</v>
      </c>
      <c r="CB267" s="5">
        <f t="shared" si="697"/>
        <v>89.020044207530091</v>
      </c>
      <c r="CE267" s="562">
        <f t="shared" si="757"/>
        <v>-50</v>
      </c>
      <c r="CF267">
        <f t="shared" si="758"/>
        <v>-50</v>
      </c>
      <c r="CG267" s="173">
        <f t="shared" si="759"/>
        <v>0.84198431116907613</v>
      </c>
      <c r="CI267" s="170">
        <v>51</v>
      </c>
      <c r="CJ267" s="217">
        <f t="shared" si="698"/>
        <v>5.0999999999999996</v>
      </c>
      <c r="CK267" s="217"/>
      <c r="CL267" s="217">
        <f t="shared" si="641"/>
        <v>76.5</v>
      </c>
      <c r="CM267" s="541">
        <f t="shared" si="642"/>
        <v>85</v>
      </c>
      <c r="CN267" s="443">
        <f t="shared" si="643"/>
        <v>15.4</v>
      </c>
      <c r="CO267" s="443">
        <f t="shared" si="644"/>
        <v>100.4</v>
      </c>
      <c r="CP267" s="443"/>
      <c r="CQ267" s="217">
        <f t="shared" si="645"/>
        <v>0.15338645418326693</v>
      </c>
      <c r="CR267" s="172">
        <f t="shared" si="646"/>
        <v>327.33148655378488</v>
      </c>
      <c r="CS267" s="172">
        <f t="shared" si="647"/>
        <v>76.5</v>
      </c>
      <c r="CT267" s="217">
        <f t="shared" si="648"/>
        <v>21.822099103585661</v>
      </c>
      <c r="CU267" s="217">
        <f t="shared" si="649"/>
        <v>15</v>
      </c>
      <c r="CV267" s="217"/>
      <c r="CW267" s="172">
        <f t="shared" si="650"/>
        <v>331.7690241940806</v>
      </c>
      <c r="CX267" s="172">
        <f t="shared" si="651"/>
        <v>15</v>
      </c>
      <c r="CY267" s="217">
        <f t="shared" si="652"/>
        <v>11.735064935064935</v>
      </c>
      <c r="CZ267" s="217">
        <f t="shared" si="653"/>
        <v>1.6567150496562264</v>
      </c>
      <c r="DA267" s="217">
        <f t="shared" si="654"/>
        <v>9.144206442907743</v>
      </c>
      <c r="DB267" s="197">
        <f t="shared" si="655"/>
        <v>108.64873837981409</v>
      </c>
      <c r="DC267" s="443">
        <f t="shared" si="656"/>
        <v>92.584692953139481</v>
      </c>
      <c r="DE267" s="217">
        <f t="shared" si="657"/>
        <v>10</v>
      </c>
      <c r="DF267" s="173">
        <f t="shared" si="658"/>
        <v>7.7922077922077913</v>
      </c>
      <c r="DG267" s="173">
        <f t="shared" si="659"/>
        <v>4.2330677290836656</v>
      </c>
      <c r="DH267" s="173"/>
      <c r="DI267" s="173">
        <f t="shared" si="660"/>
        <v>7.7922077922077913</v>
      </c>
      <c r="DJ267" s="545">
        <f t="shared" si="661"/>
        <v>130.9</v>
      </c>
      <c r="DK267" s="528">
        <f t="shared" si="662"/>
        <v>4.2330677290836656</v>
      </c>
      <c r="DM267" s="173">
        <f t="shared" si="663"/>
        <v>6.1155539405682617</v>
      </c>
      <c r="DN267" s="173">
        <f t="shared" si="664"/>
        <v>11.735064935064935</v>
      </c>
      <c r="DO267" s="173">
        <f t="shared" si="665"/>
        <v>2.485233285233285</v>
      </c>
      <c r="DQ267" s="545">
        <f t="shared" si="666"/>
        <v>5100</v>
      </c>
      <c r="DR267" s="460">
        <f t="shared" si="667"/>
        <v>92.584692953139481</v>
      </c>
      <c r="DT267">
        <f t="shared" si="668"/>
        <v>5100</v>
      </c>
      <c r="DU267">
        <f t="shared" si="669"/>
        <v>92.584692953139481</v>
      </c>
      <c r="DW267" s="5">
        <f t="shared" si="670"/>
        <v>10.800921492563969</v>
      </c>
      <c r="DX267" s="5">
        <f t="shared" si="671"/>
        <v>1.6567150496562264</v>
      </c>
      <c r="DY267" s="5">
        <f t="shared" si="672"/>
        <v>9.144206442907743</v>
      </c>
      <c r="DZ267" s="5"/>
      <c r="EA267" s="173">
        <f t="shared" si="673"/>
        <v>0.15338645418326693</v>
      </c>
      <c r="EB267" s="173">
        <f t="shared" si="699"/>
        <v>76.5</v>
      </c>
      <c r="EC267" s="173">
        <f t="shared" si="700"/>
        <v>4.9675324675324681</v>
      </c>
      <c r="ED267" s="173">
        <f t="shared" si="701"/>
        <v>15.399999999999999</v>
      </c>
      <c r="EE267" s="460">
        <f t="shared" si="674"/>
        <v>56.3283116883117</v>
      </c>
      <c r="EF267" s="5">
        <f t="shared" si="675"/>
        <v>2.2860516107269357</v>
      </c>
      <c r="EH267" s="173">
        <f t="shared" si="702"/>
        <v>2.6534956116487098</v>
      </c>
      <c r="EI267" s="173">
        <f t="shared" si="703"/>
        <v>6.2340097355039399</v>
      </c>
      <c r="EK267" s="528">
        <f t="shared" si="704"/>
        <v>0.14082077922077921</v>
      </c>
      <c r="EL267" s="528">
        <f t="shared" si="705"/>
        <v>2.1816666666666666</v>
      </c>
      <c r="EM267" s="528">
        <f t="shared" si="706"/>
        <v>1.1573086619142433E-2</v>
      </c>
      <c r="EN267" s="528">
        <f t="shared" si="707"/>
        <v>9.3326851851851855E-2</v>
      </c>
      <c r="EO267">
        <f t="shared" si="708"/>
        <v>3.8249999999999999E-2</v>
      </c>
      <c r="EP267" s="460">
        <f t="shared" si="709"/>
        <v>49.823086619142437</v>
      </c>
      <c r="EQ267" s="460"/>
      <c r="ER267" s="460">
        <f t="shared" si="710"/>
        <v>2465.6373843584402</v>
      </c>
      <c r="ES267" s="528">
        <f t="shared" si="711"/>
        <v>3.5699999999999994</v>
      </c>
      <c r="EV267" s="460">
        <f t="shared" si="712"/>
        <v>3569.9999999999995</v>
      </c>
      <c r="EW267" s="528">
        <f t="shared" si="713"/>
        <v>0.21123116883116883</v>
      </c>
      <c r="EX267" s="528">
        <f t="shared" si="714"/>
        <v>1.1658863214707369</v>
      </c>
      <c r="EY267" s="528">
        <f t="shared" si="715"/>
        <v>1.9455021880180821</v>
      </c>
      <c r="EZ267" s="528"/>
      <c r="FA267" s="528">
        <f t="shared" si="716"/>
        <v>1.2750000000000001E-2</v>
      </c>
      <c r="FB267" s="460">
        <f t="shared" si="717"/>
        <v>3335.3696783199875</v>
      </c>
      <c r="FC267" s="173">
        <f t="shared" si="718"/>
        <v>9.3710070626784283</v>
      </c>
      <c r="FD267" s="5">
        <f t="shared" si="719"/>
        <v>76.5</v>
      </c>
      <c r="FE267" s="173">
        <f t="shared" si="720"/>
        <v>0.89087111723473322</v>
      </c>
      <c r="FF267" s="5">
        <f t="shared" si="721"/>
        <v>89.087111723473328</v>
      </c>
      <c r="FI267" s="562">
        <f t="shared" si="676"/>
        <v>-50</v>
      </c>
      <c r="FJ267">
        <f t="shared" si="677"/>
        <v>-50</v>
      </c>
      <c r="FL267">
        <f t="shared" si="760"/>
        <v>0.84661354581673309</v>
      </c>
    </row>
    <row r="268" spans="5:168">
      <c r="E268" s="170">
        <v>52</v>
      </c>
      <c r="F268" s="217">
        <f t="shared" si="761"/>
        <v>5.2</v>
      </c>
      <c r="G268" s="217"/>
      <c r="H268" s="217">
        <f t="shared" si="726"/>
        <v>78</v>
      </c>
      <c r="I268" s="541">
        <f t="shared" si="727"/>
        <v>84.691238293364222</v>
      </c>
      <c r="J268" s="172">
        <f t="shared" si="728"/>
        <v>15.585257023981464</v>
      </c>
      <c r="K268" s="172">
        <f t="shared" si="729"/>
        <v>100.27649531734569</v>
      </c>
      <c r="L268" s="443"/>
      <c r="M268" s="217">
        <f t="shared" si="730"/>
        <v>0.15541446560850863</v>
      </c>
      <c r="N268" s="172">
        <f t="shared" si="731"/>
        <v>330.45457690339197</v>
      </c>
      <c r="O268" s="172">
        <f t="shared" si="762"/>
        <v>78</v>
      </c>
      <c r="P268" s="217">
        <f t="shared" si="732"/>
        <v>22.030305126892799</v>
      </c>
      <c r="Q268" s="217">
        <f t="shared" si="733"/>
        <v>15</v>
      </c>
      <c r="R268" s="217"/>
      <c r="S268" s="172">
        <f t="shared" si="734"/>
        <v>322.58306286895129</v>
      </c>
      <c r="T268" s="172">
        <f t="shared" si="735"/>
        <v>15</v>
      </c>
      <c r="U268" s="217">
        <f t="shared" si="736"/>
        <v>12.313732092857846</v>
      </c>
      <c r="V268" s="217">
        <f t="shared" si="737"/>
        <v>1.7447470138817407</v>
      </c>
      <c r="W268" s="217">
        <f t="shared" si="738"/>
        <v>9.4810618064831651</v>
      </c>
      <c r="X268" s="197">
        <f t="shared" si="739"/>
        <v>109.69126848587803</v>
      </c>
      <c r="Y268" s="443">
        <f t="shared" si="680"/>
        <v>87.521156333163916</v>
      </c>
      <c r="AA268" s="217">
        <f t="shared" si="740"/>
        <v>10</v>
      </c>
      <c r="AB268" s="173">
        <f t="shared" si="741"/>
        <v>7.6995842811801367</v>
      </c>
      <c r="AC268" s="173">
        <f t="shared" si="742"/>
        <v>4.2228858330828825</v>
      </c>
      <c r="AD268" s="173"/>
      <c r="AE268" s="173">
        <f t="shared" si="743"/>
        <v>7.6995842811801367</v>
      </c>
      <c r="AF268" s="545">
        <f t="shared" si="744"/>
        <v>135.07222754117271</v>
      </c>
      <c r="AG268" s="528">
        <f t="shared" si="745"/>
        <v>4.2228858330828825</v>
      </c>
      <c r="AI268" s="173">
        <f t="shared" si="746"/>
        <v>6.2122512032083534</v>
      </c>
      <c r="AJ268" s="173">
        <f t="shared" si="747"/>
        <v>12.313732092857846</v>
      </c>
      <c r="AK268" s="173">
        <f t="shared" si="748"/>
        <v>2.9138756243391448</v>
      </c>
      <c r="AM268" s="545">
        <f t="shared" si="749"/>
        <v>5200</v>
      </c>
      <c r="AN268" s="460">
        <f t="shared" si="750"/>
        <v>87.521156333163916</v>
      </c>
      <c r="AP268">
        <f t="shared" si="751"/>
        <v>5200</v>
      </c>
      <c r="AQ268">
        <f t="shared" si="752"/>
        <v>87.521156333163916</v>
      </c>
      <c r="AS268" s="5">
        <f t="shared" si="763"/>
        <v>11.425808820364905</v>
      </c>
      <c r="AT268" s="5">
        <f t="shared" si="753"/>
        <v>1.7447470138817407</v>
      </c>
      <c r="AU268" s="5">
        <f t="shared" si="722"/>
        <v>9.6810618064831644</v>
      </c>
      <c r="AV268" s="5"/>
      <c r="AW268" s="173">
        <f t="shared" si="723"/>
        <v>0.15270227616376475</v>
      </c>
      <c r="AX268" s="173">
        <f t="shared" si="631"/>
        <v>79.62394633336848</v>
      </c>
      <c r="AY268" s="173">
        <f t="shared" si="632"/>
        <v>5.2166985871038269</v>
      </c>
      <c r="AZ268" s="173">
        <f t="shared" si="633"/>
        <v>15.263282898921249</v>
      </c>
      <c r="BA268" s="460">
        <f t="shared" si="724"/>
        <v>60.484563147900353</v>
      </c>
      <c r="BB268" s="5">
        <f t="shared" si="725"/>
        <v>2.47671829302918</v>
      </c>
      <c r="BD268" s="173">
        <f t="shared" si="681"/>
        <v>2.778125293137089</v>
      </c>
      <c r="BE268" s="173">
        <f t="shared" si="682"/>
        <v>6.5440572945121529</v>
      </c>
      <c r="BG268" s="528">
        <f t="shared" si="683"/>
        <v>0.15435960288736073</v>
      </c>
      <c r="BH268" s="528">
        <f t="shared" si="754"/>
        <v>2.0262973030424938</v>
      </c>
      <c r="BI268" s="528">
        <f t="shared" si="755"/>
        <v>0.18530687766806919</v>
      </c>
      <c r="BJ268" s="528">
        <f t="shared" si="684"/>
        <v>8.8005809227328882E-2</v>
      </c>
      <c r="BK268">
        <f t="shared" si="685"/>
        <v>3.8111057232013898E-2</v>
      </c>
      <c r="BL268" s="460">
        <f t="shared" si="686"/>
        <v>223.41793490008311</v>
      </c>
      <c r="BM268" s="528">
        <f t="shared" si="756"/>
        <v>2.3982994591192024</v>
      </c>
      <c r="BN268" s="460">
        <f t="shared" si="687"/>
        <v>2398.2994591192023</v>
      </c>
      <c r="BO268" s="528">
        <f t="shared" si="637"/>
        <v>3.6399999999999997</v>
      </c>
      <c r="BR268" s="460">
        <f t="shared" si="688"/>
        <v>3639.9999999999995</v>
      </c>
      <c r="BS268" s="528">
        <f t="shared" si="689"/>
        <v>0.23153940433104109</v>
      </c>
      <c r="BT268" s="528">
        <f t="shared" si="690"/>
        <v>1.2847405762157316</v>
      </c>
      <c r="BU268" s="528">
        <f t="shared" si="691"/>
        <v>1.9064563798565592</v>
      </c>
      <c r="BV268" s="528"/>
      <c r="BW268" s="528">
        <f t="shared" si="692"/>
        <v>1.3270657722228083E-2</v>
      </c>
      <c r="BX268" s="460">
        <f t="shared" si="693"/>
        <v>3436.0070181255596</v>
      </c>
      <c r="BY268" s="173">
        <f t="shared" si="694"/>
        <v>9.5680876681828266</v>
      </c>
      <c r="BZ268" s="5">
        <f t="shared" si="695"/>
        <v>78</v>
      </c>
      <c r="CA268" s="173">
        <f t="shared" si="696"/>
        <v>0.89073545028825252</v>
      </c>
      <c r="CB268" s="5">
        <f t="shared" si="697"/>
        <v>89.073545028825251</v>
      </c>
      <c r="CE268" s="562">
        <f t="shared" si="757"/>
        <v>-50</v>
      </c>
      <c r="CF268">
        <f t="shared" si="758"/>
        <v>-50</v>
      </c>
      <c r="CG268" s="173">
        <f t="shared" si="759"/>
        <v>0.84207333491230019</v>
      </c>
      <c r="CI268" s="170">
        <v>52</v>
      </c>
      <c r="CJ268" s="217">
        <f t="shared" si="698"/>
        <v>5.2</v>
      </c>
      <c r="CK268" s="217"/>
      <c r="CL268" s="217">
        <f t="shared" si="641"/>
        <v>78</v>
      </c>
      <c r="CM268" s="541">
        <f t="shared" si="642"/>
        <v>85</v>
      </c>
      <c r="CN268" s="443">
        <f t="shared" si="643"/>
        <v>15.4</v>
      </c>
      <c r="CO268" s="443">
        <f t="shared" si="644"/>
        <v>100.4</v>
      </c>
      <c r="CP268" s="443"/>
      <c r="CQ268" s="217">
        <f t="shared" si="645"/>
        <v>0.15338645418326693</v>
      </c>
      <c r="CR268" s="172">
        <f t="shared" si="646"/>
        <v>327.33148655378488</v>
      </c>
      <c r="CS268" s="172">
        <f t="shared" si="647"/>
        <v>78</v>
      </c>
      <c r="CT268" s="217">
        <f t="shared" si="648"/>
        <v>21.822099103585661</v>
      </c>
      <c r="CU268" s="217">
        <f t="shared" si="649"/>
        <v>15</v>
      </c>
      <c r="CV268" s="217"/>
      <c r="CW268" s="172">
        <f t="shared" si="650"/>
        <v>323.75873303960481</v>
      </c>
      <c r="CX268" s="172">
        <f t="shared" si="651"/>
        <v>15</v>
      </c>
      <c r="CY268" s="217">
        <f t="shared" si="652"/>
        <v>11.965164247517189</v>
      </c>
      <c r="CZ268" s="217">
        <f t="shared" si="653"/>
        <v>1.6891996584730151</v>
      </c>
      <c r="DA268" s="217">
        <f t="shared" si="654"/>
        <v>9.323504608454952</v>
      </c>
      <c r="DB268" s="197">
        <f t="shared" si="655"/>
        <v>108.64873837981409</v>
      </c>
      <c r="DC268" s="443">
        <f t="shared" si="656"/>
        <v>90.804218088656029</v>
      </c>
      <c r="DE268" s="217">
        <f t="shared" si="657"/>
        <v>10</v>
      </c>
      <c r="DF268" s="173">
        <f t="shared" si="658"/>
        <v>7.7922077922077913</v>
      </c>
      <c r="DG268" s="173">
        <f t="shared" si="659"/>
        <v>4.2330677290836656</v>
      </c>
      <c r="DH268" s="173"/>
      <c r="DI268" s="173">
        <f t="shared" si="660"/>
        <v>7.7922077922077913</v>
      </c>
      <c r="DJ268" s="545">
        <f t="shared" si="661"/>
        <v>133.4666666666667</v>
      </c>
      <c r="DK268" s="528">
        <f t="shared" si="662"/>
        <v>4.2330677290836656</v>
      </c>
      <c r="DM268" s="173">
        <f t="shared" si="663"/>
        <v>6.1752192943516864</v>
      </c>
      <c r="DN268" s="173">
        <f t="shared" si="664"/>
        <v>11.965164247517189</v>
      </c>
      <c r="DO268" s="173">
        <f t="shared" si="665"/>
        <v>2.6556772203831027</v>
      </c>
      <c r="DQ268" s="545">
        <f t="shared" si="666"/>
        <v>5200</v>
      </c>
      <c r="DR268" s="460">
        <f t="shared" si="667"/>
        <v>90.804218088656029</v>
      </c>
      <c r="DT268">
        <f t="shared" si="668"/>
        <v>5200</v>
      </c>
      <c r="DU268">
        <f t="shared" si="669"/>
        <v>90.804218088656029</v>
      </c>
      <c r="DW268" s="5">
        <f t="shared" si="670"/>
        <v>11.012704266927967</v>
      </c>
      <c r="DX268" s="5">
        <f t="shared" si="671"/>
        <v>1.6891996584730151</v>
      </c>
      <c r="DY268" s="5">
        <f t="shared" si="672"/>
        <v>9.323504608454952</v>
      </c>
      <c r="DZ268" s="5"/>
      <c r="EA268" s="173">
        <f t="shared" si="673"/>
        <v>0.15338645418326696</v>
      </c>
      <c r="EB268" s="173">
        <f t="shared" si="699"/>
        <v>78</v>
      </c>
      <c r="EC268" s="173">
        <f t="shared" si="700"/>
        <v>5.0649350649350646</v>
      </c>
      <c r="ED268" s="173">
        <f t="shared" si="701"/>
        <v>15.4</v>
      </c>
      <c r="EE268" s="460">
        <f t="shared" si="674"/>
        <v>58.558921493731191</v>
      </c>
      <c r="EF268" s="5">
        <f t="shared" si="675"/>
        <v>2.3765796060767523</v>
      </c>
      <c r="EH268" s="173">
        <f t="shared" si="702"/>
        <v>2.7055249373673123</v>
      </c>
      <c r="EI268" s="173">
        <f t="shared" si="703"/>
        <v>6.35624522051382</v>
      </c>
      <c r="EK268" s="528">
        <f t="shared" si="704"/>
        <v>0.14639730373432799</v>
      </c>
      <c r="EL268" s="528">
        <f t="shared" si="705"/>
        <v>2.1816666666666666</v>
      </c>
      <c r="EM268" s="528">
        <f t="shared" si="706"/>
        <v>1.1350527261082004E-2</v>
      </c>
      <c r="EN268" s="528">
        <f t="shared" si="707"/>
        <v>9.1532104700854711E-2</v>
      </c>
      <c r="EO268">
        <f t="shared" si="708"/>
        <v>3.8249999999999999E-2</v>
      </c>
      <c r="EP268" s="460">
        <f t="shared" si="709"/>
        <v>49.600527261082</v>
      </c>
      <c r="EQ268" s="460"/>
      <c r="ER268" s="460">
        <f t="shared" si="710"/>
        <v>2469.1966023629311</v>
      </c>
      <c r="ES268" s="528">
        <f t="shared" si="711"/>
        <v>3.6399999999999997</v>
      </c>
      <c r="EV268" s="460">
        <f t="shared" si="712"/>
        <v>3639.9999999999995</v>
      </c>
      <c r="EW268" s="528">
        <f t="shared" si="713"/>
        <v>0.21959595560149195</v>
      </c>
      <c r="EX268" s="528">
        <f t="shared" si="714"/>
        <v>1.2120555990991435</v>
      </c>
      <c r="EY268" s="528">
        <f t="shared" si="715"/>
        <v>1.9455021880180834</v>
      </c>
      <c r="EZ268" s="528"/>
      <c r="FA268" s="528">
        <f t="shared" si="716"/>
        <v>1.3000000000000001E-2</v>
      </c>
      <c r="FB268" s="460">
        <f t="shared" si="717"/>
        <v>3390.1537427187186</v>
      </c>
      <c r="FC268" s="173">
        <f t="shared" si="718"/>
        <v>9.4993503450816501</v>
      </c>
      <c r="FD268" s="5">
        <f t="shared" si="719"/>
        <v>78</v>
      </c>
      <c r="FE268" s="173">
        <f t="shared" si="720"/>
        <v>0.89143519000292082</v>
      </c>
      <c r="FF268" s="5">
        <f t="shared" si="721"/>
        <v>89.143519000292088</v>
      </c>
      <c r="FI268" s="562">
        <f t="shared" si="676"/>
        <v>-50</v>
      </c>
      <c r="FJ268">
        <f t="shared" si="677"/>
        <v>-50</v>
      </c>
      <c r="FL268">
        <f t="shared" si="760"/>
        <v>0.84661354581673298</v>
      </c>
    </row>
    <row r="269" spans="5:168">
      <c r="E269" s="170">
        <v>53</v>
      </c>
      <c r="F269" s="217">
        <f t="shared" si="761"/>
        <v>5.3000000000000007</v>
      </c>
      <c r="G269" s="217"/>
      <c r="H269" s="217">
        <f t="shared" si="726"/>
        <v>79.500000000000014</v>
      </c>
      <c r="I269" s="541">
        <f t="shared" si="727"/>
        <v>84.685332579441621</v>
      </c>
      <c r="J269" s="172">
        <f t="shared" si="728"/>
        <v>15.588800452335029</v>
      </c>
      <c r="K269" s="172">
        <f t="shared" si="729"/>
        <v>100.27413303177664</v>
      </c>
      <c r="L269" s="443"/>
      <c r="M269" s="217">
        <f t="shared" si="730"/>
        <v>0.1554534655547484</v>
      </c>
      <c r="N269" s="172">
        <f t="shared" si="731"/>
        <v>330.51445254907367</v>
      </c>
      <c r="O269" s="172">
        <f t="shared" si="762"/>
        <v>79.500000000000014</v>
      </c>
      <c r="P269" s="217">
        <f t="shared" si="732"/>
        <v>22.034296836604913</v>
      </c>
      <c r="Q269" s="217">
        <f t="shared" si="733"/>
        <v>15</v>
      </c>
      <c r="R269" s="217"/>
      <c r="S269" s="172">
        <f t="shared" si="734"/>
        <v>314.88122437084917</v>
      </c>
      <c r="T269" s="172">
        <f t="shared" si="735"/>
        <v>15</v>
      </c>
      <c r="U269" s="217">
        <f t="shared" si="736"/>
        <v>12.551114198772613</v>
      </c>
      <c r="V269" s="217">
        <f t="shared" si="737"/>
        <v>1.778505979698243</v>
      </c>
      <c r="W269" s="217">
        <f t="shared" si="738"/>
        <v>9.6616395113782563</v>
      </c>
      <c r="X269" s="197">
        <f t="shared" si="739"/>
        <v>109.71114142353073</v>
      </c>
      <c r="Y269" s="443">
        <f t="shared" si="680"/>
        <v>85.909579117083567</v>
      </c>
      <c r="AA269" s="217">
        <f t="shared" si="740"/>
        <v>10</v>
      </c>
      <c r="AB269" s="173">
        <f t="shared" si="741"/>
        <v>7.6978341192394533</v>
      </c>
      <c r="AC269" s="173">
        <f t="shared" si="742"/>
        <v>4.2226908385537989</v>
      </c>
      <c r="AD269" s="173"/>
      <c r="AE269" s="173">
        <f t="shared" si="743"/>
        <v>7.6978341192394533</v>
      </c>
      <c r="AF269" s="545">
        <f t="shared" si="744"/>
        <v>137.70107066229281</v>
      </c>
      <c r="AG269" s="528">
        <f t="shared" si="745"/>
        <v>4.2226908385537989</v>
      </c>
      <c r="AI269" s="173">
        <f t="shared" si="746"/>
        <v>6.2724128568174908</v>
      </c>
      <c r="AJ269" s="173">
        <f t="shared" si="747"/>
        <v>12.551114198772613</v>
      </c>
      <c r="AK269" s="173">
        <f t="shared" si="748"/>
        <v>3.0897142213130468</v>
      </c>
      <c r="AM269" s="545">
        <f t="shared" si="749"/>
        <v>5300.0000000000009</v>
      </c>
      <c r="AN269" s="460">
        <f t="shared" si="750"/>
        <v>85.909579117083567</v>
      </c>
      <c r="AP269">
        <f t="shared" si="751"/>
        <v>5300.0000000000009</v>
      </c>
      <c r="AQ269">
        <f t="shared" si="752"/>
        <v>85.909579117083567</v>
      </c>
      <c r="AS269" s="5">
        <f t="shared" si="763"/>
        <v>11.640145491076499</v>
      </c>
      <c r="AT269" s="5">
        <f t="shared" si="753"/>
        <v>1.778505979698243</v>
      </c>
      <c r="AU269" s="5">
        <f t="shared" si="722"/>
        <v>9.8616395113782556</v>
      </c>
      <c r="AV269" s="5"/>
      <c r="AW269" s="173">
        <f t="shared" si="723"/>
        <v>0.15279070017309243</v>
      </c>
      <c r="AX269" s="173">
        <f t="shared" si="631"/>
        <v>81.200257033589452</v>
      </c>
      <c r="AY269" s="173">
        <f t="shared" si="632"/>
        <v>5.316710336194852</v>
      </c>
      <c r="AZ269" s="173">
        <f t="shared" si="633"/>
        <v>15.272650172569707</v>
      </c>
      <c r="BA269" s="460">
        <f t="shared" si="724"/>
        <v>62.840544616004593</v>
      </c>
      <c r="BB269" s="5">
        <f t="shared" si="725"/>
        <v>2.5716126501439129</v>
      </c>
      <c r="BD269" s="173">
        <f t="shared" si="681"/>
        <v>2.8325012767210338</v>
      </c>
      <c r="BE269" s="173">
        <f t="shared" si="682"/>
        <v>6.6698644959437425</v>
      </c>
      <c r="BG269" s="528">
        <f t="shared" si="683"/>
        <v>0.16046126965252572</v>
      </c>
      <c r="BH269" s="528">
        <f t="shared" si="754"/>
        <v>2.0272815143766398</v>
      </c>
      <c r="BI269" s="528">
        <f t="shared" si="755"/>
        <v>0.18188203198225189</v>
      </c>
      <c r="BJ269" s="528">
        <f t="shared" si="684"/>
        <v>8.63812377859252E-2</v>
      </c>
      <c r="BK269">
        <f t="shared" si="685"/>
        <v>3.8108399660748728E-2</v>
      </c>
      <c r="BL269" s="460">
        <f t="shared" si="686"/>
        <v>219.99043164300062</v>
      </c>
      <c r="BM269" s="528">
        <f t="shared" si="756"/>
        <v>2.4093047481108174</v>
      </c>
      <c r="BN269" s="460">
        <f t="shared" si="687"/>
        <v>2409.3047481108174</v>
      </c>
      <c r="BO269" s="528">
        <f t="shared" si="637"/>
        <v>3.7100000000000004</v>
      </c>
      <c r="BR269" s="460">
        <f t="shared" si="688"/>
        <v>3710.0000000000005</v>
      </c>
      <c r="BS269" s="528">
        <f t="shared" si="689"/>
        <v>0.24069190447878858</v>
      </c>
      <c r="BT269" s="528">
        <f t="shared" si="690"/>
        <v>1.334612771827526</v>
      </c>
      <c r="BU269" s="528">
        <f t="shared" si="691"/>
        <v>1.9088846494614913</v>
      </c>
      <c r="BV269" s="528"/>
      <c r="BW269" s="528">
        <f t="shared" si="692"/>
        <v>1.3533376172264909E-2</v>
      </c>
      <c r="BX269" s="460">
        <f t="shared" si="693"/>
        <v>3497.7227019400707</v>
      </c>
      <c r="BY269" s="173">
        <f t="shared" si="694"/>
        <v>9.701837155398163</v>
      </c>
      <c r="BZ269" s="5">
        <f t="shared" si="695"/>
        <v>79.500000000000014</v>
      </c>
      <c r="CA269" s="173">
        <f t="shared" si="696"/>
        <v>0.89123724953672612</v>
      </c>
      <c r="CB269" s="5">
        <f t="shared" si="697"/>
        <v>89.123724953672607</v>
      </c>
      <c r="CE269" s="562">
        <f t="shared" si="757"/>
        <v>-50</v>
      </c>
      <c r="CF269">
        <f t="shared" si="758"/>
        <v>-50</v>
      </c>
      <c r="CG269" s="173">
        <f t="shared" si="759"/>
        <v>0.84215899926898774</v>
      </c>
      <c r="CI269" s="170">
        <v>53</v>
      </c>
      <c r="CJ269" s="217">
        <f t="shared" si="698"/>
        <v>5.3000000000000007</v>
      </c>
      <c r="CK269" s="217"/>
      <c r="CL269" s="217">
        <f t="shared" si="641"/>
        <v>79.500000000000014</v>
      </c>
      <c r="CM269" s="541">
        <f t="shared" si="642"/>
        <v>85</v>
      </c>
      <c r="CN269" s="443">
        <f t="shared" si="643"/>
        <v>15.4</v>
      </c>
      <c r="CO269" s="443">
        <f t="shared" si="644"/>
        <v>100.4</v>
      </c>
      <c r="CP269" s="443"/>
      <c r="CQ269" s="217">
        <f t="shared" si="645"/>
        <v>0.15338645418326693</v>
      </c>
      <c r="CR269" s="172">
        <f t="shared" si="646"/>
        <v>327.33148655378488</v>
      </c>
      <c r="CS269" s="172">
        <f t="shared" si="647"/>
        <v>79.500000000000014</v>
      </c>
      <c r="CT269" s="217">
        <f t="shared" si="648"/>
        <v>21.822099103585661</v>
      </c>
      <c r="CU269" s="217">
        <f t="shared" si="649"/>
        <v>15</v>
      </c>
      <c r="CV269" s="217"/>
      <c r="CW269" s="172">
        <f t="shared" si="650"/>
        <v>316.0508378758928</v>
      </c>
      <c r="CX269" s="172">
        <f t="shared" si="651"/>
        <v>15</v>
      </c>
      <c r="CY269" s="217">
        <f t="shared" si="652"/>
        <v>12.195263559969444</v>
      </c>
      <c r="CZ269" s="217">
        <f t="shared" si="653"/>
        <v>1.7216842672898038</v>
      </c>
      <c r="DA269" s="217">
        <f t="shared" si="654"/>
        <v>9.5028027740021628</v>
      </c>
      <c r="DB269" s="197">
        <f t="shared" si="655"/>
        <v>108.64873837981409</v>
      </c>
      <c r="DC269" s="443">
        <f t="shared" si="656"/>
        <v>89.090930954907805</v>
      </c>
      <c r="DE269" s="217">
        <f t="shared" si="657"/>
        <v>10</v>
      </c>
      <c r="DF269" s="173">
        <f t="shared" si="658"/>
        <v>7.7922077922077913</v>
      </c>
      <c r="DG269" s="173">
        <f t="shared" si="659"/>
        <v>4.2330677290836656</v>
      </c>
      <c r="DH269" s="173"/>
      <c r="DI269" s="173">
        <f t="shared" si="660"/>
        <v>7.7922077922077913</v>
      </c>
      <c r="DJ269" s="545">
        <f t="shared" si="661"/>
        <v>136.03333333333333</v>
      </c>
      <c r="DK269" s="528">
        <f t="shared" si="662"/>
        <v>4.2330677290836656</v>
      </c>
      <c r="DM269" s="173">
        <f t="shared" si="663"/>
        <v>6.2343136484032202</v>
      </c>
      <c r="DN269" s="173">
        <f t="shared" si="664"/>
        <v>12.195263559969444</v>
      </c>
      <c r="DO269" s="173">
        <f t="shared" si="665"/>
        <v>2.8261211555329213</v>
      </c>
      <c r="DQ269" s="545">
        <f t="shared" si="666"/>
        <v>5300.0000000000009</v>
      </c>
      <c r="DR269" s="460">
        <f t="shared" si="667"/>
        <v>89.090930954907805</v>
      </c>
      <c r="DT269">
        <f t="shared" si="668"/>
        <v>5300.0000000000009</v>
      </c>
      <c r="DU269">
        <f t="shared" si="669"/>
        <v>89.090930954907805</v>
      </c>
      <c r="DW269" s="5">
        <f t="shared" si="670"/>
        <v>11.224487041291967</v>
      </c>
      <c r="DX269" s="5">
        <f t="shared" si="671"/>
        <v>1.7216842672898038</v>
      </c>
      <c r="DY269" s="5">
        <f t="shared" si="672"/>
        <v>9.5028027740021628</v>
      </c>
      <c r="DZ269" s="5"/>
      <c r="EA269" s="173">
        <f t="shared" si="673"/>
        <v>0.15338645418326693</v>
      </c>
      <c r="EB269" s="173">
        <f t="shared" si="699"/>
        <v>79.500000000000028</v>
      </c>
      <c r="EC269" s="173">
        <f t="shared" si="700"/>
        <v>5.1623376623376629</v>
      </c>
      <c r="ED269" s="173">
        <f t="shared" si="701"/>
        <v>15.400000000000004</v>
      </c>
      <c r="EE269" s="460">
        <f t="shared" si="674"/>
        <v>60.832844110906414</v>
      </c>
      <c r="EF269" s="5">
        <f t="shared" si="675"/>
        <v>2.4688654265789935</v>
      </c>
      <c r="EH269" s="173">
        <f t="shared" si="702"/>
        <v>2.7575542630859147</v>
      </c>
      <c r="EI269" s="173">
        <f t="shared" si="703"/>
        <v>6.4784807055237037</v>
      </c>
      <c r="EK269" s="528">
        <f t="shared" si="704"/>
        <v>0.15208211027726604</v>
      </c>
      <c r="EL269" s="528">
        <f t="shared" si="705"/>
        <v>2.1816666666666671</v>
      </c>
      <c r="EM269" s="528">
        <f t="shared" si="706"/>
        <v>1.1136366369363474E-2</v>
      </c>
      <c r="EN269" s="528">
        <f t="shared" si="707"/>
        <v>8.9805083857442361E-2</v>
      </c>
      <c r="EO269">
        <f t="shared" si="708"/>
        <v>3.8249999999999999E-2</v>
      </c>
      <c r="EP269" s="460">
        <f t="shared" si="709"/>
        <v>49.386366369363472</v>
      </c>
      <c r="EQ269" s="460"/>
      <c r="ER269" s="460">
        <f t="shared" si="710"/>
        <v>2472.940227170739</v>
      </c>
      <c r="ES269" s="528">
        <f t="shared" si="711"/>
        <v>3.7100000000000004</v>
      </c>
      <c r="EV269" s="460">
        <f t="shared" si="712"/>
        <v>3710.0000000000005</v>
      </c>
      <c r="EW269" s="528">
        <f t="shared" si="713"/>
        <v>0.22812316541589905</v>
      </c>
      <c r="EX269" s="528">
        <f t="shared" si="714"/>
        <v>1.259121367555287</v>
      </c>
      <c r="EY269" s="528">
        <f t="shared" si="715"/>
        <v>1.9455021880180849</v>
      </c>
      <c r="EZ269" s="528"/>
      <c r="FA269" s="528">
        <f t="shared" si="716"/>
        <v>1.3250000000000005E-2</v>
      </c>
      <c r="FB269" s="460">
        <f t="shared" si="717"/>
        <v>3445.9967209892711</v>
      </c>
      <c r="FC269" s="173">
        <f t="shared" si="718"/>
        <v>9.6289369481600104</v>
      </c>
      <c r="FD269" s="5">
        <f t="shared" si="719"/>
        <v>79.500000000000014</v>
      </c>
      <c r="FE269" s="173">
        <f t="shared" si="720"/>
        <v>0.89196620897923995</v>
      </c>
      <c r="FF269" s="5">
        <f t="shared" si="721"/>
        <v>89.196620897923992</v>
      </c>
      <c r="FI269" s="562">
        <f t="shared" si="676"/>
        <v>-50</v>
      </c>
      <c r="FJ269">
        <f t="shared" si="677"/>
        <v>-50</v>
      </c>
      <c r="FL269">
        <f t="shared" si="760"/>
        <v>0.84661354581673309</v>
      </c>
    </row>
    <row r="270" spans="5:168">
      <c r="E270" s="170">
        <v>54</v>
      </c>
      <c r="F270" s="217">
        <f t="shared" si="761"/>
        <v>5.4</v>
      </c>
      <c r="G270" s="217"/>
      <c r="H270" s="217">
        <f t="shared" si="726"/>
        <v>81</v>
      </c>
      <c r="I270" s="541">
        <f t="shared" si="727"/>
        <v>84.679426859248466</v>
      </c>
      <c r="J270" s="172">
        <f t="shared" si="728"/>
        <v>15.592343884450919</v>
      </c>
      <c r="K270" s="172">
        <f t="shared" si="729"/>
        <v>100.27177074369939</v>
      </c>
      <c r="L270" s="443"/>
      <c r="M270" s="217">
        <f t="shared" si="730"/>
        <v>0.15549246734823785</v>
      </c>
      <c r="N270" s="172">
        <f t="shared" si="731"/>
        <v>330.57432053242746</v>
      </c>
      <c r="O270" s="172">
        <f t="shared" si="762"/>
        <v>81</v>
      </c>
      <c r="P270" s="217">
        <f t="shared" si="732"/>
        <v>22.038288035495164</v>
      </c>
      <c r="Q270" s="217">
        <f t="shared" si="733"/>
        <v>15</v>
      </c>
      <c r="R270" s="217"/>
      <c r="S270" s="172">
        <f t="shared" si="734"/>
        <v>307.46497826149914</v>
      </c>
      <c r="T270" s="172">
        <f t="shared" si="735"/>
        <v>15</v>
      </c>
      <c r="U270" s="217">
        <f t="shared" si="736"/>
        <v>12.788518257602622</v>
      </c>
      <c r="V270" s="217">
        <f t="shared" si="737"/>
        <v>1.8122727654535458</v>
      </c>
      <c r="W270" s="217">
        <f t="shared" si="738"/>
        <v>9.8421520349014298</v>
      </c>
      <c r="X270" s="197">
        <f t="shared" si="739"/>
        <v>109.73101184035357</v>
      </c>
      <c r="Y270" s="443">
        <f t="shared" si="680"/>
        <v>84.356686793445732</v>
      </c>
      <c r="AA270" s="217">
        <f t="shared" si="740"/>
        <v>10</v>
      </c>
      <c r="AB270" s="173">
        <f t="shared" si="741"/>
        <v>7.69608475090567</v>
      </c>
      <c r="AC270" s="173">
        <f t="shared" si="742"/>
        <v>4.2224958346299735</v>
      </c>
      <c r="AD270" s="173"/>
      <c r="AE270" s="173">
        <f t="shared" si="743"/>
        <v>7.69608475090567</v>
      </c>
      <c r="AF270" s="545">
        <f t="shared" si="744"/>
        <v>140.33109496005829</v>
      </c>
      <c r="AG270" s="528">
        <f t="shared" si="745"/>
        <v>4.2224958346299735</v>
      </c>
      <c r="AI270" s="173">
        <f t="shared" si="746"/>
        <v>6.3320295766852395</v>
      </c>
      <c r="AJ270" s="173">
        <f t="shared" si="747"/>
        <v>12.788518257602622</v>
      </c>
      <c r="AK270" s="173">
        <f t="shared" si="748"/>
        <v>3.2655690797056458</v>
      </c>
      <c r="AM270" s="545">
        <f t="shared" si="749"/>
        <v>5400</v>
      </c>
      <c r="AN270" s="460">
        <f t="shared" si="750"/>
        <v>84.356686793445732</v>
      </c>
      <c r="AP270">
        <f t="shared" si="751"/>
        <v>5400</v>
      </c>
      <c r="AQ270">
        <f t="shared" si="752"/>
        <v>84.356686793445732</v>
      </c>
      <c r="AS270" s="5">
        <f t="shared" si="763"/>
        <v>11.854424800354973</v>
      </c>
      <c r="AT270" s="5">
        <f t="shared" si="753"/>
        <v>1.8122727654535458</v>
      </c>
      <c r="AU270" s="5">
        <f t="shared" si="722"/>
        <v>10.042152034901427</v>
      </c>
      <c r="AV270" s="5"/>
      <c r="AW270" s="173">
        <f t="shared" si="723"/>
        <v>0.15287732605965651</v>
      </c>
      <c r="AX270" s="173">
        <f t="shared" si="631"/>
        <v>82.777293025708843</v>
      </c>
      <c r="AY270" s="173">
        <f t="shared" si="632"/>
        <v>5.4167218910576178</v>
      </c>
      <c r="AZ270" s="173">
        <f t="shared" si="633"/>
        <v>15.281805987190259</v>
      </c>
      <c r="BA270" s="460">
        <f t="shared" si="724"/>
        <v>65.241819556327656</v>
      </c>
      <c r="BB270" s="5">
        <f t="shared" si="725"/>
        <v>2.6682799962834731</v>
      </c>
      <c r="BD270" s="173">
        <f t="shared" si="681"/>
        <v>2.88689600463562</v>
      </c>
      <c r="BE270" s="173">
        <f t="shared" si="682"/>
        <v>6.7956773908196544</v>
      </c>
      <c r="BG270" s="528">
        <f t="shared" si="683"/>
        <v>0.1666833708316221</v>
      </c>
      <c r="BH270" s="528">
        <f t="shared" si="754"/>
        <v>2.0282416573465021</v>
      </c>
      <c r="BI270" s="528">
        <f t="shared" si="755"/>
        <v>0.17858189723535298</v>
      </c>
      <c r="BJ270" s="528">
        <f t="shared" si="684"/>
        <v>8.4815823436460075E-2</v>
      </c>
      <c r="BK270">
        <f t="shared" si="685"/>
        <v>3.8105742086661808E-2</v>
      </c>
      <c r="BL270" s="460">
        <f t="shared" si="686"/>
        <v>216.6876393220148</v>
      </c>
      <c r="BM270" s="528">
        <f t="shared" si="756"/>
        <v>2.4206111713098939</v>
      </c>
      <c r="BN270" s="460">
        <f t="shared" si="687"/>
        <v>2420.611171309894</v>
      </c>
      <c r="BO270" s="528">
        <f t="shared" si="637"/>
        <v>3.78</v>
      </c>
      <c r="BR270" s="460">
        <f t="shared" si="688"/>
        <v>3780</v>
      </c>
      <c r="BS270" s="528">
        <f t="shared" si="689"/>
        <v>0.25002505624743315</v>
      </c>
      <c r="BT270" s="528">
        <f t="shared" si="690"/>
        <v>1.3854369360029228</v>
      </c>
      <c r="BU270" s="528">
        <f t="shared" si="691"/>
        <v>1.9112581876104444</v>
      </c>
      <c r="BV270" s="528"/>
      <c r="BW270" s="528">
        <f t="shared" si="692"/>
        <v>1.3796215504284805E-2</v>
      </c>
      <c r="BX270" s="460">
        <f t="shared" si="693"/>
        <v>3560.5163953650854</v>
      </c>
      <c r="BY270" s="173">
        <f t="shared" si="694"/>
        <v>9.8369448863016853</v>
      </c>
      <c r="BZ270" s="5">
        <f t="shared" si="695"/>
        <v>81</v>
      </c>
      <c r="CA270" s="173">
        <f t="shared" si="696"/>
        <v>0.89170766477654728</v>
      </c>
      <c r="CB270" s="5">
        <f t="shared" si="697"/>
        <v>89.170766477654723</v>
      </c>
      <c r="CE270" s="562">
        <f t="shared" si="757"/>
        <v>-50</v>
      </c>
      <c r="CF270">
        <f t="shared" si="758"/>
        <v>-50</v>
      </c>
      <c r="CG270" s="173">
        <f t="shared" si="759"/>
        <v>0.84224149087172362</v>
      </c>
      <c r="CI270" s="170">
        <v>54</v>
      </c>
      <c r="CJ270" s="217">
        <f t="shared" si="698"/>
        <v>5.4</v>
      </c>
      <c r="CK270" s="217"/>
      <c r="CL270" s="217">
        <f t="shared" si="641"/>
        <v>81</v>
      </c>
      <c r="CM270" s="541">
        <f t="shared" si="642"/>
        <v>85</v>
      </c>
      <c r="CN270" s="443">
        <f t="shared" si="643"/>
        <v>15.4</v>
      </c>
      <c r="CO270" s="443">
        <f t="shared" si="644"/>
        <v>100.4</v>
      </c>
      <c r="CP270" s="443"/>
      <c r="CQ270" s="217">
        <f t="shared" si="645"/>
        <v>0.15338645418326693</v>
      </c>
      <c r="CR270" s="172">
        <f t="shared" si="646"/>
        <v>327.33148655378488</v>
      </c>
      <c r="CS270" s="172">
        <f t="shared" si="647"/>
        <v>81</v>
      </c>
      <c r="CT270" s="217">
        <f t="shared" si="648"/>
        <v>21.822099103585661</v>
      </c>
      <c r="CU270" s="217">
        <f t="shared" si="649"/>
        <v>15</v>
      </c>
      <c r="CV270" s="217"/>
      <c r="CW270" s="172">
        <f t="shared" si="650"/>
        <v>308.62854071880105</v>
      </c>
      <c r="CX270" s="172">
        <f t="shared" si="651"/>
        <v>15</v>
      </c>
      <c r="CY270" s="217">
        <f t="shared" si="652"/>
        <v>12.425362872421696</v>
      </c>
      <c r="CZ270" s="217">
        <f t="shared" si="653"/>
        <v>1.7541688761065926</v>
      </c>
      <c r="DA270" s="217">
        <f t="shared" si="654"/>
        <v>9.6821009395493736</v>
      </c>
      <c r="DB270" s="197">
        <f t="shared" si="655"/>
        <v>108.64873837981409</v>
      </c>
      <c r="DC270" s="443">
        <f t="shared" si="656"/>
        <v>87.441098900187299</v>
      </c>
      <c r="DE270" s="217">
        <f t="shared" si="657"/>
        <v>10</v>
      </c>
      <c r="DF270" s="173">
        <f t="shared" si="658"/>
        <v>7.7922077922077913</v>
      </c>
      <c r="DG270" s="173">
        <f t="shared" si="659"/>
        <v>4.2330677290836656</v>
      </c>
      <c r="DH270" s="173"/>
      <c r="DI270" s="173">
        <f t="shared" si="660"/>
        <v>7.7922077922077913</v>
      </c>
      <c r="DJ270" s="545">
        <f t="shared" si="661"/>
        <v>138.6</v>
      </c>
      <c r="DK270" s="528">
        <f t="shared" si="662"/>
        <v>4.2330677290836656</v>
      </c>
      <c r="DM270" s="173">
        <f t="shared" si="663"/>
        <v>6.2928530890209098</v>
      </c>
      <c r="DN270" s="173">
        <f t="shared" si="664"/>
        <v>12.425362872421696</v>
      </c>
      <c r="DO270" s="173">
        <f t="shared" si="665"/>
        <v>2.9965650906827372</v>
      </c>
      <c r="DQ270" s="545">
        <f t="shared" si="666"/>
        <v>5400</v>
      </c>
      <c r="DR270" s="460">
        <f t="shared" si="667"/>
        <v>87.441098900187299</v>
      </c>
      <c r="DT270">
        <f t="shared" si="668"/>
        <v>5400</v>
      </c>
      <c r="DU270">
        <f t="shared" si="669"/>
        <v>87.441098900187299</v>
      </c>
      <c r="DW270" s="5">
        <f t="shared" si="670"/>
        <v>11.436269815655965</v>
      </c>
      <c r="DX270" s="5">
        <f t="shared" si="671"/>
        <v>1.7541688761065926</v>
      </c>
      <c r="DY270" s="5">
        <f t="shared" si="672"/>
        <v>9.6821009395493718</v>
      </c>
      <c r="DZ270" s="5"/>
      <c r="EA270" s="173">
        <f t="shared" si="673"/>
        <v>0.15338645418326696</v>
      </c>
      <c r="EB270" s="173">
        <f t="shared" si="699"/>
        <v>81</v>
      </c>
      <c r="EC270" s="173">
        <f t="shared" si="700"/>
        <v>5.2597402597402594</v>
      </c>
      <c r="ED270" s="173">
        <f t="shared" si="701"/>
        <v>15.4</v>
      </c>
      <c r="EE270" s="460">
        <f t="shared" si="674"/>
        <v>63.150079539837328</v>
      </c>
      <c r="EF270" s="5">
        <f t="shared" si="675"/>
        <v>2.5629090722336572</v>
      </c>
      <c r="EH270" s="173">
        <f t="shared" si="702"/>
        <v>2.8095835888045166</v>
      </c>
      <c r="EI270" s="173">
        <f t="shared" si="703"/>
        <v>6.6007161905335821</v>
      </c>
      <c r="EK270" s="528">
        <f t="shared" si="704"/>
        <v>0.15787519884959333</v>
      </c>
      <c r="EL270" s="528">
        <f t="shared" si="705"/>
        <v>2.1816666666666671</v>
      </c>
      <c r="EM270" s="528">
        <f t="shared" si="706"/>
        <v>1.0930137362523412E-2</v>
      </c>
      <c r="EN270" s="528">
        <f t="shared" si="707"/>
        <v>8.8142026748971217E-2</v>
      </c>
      <c r="EO270">
        <f t="shared" si="708"/>
        <v>3.8249999999999999E-2</v>
      </c>
      <c r="EP270" s="460">
        <f t="shared" si="709"/>
        <v>49.180137362523411</v>
      </c>
      <c r="EQ270" s="460"/>
      <c r="ER270" s="460">
        <f t="shared" si="710"/>
        <v>2476.8640296277554</v>
      </c>
      <c r="ES270" s="528">
        <f t="shared" si="711"/>
        <v>3.78</v>
      </c>
      <c r="EV270" s="460">
        <f t="shared" si="712"/>
        <v>3780</v>
      </c>
      <c r="EW270" s="528">
        <f t="shared" si="713"/>
        <v>0.23681279827439</v>
      </c>
      <c r="EX270" s="528">
        <f t="shared" si="714"/>
        <v>1.307083626839165</v>
      </c>
      <c r="EY270" s="528">
        <f t="shared" si="715"/>
        <v>1.9455021880180872</v>
      </c>
      <c r="EZ270" s="528"/>
      <c r="FA270" s="528">
        <f t="shared" si="716"/>
        <v>1.3500000000000002E-2</v>
      </c>
      <c r="FB270" s="460">
        <f t="shared" si="717"/>
        <v>3502.8986131316419</v>
      </c>
      <c r="FC270" s="173">
        <f t="shared" si="718"/>
        <v>9.759762642759398</v>
      </c>
      <c r="FD270" s="5">
        <f t="shared" si="719"/>
        <v>81</v>
      </c>
      <c r="FE270" s="173">
        <f t="shared" si="720"/>
        <v>0.8924659743638278</v>
      </c>
      <c r="FF270" s="5">
        <f t="shared" si="721"/>
        <v>89.246597436382785</v>
      </c>
      <c r="FI270" s="562">
        <f t="shared" si="676"/>
        <v>-50</v>
      </c>
      <c r="FJ270">
        <f t="shared" si="677"/>
        <v>-50</v>
      </c>
      <c r="FL270">
        <f t="shared" si="760"/>
        <v>0.84661354581673298</v>
      </c>
    </row>
    <row r="271" spans="5:168">
      <c r="E271" s="170">
        <v>55</v>
      </c>
      <c r="F271" s="217">
        <f t="shared" si="761"/>
        <v>5.5</v>
      </c>
      <c r="G271" s="217"/>
      <c r="H271" s="217">
        <f t="shared" si="726"/>
        <v>82.5</v>
      </c>
      <c r="I271" s="541">
        <f t="shared" si="727"/>
        <v>84.673521133128546</v>
      </c>
      <c r="J271" s="172">
        <f t="shared" si="728"/>
        <v>15.59588732012287</v>
      </c>
      <c r="K271" s="172">
        <f t="shared" si="729"/>
        <v>100.26940845325142</v>
      </c>
      <c r="L271" s="443"/>
      <c r="M271" s="217">
        <f t="shared" si="730"/>
        <v>0.15553147098858161</v>
      </c>
      <c r="N271" s="172">
        <f t="shared" si="731"/>
        <v>330.63418085311525</v>
      </c>
      <c r="O271" s="172">
        <f t="shared" si="762"/>
        <v>82.5</v>
      </c>
      <c r="P271" s="217">
        <f t="shared" si="732"/>
        <v>22.042278723541017</v>
      </c>
      <c r="Q271" s="217">
        <f t="shared" si="733"/>
        <v>15</v>
      </c>
      <c r="R271" s="217"/>
      <c r="S271" s="172">
        <f t="shared" si="734"/>
        <v>300.31874857143322</v>
      </c>
      <c r="T271" s="172">
        <f t="shared" si="735"/>
        <v>15</v>
      </c>
      <c r="U271" s="217">
        <f t="shared" si="736"/>
        <v>13.025944273941395</v>
      </c>
      <c r="V271" s="217">
        <f t="shared" si="737"/>
        <v>1.8460473734349034</v>
      </c>
      <c r="W271" s="217">
        <f t="shared" si="738"/>
        <v>10.022599425017214</v>
      </c>
      <c r="X271" s="197">
        <f t="shared" si="739"/>
        <v>109.7508797350024</v>
      </c>
      <c r="Y271" s="443">
        <f t="shared" si="680"/>
        <v>82.859331016983319</v>
      </c>
      <c r="AA271" s="217">
        <f t="shared" si="740"/>
        <v>10</v>
      </c>
      <c r="AB271" s="173">
        <f t="shared" si="741"/>
        <v>7.6943361757408866</v>
      </c>
      <c r="AC271" s="173">
        <f t="shared" si="742"/>
        <v>4.2223008213220821</v>
      </c>
      <c r="AD271" s="173"/>
      <c r="AE271" s="173">
        <f t="shared" si="743"/>
        <v>7.6943361757408866</v>
      </c>
      <c r="AF271" s="545">
        <f t="shared" si="744"/>
        <v>142.96230043445965</v>
      </c>
      <c r="AG271" s="528">
        <f t="shared" si="745"/>
        <v>4.2223008213220812</v>
      </c>
      <c r="AI271" s="173">
        <f t="shared" si="746"/>
        <v>6.3911166123536471</v>
      </c>
      <c r="AJ271" s="173">
        <f t="shared" si="747"/>
        <v>13.025944273941395</v>
      </c>
      <c r="AK271" s="173">
        <f t="shared" si="748"/>
        <v>3.4414402029195514</v>
      </c>
      <c r="AM271" s="545">
        <f t="shared" si="749"/>
        <v>5500</v>
      </c>
      <c r="AN271" s="460">
        <f t="shared" si="750"/>
        <v>82.859331016983319</v>
      </c>
      <c r="AP271">
        <f t="shared" si="751"/>
        <v>5500</v>
      </c>
      <c r="AQ271">
        <f t="shared" si="752"/>
        <v>82.859331016983319</v>
      </c>
      <c r="AS271" s="5">
        <f t="shared" si="763"/>
        <v>12.068646798452118</v>
      </c>
      <c r="AT271" s="5">
        <f t="shared" si="753"/>
        <v>1.8460473734349034</v>
      </c>
      <c r="AU271" s="5">
        <f t="shared" si="722"/>
        <v>10.222599425017215</v>
      </c>
      <c r="AV271" s="5"/>
      <c r="AW271" s="173">
        <f t="shared" si="723"/>
        <v>0.15296225038847527</v>
      </c>
      <c r="AX271" s="173">
        <f t="shared" si="631"/>
        <v>84.355053418046126</v>
      </c>
      <c r="AY271" s="173">
        <f t="shared" si="632"/>
        <v>5.516733262182222</v>
      </c>
      <c r="AZ271" s="173">
        <f t="shared" si="633"/>
        <v>15.290761653514908</v>
      </c>
      <c r="BA271" s="460">
        <f t="shared" si="724"/>
        <v>67.688403692613122</v>
      </c>
      <c r="BB271" s="5">
        <f t="shared" si="725"/>
        <v>2.7667197531758303</v>
      </c>
      <c r="BD271" s="173">
        <f t="shared" si="681"/>
        <v>2.9413094664937645</v>
      </c>
      <c r="BE271" s="173">
        <f t="shared" si="682"/>
        <v>6.9214959870143948</v>
      </c>
      <c r="BG271" s="528">
        <f t="shared" si="683"/>
        <v>0.17302602755371665</v>
      </c>
      <c r="BH271" s="528">
        <f t="shared" si="754"/>
        <v>2.0291790196716133</v>
      </c>
      <c r="BI271" s="528">
        <f t="shared" si="755"/>
        <v>0.17539978289858574</v>
      </c>
      <c r="BJ271" s="528">
        <f t="shared" si="684"/>
        <v>8.3306392501721505E-2</v>
      </c>
      <c r="BK271">
        <f t="shared" si="685"/>
        <v>3.8103084509907847E-2</v>
      </c>
      <c r="BL271" s="460">
        <f t="shared" si="686"/>
        <v>213.50286740849359</v>
      </c>
      <c r="BM271" s="528">
        <f t="shared" si="756"/>
        <v>2.4322194003768991</v>
      </c>
      <c r="BN271" s="460">
        <f t="shared" si="687"/>
        <v>2432.2194003768991</v>
      </c>
      <c r="BO271" s="528">
        <f t="shared" si="637"/>
        <v>3.8499999999999996</v>
      </c>
      <c r="BR271" s="460">
        <f t="shared" si="688"/>
        <v>3849.9999999999995</v>
      </c>
      <c r="BS271" s="528">
        <f t="shared" si="689"/>
        <v>0.25953904133057498</v>
      </c>
      <c r="BT271" s="528">
        <f t="shared" si="690"/>
        <v>1.437213200947691</v>
      </c>
      <c r="BU271" s="528">
        <f t="shared" si="691"/>
        <v>1.9135799001124478</v>
      </c>
      <c r="BV271" s="528"/>
      <c r="BW271" s="528">
        <f t="shared" si="692"/>
        <v>1.4059175569674355E-2</v>
      </c>
      <c r="BX271" s="460">
        <f t="shared" si="693"/>
        <v>3624.3913179603883</v>
      </c>
      <c r="BY271" s="173">
        <f t="shared" si="694"/>
        <v>9.973405625095932</v>
      </c>
      <c r="BZ271" s="5">
        <f t="shared" si="695"/>
        <v>82.5</v>
      </c>
      <c r="CA271" s="173">
        <f t="shared" si="696"/>
        <v>0.89214839058128836</v>
      </c>
      <c r="CB271" s="5">
        <f t="shared" si="697"/>
        <v>89.214839058128831</v>
      </c>
      <c r="CE271" s="562">
        <f t="shared" si="757"/>
        <v>-50</v>
      </c>
      <c r="CF271">
        <f t="shared" si="758"/>
        <v>-50</v>
      </c>
      <c r="CG271" s="173">
        <f t="shared" si="759"/>
        <v>0.84232098277981482</v>
      </c>
      <c r="CI271" s="170">
        <v>55</v>
      </c>
      <c r="CJ271" s="217">
        <f t="shared" si="698"/>
        <v>5.5</v>
      </c>
      <c r="CK271" s="217"/>
      <c r="CL271" s="217">
        <f t="shared" si="641"/>
        <v>82.5</v>
      </c>
      <c r="CM271" s="541">
        <f t="shared" si="642"/>
        <v>85</v>
      </c>
      <c r="CN271" s="443">
        <f t="shared" si="643"/>
        <v>15.4</v>
      </c>
      <c r="CO271" s="443">
        <f t="shared" si="644"/>
        <v>100.4</v>
      </c>
      <c r="CP271" s="443"/>
      <c r="CQ271" s="217">
        <f t="shared" si="645"/>
        <v>0.15338645418326693</v>
      </c>
      <c r="CR271" s="172">
        <f t="shared" si="646"/>
        <v>327.33148655378488</v>
      </c>
      <c r="CS271" s="172">
        <f t="shared" si="647"/>
        <v>82.5</v>
      </c>
      <c r="CT271" s="217">
        <f t="shared" si="648"/>
        <v>21.822099103585661</v>
      </c>
      <c r="CU271" s="217">
        <f t="shared" si="649"/>
        <v>15</v>
      </c>
      <c r="CV271" s="217"/>
      <c r="CW271" s="172">
        <f t="shared" si="650"/>
        <v>301.47626529114478</v>
      </c>
      <c r="CX271" s="172">
        <f t="shared" si="651"/>
        <v>15</v>
      </c>
      <c r="CY271" s="217">
        <f t="shared" si="652"/>
        <v>12.655462184873949</v>
      </c>
      <c r="CZ271" s="217">
        <f t="shared" si="653"/>
        <v>1.7866534849233811</v>
      </c>
      <c r="DA271" s="217">
        <f t="shared" si="654"/>
        <v>9.8613991050965843</v>
      </c>
      <c r="DB271" s="197">
        <f t="shared" si="655"/>
        <v>108.64873837981409</v>
      </c>
      <c r="DC271" s="443">
        <f t="shared" si="656"/>
        <v>85.851260738365696</v>
      </c>
      <c r="DE271" s="217">
        <f t="shared" si="657"/>
        <v>10</v>
      </c>
      <c r="DF271" s="173">
        <f t="shared" si="658"/>
        <v>7.7922077922077913</v>
      </c>
      <c r="DG271" s="173">
        <f t="shared" si="659"/>
        <v>4.2330677290836656</v>
      </c>
      <c r="DH271" s="173"/>
      <c r="DI271" s="173">
        <f t="shared" si="660"/>
        <v>7.7922077922077913</v>
      </c>
      <c r="DJ271" s="545">
        <f t="shared" si="661"/>
        <v>141.16666666666669</v>
      </c>
      <c r="DK271" s="528">
        <f t="shared" si="662"/>
        <v>4.2330677290836656</v>
      </c>
      <c r="DM271" s="173">
        <f t="shared" si="663"/>
        <v>6.3508529610858835</v>
      </c>
      <c r="DN271" s="173">
        <f t="shared" si="664"/>
        <v>12.655462184873949</v>
      </c>
      <c r="DO271" s="173">
        <f t="shared" si="665"/>
        <v>3.1670090258325549</v>
      </c>
      <c r="DQ271" s="545">
        <f t="shared" si="666"/>
        <v>5500</v>
      </c>
      <c r="DR271" s="460">
        <f t="shared" si="667"/>
        <v>85.851260738365696</v>
      </c>
      <c r="DT271">
        <f t="shared" si="668"/>
        <v>5500</v>
      </c>
      <c r="DU271">
        <f t="shared" si="669"/>
        <v>85.851260738365696</v>
      </c>
      <c r="DW271" s="5">
        <f t="shared" si="670"/>
        <v>11.648052590019965</v>
      </c>
      <c r="DX271" s="5">
        <f t="shared" si="671"/>
        <v>1.7866534849233811</v>
      </c>
      <c r="DY271" s="5">
        <f t="shared" si="672"/>
        <v>9.8613991050965843</v>
      </c>
      <c r="DZ271" s="5"/>
      <c r="EA271" s="173">
        <f t="shared" si="673"/>
        <v>0.15338645418326693</v>
      </c>
      <c r="EB271" s="173">
        <f t="shared" si="699"/>
        <v>82.499999999999986</v>
      </c>
      <c r="EC271" s="173">
        <f t="shared" si="700"/>
        <v>5.3571428571428568</v>
      </c>
      <c r="ED271" s="173">
        <f t="shared" si="701"/>
        <v>15.399999999999999</v>
      </c>
      <c r="EE271" s="460">
        <f t="shared" si="674"/>
        <v>65.510627780523976</v>
      </c>
      <c r="EF271" s="5">
        <f t="shared" si="675"/>
        <v>2.6587105430407454</v>
      </c>
      <c r="EH271" s="173">
        <f t="shared" si="702"/>
        <v>2.8616129145231182</v>
      </c>
      <c r="EI271" s="173">
        <f t="shared" si="703"/>
        <v>6.7229516755434648</v>
      </c>
      <c r="EK271" s="528">
        <f t="shared" si="704"/>
        <v>0.16377656945130992</v>
      </c>
      <c r="EL271" s="528">
        <f t="shared" si="705"/>
        <v>2.1816666666666662</v>
      </c>
      <c r="EM271" s="528">
        <f t="shared" si="706"/>
        <v>1.0731407592295711E-2</v>
      </c>
      <c r="EN271" s="528">
        <f t="shared" si="707"/>
        <v>8.6539444444444447E-2</v>
      </c>
      <c r="EO271">
        <f t="shared" si="708"/>
        <v>3.8249999999999999E-2</v>
      </c>
      <c r="EP271" s="460">
        <f t="shared" si="709"/>
        <v>48.98140759229571</v>
      </c>
      <c r="EQ271" s="460"/>
      <c r="ER271" s="460">
        <f t="shared" si="710"/>
        <v>2480.9640881547166</v>
      </c>
      <c r="ES271" s="528">
        <f t="shared" si="711"/>
        <v>3.8499999999999996</v>
      </c>
      <c r="EV271" s="460">
        <f t="shared" si="712"/>
        <v>3849.9999999999995</v>
      </c>
      <c r="EW271" s="528">
        <f t="shared" si="713"/>
        <v>0.24566485417696485</v>
      </c>
      <c r="EX271" s="528">
        <f t="shared" si="714"/>
        <v>1.3559423769507803</v>
      </c>
      <c r="EY271" s="528">
        <f t="shared" si="715"/>
        <v>1.9455021880180849</v>
      </c>
      <c r="EZ271" s="528"/>
      <c r="FA271" s="528">
        <f t="shared" si="716"/>
        <v>1.3749999999999998E-2</v>
      </c>
      <c r="FB271" s="460">
        <f t="shared" si="717"/>
        <v>3560.8594191458296</v>
      </c>
      <c r="FC271" s="173">
        <f t="shared" si="718"/>
        <v>9.8918235073005469</v>
      </c>
      <c r="FD271" s="5">
        <f t="shared" si="719"/>
        <v>82.5</v>
      </c>
      <c r="FE271" s="173">
        <f t="shared" si="720"/>
        <v>0.89293615893922773</v>
      </c>
      <c r="FF271" s="5">
        <f t="shared" si="721"/>
        <v>89.293615893922777</v>
      </c>
      <c r="FI271" s="562">
        <f t="shared" si="676"/>
        <v>-50</v>
      </c>
      <c r="FJ271">
        <f t="shared" si="677"/>
        <v>-50</v>
      </c>
      <c r="FL271">
        <f t="shared" si="760"/>
        <v>0.84661354581673309</v>
      </c>
    </row>
    <row r="272" spans="5:168">
      <c r="E272" s="170">
        <v>56</v>
      </c>
      <c r="F272" s="217">
        <f t="shared" si="761"/>
        <v>5.6000000000000005</v>
      </c>
      <c r="G272" s="217"/>
      <c r="H272" s="217">
        <f t="shared" si="726"/>
        <v>84.000000000000014</v>
      </c>
      <c r="I272" s="541">
        <f t="shared" si="727"/>
        <v>84.667615401400951</v>
      </c>
      <c r="J272" s="172">
        <f t="shared" si="728"/>
        <v>15.599430759159427</v>
      </c>
      <c r="K272" s="172">
        <f t="shared" si="729"/>
        <v>100.26704616056038</v>
      </c>
      <c r="L272" s="443"/>
      <c r="M272" s="217">
        <f t="shared" si="730"/>
        <v>0.15557047647542196</v>
      </c>
      <c r="N272" s="172">
        <f t="shared" si="731"/>
        <v>330.6940335107841</v>
      </c>
      <c r="O272" s="172">
        <f t="shared" si="762"/>
        <v>84.000000000000014</v>
      </c>
      <c r="P272" s="217">
        <f t="shared" si="732"/>
        <v>22.046268900718939</v>
      </c>
      <c r="Q272" s="217">
        <f t="shared" si="733"/>
        <v>15</v>
      </c>
      <c r="R272" s="217"/>
      <c r="S272" s="172">
        <f t="shared" si="734"/>
        <v>293.42807193592972</v>
      </c>
      <c r="T272" s="172">
        <f t="shared" si="735"/>
        <v>15</v>
      </c>
      <c r="U272" s="217">
        <f t="shared" si="736"/>
        <v>13.263392252383763</v>
      </c>
      <c r="V272" s="217">
        <f t="shared" si="737"/>
        <v>1.8798298059303984</v>
      </c>
      <c r="W272" s="217">
        <f t="shared" si="738"/>
        <v>10.20298172964752</v>
      </c>
      <c r="X272" s="197">
        <f t="shared" si="739"/>
        <v>109.77074510621651</v>
      </c>
      <c r="Y272" s="443">
        <f t="shared" si="680"/>
        <v>81.414584690438218</v>
      </c>
      <c r="AA272" s="217">
        <f t="shared" si="740"/>
        <v>10</v>
      </c>
      <c r="AB272" s="173">
        <f t="shared" si="741"/>
        <v>7.6925883933002046</v>
      </c>
      <c r="AC272" s="173">
        <f t="shared" si="742"/>
        <v>4.2221057986399817</v>
      </c>
      <c r="AD272" s="173"/>
      <c r="AE272" s="173">
        <f t="shared" si="743"/>
        <v>7.6925883933002046</v>
      </c>
      <c r="AF272" s="545">
        <f t="shared" si="744"/>
        <v>145.59468708548798</v>
      </c>
      <c r="AG272" s="528">
        <f t="shared" si="745"/>
        <v>4.2221057986399826</v>
      </c>
      <c r="AI272" s="173">
        <f t="shared" si="746"/>
        <v>6.4496885215043633</v>
      </c>
      <c r="AJ272" s="173">
        <f t="shared" si="747"/>
        <v>13.263392252383763</v>
      </c>
      <c r="AK272" s="173">
        <f t="shared" si="748"/>
        <v>3.6173275943583434</v>
      </c>
      <c r="AM272" s="545">
        <f t="shared" si="749"/>
        <v>5600.0000000000009</v>
      </c>
      <c r="AN272" s="460">
        <f t="shared" si="750"/>
        <v>81.414584690438218</v>
      </c>
      <c r="AP272">
        <f t="shared" si="751"/>
        <v>5600.0000000000009</v>
      </c>
      <c r="AQ272">
        <f t="shared" si="752"/>
        <v>81.414584690438218</v>
      </c>
      <c r="AS272" s="5">
        <f t="shared" si="763"/>
        <v>12.28281153557792</v>
      </c>
      <c r="AT272" s="5">
        <f t="shared" si="753"/>
        <v>1.8798298059303984</v>
      </c>
      <c r="AU272" s="5">
        <f t="shared" si="722"/>
        <v>10.402981729647522</v>
      </c>
      <c r="AV272" s="5"/>
      <c r="AW272" s="173">
        <f t="shared" si="723"/>
        <v>0.15304556293853044</v>
      </c>
      <c r="AX272" s="173">
        <f t="shared" si="631"/>
        <v>85.933537381586092</v>
      </c>
      <c r="AY272" s="173">
        <f t="shared" si="632"/>
        <v>5.6167444593215734</v>
      </c>
      <c r="AZ272" s="173">
        <f t="shared" si="633"/>
        <v>15.299527689740348</v>
      </c>
      <c r="BA272" s="460">
        <f t="shared" si="724"/>
        <v>70.180312754734885</v>
      </c>
      <c r="BB272" s="5">
        <f t="shared" si="725"/>
        <v>2.8669313433200312</v>
      </c>
      <c r="BD272" s="173">
        <f t="shared" si="681"/>
        <v>2.9957416527366121</v>
      </c>
      <c r="BE272" s="173">
        <f t="shared" si="682"/>
        <v>7.0473202919211406</v>
      </c>
      <c r="BG272" s="528">
        <f t="shared" si="683"/>
        <v>0.17948936099882176</v>
      </c>
      <c r="BH272" s="528">
        <f t="shared" si="754"/>
        <v>2.0300947985778222</v>
      </c>
      <c r="BI272" s="528">
        <f t="shared" si="755"/>
        <v>0.1723294686158702</v>
      </c>
      <c r="BJ272" s="528">
        <f t="shared" si="684"/>
        <v>8.1849994332677187E-2</v>
      </c>
      <c r="BK272">
        <f t="shared" si="685"/>
        <v>3.8100426930630427E-2</v>
      </c>
      <c r="BL272" s="460">
        <f t="shared" si="686"/>
        <v>210.42989554650063</v>
      </c>
      <c r="BM272" s="528">
        <f t="shared" si="756"/>
        <v>2.4441303052561381</v>
      </c>
      <c r="BN272" s="460">
        <f t="shared" si="687"/>
        <v>2444.1303052561379</v>
      </c>
      <c r="BO272" s="528">
        <f t="shared" si="637"/>
        <v>3.92</v>
      </c>
      <c r="BR272" s="460">
        <f t="shared" si="688"/>
        <v>3920</v>
      </c>
      <c r="BS272" s="528">
        <f t="shared" si="689"/>
        <v>0.2692340414982326</v>
      </c>
      <c r="BT272" s="528">
        <f t="shared" si="690"/>
        <v>1.4899416989077041</v>
      </c>
      <c r="BU272" s="528">
        <f t="shared" si="691"/>
        <v>1.9158524911371007</v>
      </c>
      <c r="BV272" s="528"/>
      <c r="BW272" s="528">
        <f t="shared" si="692"/>
        <v>1.4322256230264348E-2</v>
      </c>
      <c r="BX272" s="460">
        <f t="shared" si="693"/>
        <v>3689.3504877733017</v>
      </c>
      <c r="BY272" s="173">
        <f t="shared" si="694"/>
        <v>10.111214537229122</v>
      </c>
      <c r="BZ272" s="5">
        <f t="shared" si="695"/>
        <v>84.000000000000014</v>
      </c>
      <c r="CA272" s="173">
        <f t="shared" si="696"/>
        <v>0.89256100256543547</v>
      </c>
      <c r="CB272" s="5">
        <f t="shared" si="697"/>
        <v>89.256100256543547</v>
      </c>
      <c r="CE272" s="562">
        <f t="shared" si="757"/>
        <v>-50</v>
      </c>
      <c r="CF272">
        <f t="shared" si="758"/>
        <v>-50</v>
      </c>
      <c r="CG272" s="173">
        <f t="shared" si="759"/>
        <v>0.84239763569118831</v>
      </c>
      <c r="CI272" s="170">
        <v>56</v>
      </c>
      <c r="CJ272" s="217">
        <f t="shared" si="698"/>
        <v>5.6000000000000005</v>
      </c>
      <c r="CK272" s="217"/>
      <c r="CL272" s="217">
        <f t="shared" si="641"/>
        <v>84.000000000000014</v>
      </c>
      <c r="CM272" s="541">
        <f t="shared" si="642"/>
        <v>85</v>
      </c>
      <c r="CN272" s="443">
        <f t="shared" si="643"/>
        <v>15.4</v>
      </c>
      <c r="CO272" s="443">
        <f t="shared" si="644"/>
        <v>100.4</v>
      </c>
      <c r="CP272" s="443"/>
      <c r="CQ272" s="217">
        <f t="shared" si="645"/>
        <v>0.15338645418326693</v>
      </c>
      <c r="CR272" s="172">
        <f t="shared" si="646"/>
        <v>327.33148655378488</v>
      </c>
      <c r="CS272" s="172">
        <f t="shared" si="647"/>
        <v>84.000000000000014</v>
      </c>
      <c r="CT272" s="217">
        <f t="shared" si="648"/>
        <v>21.822099103585661</v>
      </c>
      <c r="CU272" s="217">
        <f t="shared" si="649"/>
        <v>15</v>
      </c>
      <c r="CV272" s="217"/>
      <c r="CW272" s="172">
        <f t="shared" si="650"/>
        <v>294.57954794258978</v>
      </c>
      <c r="CX272" s="172">
        <f t="shared" si="651"/>
        <v>15</v>
      </c>
      <c r="CY272" s="217">
        <f t="shared" si="652"/>
        <v>12.885561497326204</v>
      </c>
      <c r="CZ272" s="217">
        <f t="shared" si="653"/>
        <v>1.8191380937401698</v>
      </c>
      <c r="DA272" s="217">
        <f t="shared" si="654"/>
        <v>10.040697270643795</v>
      </c>
      <c r="DB272" s="197">
        <f t="shared" si="655"/>
        <v>108.64873837981409</v>
      </c>
      <c r="DC272" s="443">
        <f t="shared" si="656"/>
        <v>84.318202510894892</v>
      </c>
      <c r="DE272" s="217">
        <f t="shared" si="657"/>
        <v>10</v>
      </c>
      <c r="DF272" s="173">
        <f t="shared" si="658"/>
        <v>7.7922077922077913</v>
      </c>
      <c r="DG272" s="173">
        <f t="shared" si="659"/>
        <v>4.2330677290836656</v>
      </c>
      <c r="DH272" s="173"/>
      <c r="DI272" s="173">
        <f t="shared" si="660"/>
        <v>7.7922077922077913</v>
      </c>
      <c r="DJ272" s="545">
        <f t="shared" si="661"/>
        <v>143.73333333333335</v>
      </c>
      <c r="DK272" s="528">
        <f t="shared" si="662"/>
        <v>4.2330677290836656</v>
      </c>
      <c r="DM272" s="173">
        <f t="shared" si="663"/>
        <v>6.408327915038889</v>
      </c>
      <c r="DN272" s="173">
        <f t="shared" si="664"/>
        <v>12.885561497326204</v>
      </c>
      <c r="DO272" s="173">
        <f t="shared" si="665"/>
        <v>3.3374529609823735</v>
      </c>
      <c r="DQ272" s="545">
        <f t="shared" si="666"/>
        <v>5600.0000000000009</v>
      </c>
      <c r="DR272" s="460">
        <f t="shared" si="667"/>
        <v>84.318202510894892</v>
      </c>
      <c r="DT272">
        <f t="shared" si="668"/>
        <v>5600.0000000000009</v>
      </c>
      <c r="DU272">
        <f t="shared" si="669"/>
        <v>84.318202510894892</v>
      </c>
      <c r="DW272" s="5">
        <f t="shared" si="670"/>
        <v>11.859835364383965</v>
      </c>
      <c r="DX272" s="5">
        <f t="shared" si="671"/>
        <v>1.8191380937401698</v>
      </c>
      <c r="DY272" s="5">
        <f t="shared" si="672"/>
        <v>10.040697270643795</v>
      </c>
      <c r="DZ272" s="5"/>
      <c r="EA272" s="173">
        <f t="shared" si="673"/>
        <v>0.15338645418326691</v>
      </c>
      <c r="EB272" s="173">
        <f t="shared" si="699"/>
        <v>84.000000000000014</v>
      </c>
      <c r="EC272" s="173">
        <f t="shared" si="700"/>
        <v>5.454545454545455</v>
      </c>
      <c r="ED272" s="173">
        <f t="shared" si="701"/>
        <v>15.4</v>
      </c>
      <c r="EE272" s="460">
        <f t="shared" si="674"/>
        <v>67.914488832966342</v>
      </c>
      <c r="EF272" s="5">
        <f t="shared" si="675"/>
        <v>2.7562698390002578</v>
      </c>
      <c r="EH272" s="173">
        <f t="shared" si="702"/>
        <v>2.9136422402417206</v>
      </c>
      <c r="EI272" s="173">
        <f t="shared" si="703"/>
        <v>6.8451871605533468</v>
      </c>
      <c r="EK272" s="528">
        <f t="shared" si="704"/>
        <v>0.16978622208241587</v>
      </c>
      <c r="EL272" s="528">
        <f t="shared" si="705"/>
        <v>2.1816666666666671</v>
      </c>
      <c r="EM272" s="528">
        <f t="shared" si="706"/>
        <v>1.053977531386186E-2</v>
      </c>
      <c r="EN272" s="528">
        <f t="shared" si="707"/>
        <v>8.4994097222222231E-2</v>
      </c>
      <c r="EO272">
        <f t="shared" si="708"/>
        <v>3.8249999999999999E-2</v>
      </c>
      <c r="EP272" s="460">
        <f t="shared" si="709"/>
        <v>48.78977531386186</v>
      </c>
      <c r="EQ272" s="460"/>
      <c r="ER272" s="460">
        <f t="shared" si="710"/>
        <v>2485.2367612851672</v>
      </c>
      <c r="ES272" s="528">
        <f t="shared" si="711"/>
        <v>3.92</v>
      </c>
      <c r="EV272" s="460">
        <f t="shared" si="712"/>
        <v>3920</v>
      </c>
      <c r="EW272" s="528">
        <f t="shared" si="713"/>
        <v>0.25467933312362379</v>
      </c>
      <c r="EX272" s="528">
        <f t="shared" si="714"/>
        <v>1.4056976178901317</v>
      </c>
      <c r="EY272" s="528">
        <f t="shared" si="715"/>
        <v>1.9455021880180816</v>
      </c>
      <c r="EZ272" s="528"/>
      <c r="FA272" s="528">
        <f t="shared" si="716"/>
        <v>1.4000000000000005E-2</v>
      </c>
      <c r="FB272" s="460">
        <f t="shared" si="717"/>
        <v>3619.8791390318374</v>
      </c>
      <c r="FC272" s="173">
        <f t="shared" si="718"/>
        <v>10.025115900317005</v>
      </c>
      <c r="FD272" s="5">
        <f t="shared" si="719"/>
        <v>84.000000000000014</v>
      </c>
      <c r="FE272" s="173">
        <f t="shared" si="720"/>
        <v>0.89337831914033083</v>
      </c>
      <c r="FF272" s="5">
        <f t="shared" si="721"/>
        <v>89.337831914033089</v>
      </c>
      <c r="FI272" s="562">
        <f t="shared" si="676"/>
        <v>-50</v>
      </c>
      <c r="FJ272">
        <f t="shared" si="677"/>
        <v>-50</v>
      </c>
      <c r="FL272">
        <f t="shared" si="760"/>
        <v>0.84661354581673309</v>
      </c>
    </row>
    <row r="273" spans="5:168">
      <c r="E273" s="170">
        <v>57</v>
      </c>
      <c r="F273" s="217">
        <f t="shared" si="761"/>
        <v>5.6999999999999993</v>
      </c>
      <c r="G273" s="217"/>
      <c r="H273" s="217">
        <f t="shared" si="726"/>
        <v>85.499999999999986</v>
      </c>
      <c r="I273" s="541">
        <f t="shared" si="727"/>
        <v>84.661709664362277</v>
      </c>
      <c r="J273" s="172">
        <f t="shared" si="728"/>
        <v>15.602974201382635</v>
      </c>
      <c r="K273" s="172">
        <f t="shared" si="729"/>
        <v>100.26468386574491</v>
      </c>
      <c r="L273" s="443"/>
      <c r="M273" s="217">
        <f t="shared" si="730"/>
        <v>0.15560948380843573</v>
      </c>
      <c r="N273" s="172">
        <f t="shared" si="731"/>
        <v>330.75387850506792</v>
      </c>
      <c r="O273" s="172">
        <f t="shared" si="762"/>
        <v>85.499999999999986</v>
      </c>
      <c r="P273" s="217">
        <f t="shared" si="732"/>
        <v>22.050258567004526</v>
      </c>
      <c r="Q273" s="217">
        <f t="shared" si="733"/>
        <v>15</v>
      </c>
      <c r="R273" s="217"/>
      <c r="S273" s="172">
        <f t="shared" si="734"/>
        <v>286.77949999899528</v>
      </c>
      <c r="T273" s="172">
        <f t="shared" si="735"/>
        <v>15</v>
      </c>
      <c r="U273" s="217">
        <f t="shared" si="736"/>
        <v>13.500862197525814</v>
      </c>
      <c r="V273" s="217">
        <f t="shared" si="737"/>
        <v>1.913620065228931</v>
      </c>
      <c r="W273" s="217">
        <f t="shared" si="738"/>
        <v>10.383298996671638</v>
      </c>
      <c r="X273" s="197">
        <f t="shared" si="739"/>
        <v>109.7906079528116</v>
      </c>
      <c r="Y273" s="443">
        <f t="shared" si="680"/>
        <v>80.01972286503046</v>
      </c>
      <c r="AA273" s="217">
        <f t="shared" si="740"/>
        <v>10</v>
      </c>
      <c r="AB273" s="173">
        <f t="shared" si="741"/>
        <v>7.6908414031323833</v>
      </c>
      <c r="AC273" s="173">
        <f t="shared" si="742"/>
        <v>4.2219107665927949</v>
      </c>
      <c r="AD273" s="173"/>
      <c r="AE273" s="173">
        <f t="shared" si="743"/>
        <v>7.6908414031323833</v>
      </c>
      <c r="AF273" s="545">
        <f t="shared" si="744"/>
        <v>148.228254913135</v>
      </c>
      <c r="AG273" s="528">
        <f t="shared" si="745"/>
        <v>4.2219107665927949</v>
      </c>
      <c r="AI273" s="173">
        <f t="shared" si="746"/>
        <v>6.5077592130610844</v>
      </c>
      <c r="AJ273" s="173">
        <f t="shared" si="747"/>
        <v>13.500862197525814</v>
      </c>
      <c r="AK273" s="173">
        <f t="shared" si="748"/>
        <v>3.7932312574265294</v>
      </c>
      <c r="AM273" s="545">
        <f t="shared" si="749"/>
        <v>5699.9999999999991</v>
      </c>
      <c r="AN273" s="460">
        <f t="shared" si="750"/>
        <v>80.01972286503046</v>
      </c>
      <c r="AP273">
        <f t="shared" si="751"/>
        <v>5699.9999999999991</v>
      </c>
      <c r="AQ273">
        <f t="shared" si="752"/>
        <v>80.01972286503046</v>
      </c>
      <c r="AS273" s="5">
        <f t="shared" si="763"/>
        <v>12.49691906190057</v>
      </c>
      <c r="AT273" s="5">
        <f t="shared" si="753"/>
        <v>1.913620065228931</v>
      </c>
      <c r="AU273" s="5">
        <f t="shared" si="722"/>
        <v>10.583298996671639</v>
      </c>
      <c r="AV273" s="5"/>
      <c r="AW273" s="173">
        <f t="shared" si="723"/>
        <v>0.15312734728858057</v>
      </c>
      <c r="AX273" s="173">
        <f t="shared" si="631"/>
        <v>87.512744144568799</v>
      </c>
      <c r="AY273" s="173">
        <f t="shared" si="632"/>
        <v>5.7167554915550047</v>
      </c>
      <c r="AZ273" s="173">
        <f t="shared" si="633"/>
        <v>15.308113889748434</v>
      </c>
      <c r="BA273" s="460">
        <f t="shared" si="724"/>
        <v>72.717562478699378</v>
      </c>
      <c r="BB273" s="5">
        <f t="shared" si="725"/>
        <v>2.968914189985425</v>
      </c>
      <c r="BD273" s="173">
        <f t="shared" si="681"/>
        <v>3.0501925545619475</v>
      </c>
      <c r="BE273" s="173">
        <f t="shared" si="682"/>
        <v>7.1731503124932523</v>
      </c>
      <c r="BG273" s="528">
        <f t="shared" si="683"/>
        <v>0.18607349239810281</v>
      </c>
      <c r="BH273" s="528">
        <f t="shared" si="754"/>
        <v>2.0309901086092825</v>
      </c>
      <c r="BI273" s="528">
        <f t="shared" si="755"/>
        <v>0.16936516361554851</v>
      </c>
      <c r="BJ273" s="528">
        <f t="shared" si="684"/>
        <v>8.0443882055269367E-2</v>
      </c>
      <c r="BK273">
        <f t="shared" si="685"/>
        <v>3.8097769348963022E-2</v>
      </c>
      <c r="BL273" s="460">
        <f t="shared" si="686"/>
        <v>207.46293296451154</v>
      </c>
      <c r="BM273" s="528">
        <f t="shared" si="756"/>
        <v>2.4563449441215623</v>
      </c>
      <c r="BN273" s="460">
        <f t="shared" si="687"/>
        <v>2456.3449441215625</v>
      </c>
      <c r="BO273" s="528">
        <f t="shared" si="637"/>
        <v>3.9899999999999993</v>
      </c>
      <c r="BR273" s="460">
        <f t="shared" si="688"/>
        <v>3989.9999999999995</v>
      </c>
      <c r="BS273" s="528">
        <f t="shared" si="689"/>
        <v>0.27911023859715417</v>
      </c>
      <c r="BT273" s="528">
        <f t="shared" si="690"/>
        <v>1.5436225621686612</v>
      </c>
      <c r="BU273" s="528">
        <f t="shared" si="691"/>
        <v>1.9180784804039013</v>
      </c>
      <c r="BV273" s="528"/>
      <c r="BW273" s="528">
        <f t="shared" si="692"/>
        <v>1.4585457357428134E-2</v>
      </c>
      <c r="BX273" s="460">
        <f t="shared" si="693"/>
        <v>3755.3967385271449</v>
      </c>
      <c r="BY273" s="173">
        <f t="shared" si="694"/>
        <v>10.25036715455431</v>
      </c>
      <c r="BZ273" s="5">
        <f t="shared" si="695"/>
        <v>85.499999999999986</v>
      </c>
      <c r="CA273" s="173">
        <f t="shared" si="696"/>
        <v>0.89294696762876313</v>
      </c>
      <c r="CB273" s="5">
        <f t="shared" si="697"/>
        <v>89.294696762876313</v>
      </c>
      <c r="CE273" s="562">
        <f t="shared" si="757"/>
        <v>-50</v>
      </c>
      <c r="CF273">
        <f t="shared" si="758"/>
        <v>-50</v>
      </c>
      <c r="CG273" s="173">
        <f t="shared" si="759"/>
        <v>0.84247159902672419</v>
      </c>
      <c r="CI273" s="170">
        <v>57</v>
      </c>
      <c r="CJ273" s="217">
        <f t="shared" si="698"/>
        <v>5.6999999999999993</v>
      </c>
      <c r="CK273" s="217"/>
      <c r="CL273" s="217">
        <f t="shared" si="641"/>
        <v>85.499999999999986</v>
      </c>
      <c r="CM273" s="541">
        <f t="shared" si="642"/>
        <v>85</v>
      </c>
      <c r="CN273" s="443">
        <f t="shared" si="643"/>
        <v>15.4</v>
      </c>
      <c r="CO273" s="443">
        <f t="shared" si="644"/>
        <v>100.4</v>
      </c>
      <c r="CP273" s="443"/>
      <c r="CQ273" s="217">
        <f t="shared" si="645"/>
        <v>0.15338645418326693</v>
      </c>
      <c r="CR273" s="172">
        <f t="shared" si="646"/>
        <v>327.33148655378488</v>
      </c>
      <c r="CS273" s="172">
        <f t="shared" si="647"/>
        <v>85.499999999999986</v>
      </c>
      <c r="CT273" s="217">
        <f t="shared" si="648"/>
        <v>21.822099103585661</v>
      </c>
      <c r="CU273" s="217">
        <f t="shared" si="649"/>
        <v>15</v>
      </c>
      <c r="CV273" s="217"/>
      <c r="CW273" s="172">
        <f t="shared" si="650"/>
        <v>287.92494005168686</v>
      </c>
      <c r="CX273" s="172">
        <f t="shared" si="651"/>
        <v>15</v>
      </c>
      <c r="CY273" s="217">
        <f t="shared" si="652"/>
        <v>13.115660809778454</v>
      </c>
      <c r="CZ273" s="217">
        <f t="shared" si="653"/>
        <v>1.8516227025569585</v>
      </c>
      <c r="DA273" s="217">
        <f t="shared" si="654"/>
        <v>10.219995436191004</v>
      </c>
      <c r="DB273" s="197">
        <f t="shared" si="655"/>
        <v>108.64873837981409</v>
      </c>
      <c r="DC273" s="443">
        <f t="shared" si="656"/>
        <v>82.838935800177438</v>
      </c>
      <c r="DE273" s="217">
        <f t="shared" si="657"/>
        <v>10</v>
      </c>
      <c r="DF273" s="173">
        <f t="shared" si="658"/>
        <v>7.7922077922077913</v>
      </c>
      <c r="DG273" s="173">
        <f t="shared" si="659"/>
        <v>4.2330677290836656</v>
      </c>
      <c r="DH273" s="173"/>
      <c r="DI273" s="173">
        <f t="shared" si="660"/>
        <v>7.7922077922077913</v>
      </c>
      <c r="DJ273" s="545">
        <f t="shared" si="661"/>
        <v>146.30000000000001</v>
      </c>
      <c r="DK273" s="528">
        <f t="shared" si="662"/>
        <v>4.2330677290836656</v>
      </c>
      <c r="DM273" s="173">
        <f t="shared" si="663"/>
        <v>6.4652919500978454</v>
      </c>
      <c r="DN273" s="173">
        <f t="shared" si="664"/>
        <v>13.115660809778454</v>
      </c>
      <c r="DO273" s="173">
        <f t="shared" si="665"/>
        <v>3.5078968961321877</v>
      </c>
      <c r="DQ273" s="545">
        <f t="shared" si="666"/>
        <v>5699.9999999999991</v>
      </c>
      <c r="DR273" s="460">
        <f t="shared" si="667"/>
        <v>82.838935800177438</v>
      </c>
      <c r="DT273">
        <f t="shared" si="668"/>
        <v>5699.9999999999991</v>
      </c>
      <c r="DU273">
        <f t="shared" si="669"/>
        <v>82.838935800177438</v>
      </c>
      <c r="DW273" s="5">
        <f t="shared" si="670"/>
        <v>12.071618138747963</v>
      </c>
      <c r="DX273" s="5">
        <f t="shared" si="671"/>
        <v>1.8516227025569585</v>
      </c>
      <c r="DY273" s="5">
        <f t="shared" si="672"/>
        <v>10.219995436191004</v>
      </c>
      <c r="DZ273" s="5"/>
      <c r="EA273" s="173">
        <f t="shared" si="673"/>
        <v>0.15338645418326693</v>
      </c>
      <c r="EB273" s="173">
        <f t="shared" si="699"/>
        <v>85.499999999999972</v>
      </c>
      <c r="EC273" s="173">
        <f t="shared" si="700"/>
        <v>5.5519480519480506</v>
      </c>
      <c r="ED273" s="173">
        <f t="shared" si="701"/>
        <v>15.399999999999999</v>
      </c>
      <c r="EE273" s="460">
        <f t="shared" si="674"/>
        <v>70.361662697164419</v>
      </c>
      <c r="EF273" s="5">
        <f t="shared" si="675"/>
        <v>2.8555869601121917</v>
      </c>
      <c r="EH273" s="173">
        <f t="shared" si="702"/>
        <v>2.9656715659603221</v>
      </c>
      <c r="EI273" s="173">
        <f t="shared" si="703"/>
        <v>6.967422645563226</v>
      </c>
      <c r="EK273" s="528">
        <f t="shared" si="704"/>
        <v>0.17590415674291099</v>
      </c>
      <c r="EL273" s="528">
        <f t="shared" si="705"/>
        <v>2.1816666666666666</v>
      </c>
      <c r="EM273" s="528">
        <f t="shared" si="706"/>
        <v>1.0354866975022178E-2</v>
      </c>
      <c r="EN273" s="528">
        <f t="shared" si="707"/>
        <v>8.3502972709551676E-2</v>
      </c>
      <c r="EO273">
        <f t="shared" si="708"/>
        <v>3.8249999999999999E-2</v>
      </c>
      <c r="EP273" s="460">
        <f t="shared" si="709"/>
        <v>48.604866975022176</v>
      </c>
      <c r="EQ273" s="460"/>
      <c r="ER273" s="460">
        <f t="shared" si="710"/>
        <v>2489.6786630941515</v>
      </c>
      <c r="ES273" s="528">
        <f t="shared" si="711"/>
        <v>3.9899999999999993</v>
      </c>
      <c r="EV273" s="460">
        <f t="shared" si="712"/>
        <v>3989.9999999999995</v>
      </c>
      <c r="EW273" s="528">
        <f t="shared" si="713"/>
        <v>0.26385623511436646</v>
      </c>
      <c r="EX273" s="528">
        <f t="shared" si="714"/>
        <v>1.456349349657218</v>
      </c>
      <c r="EY273" s="528">
        <f t="shared" si="715"/>
        <v>1.9455021880180834</v>
      </c>
      <c r="EZ273" s="528"/>
      <c r="FA273" s="528">
        <f t="shared" si="716"/>
        <v>1.4249999999999995E-2</v>
      </c>
      <c r="FB273" s="460">
        <f t="shared" si="717"/>
        <v>3679.9577727896681</v>
      </c>
      <c r="FC273" s="173">
        <f t="shared" si="718"/>
        <v>10.15963643588382</v>
      </c>
      <c r="FD273" s="5">
        <f t="shared" si="719"/>
        <v>85.499999999999986</v>
      </c>
      <c r="FE273" s="173">
        <f t="shared" si="720"/>
        <v>0.89379390499049871</v>
      </c>
      <c r="FF273" s="5">
        <f t="shared" si="721"/>
        <v>89.379390499049876</v>
      </c>
      <c r="FI273" s="562">
        <f t="shared" si="676"/>
        <v>-50</v>
      </c>
      <c r="FJ273">
        <f t="shared" si="677"/>
        <v>-50</v>
      </c>
      <c r="FL273">
        <f t="shared" si="760"/>
        <v>0.84661354581673309</v>
      </c>
    </row>
    <row r="274" spans="5:168">
      <c r="E274" s="170">
        <v>58</v>
      </c>
      <c r="F274" s="217">
        <f t="shared" si="761"/>
        <v>5.8</v>
      </c>
      <c r="G274" s="217"/>
      <c r="H274" s="217">
        <f t="shared" si="726"/>
        <v>87</v>
      </c>
      <c r="I274" s="541">
        <f t="shared" si="727"/>
        <v>84.655803922288555</v>
      </c>
      <c r="J274" s="172">
        <f t="shared" si="728"/>
        <v>15.606517646626868</v>
      </c>
      <c r="K274" s="172">
        <f t="shared" si="729"/>
        <v>100.26232156891543</v>
      </c>
      <c r="L274" s="443"/>
      <c r="M274" s="217">
        <f t="shared" si="730"/>
        <v>0.15564849298733105</v>
      </c>
      <c r="N274" s="172">
        <f t="shared" si="731"/>
        <v>330.8137158355882</v>
      </c>
      <c r="O274" s="172">
        <f t="shared" si="762"/>
        <v>87</v>
      </c>
      <c r="P274" s="217">
        <f t="shared" si="732"/>
        <v>22.054247722372548</v>
      </c>
      <c r="Q274" s="217">
        <f t="shared" si="733"/>
        <v>15</v>
      </c>
      <c r="R274" s="217"/>
      <c r="S274" s="172">
        <f t="shared" si="734"/>
        <v>280.36051191351072</v>
      </c>
      <c r="T274" s="172">
        <f t="shared" si="735"/>
        <v>15</v>
      </c>
      <c r="U274" s="217">
        <f t="shared" si="736"/>
        <v>13.738354113964942</v>
      </c>
      <c r="V274" s="217">
        <f t="shared" si="737"/>
        <v>1.9474181536202286</v>
      </c>
      <c r="W274" s="217">
        <f t="shared" si="738"/>
        <v>10.56355127392635</v>
      </c>
      <c r="X274" s="197">
        <f t="shared" si="739"/>
        <v>109.81046827367283</v>
      </c>
      <c r="Y274" s="443">
        <f t="shared" si="680"/>
        <v>78.672205585897331</v>
      </c>
      <c r="AA274" s="217">
        <f t="shared" si="740"/>
        <v>10</v>
      </c>
      <c r="AB274" s="173">
        <f t="shared" si="741"/>
        <v>7.6890952047804424</v>
      </c>
      <c r="AC274" s="173">
        <f t="shared" si="742"/>
        <v>4.2217157251889628</v>
      </c>
      <c r="AD274" s="173"/>
      <c r="AE274" s="173">
        <f t="shared" si="743"/>
        <v>7.6890952047804424</v>
      </c>
      <c r="AF274" s="545">
        <f t="shared" si="744"/>
        <v>150.86300391739303</v>
      </c>
      <c r="AG274" s="528">
        <f t="shared" si="745"/>
        <v>4.2217157251889628</v>
      </c>
      <c r="AI274" s="173">
        <f t="shared" si="746"/>
        <v>6.5653419869013261</v>
      </c>
      <c r="AJ274" s="173">
        <f t="shared" si="747"/>
        <v>13.738354113964942</v>
      </c>
      <c r="AK274" s="173">
        <f t="shared" si="748"/>
        <v>3.9691511955295864</v>
      </c>
      <c r="AM274" s="545">
        <f t="shared" si="749"/>
        <v>5800</v>
      </c>
      <c r="AN274" s="460">
        <f t="shared" si="750"/>
        <v>78.672205585897331</v>
      </c>
      <c r="AP274">
        <f t="shared" si="751"/>
        <v>5800</v>
      </c>
      <c r="AQ274">
        <f t="shared" si="752"/>
        <v>78.672205585897331</v>
      </c>
      <c r="AS274" s="5">
        <f t="shared" si="763"/>
        <v>12.710969427546576</v>
      </c>
      <c r="AT274" s="5">
        <f t="shared" si="753"/>
        <v>1.9474181536202286</v>
      </c>
      <c r="AU274" s="5">
        <f t="shared" si="722"/>
        <v>10.763551273926348</v>
      </c>
      <c r="AV274" s="5"/>
      <c r="AW274" s="173">
        <f t="shared" si="723"/>
        <v>0.15320768134331922</v>
      </c>
      <c r="AX274" s="173">
        <f t="shared" si="631"/>
        <v>89.09267298763119</v>
      </c>
      <c r="AY274" s="173">
        <f t="shared" si="632"/>
        <v>5.816766367345461</v>
      </c>
      <c r="AZ274" s="173">
        <f t="shared" si="633"/>
        <v>15.316529384399104</v>
      </c>
      <c r="BA274" s="460">
        <f t="shared" si="724"/>
        <v>75.300168606648839</v>
      </c>
      <c r="BB274" s="5">
        <f t="shared" si="725"/>
        <v>3.0726677172109174</v>
      </c>
      <c r="BD274" s="173">
        <f t="shared" si="681"/>
        <v>3.1046621638599472</v>
      </c>
      <c r="BE274" s="173">
        <f t="shared" si="682"/>
        <v>7.2989860552816248</v>
      </c>
      <c r="BG274" s="528">
        <f t="shared" si="683"/>
        <v>0.1927785430340706</v>
      </c>
      <c r="BH274" s="528">
        <f t="shared" si="754"/>
        <v>2.0318659886449155</v>
      </c>
      <c r="BI274" s="528">
        <f t="shared" si="755"/>
        <v>0.16650147025534245</v>
      </c>
      <c r="BJ274" s="528">
        <f t="shared" si="684"/>
        <v>7.9085495277828752E-2</v>
      </c>
      <c r="BK274">
        <f t="shared" si="685"/>
        <v>3.8095111765029846E-2</v>
      </c>
      <c r="BL274" s="460">
        <f t="shared" si="686"/>
        <v>204.5965820203723</v>
      </c>
      <c r="BM274" s="528">
        <f t="shared" si="756"/>
        <v>2.4688645545328765</v>
      </c>
      <c r="BN274" s="460">
        <f t="shared" si="687"/>
        <v>2468.8645545328764</v>
      </c>
      <c r="BO274" s="528">
        <f t="shared" si="637"/>
        <v>4.0599999999999996</v>
      </c>
      <c r="BR274" s="460">
        <f t="shared" si="688"/>
        <v>4059.9999999999995</v>
      </c>
      <c r="BS274" s="528">
        <f t="shared" si="689"/>
        <v>0.28916781455110591</v>
      </c>
      <c r="BT274" s="528">
        <f t="shared" si="690"/>
        <v>1.5982559230558684</v>
      </c>
      <c r="BU274" s="528">
        <f t="shared" si="691"/>
        <v>1.9202602186428703</v>
      </c>
      <c r="BV274" s="528"/>
      <c r="BW274" s="528">
        <f t="shared" si="692"/>
        <v>1.4848778831271862E-2</v>
      </c>
      <c r="BX274" s="460">
        <f t="shared" si="693"/>
        <v>3822.5327350811162</v>
      </c>
      <c r="BY274" s="173">
        <f t="shared" si="694"/>
        <v>10.390859344058303</v>
      </c>
      <c r="BZ274" s="5">
        <f t="shared" si="695"/>
        <v>87</v>
      </c>
      <c r="CA274" s="173">
        <f t="shared" si="696"/>
        <v>0.89330765316126937</v>
      </c>
      <c r="CB274" s="5">
        <f t="shared" si="697"/>
        <v>89.330765316126943</v>
      </c>
      <c r="CE274" s="562">
        <f t="shared" si="757"/>
        <v>-50</v>
      </c>
      <c r="CF274">
        <f t="shared" si="758"/>
        <v>-50</v>
      </c>
      <c r="CG274" s="173">
        <f t="shared" si="759"/>
        <v>0.84254301190241399</v>
      </c>
      <c r="CI274" s="170">
        <v>58</v>
      </c>
      <c r="CJ274" s="217">
        <f t="shared" si="698"/>
        <v>5.8</v>
      </c>
      <c r="CK274" s="217"/>
      <c r="CL274" s="217">
        <f t="shared" si="641"/>
        <v>87</v>
      </c>
      <c r="CM274" s="541">
        <f t="shared" si="642"/>
        <v>85</v>
      </c>
      <c r="CN274" s="443">
        <f t="shared" si="643"/>
        <v>15.4</v>
      </c>
      <c r="CO274" s="443">
        <f t="shared" si="644"/>
        <v>100.4</v>
      </c>
      <c r="CP274" s="443"/>
      <c r="CQ274" s="217">
        <f t="shared" si="645"/>
        <v>0.15338645418326693</v>
      </c>
      <c r="CR274" s="172">
        <f t="shared" si="646"/>
        <v>327.33148655378488</v>
      </c>
      <c r="CS274" s="172">
        <f t="shared" si="647"/>
        <v>87</v>
      </c>
      <c r="CT274" s="217">
        <f t="shared" si="648"/>
        <v>21.822099103585661</v>
      </c>
      <c r="CU274" s="217">
        <f t="shared" si="649"/>
        <v>15</v>
      </c>
      <c r="CV274" s="217"/>
      <c r="CW274" s="172">
        <f t="shared" si="650"/>
        <v>281.49992052427274</v>
      </c>
      <c r="CX274" s="172">
        <f t="shared" si="651"/>
        <v>15</v>
      </c>
      <c r="CY274" s="217">
        <f t="shared" si="652"/>
        <v>13.345760122230709</v>
      </c>
      <c r="CZ274" s="217">
        <f t="shared" si="653"/>
        <v>1.8841073113737474</v>
      </c>
      <c r="DA274" s="217">
        <f t="shared" si="654"/>
        <v>10.399293601738217</v>
      </c>
      <c r="DB274" s="197">
        <f t="shared" si="655"/>
        <v>108.64873837981409</v>
      </c>
      <c r="DC274" s="443">
        <f t="shared" si="656"/>
        <v>81.41067828638127</v>
      </c>
      <c r="DE274" s="217">
        <f t="shared" si="657"/>
        <v>10</v>
      </c>
      <c r="DF274" s="173">
        <f t="shared" si="658"/>
        <v>7.7922077922077913</v>
      </c>
      <c r="DG274" s="173">
        <f t="shared" si="659"/>
        <v>4.2330677290836656</v>
      </c>
      <c r="DH274" s="173"/>
      <c r="DI274" s="173">
        <f t="shared" si="660"/>
        <v>7.7922077922077913</v>
      </c>
      <c r="DJ274" s="545">
        <f t="shared" si="661"/>
        <v>148.86666666666665</v>
      </c>
      <c r="DK274" s="528">
        <f t="shared" si="662"/>
        <v>4.2330677290836656</v>
      </c>
      <c r="DM274" s="173">
        <f t="shared" si="663"/>
        <v>6.521758454077653</v>
      </c>
      <c r="DN274" s="173">
        <f t="shared" si="664"/>
        <v>13.345760122230709</v>
      </c>
      <c r="DO274" s="173">
        <f t="shared" si="665"/>
        <v>3.6783408312820072</v>
      </c>
      <c r="DQ274" s="545">
        <f t="shared" si="666"/>
        <v>5800</v>
      </c>
      <c r="DR274" s="460">
        <f t="shared" si="667"/>
        <v>81.41067828638127</v>
      </c>
      <c r="DT274">
        <f t="shared" si="668"/>
        <v>5800</v>
      </c>
      <c r="DU274">
        <f t="shared" si="669"/>
        <v>81.41067828638127</v>
      </c>
      <c r="DW274" s="5">
        <f t="shared" si="670"/>
        <v>12.283400913111965</v>
      </c>
      <c r="DX274" s="5">
        <f t="shared" si="671"/>
        <v>1.8841073113737474</v>
      </c>
      <c r="DY274" s="5">
        <f t="shared" si="672"/>
        <v>10.399293601738218</v>
      </c>
      <c r="DZ274" s="5"/>
      <c r="EA274" s="173">
        <f t="shared" si="673"/>
        <v>0.15338645418326691</v>
      </c>
      <c r="EB274" s="173">
        <f t="shared" si="699"/>
        <v>86.999999999999986</v>
      </c>
      <c r="EC274" s="173">
        <f t="shared" si="700"/>
        <v>5.6493506493506489</v>
      </c>
      <c r="ED274" s="173">
        <f t="shared" si="701"/>
        <v>15.399999999999999</v>
      </c>
      <c r="EE274" s="460">
        <f t="shared" si="674"/>
        <v>72.852149373118237</v>
      </c>
      <c r="EF274" s="5">
        <f t="shared" si="675"/>
        <v>2.956661906376552</v>
      </c>
      <c r="EH274" s="173">
        <f t="shared" si="702"/>
        <v>3.0177008916789245</v>
      </c>
      <c r="EI274" s="173">
        <f t="shared" si="703"/>
        <v>7.0896581305731079</v>
      </c>
      <c r="EK274" s="528">
        <f t="shared" si="704"/>
        <v>0.18213037343279553</v>
      </c>
      <c r="EL274" s="528">
        <f t="shared" si="705"/>
        <v>2.1816666666666666</v>
      </c>
      <c r="EM274" s="528">
        <f t="shared" si="706"/>
        <v>1.0176334785797658E-2</v>
      </c>
      <c r="EN274" s="528">
        <f t="shared" si="707"/>
        <v>8.2063266283524908E-2</v>
      </c>
      <c r="EO274">
        <f t="shared" si="708"/>
        <v>3.8249999999999999E-2</v>
      </c>
      <c r="EP274" s="460">
        <f t="shared" si="709"/>
        <v>48.426334785797657</v>
      </c>
      <c r="EQ274" s="460"/>
      <c r="ER274" s="460">
        <f t="shared" si="710"/>
        <v>2494.2866411687851</v>
      </c>
      <c r="ES274" s="528">
        <f t="shared" si="711"/>
        <v>4.0599999999999996</v>
      </c>
      <c r="EV274" s="460">
        <f t="shared" si="712"/>
        <v>4059.9999999999995</v>
      </c>
      <c r="EW274" s="528">
        <f t="shared" si="713"/>
        <v>0.27319556014919327</v>
      </c>
      <c r="EX274" s="528">
        <f t="shared" si="714"/>
        <v>1.5078975722520414</v>
      </c>
      <c r="EY274" s="528">
        <f t="shared" si="715"/>
        <v>1.9455021880180821</v>
      </c>
      <c r="EZ274" s="528"/>
      <c r="FA274" s="528">
        <f t="shared" si="716"/>
        <v>1.4499999999999999E-2</v>
      </c>
      <c r="FB274" s="460">
        <f t="shared" si="717"/>
        <v>3741.0953204193165</v>
      </c>
      <c r="FC274" s="173">
        <f t="shared" si="718"/>
        <v>10.295381961588102</v>
      </c>
      <c r="FD274" s="5">
        <f t="shared" si="719"/>
        <v>87</v>
      </c>
      <c r="FE274" s="173">
        <f t="shared" si="720"/>
        <v>0.89418426903701664</v>
      </c>
      <c r="FF274" s="5">
        <f t="shared" si="721"/>
        <v>89.418426903701658</v>
      </c>
      <c r="FI274" s="562">
        <f t="shared" si="676"/>
        <v>-50</v>
      </c>
      <c r="FJ274">
        <f t="shared" si="677"/>
        <v>-50</v>
      </c>
      <c r="FL274">
        <f t="shared" si="760"/>
        <v>0.84661354581673309</v>
      </c>
    </row>
    <row r="275" spans="5:168">
      <c r="E275" s="170">
        <v>59</v>
      </c>
      <c r="F275" s="217">
        <f t="shared" si="761"/>
        <v>5.8999999999999995</v>
      </c>
      <c r="G275" s="217"/>
      <c r="H275" s="217">
        <f t="shared" si="726"/>
        <v>88.499999999999986</v>
      </c>
      <c r="I275" s="541">
        <f t="shared" si="727"/>
        <v>84.649898175437016</v>
      </c>
      <c r="J275" s="172">
        <f t="shared" si="728"/>
        <v>15.610061094737789</v>
      </c>
      <c r="K275" s="172">
        <f t="shared" si="729"/>
        <v>100.2599592701748</v>
      </c>
      <c r="L275" s="443"/>
      <c r="M275" s="217">
        <f t="shared" si="730"/>
        <v>0.15568750401184481</v>
      </c>
      <c r="N275" s="172">
        <f t="shared" si="731"/>
        <v>330.87354550195539</v>
      </c>
      <c r="O275" s="172">
        <f t="shared" si="762"/>
        <v>88.499999999999986</v>
      </c>
      <c r="P275" s="217">
        <f t="shared" si="732"/>
        <v>22.058236366797026</v>
      </c>
      <c r="Q275" s="217">
        <f t="shared" si="733"/>
        <v>15</v>
      </c>
      <c r="R275" s="217"/>
      <c r="S275" s="172">
        <f t="shared" si="734"/>
        <v>274.15943573969525</v>
      </c>
      <c r="T275" s="172">
        <f t="shared" si="735"/>
        <v>15</v>
      </c>
      <c r="U275" s="217">
        <f t="shared" si="736"/>
        <v>13.975868006299814</v>
      </c>
      <c r="V275" s="217">
        <f t="shared" si="737"/>
        <v>1.9812240733948403</v>
      </c>
      <c r="W275" s="217">
        <f t="shared" si="738"/>
        <v>10.743738609205931</v>
      </c>
      <c r="X275" s="197">
        <f t="shared" si="739"/>
        <v>109.83032606774906</v>
      </c>
      <c r="Y275" s="443">
        <f t="shared" si="680"/>
        <v>77.369662455286829</v>
      </c>
      <c r="AA275" s="217">
        <f t="shared" si="740"/>
        <v>10</v>
      </c>
      <c r="AB275" s="173">
        <f t="shared" si="741"/>
        <v>7.6873497977821783</v>
      </c>
      <c r="AC275" s="173">
        <f t="shared" si="742"/>
        <v>4.2215206744363067</v>
      </c>
      <c r="AD275" s="173"/>
      <c r="AE275" s="173">
        <f t="shared" si="743"/>
        <v>7.6873497977821783</v>
      </c>
      <c r="AF275" s="545">
        <f t="shared" si="744"/>
        <v>153.49893409825492</v>
      </c>
      <c r="AG275" s="528">
        <f t="shared" si="745"/>
        <v>4.2215206744363076</v>
      </c>
      <c r="AI275" s="173">
        <f t="shared" si="746"/>
        <v>6.6224495704978468</v>
      </c>
      <c r="AJ275" s="173">
        <f t="shared" si="747"/>
        <v>13.975868006299814</v>
      </c>
      <c r="AK275" s="173">
        <f t="shared" si="748"/>
        <v>4.1450874120739369</v>
      </c>
      <c r="AM275" s="545">
        <f t="shared" si="749"/>
        <v>5899.9999999999991</v>
      </c>
      <c r="AN275" s="460">
        <f t="shared" si="750"/>
        <v>77.369662455286829</v>
      </c>
      <c r="AP275">
        <f t="shared" si="751"/>
        <v>5899.9999999999991</v>
      </c>
      <c r="AQ275">
        <f t="shared" si="752"/>
        <v>77.369662455286829</v>
      </c>
      <c r="AS275" s="5">
        <f t="shared" si="763"/>
        <v>12.92496268260077</v>
      </c>
      <c r="AT275" s="5">
        <f t="shared" si="753"/>
        <v>1.9812240733948403</v>
      </c>
      <c r="AU275" s="5">
        <f t="shared" si="722"/>
        <v>10.94373860920593</v>
      </c>
      <c r="AV275" s="5"/>
      <c r="AW275" s="173">
        <f t="shared" si="723"/>
        <v>0.1532866378068472</v>
      </c>
      <c r="AX275" s="173">
        <f t="shared" si="631"/>
        <v>90.673323239434538</v>
      </c>
      <c r="AY275" s="173">
        <f t="shared" si="632"/>
        <v>5.9167770945909162</v>
      </c>
      <c r="AZ275" s="173">
        <f t="shared" si="633"/>
        <v>15.324782696702833</v>
      </c>
      <c r="BA275" s="460">
        <f t="shared" si="724"/>
        <v>77.928146886863715</v>
      </c>
      <c r="BB275" s="5">
        <f t="shared" si="725"/>
        <v>3.1781913498041856</v>
      </c>
      <c r="BD275" s="173">
        <f t="shared" si="681"/>
        <v>3.1591504731553628</v>
      </c>
      <c r="BE275" s="173">
        <f t="shared" si="682"/>
        <v>7.4248275264682411</v>
      </c>
      <c r="BG275" s="528">
        <f t="shared" si="683"/>
        <v>0.19960463424075506</v>
      </c>
      <c r="BH275" s="528">
        <f t="shared" si="754"/>
        <v>2.0327234082122958</v>
      </c>
      <c r="BI275" s="528">
        <f t="shared" si="755"/>
        <v>0.16373335121769905</v>
      </c>
      <c r="BJ275" s="528">
        <f t="shared" si="684"/>
        <v>7.777244453006367E-2</v>
      </c>
      <c r="BK275">
        <f t="shared" si="685"/>
        <v>3.8092454178946654E-2</v>
      </c>
      <c r="BL275" s="460">
        <f t="shared" si="686"/>
        <v>201.82580539664571</v>
      </c>
      <c r="BM275" s="528">
        <f t="shared" si="756"/>
        <v>2.4816905456673179</v>
      </c>
      <c r="BN275" s="460">
        <f t="shared" si="687"/>
        <v>2481.690545667318</v>
      </c>
      <c r="BO275" s="528">
        <f t="shared" si="637"/>
        <v>4.129999999999999</v>
      </c>
      <c r="BR275" s="460">
        <f t="shared" si="688"/>
        <v>4129.9999999999991</v>
      </c>
      <c r="BS275" s="528">
        <f t="shared" si="689"/>
        <v>0.2994069513611326</v>
      </c>
      <c r="BT275" s="528">
        <f t="shared" si="690"/>
        <v>1.653841913934015</v>
      </c>
      <c r="BU275" s="528">
        <f t="shared" si="691"/>
        <v>1.922399901525883</v>
      </c>
      <c r="BV275" s="528"/>
      <c r="BW275" s="528">
        <f t="shared" si="692"/>
        <v>1.5112220539905756E-2</v>
      </c>
      <c r="BX275" s="460">
        <f t="shared" si="693"/>
        <v>3890.7609873609363</v>
      </c>
      <c r="BY275" s="173">
        <f t="shared" si="694"/>
        <v>10.532687279740697</v>
      </c>
      <c r="BZ275" s="5">
        <f t="shared" si="695"/>
        <v>88.499999999999986</v>
      </c>
      <c r="CA275" s="173">
        <f t="shared" si="696"/>
        <v>0.89364433532951915</v>
      </c>
      <c r="CB275" s="5">
        <f t="shared" si="697"/>
        <v>89.364433532951921</v>
      </c>
      <c r="CE275" s="562">
        <f t="shared" si="757"/>
        <v>-50</v>
      </c>
      <c r="CF275">
        <f t="shared" si="758"/>
        <v>-50</v>
      </c>
      <c r="CG275" s="173">
        <f t="shared" si="759"/>
        <v>0.84261200400265668</v>
      </c>
      <c r="CI275" s="170">
        <v>59</v>
      </c>
      <c r="CJ275" s="217">
        <f t="shared" si="698"/>
        <v>5.8999999999999995</v>
      </c>
      <c r="CK275" s="217"/>
      <c r="CL275" s="217">
        <f t="shared" si="641"/>
        <v>88.499999999999986</v>
      </c>
      <c r="CM275" s="541">
        <f t="shared" si="642"/>
        <v>85</v>
      </c>
      <c r="CN275" s="443">
        <f t="shared" si="643"/>
        <v>15.4</v>
      </c>
      <c r="CO275" s="443">
        <f t="shared" si="644"/>
        <v>100.4</v>
      </c>
      <c r="CP275" s="443"/>
      <c r="CQ275" s="217">
        <f t="shared" si="645"/>
        <v>0.15338645418326693</v>
      </c>
      <c r="CR275" s="172">
        <f t="shared" si="646"/>
        <v>327.33148655378488</v>
      </c>
      <c r="CS275" s="172">
        <f t="shared" si="647"/>
        <v>88.499999999999986</v>
      </c>
      <c r="CT275" s="217">
        <f t="shared" si="648"/>
        <v>21.822099103585661</v>
      </c>
      <c r="CU275" s="217">
        <f t="shared" si="649"/>
        <v>15</v>
      </c>
      <c r="CV275" s="217"/>
      <c r="CW275" s="172">
        <f t="shared" si="650"/>
        <v>275.29281719036675</v>
      </c>
      <c r="CX275" s="172">
        <f t="shared" si="651"/>
        <v>15</v>
      </c>
      <c r="CY275" s="217">
        <f t="shared" si="652"/>
        <v>13.575859434682961</v>
      </c>
      <c r="CZ275" s="217">
        <f t="shared" si="653"/>
        <v>1.9165919201905357</v>
      </c>
      <c r="DA275" s="217">
        <f t="shared" si="654"/>
        <v>10.578591767285424</v>
      </c>
      <c r="DB275" s="197">
        <f t="shared" si="655"/>
        <v>108.64873837981409</v>
      </c>
      <c r="DC275" s="443">
        <f t="shared" si="656"/>
        <v>80.030836281527371</v>
      </c>
      <c r="DE275" s="217">
        <f t="shared" si="657"/>
        <v>10</v>
      </c>
      <c r="DF275" s="173">
        <f t="shared" si="658"/>
        <v>7.7922077922077913</v>
      </c>
      <c r="DG275" s="173">
        <f t="shared" si="659"/>
        <v>4.2330677290836656</v>
      </c>
      <c r="DH275" s="173"/>
      <c r="DI275" s="173">
        <f t="shared" si="660"/>
        <v>7.7922077922077913</v>
      </c>
      <c r="DJ275" s="545">
        <f t="shared" si="661"/>
        <v>151.43333333333331</v>
      </c>
      <c r="DK275" s="528">
        <f t="shared" si="662"/>
        <v>4.2330677290836656</v>
      </c>
      <c r="DM275" s="173">
        <f t="shared" si="663"/>
        <v>6.5777402401331315</v>
      </c>
      <c r="DN275" s="173">
        <f t="shared" si="664"/>
        <v>13.575859434682961</v>
      </c>
      <c r="DO275" s="173">
        <f t="shared" si="665"/>
        <v>3.8487847664318231</v>
      </c>
      <c r="DQ275" s="545">
        <f t="shared" si="666"/>
        <v>5899.9999999999991</v>
      </c>
      <c r="DR275" s="460">
        <f t="shared" si="667"/>
        <v>80.030836281527371</v>
      </c>
      <c r="DT275">
        <f t="shared" si="668"/>
        <v>5899.9999999999991</v>
      </c>
      <c r="DU275">
        <f t="shared" si="669"/>
        <v>80.030836281527371</v>
      </c>
      <c r="DW275" s="5">
        <f t="shared" si="670"/>
        <v>12.49518368747596</v>
      </c>
      <c r="DX275" s="5">
        <f t="shared" si="671"/>
        <v>1.9165919201905357</v>
      </c>
      <c r="DY275" s="5">
        <f t="shared" si="672"/>
        <v>10.578591767285424</v>
      </c>
      <c r="DZ275" s="5"/>
      <c r="EA275" s="173">
        <f t="shared" si="673"/>
        <v>0.15338645418326693</v>
      </c>
      <c r="EB275" s="173">
        <f t="shared" si="699"/>
        <v>88.499999999999986</v>
      </c>
      <c r="EC275" s="173">
        <f t="shared" si="700"/>
        <v>5.7467532467532454</v>
      </c>
      <c r="ED275" s="173">
        <f t="shared" si="701"/>
        <v>15.4</v>
      </c>
      <c r="EE275" s="460">
        <f t="shared" si="674"/>
        <v>75.385948860827739</v>
      </c>
      <c r="EF275" s="5">
        <f t="shared" si="675"/>
        <v>3.059494677793333</v>
      </c>
      <c r="EH275" s="173">
        <f t="shared" si="702"/>
        <v>3.0697302173975265</v>
      </c>
      <c r="EI275" s="173">
        <f t="shared" si="703"/>
        <v>7.211893615582988</v>
      </c>
      <c r="EK275" s="528">
        <f t="shared" si="704"/>
        <v>0.18846487215206931</v>
      </c>
      <c r="EL275" s="528">
        <f t="shared" si="705"/>
        <v>2.1816666666666671</v>
      </c>
      <c r="EM275" s="528">
        <f t="shared" si="706"/>
        <v>1.0003854535190921E-2</v>
      </c>
      <c r="EN275" s="528">
        <f t="shared" si="707"/>
        <v>8.0672363465160116E-2</v>
      </c>
      <c r="EO275">
        <f t="shared" si="708"/>
        <v>3.8249999999999999E-2</v>
      </c>
      <c r="EP275" s="460">
        <f t="shared" si="709"/>
        <v>48.253854535190918</v>
      </c>
      <c r="EQ275" s="460"/>
      <c r="ER275" s="460">
        <f t="shared" si="710"/>
        <v>2499.0577568190874</v>
      </c>
      <c r="ES275" s="528">
        <f t="shared" si="711"/>
        <v>4.129999999999999</v>
      </c>
      <c r="EV275" s="460">
        <f t="shared" si="712"/>
        <v>4129.9999999999991</v>
      </c>
      <c r="EW275" s="528">
        <f t="shared" si="713"/>
        <v>0.28269730822810396</v>
      </c>
      <c r="EX275" s="528">
        <f t="shared" si="714"/>
        <v>1.5603422856745999</v>
      </c>
      <c r="EY275" s="528">
        <f t="shared" si="715"/>
        <v>1.9455021880180834</v>
      </c>
      <c r="EZ275" s="528"/>
      <c r="FA275" s="528">
        <f t="shared" si="716"/>
        <v>1.4749999999999997E-2</v>
      </c>
      <c r="FB275" s="460">
        <f t="shared" si="717"/>
        <v>3803.2917819207869</v>
      </c>
      <c r="FC275" s="173">
        <f t="shared" si="718"/>
        <v>10.432349538739874</v>
      </c>
      <c r="FD275" s="5">
        <f t="shared" si="719"/>
        <v>88.499999999999986</v>
      </c>
      <c r="FE275" s="173">
        <f t="shared" si="720"/>
        <v>0.89455067440145264</v>
      </c>
      <c r="FF275" s="5">
        <f t="shared" si="721"/>
        <v>89.455067440145257</v>
      </c>
      <c r="FI275" s="562">
        <f t="shared" si="676"/>
        <v>-50</v>
      </c>
      <c r="FJ275">
        <f t="shared" si="677"/>
        <v>-50</v>
      </c>
      <c r="FL275">
        <f t="shared" si="760"/>
        <v>0.84661354581673309</v>
      </c>
    </row>
    <row r="276" spans="5:168">
      <c r="E276" s="170">
        <v>60</v>
      </c>
      <c r="F276" s="217">
        <f t="shared" si="761"/>
        <v>6</v>
      </c>
      <c r="G276" s="217"/>
      <c r="H276" s="217">
        <f t="shared" si="726"/>
        <v>90</v>
      </c>
      <c r="I276" s="541">
        <f t="shared" si="727"/>
        <v>84.643992424047681</v>
      </c>
      <c r="J276" s="172">
        <f t="shared" si="728"/>
        <v>15.613604545571391</v>
      </c>
      <c r="K276" s="172">
        <f t="shared" si="729"/>
        <v>100.25759696961907</v>
      </c>
      <c r="L276" s="443"/>
      <c r="M276" s="217">
        <f t="shared" si="730"/>
        <v>0.15572651688174027</v>
      </c>
      <c r="N276" s="172">
        <f t="shared" si="731"/>
        <v>330.93336750376977</v>
      </c>
      <c r="O276" s="172">
        <f t="shared" si="762"/>
        <v>90</v>
      </c>
      <c r="P276" s="217">
        <f t="shared" si="732"/>
        <v>22.062224500251318</v>
      </c>
      <c r="Q276" s="217">
        <f t="shared" si="733"/>
        <v>15</v>
      </c>
      <c r="R276" s="217"/>
      <c r="S276" s="172">
        <f t="shared" si="734"/>
        <v>268.16537770374754</v>
      </c>
      <c r="T276" s="172">
        <f t="shared" si="735"/>
        <v>15</v>
      </c>
      <c r="U276" s="217">
        <f t="shared" si="736"/>
        <v>14.213403879130389</v>
      </c>
      <c r="V276" s="217">
        <f t="shared" si="737"/>
        <v>2.0150378268441371</v>
      </c>
      <c r="W276" s="217">
        <f t="shared" si="738"/>
        <v>10.923861050262234</v>
      </c>
      <c r="X276" s="197">
        <f t="shared" si="739"/>
        <v>109.85018133404755</v>
      </c>
      <c r="Y276" s="443">
        <f t="shared" si="680"/>
        <v>76.109878716125237</v>
      </c>
      <c r="AA276" s="217">
        <f t="shared" si="740"/>
        <v>10</v>
      </c>
      <c r="AB276" s="173">
        <f t="shared" si="741"/>
        <v>7.6856051816706561</v>
      </c>
      <c r="AC276" s="173">
        <f t="shared" si="742"/>
        <v>4.221325614342085</v>
      </c>
      <c r="AD276" s="173"/>
      <c r="AE276" s="173">
        <f t="shared" si="743"/>
        <v>7.6856051816706561</v>
      </c>
      <c r="AF276" s="545">
        <f t="shared" si="744"/>
        <v>156.13604545571394</v>
      </c>
      <c r="AG276" s="528">
        <f t="shared" si="745"/>
        <v>4.2213256143420859</v>
      </c>
      <c r="AI276" s="173">
        <f t="shared" si="746"/>
        <v>6.679094152774951</v>
      </c>
      <c r="AJ276" s="173">
        <f t="shared" si="747"/>
        <v>14.213403879130389</v>
      </c>
      <c r="AK276" s="173">
        <f t="shared" si="748"/>
        <v>4.321039910466955</v>
      </c>
      <c r="AM276" s="545">
        <f t="shared" si="749"/>
        <v>6000</v>
      </c>
      <c r="AN276" s="460">
        <f t="shared" si="750"/>
        <v>76.109878716125237</v>
      </c>
      <c r="AP276">
        <f t="shared" si="751"/>
        <v>6000</v>
      </c>
      <c r="AQ276">
        <f t="shared" si="752"/>
        <v>76.109878716125237</v>
      </c>
      <c r="AS276" s="5">
        <f t="shared" si="763"/>
        <v>13.138898877106371</v>
      </c>
      <c r="AT276" s="5">
        <f t="shared" si="753"/>
        <v>2.0150378268441371</v>
      </c>
      <c r="AU276" s="5">
        <f t="shared" si="722"/>
        <v>11.123861050262233</v>
      </c>
      <c r="AV276" s="5"/>
      <c r="AW276" s="173">
        <f t="shared" si="723"/>
        <v>0.15336428460951185</v>
      </c>
      <c r="AX276" s="173">
        <f t="shared" si="631"/>
        <v>92.254694272723086</v>
      </c>
      <c r="AY276" s="173">
        <f t="shared" si="632"/>
        <v>6.016787680670749</v>
      </c>
      <c r="AZ276" s="173">
        <f t="shared" si="633"/>
        <v>15.332881791573966</v>
      </c>
      <c r="BA276" s="460">
        <f t="shared" si="724"/>
        <v>80.601513073765474</v>
      </c>
      <c r="BB276" s="5">
        <f t="shared" si="725"/>
        <v>3.2854845133409318</v>
      </c>
      <c r="BD276" s="173">
        <f t="shared" si="681"/>
        <v>3.2136574755554195</v>
      </c>
      <c r="BE276" s="173">
        <f t="shared" si="682"/>
        <v>7.5506747318964615</v>
      </c>
      <c r="BG276" s="528">
        <f t="shared" si="683"/>
        <v>0.20655188740386465</v>
      </c>
      <c r="BH276" s="528">
        <f t="shared" si="754"/>
        <v>2.0335632731796722</v>
      </c>
      <c r="BI276" s="528">
        <f t="shared" si="755"/>
        <v>0.16105609993607234</v>
      </c>
      <c r="BJ276" s="528">
        <f t="shared" si="684"/>
        <v>7.6502497234656158E-2</v>
      </c>
      <c r="BK276">
        <f t="shared" si="685"/>
        <v>3.8089796590821456E-2</v>
      </c>
      <c r="BL276" s="460">
        <f t="shared" si="686"/>
        <v>199.14589652689381</v>
      </c>
      <c r="BM276" s="528">
        <f t="shared" si="756"/>
        <v>2.4948244915104127</v>
      </c>
      <c r="BN276" s="460">
        <f t="shared" si="687"/>
        <v>2494.8244915104128</v>
      </c>
      <c r="BO276" s="528">
        <f t="shared" si="637"/>
        <v>4.1999999999999993</v>
      </c>
      <c r="BR276" s="460">
        <f t="shared" si="688"/>
        <v>4199.9999999999991</v>
      </c>
      <c r="BS276" s="528">
        <f t="shared" si="689"/>
        <v>0.30982783110579692</v>
      </c>
      <c r="BT276" s="528">
        <f t="shared" si="690"/>
        <v>1.710380667206991</v>
      </c>
      <c r="BU276" s="528">
        <f t="shared" si="691"/>
        <v>1.9244995822423163</v>
      </c>
      <c r="BV276" s="528"/>
      <c r="BW276" s="528">
        <f t="shared" si="692"/>
        <v>1.5375782378787181E-2</v>
      </c>
      <c r="BX276" s="460">
        <f t="shared" si="693"/>
        <v>3960.0838629338914</v>
      </c>
      <c r="BY276" s="173">
        <f t="shared" si="694"/>
        <v>10.675847417278977</v>
      </c>
      <c r="BZ276" s="5">
        <f t="shared" si="695"/>
        <v>90</v>
      </c>
      <c r="CA276" s="173">
        <f t="shared" si="696"/>
        <v>0.89395820654948188</v>
      </c>
      <c r="CB276" s="5">
        <f t="shared" si="697"/>
        <v>89.395820654948182</v>
      </c>
      <c r="CE276" s="562">
        <f t="shared" si="757"/>
        <v>-50</v>
      </c>
      <c r="CF276">
        <f t="shared" si="758"/>
        <v>-50</v>
      </c>
      <c r="CG276" s="173">
        <f t="shared" si="759"/>
        <v>0.84267869636622461</v>
      </c>
      <c r="CI276" s="170">
        <v>60</v>
      </c>
      <c r="CJ276" s="217">
        <f t="shared" si="698"/>
        <v>6</v>
      </c>
      <c r="CK276" s="217"/>
      <c r="CL276" s="217">
        <f t="shared" si="641"/>
        <v>90</v>
      </c>
      <c r="CM276" s="541">
        <f t="shared" si="642"/>
        <v>85</v>
      </c>
      <c r="CN276" s="443">
        <f t="shared" si="643"/>
        <v>15.4</v>
      </c>
      <c r="CO276" s="443">
        <f t="shared" si="644"/>
        <v>100.4</v>
      </c>
      <c r="CP276" s="443"/>
      <c r="CQ276" s="217">
        <f t="shared" si="645"/>
        <v>0.15338645418326693</v>
      </c>
      <c r="CR276" s="172">
        <f t="shared" si="646"/>
        <v>327.33148655378488</v>
      </c>
      <c r="CS276" s="172">
        <f t="shared" si="647"/>
        <v>90</v>
      </c>
      <c r="CT276" s="217">
        <f t="shared" si="648"/>
        <v>21.822099103585661</v>
      </c>
      <c r="CU276" s="217">
        <f t="shared" si="649"/>
        <v>15</v>
      </c>
      <c r="CV276" s="217"/>
      <c r="CW276" s="172">
        <f t="shared" si="650"/>
        <v>269.29273606140282</v>
      </c>
      <c r="CX276" s="172">
        <f t="shared" si="651"/>
        <v>15</v>
      </c>
      <c r="CY276" s="217">
        <f t="shared" si="652"/>
        <v>13.805958747135218</v>
      </c>
      <c r="CZ276" s="217">
        <f t="shared" si="653"/>
        <v>1.9490765290073246</v>
      </c>
      <c r="DA276" s="217">
        <f t="shared" si="654"/>
        <v>10.757889932832637</v>
      </c>
      <c r="DB276" s="197">
        <f t="shared" si="655"/>
        <v>108.64873837981409</v>
      </c>
      <c r="DC276" s="443">
        <f t="shared" si="656"/>
        <v>78.696989010168565</v>
      </c>
      <c r="DE276" s="217">
        <f t="shared" si="657"/>
        <v>10</v>
      </c>
      <c r="DF276" s="173">
        <f t="shared" si="658"/>
        <v>7.7922077922077913</v>
      </c>
      <c r="DG276" s="173">
        <f t="shared" si="659"/>
        <v>4.2330677290836656</v>
      </c>
      <c r="DH276" s="173"/>
      <c r="DI276" s="173">
        <f t="shared" si="660"/>
        <v>7.7922077922077913</v>
      </c>
      <c r="DJ276" s="545">
        <f t="shared" si="661"/>
        <v>154</v>
      </c>
      <c r="DK276" s="528">
        <f t="shared" si="662"/>
        <v>4.2330677290836656</v>
      </c>
      <c r="DM276" s="173">
        <f t="shared" si="663"/>
        <v>6.6332495807107996</v>
      </c>
      <c r="DN276" s="173">
        <f t="shared" si="664"/>
        <v>13.805958747135218</v>
      </c>
      <c r="DO276" s="173">
        <f t="shared" si="665"/>
        <v>4.0192287015816435</v>
      </c>
      <c r="DQ276" s="545">
        <f t="shared" si="666"/>
        <v>6000</v>
      </c>
      <c r="DR276" s="460">
        <f t="shared" si="667"/>
        <v>78.696989010168565</v>
      </c>
      <c r="DT276">
        <f t="shared" si="668"/>
        <v>6000</v>
      </c>
      <c r="DU276">
        <f t="shared" si="669"/>
        <v>78.696989010168565</v>
      </c>
      <c r="DW276" s="5">
        <f t="shared" si="670"/>
        <v>12.706966461839961</v>
      </c>
      <c r="DX276" s="5">
        <f t="shared" si="671"/>
        <v>1.9490765290073246</v>
      </c>
      <c r="DY276" s="5">
        <f t="shared" si="672"/>
        <v>10.757889932832637</v>
      </c>
      <c r="DZ276" s="5"/>
      <c r="EA276" s="173">
        <f t="shared" si="673"/>
        <v>0.15338645418326693</v>
      </c>
      <c r="EB276" s="173">
        <f t="shared" si="699"/>
        <v>90.000000000000014</v>
      </c>
      <c r="EC276" s="173">
        <f t="shared" si="700"/>
        <v>5.8441558441558445</v>
      </c>
      <c r="ED276" s="173">
        <f t="shared" si="701"/>
        <v>15.400000000000002</v>
      </c>
      <c r="EE276" s="460">
        <f t="shared" si="674"/>
        <v>77.96306116029298</v>
      </c>
      <c r="EF276" s="5">
        <f t="shared" si="675"/>
        <v>3.1640852743625398</v>
      </c>
      <c r="EH276" s="173">
        <f t="shared" si="702"/>
        <v>3.1217595431161294</v>
      </c>
      <c r="EI276" s="173">
        <f t="shared" si="703"/>
        <v>7.3341291005928708</v>
      </c>
      <c r="EK276" s="528">
        <f t="shared" si="704"/>
        <v>0.1949076529007325</v>
      </c>
      <c r="EL276" s="528">
        <f t="shared" si="705"/>
        <v>2.1816666666666671</v>
      </c>
      <c r="EM276" s="528">
        <f t="shared" si="706"/>
        <v>9.8371236262710694E-3</v>
      </c>
      <c r="EN276" s="528">
        <f t="shared" si="707"/>
        <v>7.9327824074074085E-2</v>
      </c>
      <c r="EO276">
        <f t="shared" si="708"/>
        <v>3.8249999999999999E-2</v>
      </c>
      <c r="EP276" s="460">
        <f t="shared" si="709"/>
        <v>48.087123626271072</v>
      </c>
      <c r="EQ276" s="460"/>
      <c r="ER276" s="460">
        <f t="shared" si="710"/>
        <v>2503.9892672677447</v>
      </c>
      <c r="ES276" s="528">
        <f t="shared" si="711"/>
        <v>4.1999999999999993</v>
      </c>
      <c r="EV276" s="460">
        <f t="shared" si="712"/>
        <v>4199.9999999999991</v>
      </c>
      <c r="EW276" s="528">
        <f t="shared" si="713"/>
        <v>0.29236147935109874</v>
      </c>
      <c r="EX276" s="528">
        <f t="shared" si="714"/>
        <v>1.6136834899248957</v>
      </c>
      <c r="EY276" s="528">
        <f t="shared" si="715"/>
        <v>1.9455021880180854</v>
      </c>
      <c r="EZ276" s="528"/>
      <c r="FA276" s="528">
        <f t="shared" si="716"/>
        <v>1.5000000000000003E-2</v>
      </c>
      <c r="FB276" s="460">
        <f t="shared" si="717"/>
        <v>3866.5471572940801</v>
      </c>
      <c r="FC276" s="173">
        <f t="shared" si="718"/>
        <v>10.570536424561825</v>
      </c>
      <c r="FD276" s="5">
        <f t="shared" si="719"/>
        <v>90</v>
      </c>
      <c r="FE276" s="173">
        <f t="shared" si="720"/>
        <v>0.89489430204550213</v>
      </c>
      <c r="FF276" s="5">
        <f t="shared" si="721"/>
        <v>89.489430204550217</v>
      </c>
      <c r="FI276" s="562">
        <f t="shared" si="676"/>
        <v>-50</v>
      </c>
      <c r="FJ276">
        <f t="shared" si="677"/>
        <v>-50</v>
      </c>
      <c r="FL276">
        <f t="shared" si="760"/>
        <v>0.84661354581673309</v>
      </c>
    </row>
    <row r="277" spans="5:168">
      <c r="E277" s="170">
        <v>61</v>
      </c>
      <c r="F277" s="217">
        <f t="shared" si="761"/>
        <v>6.1</v>
      </c>
      <c r="G277" s="217"/>
      <c r="H277" s="217">
        <f t="shared" si="726"/>
        <v>91.5</v>
      </c>
      <c r="I277" s="541">
        <f t="shared" si="727"/>
        <v>84.638086668344741</v>
      </c>
      <c r="J277" s="172">
        <f t="shared" si="728"/>
        <v>15.617147998993159</v>
      </c>
      <c r="K277" s="172">
        <f t="shared" si="729"/>
        <v>100.2552346673379</v>
      </c>
      <c r="L277" s="443"/>
      <c r="M277" s="217">
        <f t="shared" si="730"/>
        <v>0.15576553159680478</v>
      </c>
      <c r="N277" s="172">
        <f t="shared" si="731"/>
        <v>330.99318184062219</v>
      </c>
      <c r="O277" s="172">
        <f t="shared" si="762"/>
        <v>91.5</v>
      </c>
      <c r="P277" s="217">
        <f t="shared" si="732"/>
        <v>22.066212122708144</v>
      </c>
      <c r="Q277" s="217">
        <f t="shared" si="733"/>
        <v>15</v>
      </c>
      <c r="R277" s="217"/>
      <c r="S277" s="172">
        <f t="shared" si="734"/>
        <v>262.36815841468211</v>
      </c>
      <c r="T277" s="172">
        <f t="shared" si="735"/>
        <v>15</v>
      </c>
      <c r="U277" s="217">
        <f t="shared" si="736"/>
        <v>14.450961737057908</v>
      </c>
      <c r="V277" s="217">
        <f t="shared" si="737"/>
        <v>2.0488594162603166</v>
      </c>
      <c r="W277" s="217">
        <f t="shared" si="738"/>
        <v>11.103918644804722</v>
      </c>
      <c r="X277" s="197">
        <f t="shared" si="739"/>
        <v>109.87003407162905</v>
      </c>
      <c r="Y277" s="443">
        <f t="shared" si="680"/>
        <v>74.890782684082026</v>
      </c>
      <c r="AA277" s="217">
        <f t="shared" si="740"/>
        <v>9.9999999999999982</v>
      </c>
      <c r="AB277" s="173">
        <f t="shared" si="741"/>
        <v>7.6838613559746252</v>
      </c>
      <c r="AC277" s="173">
        <f t="shared" si="742"/>
        <v>4.221130544913029</v>
      </c>
      <c r="AD277" s="173"/>
      <c r="AE277" s="173">
        <f t="shared" si="743"/>
        <v>7.6838613559746269</v>
      </c>
      <c r="AF277" s="545">
        <f t="shared" si="744"/>
        <v>158.77433798976378</v>
      </c>
      <c r="AG277" s="528">
        <f t="shared" si="745"/>
        <v>4.2211305449130299</v>
      </c>
      <c r="AI277" s="173">
        <f t="shared" si="746"/>
        <v>6.7352874154340237</v>
      </c>
      <c r="AJ277" s="173">
        <f t="shared" si="747"/>
        <v>14.450961737057908</v>
      </c>
      <c r="AK277" s="173">
        <f t="shared" si="748"/>
        <v>4.4970086941169685</v>
      </c>
      <c r="AM277" s="545">
        <f t="shared" si="749"/>
        <v>6100</v>
      </c>
      <c r="AN277" s="460">
        <f t="shared" si="750"/>
        <v>74.890782684082026</v>
      </c>
      <c r="AP277">
        <f t="shared" si="751"/>
        <v>6100</v>
      </c>
      <c r="AQ277">
        <f t="shared" si="752"/>
        <v>74.890782684082026</v>
      </c>
      <c r="AS277" s="5">
        <f t="shared" si="763"/>
        <v>13.35277806106504</v>
      </c>
      <c r="AT277" s="5">
        <f t="shared" si="753"/>
        <v>2.0488594162603166</v>
      </c>
      <c r="AU277" s="5">
        <f t="shared" si="722"/>
        <v>11.303918644804723</v>
      </c>
      <c r="AV277" s="5"/>
      <c r="AW277" s="173">
        <f t="shared" si="723"/>
        <v>0.15344068529338653</v>
      </c>
      <c r="AX277" s="173">
        <f t="shared" si="631"/>
        <v>93.836785500764208</v>
      </c>
      <c r="AY277" s="173">
        <f t="shared" si="632"/>
        <v>6.1167981324876175</v>
      </c>
      <c r="AZ277" s="173">
        <f t="shared" si="633"/>
        <v>15.340834120775877</v>
      </c>
      <c r="BA277" s="460">
        <f t="shared" si="724"/>
        <v>83.320282927919536</v>
      </c>
      <c r="BB277" s="5">
        <f t="shared" si="725"/>
        <v>3.394546634164112</v>
      </c>
      <c r="BD277" s="173">
        <f t="shared" si="681"/>
        <v>3.2681831647027808</v>
      </c>
      <c r="BE277" s="173">
        <f t="shared" si="682"/>
        <v>7.676527677098365</v>
      </c>
      <c r="BG277" s="528">
        <f t="shared" si="683"/>
        <v>0.2136204239609337</v>
      </c>
      <c r="BH277" s="528">
        <f t="shared" si="754"/>
        <v>2.0343864308964408</v>
      </c>
      <c r="BI277" s="528">
        <f t="shared" si="755"/>
        <v>0.15846531388688764</v>
      </c>
      <c r="BJ277" s="528">
        <f t="shared" si="684"/>
        <v>7.5273565038205245E-2</v>
      </c>
      <c r="BK277">
        <f t="shared" si="685"/>
        <v>3.8087139000755131E-2</v>
      </c>
      <c r="BL277" s="460">
        <f t="shared" si="686"/>
        <v>196.55245288764277</v>
      </c>
      <c r="BM277" s="528">
        <f t="shared" si="756"/>
        <v>2.5082681249043772</v>
      </c>
      <c r="BN277" s="460">
        <f t="shared" si="687"/>
        <v>2508.2681249043771</v>
      </c>
      <c r="BO277" s="528">
        <f t="shared" si="637"/>
        <v>4.2699999999999996</v>
      </c>
      <c r="BR277" s="460">
        <f t="shared" si="688"/>
        <v>4270</v>
      </c>
      <c r="BS277" s="528">
        <f t="shared" si="689"/>
        <v>0.32043063594140053</v>
      </c>
      <c r="BT277" s="528">
        <f t="shared" si="690"/>
        <v>1.7678723153177165</v>
      </c>
      <c r="BU277" s="528">
        <f t="shared" si="691"/>
        <v>1.9265611828704741</v>
      </c>
      <c r="BV277" s="528"/>
      <c r="BW277" s="528">
        <f t="shared" si="692"/>
        <v>1.5639464250127369E-2</v>
      </c>
      <c r="BX277" s="460">
        <f t="shared" si="693"/>
        <v>4030.5035983797188</v>
      </c>
      <c r="BY277" s="173">
        <f t="shared" si="694"/>
        <v>10.820336471162939</v>
      </c>
      <c r="BZ277" s="5">
        <f t="shared" si="695"/>
        <v>91.5</v>
      </c>
      <c r="CA277" s="173">
        <f t="shared" si="696"/>
        <v>0.89425038223743092</v>
      </c>
      <c r="CB277" s="5">
        <f t="shared" si="697"/>
        <v>89.425038223743087</v>
      </c>
      <c r="CE277" s="562">
        <f t="shared" si="757"/>
        <v>-50</v>
      </c>
      <c r="CF277">
        <f t="shared" si="758"/>
        <v>-50</v>
      </c>
      <c r="CG277" s="173">
        <f t="shared" si="759"/>
        <v>0.84274320209492148</v>
      </c>
      <c r="CI277" s="170">
        <v>61</v>
      </c>
      <c r="CJ277" s="217">
        <f t="shared" si="698"/>
        <v>6.1</v>
      </c>
      <c r="CK277" s="217"/>
      <c r="CL277" s="217">
        <f t="shared" si="641"/>
        <v>91.5</v>
      </c>
      <c r="CM277" s="541">
        <f t="shared" si="642"/>
        <v>85</v>
      </c>
      <c r="CN277" s="443">
        <f t="shared" si="643"/>
        <v>15.4</v>
      </c>
      <c r="CO277" s="443">
        <f t="shared" si="644"/>
        <v>100.4</v>
      </c>
      <c r="CP277" s="443"/>
      <c r="CQ277" s="217">
        <f t="shared" si="645"/>
        <v>0.15338645418326693</v>
      </c>
      <c r="CR277" s="172">
        <f t="shared" si="646"/>
        <v>327.33148655378488</v>
      </c>
      <c r="CS277" s="172">
        <f t="shared" si="647"/>
        <v>91.5</v>
      </c>
      <c r="CT277" s="217">
        <f t="shared" si="648"/>
        <v>21.822099103585661</v>
      </c>
      <c r="CU277" s="217">
        <f t="shared" si="649"/>
        <v>15</v>
      </c>
      <c r="CV277" s="217"/>
      <c r="CW277" s="172">
        <f t="shared" si="650"/>
        <v>263.48949754579581</v>
      </c>
      <c r="CX277" s="172">
        <f t="shared" si="651"/>
        <v>15</v>
      </c>
      <c r="CY277" s="217">
        <f t="shared" si="652"/>
        <v>14.036058059587472</v>
      </c>
      <c r="CZ277" s="217">
        <f t="shared" si="653"/>
        <v>1.9815611378241136</v>
      </c>
      <c r="DA277" s="217">
        <f t="shared" si="654"/>
        <v>10.937188098379847</v>
      </c>
      <c r="DB277" s="197">
        <f t="shared" si="655"/>
        <v>108.64873837981409</v>
      </c>
      <c r="DC277" s="443">
        <f t="shared" si="656"/>
        <v>77.406874436231377</v>
      </c>
      <c r="DE277" s="217">
        <f t="shared" si="657"/>
        <v>10</v>
      </c>
      <c r="DF277" s="173">
        <f t="shared" si="658"/>
        <v>7.7922077922077913</v>
      </c>
      <c r="DG277" s="173">
        <f t="shared" si="659"/>
        <v>4.2330677290836656</v>
      </c>
      <c r="DH277" s="173"/>
      <c r="DI277" s="173">
        <f t="shared" si="660"/>
        <v>7.7922077922077913</v>
      </c>
      <c r="DJ277" s="545">
        <f t="shared" si="661"/>
        <v>156.56666666666666</v>
      </c>
      <c r="DK277" s="528">
        <f t="shared" si="662"/>
        <v>4.2330677290836656</v>
      </c>
      <c r="DM277" s="173">
        <f t="shared" si="663"/>
        <v>6.688298238964328</v>
      </c>
      <c r="DN277" s="173">
        <f t="shared" si="664"/>
        <v>14.036058059587472</v>
      </c>
      <c r="DO277" s="173">
        <f t="shared" si="665"/>
        <v>4.1896726367314603</v>
      </c>
      <c r="DQ277" s="545">
        <f t="shared" si="666"/>
        <v>6100</v>
      </c>
      <c r="DR277" s="460">
        <f t="shared" si="667"/>
        <v>77.406874436231377</v>
      </c>
      <c r="DT277">
        <f t="shared" si="668"/>
        <v>6100</v>
      </c>
      <c r="DU277">
        <f t="shared" si="669"/>
        <v>77.406874436231377</v>
      </c>
      <c r="DW277" s="5">
        <f t="shared" si="670"/>
        <v>12.918749236203961</v>
      </c>
      <c r="DX277" s="5">
        <f t="shared" si="671"/>
        <v>1.9815611378241136</v>
      </c>
      <c r="DY277" s="5">
        <f t="shared" si="672"/>
        <v>10.937188098379847</v>
      </c>
      <c r="DZ277" s="5"/>
      <c r="EA277" s="173">
        <f t="shared" si="673"/>
        <v>0.15338645418326693</v>
      </c>
      <c r="EB277" s="173">
        <f t="shared" si="699"/>
        <v>91.5</v>
      </c>
      <c r="EC277" s="173">
        <f t="shared" si="700"/>
        <v>5.9415584415584419</v>
      </c>
      <c r="ED277" s="173">
        <f t="shared" si="701"/>
        <v>15.399999999999999</v>
      </c>
      <c r="EE277" s="460">
        <f t="shared" si="674"/>
        <v>80.583486271513948</v>
      </c>
      <c r="EF277" s="5">
        <f t="shared" si="675"/>
        <v>3.27043369608417</v>
      </c>
      <c r="EH277" s="173">
        <f t="shared" si="702"/>
        <v>3.1737888688347313</v>
      </c>
      <c r="EI277" s="173">
        <f t="shared" si="703"/>
        <v>7.4563645856027518</v>
      </c>
      <c r="EK277" s="528">
        <f t="shared" si="704"/>
        <v>0.20145871567878487</v>
      </c>
      <c r="EL277" s="528">
        <f t="shared" si="705"/>
        <v>2.1816666666666671</v>
      </c>
      <c r="EM277" s="528">
        <f t="shared" si="706"/>
        <v>9.6758593045289214E-3</v>
      </c>
      <c r="EN277" s="528">
        <f t="shared" si="707"/>
        <v>7.8027367941712222E-2</v>
      </c>
      <c r="EO277">
        <f t="shared" si="708"/>
        <v>3.8249999999999999E-2</v>
      </c>
      <c r="EP277" s="460">
        <f t="shared" si="709"/>
        <v>47.92585930452892</v>
      </c>
      <c r="EQ277" s="460"/>
      <c r="ER277" s="460">
        <f t="shared" si="710"/>
        <v>2509.0786095916933</v>
      </c>
      <c r="ES277" s="528">
        <f t="shared" si="711"/>
        <v>4.2699999999999996</v>
      </c>
      <c r="EV277" s="460">
        <f t="shared" si="712"/>
        <v>4270</v>
      </c>
      <c r="EW277" s="528">
        <f t="shared" si="713"/>
        <v>0.30218807351817728</v>
      </c>
      <c r="EX277" s="528">
        <f t="shared" si="714"/>
        <v>1.6679211850029267</v>
      </c>
      <c r="EY277" s="528">
        <f t="shared" si="715"/>
        <v>1.9455021880180854</v>
      </c>
      <c r="EZ277" s="528"/>
      <c r="FA277" s="528">
        <f t="shared" si="716"/>
        <v>1.5250000000000001E-2</v>
      </c>
      <c r="FB277" s="460">
        <f t="shared" si="717"/>
        <v>3930.8614465391893</v>
      </c>
      <c r="FC277" s="173">
        <f t="shared" si="718"/>
        <v>10.709940056130883</v>
      </c>
      <c r="FD277" s="5">
        <f t="shared" si="719"/>
        <v>91.5</v>
      </c>
      <c r="FE277" s="173">
        <f t="shared" si="720"/>
        <v>0.89521625734004662</v>
      </c>
      <c r="FF277" s="5">
        <f t="shared" si="721"/>
        <v>89.521625734004658</v>
      </c>
      <c r="FI277" s="562">
        <f t="shared" si="676"/>
        <v>-50</v>
      </c>
      <c r="FJ277">
        <f t="shared" si="677"/>
        <v>-50</v>
      </c>
      <c r="FL277">
        <f t="shared" si="760"/>
        <v>0.84661354581673309</v>
      </c>
    </row>
    <row r="278" spans="5:168">
      <c r="E278" s="170">
        <v>62</v>
      </c>
      <c r="F278" s="217">
        <f t="shared" si="761"/>
        <v>6.2</v>
      </c>
      <c r="G278" s="217"/>
      <c r="H278" s="217">
        <f t="shared" si="726"/>
        <v>93</v>
      </c>
      <c r="I278" s="541">
        <f t="shared" si="727"/>
        <v>84.632180908537848</v>
      </c>
      <c r="J278" s="172">
        <f t="shared" si="728"/>
        <v>15.620691454877294</v>
      </c>
      <c r="K278" s="172">
        <f t="shared" si="729"/>
        <v>100.25287236341514</v>
      </c>
      <c r="L278" s="443"/>
      <c r="M278" s="217">
        <f t="shared" si="730"/>
        <v>0.15580454815684802</v>
      </c>
      <c r="N278" s="172">
        <f t="shared" si="731"/>
        <v>331.05298851209471</v>
      </c>
      <c r="O278" s="172">
        <f t="shared" si="762"/>
        <v>93</v>
      </c>
      <c r="P278" s="217">
        <f t="shared" si="732"/>
        <v>22.070199234139647</v>
      </c>
      <c r="Q278" s="217">
        <f t="shared" si="733"/>
        <v>15</v>
      </c>
      <c r="R278" s="217"/>
      <c r="S278" s="172">
        <f t="shared" si="734"/>
        <v>256.75825525375637</v>
      </c>
      <c r="T278" s="172">
        <f t="shared" si="735"/>
        <v>15</v>
      </c>
      <c r="U278" s="217">
        <f t="shared" si="736"/>
        <v>14.688541584684906</v>
      </c>
      <c r="V278" s="217">
        <f t="shared" si="737"/>
        <v>2.0826888439363991</v>
      </c>
      <c r="W278" s="217">
        <f t="shared" si="738"/>
        <v>11.283911440500537</v>
      </c>
      <c r="X278" s="197">
        <f t="shared" si="739"/>
        <v>109.88988427960352</v>
      </c>
      <c r="Y278" s="443">
        <f t="shared" si="680"/>
        <v>73.710434378107266</v>
      </c>
      <c r="AA278" s="217">
        <f t="shared" si="740"/>
        <v>10</v>
      </c>
      <c r="AB278" s="173">
        <f t="shared" si="741"/>
        <v>7.6821183202189198</v>
      </c>
      <c r="AC278" s="173">
        <f t="shared" si="742"/>
        <v>4.2209354661553968</v>
      </c>
      <c r="AD278" s="173"/>
      <c r="AE278" s="173">
        <f t="shared" si="743"/>
        <v>7.6821183202189198</v>
      </c>
      <c r="AF278" s="545">
        <f t="shared" si="744"/>
        <v>161.41381170039872</v>
      </c>
      <c r="AG278" s="528">
        <f t="shared" si="745"/>
        <v>4.2209354661553968</v>
      </c>
      <c r="AI278" s="173">
        <f t="shared" si="746"/>
        <v>6.7910405619757297</v>
      </c>
      <c r="AJ278" s="173">
        <f t="shared" si="747"/>
        <v>14.688541584684906</v>
      </c>
      <c r="AK278" s="173">
        <f t="shared" si="748"/>
        <v>4.6729937664332635</v>
      </c>
      <c r="AM278" s="545">
        <f t="shared" si="749"/>
        <v>6200</v>
      </c>
      <c r="AN278" s="460">
        <f t="shared" si="750"/>
        <v>73.710434378107266</v>
      </c>
      <c r="AP278">
        <f t="shared" si="751"/>
        <v>6200</v>
      </c>
      <c r="AQ278">
        <f t="shared" si="752"/>
        <v>73.710434378107266</v>
      </c>
      <c r="AS278" s="5">
        <f t="shared" si="763"/>
        <v>13.566600284436934</v>
      </c>
      <c r="AT278" s="5">
        <f t="shared" si="753"/>
        <v>2.0826888439363991</v>
      </c>
      <c r="AU278" s="5">
        <f t="shared" si="722"/>
        <v>11.483911440500535</v>
      </c>
      <c r="AV278" s="5"/>
      <c r="AW278" s="173">
        <f t="shared" si="723"/>
        <v>0.15351589936099003</v>
      </c>
      <c r="AX278" s="173">
        <f t="shared" si="631"/>
        <v>95.419596374128318</v>
      </c>
      <c r="AY278" s="173">
        <f t="shared" si="632"/>
        <v>6.2168084565053512</v>
      </c>
      <c r="AZ278" s="173">
        <f t="shared" si="633"/>
        <v>15.348646663591506</v>
      </c>
      <c r="BA278" s="460">
        <f t="shared" si="724"/>
        <v>86.084472216037838</v>
      </c>
      <c r="BB278" s="5">
        <f t="shared" si="725"/>
        <v>3.5053771393831834</v>
      </c>
      <c r="BD278" s="173">
        <f t="shared" si="681"/>
        <v>3.3227275347330001</v>
      </c>
      <c r="BE278" s="173">
        <f t="shared" si="682"/>
        <v>7.8023863673194942</v>
      </c>
      <c r="BG278" s="528">
        <f t="shared" si="683"/>
        <v>0.22081036540145682</v>
      </c>
      <c r="BH278" s="528">
        <f t="shared" si="754"/>
        <v>2.0351936748434176</v>
      </c>
      <c r="BI278" s="528">
        <f t="shared" si="755"/>
        <v>0.15595687042837203</v>
      </c>
      <c r="BJ278" s="528">
        <f t="shared" si="684"/>
        <v>7.4083692350285418E-2</v>
      </c>
      <c r="BK278">
        <f t="shared" si="685"/>
        <v>3.8084481408842033E-2</v>
      </c>
      <c r="BL278" s="460">
        <f t="shared" si="686"/>
        <v>194.04135183721405</v>
      </c>
      <c r="BM278" s="528">
        <f t="shared" si="756"/>
        <v>2.5220233323659582</v>
      </c>
      <c r="BN278" s="460">
        <f t="shared" si="687"/>
        <v>2522.0233323659581</v>
      </c>
      <c r="BO278" s="528">
        <f t="shared" si="637"/>
        <v>4.34</v>
      </c>
      <c r="BR278" s="460">
        <f t="shared" si="688"/>
        <v>4340</v>
      </c>
      <c r="BS278" s="528">
        <f t="shared" si="689"/>
        <v>0.33121554810218523</v>
      </c>
      <c r="BT278" s="528">
        <f t="shared" si="690"/>
        <v>1.8263169907479926</v>
      </c>
      <c r="BU278" s="528">
        <f t="shared" si="691"/>
        <v>1.9285865046771913</v>
      </c>
      <c r="BV278" s="528"/>
      <c r="BW278" s="528">
        <f t="shared" si="692"/>
        <v>1.5903266062354718E-2</v>
      </c>
      <c r="BX278" s="460">
        <f t="shared" si="693"/>
        <v>4102.0223095897236</v>
      </c>
      <c r="BY278" s="173">
        <f t="shared" si="694"/>
        <v>10.966151394022098</v>
      </c>
      <c r="BZ278" s="5">
        <f t="shared" si="695"/>
        <v>93</v>
      </c>
      <c r="CA278" s="173">
        <f t="shared" si="696"/>
        <v>0.89452190691890299</v>
      </c>
      <c r="CB278" s="5">
        <f t="shared" si="697"/>
        <v>89.452190691890294</v>
      </c>
      <c r="CE278" s="562">
        <f t="shared" si="757"/>
        <v>-50</v>
      </c>
      <c r="CF278">
        <f t="shared" si="758"/>
        <v>-50</v>
      </c>
      <c r="CG278" s="173">
        <f t="shared" si="759"/>
        <v>0.84280562699366046</v>
      </c>
      <c r="CI278" s="170">
        <v>62</v>
      </c>
      <c r="CJ278" s="217">
        <f t="shared" si="698"/>
        <v>6.2</v>
      </c>
      <c r="CK278" s="217"/>
      <c r="CL278" s="217">
        <f t="shared" si="641"/>
        <v>93</v>
      </c>
      <c r="CM278" s="541">
        <f t="shared" si="642"/>
        <v>85</v>
      </c>
      <c r="CN278" s="443">
        <f t="shared" si="643"/>
        <v>15.4</v>
      </c>
      <c r="CO278" s="443">
        <f t="shared" si="644"/>
        <v>100.4</v>
      </c>
      <c r="CP278" s="443"/>
      <c r="CQ278" s="217">
        <f t="shared" si="645"/>
        <v>0.15338645418326693</v>
      </c>
      <c r="CR278" s="172">
        <f t="shared" si="646"/>
        <v>327.33148655378488</v>
      </c>
      <c r="CS278" s="172">
        <f t="shared" si="647"/>
        <v>93</v>
      </c>
      <c r="CT278" s="217">
        <f t="shared" si="648"/>
        <v>21.822099103585661</v>
      </c>
      <c r="CU278" s="217">
        <f t="shared" si="649"/>
        <v>15</v>
      </c>
      <c r="CV278" s="217"/>
      <c r="CW278" s="172">
        <f t="shared" si="650"/>
        <v>257.8735788372216</v>
      </c>
      <c r="CX278" s="172">
        <f t="shared" si="651"/>
        <v>15</v>
      </c>
      <c r="CY278" s="217">
        <f t="shared" si="652"/>
        <v>14.266157372039725</v>
      </c>
      <c r="CZ278" s="217">
        <f t="shared" si="653"/>
        <v>2.0140457466409023</v>
      </c>
      <c r="DA278" s="217">
        <f t="shared" si="654"/>
        <v>11.116486263927058</v>
      </c>
      <c r="DB278" s="197">
        <f t="shared" si="655"/>
        <v>108.64873837981409</v>
      </c>
      <c r="DC278" s="443">
        <f t="shared" si="656"/>
        <v>76.158376461453443</v>
      </c>
      <c r="DE278" s="217">
        <f t="shared" si="657"/>
        <v>10</v>
      </c>
      <c r="DF278" s="173">
        <f t="shared" si="658"/>
        <v>7.7922077922077913</v>
      </c>
      <c r="DG278" s="173">
        <f t="shared" si="659"/>
        <v>4.2330677290836656</v>
      </c>
      <c r="DH278" s="173"/>
      <c r="DI278" s="173">
        <f t="shared" si="660"/>
        <v>7.7922077922077913</v>
      </c>
      <c r="DJ278" s="545">
        <f t="shared" si="661"/>
        <v>159.13333333333335</v>
      </c>
      <c r="DK278" s="528">
        <f t="shared" si="662"/>
        <v>4.2330677290836656</v>
      </c>
      <c r="DM278" s="173">
        <f t="shared" si="663"/>
        <v>6.7428974978614846</v>
      </c>
      <c r="DN278" s="173">
        <f t="shared" si="664"/>
        <v>14.266157372039725</v>
      </c>
      <c r="DO278" s="173">
        <f t="shared" si="665"/>
        <v>4.360116571881278</v>
      </c>
      <c r="DQ278" s="545">
        <f t="shared" si="666"/>
        <v>6200</v>
      </c>
      <c r="DR278" s="460">
        <f t="shared" si="667"/>
        <v>76.158376461453443</v>
      </c>
      <c r="DT278">
        <f t="shared" si="668"/>
        <v>6200</v>
      </c>
      <c r="DU278">
        <f t="shared" si="669"/>
        <v>76.158376461453443</v>
      </c>
      <c r="DW278" s="5">
        <f t="shared" si="670"/>
        <v>13.130532010567961</v>
      </c>
      <c r="DX278" s="5">
        <f t="shared" si="671"/>
        <v>2.0140457466409023</v>
      </c>
      <c r="DY278" s="5">
        <f t="shared" si="672"/>
        <v>11.116486263927058</v>
      </c>
      <c r="DZ278" s="5"/>
      <c r="EA278" s="173">
        <f t="shared" si="673"/>
        <v>0.15338645418326693</v>
      </c>
      <c r="EB278" s="173">
        <f t="shared" si="699"/>
        <v>93</v>
      </c>
      <c r="EC278" s="173">
        <f t="shared" si="700"/>
        <v>6.0389610389610393</v>
      </c>
      <c r="ED278" s="173">
        <f t="shared" si="701"/>
        <v>15.399999999999999</v>
      </c>
      <c r="EE278" s="460">
        <f t="shared" si="674"/>
        <v>83.247224194490641</v>
      </c>
      <c r="EF278" s="5">
        <f t="shared" si="675"/>
        <v>3.3785399429582235</v>
      </c>
      <c r="EH278" s="173">
        <f t="shared" si="702"/>
        <v>3.2258181945533337</v>
      </c>
      <c r="EI278" s="173">
        <f t="shared" si="703"/>
        <v>7.5786000706126329</v>
      </c>
      <c r="EK278" s="528">
        <f t="shared" si="704"/>
        <v>0.20811806048622661</v>
      </c>
      <c r="EL278" s="528">
        <f t="shared" si="705"/>
        <v>2.1816666666666671</v>
      </c>
      <c r="EM278" s="528">
        <f t="shared" si="706"/>
        <v>9.5197970576816806E-3</v>
      </c>
      <c r="EN278" s="528">
        <f t="shared" si="707"/>
        <v>7.6768862007168467E-2</v>
      </c>
      <c r="EO278">
        <f t="shared" si="708"/>
        <v>3.8249999999999999E-2</v>
      </c>
      <c r="EP278" s="460">
        <f t="shared" si="709"/>
        <v>47.769797057681679</v>
      </c>
      <c r="EQ278" s="460"/>
      <c r="ER278" s="460">
        <f t="shared" si="710"/>
        <v>2514.3233862177435</v>
      </c>
      <c r="ES278" s="528">
        <f t="shared" si="711"/>
        <v>4.34</v>
      </c>
      <c r="EV278" s="460">
        <f t="shared" si="712"/>
        <v>4340</v>
      </c>
      <c r="EW278" s="528">
        <f t="shared" si="713"/>
        <v>0.31217709072933991</v>
      </c>
      <c r="EX278" s="528">
        <f t="shared" si="714"/>
        <v>1.723055370908694</v>
      </c>
      <c r="EY278" s="528">
        <f t="shared" si="715"/>
        <v>1.9455021880180834</v>
      </c>
      <c r="EZ278" s="528"/>
      <c r="FA278" s="528">
        <f t="shared" si="716"/>
        <v>1.55E-2</v>
      </c>
      <c r="FB278" s="460">
        <f t="shared" si="717"/>
        <v>3996.2346496561172</v>
      </c>
      <c r="FC278" s="173">
        <f t="shared" si="718"/>
        <v>10.85055803587386</v>
      </c>
      <c r="FD278" s="5">
        <f t="shared" si="719"/>
        <v>93</v>
      </c>
      <c r="FE278" s="173">
        <f t="shared" si="720"/>
        <v>0.89551757601412529</v>
      </c>
      <c r="FF278" s="5">
        <f t="shared" si="721"/>
        <v>89.551757601412532</v>
      </c>
      <c r="FI278" s="562">
        <f t="shared" si="676"/>
        <v>-50</v>
      </c>
      <c r="FJ278">
        <f t="shared" si="677"/>
        <v>-50</v>
      </c>
      <c r="FL278">
        <f t="shared" si="760"/>
        <v>0.84661354581673309</v>
      </c>
    </row>
    <row r="279" spans="5:168">
      <c r="E279" s="170">
        <v>63</v>
      </c>
      <c r="F279" s="217">
        <f t="shared" si="761"/>
        <v>6.3</v>
      </c>
      <c r="G279" s="217"/>
      <c r="H279" s="217">
        <f t="shared" si="726"/>
        <v>94.5</v>
      </c>
      <c r="I279" s="541">
        <f t="shared" si="727"/>
        <v>84.62627514482331</v>
      </c>
      <c r="J279" s="172">
        <f t="shared" si="728"/>
        <v>15.624234913106015</v>
      </c>
      <c r="K279" s="172">
        <f t="shared" si="729"/>
        <v>100.25051005792932</v>
      </c>
      <c r="L279" s="443"/>
      <c r="M279" s="217">
        <f t="shared" si="730"/>
        <v>0.15584356656170006</v>
      </c>
      <c r="N279" s="172">
        <f t="shared" si="731"/>
        <v>331.11278751776172</v>
      </c>
      <c r="O279" s="172">
        <f t="shared" si="762"/>
        <v>94.5</v>
      </c>
      <c r="P279" s="217">
        <f t="shared" si="732"/>
        <v>22.074185834517447</v>
      </c>
      <c r="Q279" s="217">
        <f t="shared" si="733"/>
        <v>15</v>
      </c>
      <c r="R279" s="217"/>
      <c r="S279" s="172">
        <f t="shared" si="734"/>
        <v>251.32675025064722</v>
      </c>
      <c r="T279" s="172">
        <f t="shared" si="735"/>
        <v>15</v>
      </c>
      <c r="U279" s="217">
        <f t="shared" si="736"/>
        <v>14.926143426615187</v>
      </c>
      <c r="V279" s="217">
        <f t="shared" si="737"/>
        <v>2.1165261121662269</v>
      </c>
      <c r="W279" s="217">
        <f t="shared" si="738"/>
        <v>11.463839484974525</v>
      </c>
      <c r="X279" s="197">
        <f t="shared" si="739"/>
        <v>109.90973195712625</v>
      </c>
      <c r="Y279" s="443">
        <f t="shared" si="680"/>
        <v>72.56701521819474</v>
      </c>
      <c r="AA279" s="217">
        <f t="shared" si="740"/>
        <v>10</v>
      </c>
      <c r="AB279" s="173">
        <f t="shared" si="741"/>
        <v>7.6803760739248013</v>
      </c>
      <c r="AC279" s="173">
        <f t="shared" si="742"/>
        <v>4.2207403780750035</v>
      </c>
      <c r="AD279" s="173"/>
      <c r="AE279" s="173">
        <f t="shared" si="743"/>
        <v>7.6803760739248013</v>
      </c>
      <c r="AF279" s="545">
        <f t="shared" si="744"/>
        <v>164.05446658761315</v>
      </c>
      <c r="AG279" s="528">
        <f t="shared" si="745"/>
        <v>4.2207403780750035</v>
      </c>
      <c r="AI279" s="173">
        <f t="shared" si="746"/>
        <v>6.8463643446224829</v>
      </c>
      <c r="AJ279" s="173">
        <f t="shared" si="747"/>
        <v>14.926143426615187</v>
      </c>
      <c r="AK279" s="173">
        <f t="shared" si="748"/>
        <v>4.8489951308260641</v>
      </c>
      <c r="AM279" s="545">
        <f t="shared" si="749"/>
        <v>6300</v>
      </c>
      <c r="AN279" s="460">
        <f t="shared" si="750"/>
        <v>72.56701521819474</v>
      </c>
      <c r="AP279">
        <f t="shared" si="751"/>
        <v>6300</v>
      </c>
      <c r="AQ279">
        <f t="shared" si="752"/>
        <v>72.56701521819474</v>
      </c>
      <c r="AS279" s="5">
        <f t="shared" si="763"/>
        <v>13.780365597140749</v>
      </c>
      <c r="AT279" s="5">
        <f t="shared" si="753"/>
        <v>2.1165261121662269</v>
      </c>
      <c r="AU279" s="5">
        <f t="shared" si="722"/>
        <v>11.663839484974522</v>
      </c>
      <c r="AV279" s="5"/>
      <c r="AW279" s="173">
        <f t="shared" si="723"/>
        <v>0.15358998259127313</v>
      </c>
      <c r="AX279" s="173">
        <f t="shared" si="631"/>
        <v>97.003126377770613</v>
      </c>
      <c r="AY279" s="173">
        <f t="shared" si="632"/>
        <v>6.3168186587832578</v>
      </c>
      <c r="AZ279" s="173">
        <f t="shared" si="633"/>
        <v>15.356325963686173</v>
      </c>
      <c r="BA279" s="460">
        <f t="shared" si="724"/>
        <v>88.894096710981529</v>
      </c>
      <c r="BB279" s="5">
        <f t="shared" si="725"/>
        <v>3.6179754568733418</v>
      </c>
      <c r="BD279" s="173">
        <f t="shared" si="681"/>
        <v>3.3772905802359778</v>
      </c>
      <c r="BE279" s="173">
        <f t="shared" si="682"/>
        <v>7.9282508075412572</v>
      </c>
      <c r="BG279" s="528">
        <f t="shared" si="683"/>
        <v>0.22812183326701338</v>
      </c>
      <c r="BH279" s="528">
        <f t="shared" si="754"/>
        <v>2.0359857488466084</v>
      </c>
      <c r="BI279" s="528">
        <f t="shared" si="755"/>
        <v>0.1535269049073382</v>
      </c>
      <c r="BJ279" s="528">
        <f t="shared" si="684"/>
        <v>7.2931045958318189E-2</v>
      </c>
      <c r="BK279">
        <f t="shared" si="685"/>
        <v>3.8081823815170487E-2</v>
      </c>
      <c r="BL279" s="460">
        <f t="shared" si="686"/>
        <v>191.60872872250866</v>
      </c>
      <c r="BM279" s="528">
        <f t="shared" si="756"/>
        <v>2.5360921495968611</v>
      </c>
      <c r="BN279" s="460">
        <f t="shared" si="687"/>
        <v>2536.092149596861</v>
      </c>
      <c r="BO279" s="528">
        <f t="shared" si="637"/>
        <v>4.4099999999999993</v>
      </c>
      <c r="BR279" s="460">
        <f t="shared" si="688"/>
        <v>4409.9999999999991</v>
      </c>
      <c r="BS279" s="528">
        <f t="shared" si="689"/>
        <v>0.34218274990052006</v>
      </c>
      <c r="BT279" s="528">
        <f t="shared" si="690"/>
        <v>1.8857148260183578</v>
      </c>
      <c r="BU279" s="528">
        <f t="shared" si="691"/>
        <v>1.9305772374615773</v>
      </c>
      <c r="BV279" s="528"/>
      <c r="BW279" s="528">
        <f t="shared" si="692"/>
        <v>1.6167187729628437E-2</v>
      </c>
      <c r="BX279" s="460">
        <f t="shared" si="693"/>
        <v>4174.6420011100836</v>
      </c>
      <c r="BY279" s="173">
        <f t="shared" si="694"/>
        <v>11.113289357904531</v>
      </c>
      <c r="BZ279" s="5">
        <f t="shared" si="695"/>
        <v>94.5</v>
      </c>
      <c r="CA279" s="173">
        <f t="shared" si="696"/>
        <v>0.89477375976574702</v>
      </c>
      <c r="CB279" s="5">
        <f t="shared" si="697"/>
        <v>89.477375976574706</v>
      </c>
      <c r="CE279" s="562">
        <f t="shared" si="757"/>
        <v>-50</v>
      </c>
      <c r="CF279">
        <f t="shared" si="758"/>
        <v>-50</v>
      </c>
      <c r="CG279" s="173">
        <f t="shared" si="759"/>
        <v>0.84286607014958226</v>
      </c>
      <c r="CI279" s="170">
        <v>63</v>
      </c>
      <c r="CJ279" s="217">
        <f t="shared" si="698"/>
        <v>6.3</v>
      </c>
      <c r="CK279" s="217"/>
      <c r="CL279" s="217">
        <f t="shared" si="641"/>
        <v>94.5</v>
      </c>
      <c r="CM279" s="541">
        <f t="shared" si="642"/>
        <v>85</v>
      </c>
      <c r="CN279" s="443">
        <f t="shared" si="643"/>
        <v>15.4</v>
      </c>
      <c r="CO279" s="443">
        <f t="shared" si="644"/>
        <v>100.4</v>
      </c>
      <c r="CP279" s="443"/>
      <c r="CQ279" s="217">
        <f t="shared" si="645"/>
        <v>0.15338645418326693</v>
      </c>
      <c r="CR279" s="172">
        <f t="shared" si="646"/>
        <v>327.33148655378488</v>
      </c>
      <c r="CS279" s="172">
        <f t="shared" si="647"/>
        <v>94.5</v>
      </c>
      <c r="CT279" s="217">
        <f t="shared" si="648"/>
        <v>21.822099103585661</v>
      </c>
      <c r="CU279" s="217">
        <f t="shared" si="649"/>
        <v>15</v>
      </c>
      <c r="CV279" s="217"/>
      <c r="CW279" s="172">
        <f t="shared" si="650"/>
        <v>252.43606178975696</v>
      </c>
      <c r="CX279" s="172">
        <f t="shared" si="651"/>
        <v>15</v>
      </c>
      <c r="CY279" s="217">
        <f t="shared" si="652"/>
        <v>14.496256684491978</v>
      </c>
      <c r="CZ279" s="217">
        <f t="shared" si="653"/>
        <v>2.046530355457691</v>
      </c>
      <c r="DA279" s="217">
        <f t="shared" si="654"/>
        <v>11.295784429474269</v>
      </c>
      <c r="DB279" s="197">
        <f t="shared" si="655"/>
        <v>108.64873837981409</v>
      </c>
      <c r="DC279" s="443">
        <f t="shared" si="656"/>
        <v>74.949513343017685</v>
      </c>
      <c r="DE279" s="217">
        <f t="shared" si="657"/>
        <v>10</v>
      </c>
      <c r="DF279" s="173">
        <f t="shared" si="658"/>
        <v>7.7922077922077913</v>
      </c>
      <c r="DG279" s="173">
        <f t="shared" si="659"/>
        <v>4.2330677290836656</v>
      </c>
      <c r="DH279" s="173"/>
      <c r="DI279" s="173">
        <f t="shared" si="660"/>
        <v>7.7922077922077913</v>
      </c>
      <c r="DJ279" s="545">
        <f t="shared" si="661"/>
        <v>161.69999999999999</v>
      </c>
      <c r="DK279" s="528">
        <f t="shared" si="662"/>
        <v>4.2330677290836656</v>
      </c>
      <c r="DM279" s="173">
        <f t="shared" si="663"/>
        <v>6.7970581871865718</v>
      </c>
      <c r="DN279" s="173">
        <f t="shared" si="664"/>
        <v>14.496256684491978</v>
      </c>
      <c r="DO279" s="173">
        <f t="shared" si="665"/>
        <v>4.5305605070310948</v>
      </c>
      <c r="DQ279" s="545">
        <f t="shared" si="666"/>
        <v>6300</v>
      </c>
      <c r="DR279" s="460">
        <f t="shared" si="667"/>
        <v>74.949513343017685</v>
      </c>
      <c r="DT279">
        <f t="shared" si="668"/>
        <v>6300</v>
      </c>
      <c r="DU279">
        <f t="shared" si="669"/>
        <v>74.949513343017685</v>
      </c>
      <c r="DW279" s="5">
        <f t="shared" si="670"/>
        <v>13.342314784931959</v>
      </c>
      <c r="DX279" s="5">
        <f t="shared" si="671"/>
        <v>2.046530355457691</v>
      </c>
      <c r="DY279" s="5">
        <f t="shared" si="672"/>
        <v>11.295784429474269</v>
      </c>
      <c r="DZ279" s="5"/>
      <c r="EA279" s="173">
        <f t="shared" si="673"/>
        <v>0.15338645418326693</v>
      </c>
      <c r="EB279" s="173">
        <f t="shared" si="699"/>
        <v>94.500000000000014</v>
      </c>
      <c r="EC279" s="173">
        <f t="shared" si="700"/>
        <v>6.1363636363636367</v>
      </c>
      <c r="ED279" s="173">
        <f t="shared" si="701"/>
        <v>15.400000000000002</v>
      </c>
      <c r="EE279" s="460">
        <f t="shared" si="674"/>
        <v>85.954274929223033</v>
      </c>
      <c r="EF279" s="5">
        <f t="shared" si="675"/>
        <v>3.4884040149847007</v>
      </c>
      <c r="EH279" s="173">
        <f t="shared" si="702"/>
        <v>3.2778475202719357</v>
      </c>
      <c r="EI279" s="173">
        <f t="shared" si="703"/>
        <v>7.7008355556225139</v>
      </c>
      <c r="EK279" s="528">
        <f t="shared" si="704"/>
        <v>0.21488568732305754</v>
      </c>
      <c r="EL279" s="528">
        <f t="shared" si="705"/>
        <v>2.1816666666666671</v>
      </c>
      <c r="EM279" s="528">
        <f t="shared" si="706"/>
        <v>9.3686891678772116E-3</v>
      </c>
      <c r="EN279" s="528">
        <f t="shared" si="707"/>
        <v>7.5550308641975317E-2</v>
      </c>
      <c r="EO279">
        <f t="shared" si="708"/>
        <v>3.8249999999999999E-2</v>
      </c>
      <c r="EP279" s="460">
        <f t="shared" si="709"/>
        <v>47.618689167877214</v>
      </c>
      <c r="EQ279" s="460"/>
      <c r="ER279" s="460">
        <f t="shared" si="710"/>
        <v>2519.721351799577</v>
      </c>
      <c r="ES279" s="528">
        <f t="shared" si="711"/>
        <v>4.4099999999999993</v>
      </c>
      <c r="EV279" s="460">
        <f t="shared" si="712"/>
        <v>4409.9999999999991</v>
      </c>
      <c r="EW279" s="528">
        <f t="shared" si="713"/>
        <v>0.3223285309845863</v>
      </c>
      <c r="EX279" s="528">
        <f t="shared" si="714"/>
        <v>1.7790860476421972</v>
      </c>
      <c r="EY279" s="528">
        <f t="shared" si="715"/>
        <v>1.9455021880180834</v>
      </c>
      <c r="EZ279" s="528"/>
      <c r="FA279" s="528">
        <f t="shared" si="716"/>
        <v>1.5750000000000004E-2</v>
      </c>
      <c r="FB279" s="460">
        <f t="shared" si="717"/>
        <v>4062.6667666448666</v>
      </c>
      <c r="FC279" s="173">
        <f t="shared" si="718"/>
        <v>10.992388118444445</v>
      </c>
      <c r="FD279" s="5">
        <f t="shared" si="719"/>
        <v>94.5</v>
      </c>
      <c r="FE279" s="173">
        <f t="shared" si="720"/>
        <v>0.89579922955102276</v>
      </c>
      <c r="FF279" s="5">
        <f t="shared" si="721"/>
        <v>89.579922955102276</v>
      </c>
      <c r="FI279" s="562">
        <f t="shared" si="676"/>
        <v>-50</v>
      </c>
      <c r="FJ279">
        <f t="shared" si="677"/>
        <v>-50</v>
      </c>
      <c r="FL279">
        <f t="shared" si="760"/>
        <v>0.84661354581673309</v>
      </c>
    </row>
    <row r="280" spans="5:168">
      <c r="E280" s="170">
        <v>64</v>
      </c>
      <c r="F280" s="217">
        <f t="shared" si="761"/>
        <v>6.4</v>
      </c>
      <c r="G280" s="217"/>
      <c r="H280" s="217">
        <f t="shared" ref="H280:H311" si="764">F280*Vout</f>
        <v>96</v>
      </c>
      <c r="I280" s="541">
        <f t="shared" ref="I280:I316" si="765">VIN_max-F280*(Rdcr_pri+RON/1000)/CG280/Nps</f>
        <v>84.620369377385103</v>
      </c>
      <c r="J280" s="172">
        <f t="shared" ref="J280:J316" si="766">(T280+Vfwd1+F280/CG280*Rdcr_sec)*Nps</f>
        <v>15.627778373568942</v>
      </c>
      <c r="K280" s="172">
        <f t="shared" ref="K280:K316" si="767">(Vout+Vfwd1+F280/CG280*Rdcr_sec)*Nps+I280</f>
        <v>100.24814775095405</v>
      </c>
      <c r="L280" s="443"/>
      <c r="M280" s="217">
        <f t="shared" ref="M280:M316" si="768">(Vout+Vfwd1+F280/FL280*Rdcr_sec)*Nps/((Vout+Vfwd1+F280/FL280*Rdcr_sec)*Nps+I280)</f>
        <v>0.15588258681120978</v>
      </c>
      <c r="N280" s="172">
        <f t="shared" ref="N280:N311" si="769">M280*I280*(Isw_max+VIN_max/Lmag*ILIM_delay)*0.5*Efficiency</f>
        <v>331.17257885719016</v>
      </c>
      <c r="O280" s="172">
        <f t="shared" si="762"/>
        <v>96</v>
      </c>
      <c r="P280" s="217">
        <f t="shared" ref="P280:P311" si="770">N280/Vout</f>
        <v>22.078171923812679</v>
      </c>
      <c r="Q280" s="217">
        <f t="shared" ref="Q280:Q316" si="771">MIN(Vout,N280/F280)</f>
        <v>15</v>
      </c>
      <c r="R280" s="217"/>
      <c r="S280" s="172">
        <f t="shared" ref="S280:S316" si="772">(SQRT(Isw_max^2*Nps^2*I280^2+4*Isw_max*F280/Efficiency*(Nps^2*Vfwd1*I280-Nps*I280^2)+4*(F280/Efficiency)^2*Nps^2*Vfwd1^2+8*(F280/Efficiency)^2*Nps*Vfwd1*I280+4*(F280/Efficiency)^2*I280^2)-2*F280/Efficiency*I280-2*F280/Efficiency*Nps*Vfwd1+Isw_max*Nps*I280)/(4*F280/Efficiency*Nps)</f>
        <v>246.06528284626467</v>
      </c>
      <c r="T280" s="172">
        <f t="shared" ref="T280:T311" si="773">MIN(Vout, S280)</f>
        <v>15</v>
      </c>
      <c r="U280" s="217">
        <f t="shared" ref="U280:U316" si="774">MIN(2*(Vout+Vfwd1+F280/FL280*Rdcr_sec)*F280/(I280*M280), Isw_max)</f>
        <v>15.163767267453858</v>
      </c>
      <c r="V280" s="217">
        <f t="shared" ref="V280:V311" si="775">L*U280/I280*1000000</f>
        <v>2.1503712232444676</v>
      </c>
      <c r="W280" s="217">
        <f t="shared" ref="W280:W316" si="776">L*U280/J280*1000000</f>
        <v>11.643702825809308</v>
      </c>
      <c r="X280" s="197">
        <f t="shared" ref="X280:X316" si="777">IF(1/((350000*L)*(1/I280+1/J280))&gt;Isw_min, 350, 0.001/((Isw_min*L)*(1/I280+1/J280)))</f>
        <v>109.92957710339417</v>
      </c>
      <c r="Y280" s="443">
        <f t="shared" si="680"/>
        <v>71.458818675296058</v>
      </c>
      <c r="AA280" s="217">
        <f t="shared" ref="AA280:AA316" si="778">1/((X280*1000*L)*(1/I280+1/J280))</f>
        <v>10</v>
      </c>
      <c r="AB280" s="173">
        <f t="shared" ref="AB280:AB311" si="779">L*AA280/J280*1000000</f>
        <v>7.6786346166102808</v>
      </c>
      <c r="AC280" s="173">
        <f t="shared" ref="AC280:AC311" si="780">0.5*AB280*AA280*Nps*X280/1000</f>
        <v>4.2205452806772561</v>
      </c>
      <c r="AD280" s="173"/>
      <c r="AE280" s="173">
        <f t="shared" ref="AE280:AE316" si="781">L*Isw_min/J280*1000000</f>
        <v>7.6786346166102808</v>
      </c>
      <c r="AF280" s="545">
        <f t="shared" ref="AF280:AF311" si="782">MAX(12000,F280/(0.5*AE280/1000000*Isw_min*Nps))/1000</f>
        <v>166.69630265140205</v>
      </c>
      <c r="AG280" s="528">
        <f t="shared" ref="AG280:AG316" si="783">0.5*AE280/1000000*Isw_min*Nps*X280*1000</f>
        <v>4.2205452806772579</v>
      </c>
      <c r="AI280" s="173">
        <f t="shared" ref="AI280:AI316" si="784">SQRT(F280/(0.5*L/J280*Fsw_DCM*Nps))</f>
        <v>6.9012690893239146</v>
      </c>
      <c r="AJ280" s="173">
        <f t="shared" ref="AJ280:AJ311" si="785">MAX(IF(F280&gt;AC280,U280,AI280),Isw_min)</f>
        <v>15.163767267453858</v>
      </c>
      <c r="AK280" s="173">
        <f t="shared" ref="AK280:AK311" si="786">IF(F280&gt;AG280, (AJ280-Isw_min)/1.08*0.8+1.2, AF280*0.2/350+1)</f>
        <v>5.0250127907065609</v>
      </c>
      <c r="AM280" s="545">
        <f t="shared" ref="AM280:AM316" si="787">F280*1000</f>
        <v>6400</v>
      </c>
      <c r="AN280" s="460">
        <f t="shared" ref="AN280:AN316" si="788">IF(F280&gt;AG280, Y280, AF280)</f>
        <v>71.458818675296058</v>
      </c>
      <c r="AP280">
        <f t="shared" ref="AP280:AP316" si="789">IF(H280&gt;N280, "",AM280)</f>
        <v>6400</v>
      </c>
      <c r="AQ280">
        <f t="shared" ref="AQ280:AQ316" si="790">IF(H280&gt;N280, "",AN280)</f>
        <v>71.458818675296058</v>
      </c>
      <c r="AS280" s="5">
        <f t="shared" si="763"/>
        <v>13.994074049053777</v>
      </c>
      <c r="AT280" s="5">
        <f t="shared" ref="AT280:AT316" si="791">L*AJ280/I280*1000000</f>
        <v>2.1503712232444676</v>
      </c>
      <c r="AU280" s="5">
        <f t="shared" si="722"/>
        <v>11.843702825809309</v>
      </c>
      <c r="AV280" s="5"/>
      <c r="AW280" s="173">
        <f t="shared" si="723"/>
        <v>0.15366298732640099</v>
      </c>
      <c r="AX280" s="173">
        <f t="shared" ref="AX280:AX316" si="792">0.5*L*AJ280^2*AN280*1000</f>
        <v>98.587375028383235</v>
      </c>
      <c r="AY280" s="173">
        <f t="shared" ref="AY280:AY316" si="793">AJ280*Nps/2*(1-AW280)</f>
        <v>6.4168287450073</v>
      </c>
      <c r="AZ280" s="173">
        <f t="shared" ref="AZ280:AZ316" si="794">AX280/AY280</f>
        <v>15.363878162572201</v>
      </c>
      <c r="BA280" s="460">
        <f t="shared" si="724"/>
        <v>91.749172191763961</v>
      </c>
      <c r="BB280" s="5">
        <f t="shared" si="725"/>
        <v>3.7323410152747623</v>
      </c>
      <c r="BD280" s="173">
        <f t="shared" si="681"/>
        <v>3.4318722962209995</v>
      </c>
      <c r="BE280" s="173">
        <f t="shared" si="682"/>
        <v>8.0541210025012955</v>
      </c>
      <c r="BG280" s="528">
        <f t="shared" si="683"/>
        <v>0.23555494915138395</v>
      </c>
      <c r="BH280" s="528">
        <f t="shared" ref="BH280:BH316" si="795">0.5*K280*AJ280*AN280*1000*Tfall</f>
        <v>2.0367633509015297</v>
      </c>
      <c r="BI280" s="528">
        <f t="shared" ref="BI280:BI316" si="796">Qg*Vdd*AN280*1000*0+Qg*I280*AN280*1000</f>
        <v>0.15117179078937845</v>
      </c>
      <c r="BJ280" s="528">
        <f t="shared" si="684"/>
        <v>7.1813905602254785E-2</v>
      </c>
      <c r="BK280">
        <f t="shared" si="685"/>
        <v>3.8079166219823296E-2</v>
      </c>
      <c r="BL280" s="460">
        <f t="shared" si="686"/>
        <v>189.25095700920176</v>
      </c>
      <c r="BM280" s="528">
        <f t="shared" ref="BM280:BM316" si="797">(BH280+BI280*0+BJ280+BK280*0+BG280*(1+RdsonTC*(Ta-25)))/(1-BG280*RdsonTC*ThetaJA)</f>
        <v>2.5504767576196468</v>
      </c>
      <c r="BN280" s="460">
        <f t="shared" si="687"/>
        <v>2550.4767576196468</v>
      </c>
      <c r="BO280" s="528">
        <f t="shared" ref="BO280:BO316" si="798">Vfwd2*F280</f>
        <v>4.4799999999999995</v>
      </c>
      <c r="BR280" s="460">
        <f t="shared" si="688"/>
        <v>4479.9999999999991</v>
      </c>
      <c r="BS280" s="528">
        <f t="shared" si="689"/>
        <v>0.35333242372707591</v>
      </c>
      <c r="BT280" s="528">
        <f t="shared" si="690"/>
        <v>1.9460659536879743</v>
      </c>
      <c r="BU280" s="528">
        <f t="shared" si="691"/>
        <v>1.9325349680449417</v>
      </c>
      <c r="BV280" s="528"/>
      <c r="BW280" s="528">
        <f t="shared" si="692"/>
        <v>1.6431229171397208E-2</v>
      </c>
      <c r="BX280" s="460">
        <f t="shared" si="693"/>
        <v>4248.3645746313896</v>
      </c>
      <c r="BY280" s="173">
        <f t="shared" si="694"/>
        <v>11.26174773729576</v>
      </c>
      <c r="BZ280" s="5">
        <f t="shared" si="695"/>
        <v>96</v>
      </c>
      <c r="CA280" s="173">
        <f t="shared" si="696"/>
        <v>0.89500685962270621</v>
      </c>
      <c r="CB280" s="5">
        <f t="shared" si="697"/>
        <v>89.500685962270623</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0.84292462445688143</v>
      </c>
      <c r="CI280" s="170">
        <v>64</v>
      </c>
      <c r="CJ280" s="217">
        <f t="shared" si="698"/>
        <v>6.4</v>
      </c>
      <c r="CK280" s="217"/>
      <c r="CL280" s="217">
        <f t="shared" ref="CL280:CL316" si="802">CJ280*Vout</f>
        <v>96</v>
      </c>
      <c r="CM280" s="541">
        <f t="shared" ref="CM280:CM316" si="803">VIN_max</f>
        <v>85</v>
      </c>
      <c r="CN280" s="443">
        <f t="shared" ref="CN280:CN316" si="804">(CX280+Vfwd1)*Nps</f>
        <v>15.4</v>
      </c>
      <c r="CO280" s="443">
        <f t="shared" ref="CO280:CO316" si="805">(Vout+Vfwd1)*Nps+CM280</f>
        <v>100.4</v>
      </c>
      <c r="CP280" s="443"/>
      <c r="CQ280" s="217">
        <f t="shared" ref="CQ280:CQ316" si="806">(Vout+Vfwd1)*Nps/((Vout+Vfwd1)*Nps+CM280)</f>
        <v>0.15338645418326693</v>
      </c>
      <c r="CR280" s="172">
        <f t="shared" ref="CR280:CR316" si="807">CQ280*CM280*(Isw_max+VIN_max/Lmag*ILIM_delay)*0.5*Efficiency</f>
        <v>327.33148655378488</v>
      </c>
      <c r="CS280" s="172">
        <f t="shared" ref="CS280:CS316" si="808">CX280*CJ280</f>
        <v>96</v>
      </c>
      <c r="CT280" s="217">
        <f t="shared" ref="CT280:CT316" si="809">CR280/Vout</f>
        <v>21.822099103585661</v>
      </c>
      <c r="CU280" s="217">
        <f t="shared" ref="CU280:CU316" si="810">MIN(Vout,CR280/CJ280)</f>
        <v>15</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247.1685856797537</v>
      </c>
      <c r="CX280" s="172">
        <f t="shared" ref="CX280:CX316" si="812">MIN(Vout, CW280)</f>
        <v>15</v>
      </c>
      <c r="CY280" s="217">
        <f t="shared" ref="CY280:CY316" si="813">MIN(2*Vout*CJ280/(Efficiency*CM280*CQ280), Isw_max)</f>
        <v>14.726355996944232</v>
      </c>
      <c r="CZ280" s="217">
        <f t="shared" ref="CZ280:CZ316" si="814">L*CY280/CM280*1000000</f>
        <v>2.0790149642744797</v>
      </c>
      <c r="DA280" s="217">
        <f t="shared" ref="DA280:DA316" si="815">L*CY280/CN280*1000000</f>
        <v>11.47508259502148</v>
      </c>
      <c r="DB280" s="197">
        <f t="shared" ref="DB280:DB316" si="816">IF(1/((350000*L)*(1/CM280+1/CN280))&gt;Isw_min, 350, 0.001/((Isw_min*L)*(1/CM280+1/CN280)))</f>
        <v>108.64873837981409</v>
      </c>
      <c r="DC280" s="443">
        <f t="shared" ref="DC280:DC316" si="817">MIN(1/(CZ280+DA280)*1000, 350)</f>
        <v>73.778427197033025</v>
      </c>
      <c r="DE280" s="217">
        <f t="shared" ref="DE280:DE316" si="818">1/((DB280*1000*L)*(1/CM280+1/CN280))</f>
        <v>10</v>
      </c>
      <c r="DF280" s="173">
        <f t="shared" ref="DF280:DF316" si="819">L*DE280/CN280*1000000</f>
        <v>7.7922077922077913</v>
      </c>
      <c r="DG280" s="173">
        <f t="shared" ref="DG280:DG316" si="820">0.5*DF280*DE280*Nps*DB280/1000</f>
        <v>4.2330677290836656</v>
      </c>
      <c r="DH280" s="173"/>
      <c r="DI280" s="173">
        <f t="shared" ref="DI280:DI316" si="821">L*Isw_min/CN280*1000000</f>
        <v>7.7922077922077913</v>
      </c>
      <c r="DJ280" s="545">
        <f t="shared" ref="DJ280:DJ316" si="822">MAX(12000,CJ280/(0.5*DI280/1000000*Isw_min*Nps))/1000</f>
        <v>164.26666666666668</v>
      </c>
      <c r="DK280" s="528">
        <f t="shared" ref="DK280:DK316" si="823">0.5*DI280/1000000*Isw_min*Nps*DB280*1000</f>
        <v>4.2330677290836656</v>
      </c>
      <c r="DM280" s="173">
        <f t="shared" ref="DM280:DM316" si="824">SQRT(CJ280/(0.5*L/CN280*Fsw_DCM*Nps))</f>
        <v>6.8507907086214024</v>
      </c>
      <c r="DN280" s="173">
        <f t="shared" ref="DN280:DN316" si="825">MAX(IF(CJ280&gt;DG280,CY280,DM280),Isw_min)</f>
        <v>14.726355996944232</v>
      </c>
      <c r="DO280" s="173">
        <f t="shared" ref="DO280:DO316" si="826">IF(CJ280&gt;DK280, (DN280-Isw_min)/1.08*0.8+1.2, DJ280*0.2/350+1)</f>
        <v>4.7010044421809125</v>
      </c>
      <c r="DQ280" s="545">
        <f t="shared" ref="DQ280:DQ316" si="827">CJ280*1000</f>
        <v>6400</v>
      </c>
      <c r="DR280" s="460">
        <f t="shared" ref="DR280:DR316" si="828">IF(CJ280&gt;DK280, DC280, DJ280)</f>
        <v>73.778427197033025</v>
      </c>
      <c r="DT280">
        <f t="shared" ref="DT280:DT316" si="829">IF(CL280&gt;CR280, "",DQ280)</f>
        <v>6400</v>
      </c>
      <c r="DU280">
        <f t="shared" ref="DU280:DU316" si="830">IF(CL280&gt;CR280, "",DR280)</f>
        <v>73.778427197033025</v>
      </c>
      <c r="DW280" s="5">
        <f t="shared" si="670"/>
        <v>13.554097559295959</v>
      </c>
      <c r="DX280" s="5">
        <f t="shared" ref="DX280:DX316" si="831">L*DN280/CM280*1000000</f>
        <v>2.0790149642744797</v>
      </c>
      <c r="DY280" s="5">
        <f t="shared" ref="DY280:DY316" si="832">DW280-DX280</f>
        <v>11.47508259502148</v>
      </c>
      <c r="DZ280" s="5"/>
      <c r="EA280" s="173">
        <f t="shared" ref="EA280:EA316" si="833">DX280/DW280</f>
        <v>0.15338645418326693</v>
      </c>
      <c r="EB280" s="173">
        <f t="shared" si="699"/>
        <v>95.999999999999986</v>
      </c>
      <c r="EC280" s="173">
        <f t="shared" si="700"/>
        <v>6.2337662337662341</v>
      </c>
      <c r="ED280" s="173">
        <f t="shared" si="701"/>
        <v>15.399999999999997</v>
      </c>
      <c r="EE280" s="460">
        <f t="shared" ref="EE280:EE316" si="834">CJ280*DX280/Vout_ripple*1000</f>
        <v>88.704638475711135</v>
      </c>
      <c r="EF280" s="5">
        <f t="shared" ref="EF280:EF316" si="835">CL280/Efficiency/CM280*DY280/Vinripple1</f>
        <v>3.6000259121636011</v>
      </c>
      <c r="EH280" s="173">
        <f t="shared" si="702"/>
        <v>3.3298768459905377</v>
      </c>
      <c r="EI280" s="173">
        <f t="shared" si="703"/>
        <v>7.8230710406323958</v>
      </c>
      <c r="EK280" s="528">
        <f t="shared" si="704"/>
        <v>0.22176159618927782</v>
      </c>
      <c r="EL280" s="528">
        <f t="shared" si="705"/>
        <v>2.1816666666666666</v>
      </c>
      <c r="EM280" s="528">
        <f t="shared" si="706"/>
        <v>9.2223033996291278E-3</v>
      </c>
      <c r="EN280" s="528">
        <f t="shared" si="707"/>
        <v>7.4369835069444459E-2</v>
      </c>
      <c r="EO280">
        <f t="shared" si="708"/>
        <v>3.8249999999999999E-2</v>
      </c>
      <c r="EP280" s="460">
        <f t="shared" si="709"/>
        <v>47.472303399629126</v>
      </c>
      <c r="EQ280" s="460"/>
      <c r="ER280" s="460">
        <f t="shared" si="710"/>
        <v>2525.2704013250186</v>
      </c>
      <c r="ES280" s="528">
        <f t="shared" si="711"/>
        <v>4.4799999999999995</v>
      </c>
      <c r="EV280" s="460">
        <f t="shared" si="712"/>
        <v>4479.9999999999991</v>
      </c>
      <c r="EW280" s="528">
        <f t="shared" si="713"/>
        <v>0.33264239428391668</v>
      </c>
      <c r="EX280" s="528">
        <f t="shared" si="714"/>
        <v>1.836013215203437</v>
      </c>
      <c r="EY280" s="528">
        <f t="shared" si="715"/>
        <v>1.9455021880180849</v>
      </c>
      <c r="EZ280" s="528"/>
      <c r="FA280" s="528">
        <f t="shared" si="716"/>
        <v>1.6E-2</v>
      </c>
      <c r="FB280" s="460">
        <f t="shared" si="717"/>
        <v>4130.1577975054379</v>
      </c>
      <c r="FC280" s="173">
        <f t="shared" si="718"/>
        <v>11.135428198830455</v>
      </c>
      <c r="FD280" s="5">
        <f t="shared" si="719"/>
        <v>96</v>
      </c>
      <c r="FE280" s="173">
        <f t="shared" si="720"/>
        <v>0.89606213009048286</v>
      </c>
      <c r="FF280" s="5">
        <f t="shared" si="721"/>
        <v>89.60621300904829</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0.84661354581673309</v>
      </c>
    </row>
    <row r="281" spans="5:168">
      <c r="E281" s="170">
        <v>65</v>
      </c>
      <c r="F281" s="217">
        <f t="shared" ref="F281:F312" si="839">IF(PLOT_TYPE=1, E281/100*Iout_max, min_I*EXP(N281*rr/100))</f>
        <v>6.5</v>
      </c>
      <c r="G281" s="217"/>
      <c r="H281" s="217">
        <f t="shared" si="764"/>
        <v>97.5</v>
      </c>
      <c r="I281" s="541">
        <f t="shared" si="765"/>
        <v>84.614463606395816</v>
      </c>
      <c r="J281" s="172">
        <f t="shared" si="766"/>
        <v>15.631321836162513</v>
      </c>
      <c r="K281" s="172">
        <f t="shared" si="767"/>
        <v>100.24578544255833</v>
      </c>
      <c r="L281" s="443"/>
      <c r="M281" s="217">
        <f t="shared" si="768"/>
        <v>0.15592160890524345</v>
      </c>
      <c r="N281" s="172">
        <f t="shared" si="769"/>
        <v>331.23236252993996</v>
      </c>
      <c r="O281" s="172">
        <f t="shared" si="762"/>
        <v>97.5</v>
      </c>
      <c r="P281" s="217">
        <f t="shared" si="770"/>
        <v>22.082157501995997</v>
      </c>
      <c r="Q281" s="217">
        <f t="shared" si="771"/>
        <v>15</v>
      </c>
      <c r="R281" s="217"/>
      <c r="S281" s="172">
        <f t="shared" si="772"/>
        <v>240.96600701594991</v>
      </c>
      <c r="T281" s="172">
        <f t="shared" si="773"/>
        <v>15</v>
      </c>
      <c r="U281" s="217">
        <f t="shared" si="774"/>
        <v>15.40141311180731</v>
      </c>
      <c r="V281" s="217">
        <f t="shared" si="775"/>
        <v>2.1842241794666157</v>
      </c>
      <c r="W281" s="217">
        <f t="shared" si="776"/>
        <v>11.823501510545334</v>
      </c>
      <c r="X281" s="197">
        <f t="shared" si="777"/>
        <v>109.9494197176428</v>
      </c>
      <c r="Y281" s="443">
        <f t="shared" ref="Y281:Y316" si="840">MIN(1/(V281+W281+0.2)*1000, 350)</f>
        <v>70.384241772277548</v>
      </c>
      <c r="AA281" s="217">
        <f t="shared" si="778"/>
        <v>9.9999999999999982</v>
      </c>
      <c r="AB281" s="173">
        <f t="shared" si="779"/>
        <v>7.6768939477904032</v>
      </c>
      <c r="AC281" s="173">
        <f t="shared" si="780"/>
        <v>4.2203501739671925</v>
      </c>
      <c r="AD281" s="173"/>
      <c r="AE281" s="173">
        <f t="shared" si="781"/>
        <v>7.676893947790405</v>
      </c>
      <c r="AF281" s="545">
        <f t="shared" si="782"/>
        <v>169.33931989176057</v>
      </c>
      <c r="AG281" s="528">
        <f t="shared" si="783"/>
        <v>4.2203501739671951</v>
      </c>
      <c r="AI281" s="173">
        <f t="shared" si="784"/>
        <v>6.9557647190094993</v>
      </c>
      <c r="AJ281" s="173">
        <f t="shared" si="785"/>
        <v>15.40141311180731</v>
      </c>
      <c r="AK281" s="173">
        <f t="shared" si="786"/>
        <v>5.2010467494868964</v>
      </c>
      <c r="AM281" s="545">
        <f t="shared" si="787"/>
        <v>6500</v>
      </c>
      <c r="AN281" s="460">
        <f t="shared" si="788"/>
        <v>70.384241772277548</v>
      </c>
      <c r="AP281">
        <f t="shared" si="789"/>
        <v>6500</v>
      </c>
      <c r="AQ281">
        <f t="shared" si="790"/>
        <v>70.384241772277548</v>
      </c>
      <c r="AS281" s="5">
        <f t="shared" si="763"/>
        <v>14.207725690011952</v>
      </c>
      <c r="AT281" s="5">
        <f t="shared" si="791"/>
        <v>2.1842241794666157</v>
      </c>
      <c r="AU281" s="5">
        <f t="shared" si="722"/>
        <v>12.023501510545335</v>
      </c>
      <c r="AV281" s="5"/>
      <c r="AW281" s="173">
        <f t="shared" si="723"/>
        <v>0.15373496273243281</v>
      </c>
      <c r="AX281" s="173">
        <f t="shared" si="792"/>
        <v>100.1723418719878</v>
      </c>
      <c r="AY281" s="173">
        <f t="shared" si="793"/>
        <v>6.5168387205184057</v>
      </c>
      <c r="AZ281" s="173">
        <f t="shared" si="794"/>
        <v>15.37130903003523</v>
      </c>
      <c r="BA281" s="460">
        <f t="shared" si="724"/>
        <v>94.64971444355335</v>
      </c>
      <c r="BB281" s="5">
        <f t="shared" si="725"/>
        <v>3.8484732439918465</v>
      </c>
      <c r="BD281" s="173">
        <f t="shared" ref="BD281:BD316" si="841">AJ281*SQRT(AW281/3)</f>
        <v>3.4864726780849553</v>
      </c>
      <c r="BE281" s="173">
        <f t="shared" ref="BE281:BE316" si="842">AJ281*Nps*SQRT((1-AW281)/3)</f>
        <v>8.1799969567119746</v>
      </c>
      <c r="BG281" s="528">
        <f t="shared" ref="BG281:BG316" si="843">Rdson*BD281^2</f>
        <v>0.24310983470065761</v>
      </c>
      <c r="BH281" s="528">
        <f t="shared" si="795"/>
        <v>2.037527136649441</v>
      </c>
      <c r="BI281" s="528">
        <f t="shared" si="796"/>
        <v>0.14888812159760356</v>
      </c>
      <c r="BJ281" s="528">
        <f t="shared" ref="BJ281:BJ316" si="844">0.5*(Coss+Csw)*K281^2*AN281*1000</f>
        <v>7.0730655407149748E-2</v>
      </c>
      <c r="BK281">
        <f t="shared" ref="BK281:BK316" si="845">I281*IQ</f>
        <v>3.8076508622878119E-2</v>
      </c>
      <c r="BL281" s="460">
        <f t="shared" ref="BL281:BL316" si="846">(BK281+BI281)*1000</f>
        <v>186.96463022048169</v>
      </c>
      <c r="BM281" s="528">
        <f t="shared" si="797"/>
        <v>2.5651794794804252</v>
      </c>
      <c r="BN281" s="460">
        <f t="shared" ref="BN281:BN316" si="847">BM281*1000</f>
        <v>2565.179479480425</v>
      </c>
      <c r="BO281" s="528">
        <f t="shared" si="798"/>
        <v>4.55</v>
      </c>
      <c r="BR281" s="460">
        <f t="shared" ref="BR281:BR316" si="848">SUM(BO281:BQ281)*1000</f>
        <v>4550</v>
      </c>
      <c r="BS281" s="528">
        <f t="shared" ref="BS281:BS316" si="849">Rdcr_pri*BD281^2</f>
        <v>0.36466475205098642</v>
      </c>
      <c r="BT281" s="528">
        <f t="shared" ref="BT281:BT316" si="850">Rdcr_sec*BE281^2</f>
        <v>2.0073705063545151</v>
      </c>
      <c r="BU281" s="528">
        <f t="shared" ref="BU281:BU316" si="851">AJ281^2.5*AN281^2.5*k_core</f>
        <v>1.9344611879964231</v>
      </c>
      <c r="BV281" s="528"/>
      <c r="BW281" s="528">
        <f t="shared" ref="BW281:BW316" si="852">0.5*Lleak*0.000000001*AJ281^2*AN281*1000</f>
        <v>1.6695390311997963E-2</v>
      </c>
      <c r="BX281" s="460">
        <f t="shared" ref="BX281:BX316" si="853">SUM(BS281:BW281)*1000</f>
        <v>4323.1918367139224</v>
      </c>
      <c r="BY281" s="173">
        <f t="shared" ref="BY281:BY316" si="854">SUM(BG281:BK281,BO281:BQ281,BS281:BW281)</f>
        <v>11.411524093691652</v>
      </c>
      <c r="BZ281" s="5">
        <f t="shared" ref="BZ281:BZ316" si="855">MIN(H281,O281)</f>
        <v>97.5</v>
      </c>
      <c r="CA281" s="173">
        <f t="shared" ref="CA281:CA316" si="856">BZ281/(BZ281+BY281)</f>
        <v>0.89522206957755146</v>
      </c>
      <c r="CB281" s="5">
        <f t="shared" ref="CB281:CB316" si="857">CA281*100</f>
        <v>89.522206957755145</v>
      </c>
      <c r="CE281" s="562">
        <f t="shared" si="799"/>
        <v>-50</v>
      </c>
      <c r="CF281">
        <f t="shared" si="800"/>
        <v>-50</v>
      </c>
      <c r="CG281" s="173">
        <f t="shared" si="801"/>
        <v>0.84298137709318677</v>
      </c>
      <c r="CI281" s="170">
        <v>65</v>
      </c>
      <c r="CJ281" s="217">
        <f t="shared" ref="CJ281:CJ316" si="858">IF(PLOT_TYPE=1, CI281/100*Iout_max, min_I*EXP(CR281*rr/100))</f>
        <v>6.5</v>
      </c>
      <c r="CK281" s="217"/>
      <c r="CL281" s="217">
        <f t="shared" si="802"/>
        <v>97.5</v>
      </c>
      <c r="CM281" s="541">
        <f t="shared" si="803"/>
        <v>85</v>
      </c>
      <c r="CN281" s="443">
        <f t="shared" si="804"/>
        <v>15.4</v>
      </c>
      <c r="CO281" s="443">
        <f t="shared" si="805"/>
        <v>100.4</v>
      </c>
      <c r="CP281" s="443"/>
      <c r="CQ281" s="217">
        <f t="shared" si="806"/>
        <v>0.15338645418326693</v>
      </c>
      <c r="CR281" s="172">
        <f t="shared" si="807"/>
        <v>327.33148655378488</v>
      </c>
      <c r="CS281" s="172">
        <f t="shared" si="808"/>
        <v>97.5</v>
      </c>
      <c r="CT281" s="217">
        <f t="shared" si="809"/>
        <v>21.822099103585661</v>
      </c>
      <c r="CU281" s="217">
        <f t="shared" si="810"/>
        <v>15</v>
      </c>
      <c r="CV281" s="217"/>
      <c r="CW281" s="172">
        <f t="shared" si="811"/>
        <v>242.06330432818552</v>
      </c>
      <c r="CX281" s="172">
        <f t="shared" si="812"/>
        <v>15</v>
      </c>
      <c r="CY281" s="217">
        <f t="shared" si="813"/>
        <v>14.956455309396485</v>
      </c>
      <c r="CZ281" s="217">
        <f t="shared" si="814"/>
        <v>2.1114995730912689</v>
      </c>
      <c r="DA281" s="217">
        <f t="shared" si="815"/>
        <v>11.65438076056869</v>
      </c>
      <c r="DB281" s="197">
        <f t="shared" si="816"/>
        <v>108.64873837981409</v>
      </c>
      <c r="DC281" s="443">
        <f t="shared" si="817"/>
        <v>72.643374470924826</v>
      </c>
      <c r="DE281" s="217">
        <f t="shared" si="818"/>
        <v>10</v>
      </c>
      <c r="DF281" s="173">
        <f t="shared" si="819"/>
        <v>7.7922077922077913</v>
      </c>
      <c r="DG281" s="173">
        <f t="shared" si="820"/>
        <v>4.2330677290836656</v>
      </c>
      <c r="DH281" s="173"/>
      <c r="DI281" s="173">
        <f t="shared" si="821"/>
        <v>7.7922077922077913</v>
      </c>
      <c r="DJ281" s="545">
        <f t="shared" si="822"/>
        <v>166.83333333333334</v>
      </c>
      <c r="DK281" s="528">
        <f t="shared" si="823"/>
        <v>4.2330677290836656</v>
      </c>
      <c r="DM281" s="173">
        <f t="shared" si="824"/>
        <v>6.9041050590693267</v>
      </c>
      <c r="DN281" s="173">
        <f t="shared" si="825"/>
        <v>14.956455309396485</v>
      </c>
      <c r="DO281" s="173">
        <f t="shared" si="826"/>
        <v>4.8714483773307293</v>
      </c>
      <c r="DQ281" s="545">
        <f t="shared" si="827"/>
        <v>6500</v>
      </c>
      <c r="DR281" s="460">
        <f t="shared" si="828"/>
        <v>72.643374470924826</v>
      </c>
      <c r="DT281">
        <f t="shared" si="829"/>
        <v>6500</v>
      </c>
      <c r="DU281">
        <f t="shared" si="830"/>
        <v>72.643374470924826</v>
      </c>
      <c r="DW281" s="5">
        <f t="shared" ref="DW281:DW316" si="859">1/DR281*1000</f>
        <v>13.765880333659959</v>
      </c>
      <c r="DX281" s="5">
        <f t="shared" si="831"/>
        <v>2.1114995730912689</v>
      </c>
      <c r="DY281" s="5">
        <f t="shared" si="832"/>
        <v>11.65438076056869</v>
      </c>
      <c r="DZ281" s="5"/>
      <c r="EA281" s="173">
        <f t="shared" si="833"/>
        <v>0.15338645418326696</v>
      </c>
      <c r="EB281" s="173">
        <f t="shared" ref="EB281:EB316" si="860">0.5*L*DN281^2*DR281*1000</f>
        <v>97.499999999999986</v>
      </c>
      <c r="EC281" s="173">
        <f t="shared" ref="EC281:EC316" si="861">DN281*Nps/2*(1-EA281)</f>
        <v>6.3311688311688306</v>
      </c>
      <c r="ED281" s="173">
        <f t="shared" ref="ED281:ED316" si="862">EB281/EC281</f>
        <v>15.399999999999999</v>
      </c>
      <c r="EE281" s="460">
        <f t="shared" si="834"/>
        <v>91.498314833954993</v>
      </c>
      <c r="EF281" s="5">
        <f t="shared" si="835"/>
        <v>3.7134056344949253</v>
      </c>
      <c r="EH281" s="173">
        <f t="shared" ref="EH281:EH316" si="863">DN281*SQRT(EA281/3)</f>
        <v>3.3819061717091405</v>
      </c>
      <c r="EI281" s="173">
        <f t="shared" ref="EI281:EI316" si="864">DN281*Nps*SQRT((1-EA281)/3)</f>
        <v>7.945306525642275</v>
      </c>
      <c r="EK281" s="528">
        <f t="shared" ref="EK281:EK316" si="865">Rdson*EH281^2</f>
        <v>0.22874578708488749</v>
      </c>
      <c r="EL281" s="528">
        <f t="shared" ref="EL281:EL316" si="866">0.5*CO281*DN281*DR281*1000*Trise</f>
        <v>2.1816666666666666</v>
      </c>
      <c r="EM281" s="528">
        <f t="shared" ref="EM281:EM316" si="867">Qg*Vdd*DR281*1000</f>
        <v>9.0804218088656029E-3</v>
      </c>
      <c r="EN281" s="528">
        <f t="shared" ref="EN281:EN316" si="868">0.5*(Coss+Csw)*CO281^2*DR281*1000</f>
        <v>7.3225683760683766E-2</v>
      </c>
      <c r="EO281">
        <f t="shared" ref="EO281:EO316" si="869">CM281*IQ</f>
        <v>3.8249999999999999E-2</v>
      </c>
      <c r="EP281" s="460">
        <f t="shared" ref="EP281:EP316" si="870">(EO281+EM281)*1000</f>
        <v>47.330421808865601</v>
      </c>
      <c r="EQ281" s="460"/>
      <c r="ER281" s="460">
        <f t="shared" ref="ER281:ER316" si="871">SUM(EK281:EO281)*1000</f>
        <v>2530.9685593211038</v>
      </c>
      <c r="ES281" s="528">
        <f t="shared" ref="ES281:ES316" si="872">Vfwd2*CJ281</f>
        <v>4.55</v>
      </c>
      <c r="EV281" s="460">
        <f t="shared" ref="EV281:EV316" si="873">SUM(ES281:EU281)*1000</f>
        <v>4550</v>
      </c>
      <c r="EW281" s="528">
        <f t="shared" ref="EW281:EW316" si="874">Rdcr_pri*EH281^2</f>
        <v>0.3431186806273312</v>
      </c>
      <c r="EX281" s="528">
        <f t="shared" ref="EX281:EX316" si="875">Rdcr_sec*EI281^2</f>
        <v>1.8938368735924114</v>
      </c>
      <c r="EY281" s="528">
        <f t="shared" ref="EY281:EY316" si="876">DN281^2.5*DR281^2.5*k_core</f>
        <v>1.9455021880180854</v>
      </c>
      <c r="EZ281" s="528"/>
      <c r="FA281" s="528">
        <f t="shared" ref="FA281:FA316" si="877">0.5*Lleak*0.000000001*DN281^2*DR281*1000</f>
        <v>1.6249999999999997E-2</v>
      </c>
      <c r="FB281" s="460">
        <f t="shared" ref="FB281:FB316" si="878">SUM(EW281:FA281)*1000</f>
        <v>4198.7077422378279</v>
      </c>
      <c r="FC281" s="173">
        <f t="shared" ref="FC281:FC316" si="879">SUM(EK281:EO281,ES281:EU281,EW281:FA281)</f>
        <v>11.279676301558931</v>
      </c>
      <c r="FD281" s="5">
        <f t="shared" ref="FD281:FD316" si="880">MIN(CL281,CS281)</f>
        <v>97.5</v>
      </c>
      <c r="FE281" s="173">
        <f t="shared" ref="FE281:FE316" si="881">FD281/(FD281+FC281)</f>
        <v>0.89630713488897107</v>
      </c>
      <c r="FF281" s="5">
        <f t="shared" ref="FF281:FF316" si="882">FE281*100</f>
        <v>89.630713488897101</v>
      </c>
      <c r="FI281" s="562">
        <f t="shared" si="836"/>
        <v>-50</v>
      </c>
      <c r="FJ281">
        <f t="shared" si="837"/>
        <v>-50</v>
      </c>
      <c r="FL281">
        <f t="shared" si="838"/>
        <v>0.84661354581673298</v>
      </c>
    </row>
    <row r="282" spans="5:168">
      <c r="E282" s="170">
        <v>66</v>
      </c>
      <c r="F282" s="217">
        <f t="shared" si="839"/>
        <v>6.6000000000000005</v>
      </c>
      <c r="G282" s="217"/>
      <c r="H282" s="217">
        <f t="shared" si="764"/>
        <v>99.000000000000014</v>
      </c>
      <c r="I282" s="541">
        <f t="shared" si="765"/>
        <v>84.608557832017553</v>
      </c>
      <c r="J282" s="172">
        <f t="shared" si="766"/>
        <v>15.634865300789469</v>
      </c>
      <c r="K282" s="172">
        <f t="shared" si="767"/>
        <v>100.24342313280702</v>
      </c>
      <c r="L282" s="443"/>
      <c r="M282" s="217">
        <f t="shared" si="768"/>
        <v>0.15596063284368347</v>
      </c>
      <c r="N282" s="172">
        <f t="shared" si="769"/>
        <v>331.29213853556519</v>
      </c>
      <c r="O282" s="172">
        <f t="shared" si="762"/>
        <v>99.000000000000014</v>
      </c>
      <c r="P282" s="217">
        <f t="shared" si="770"/>
        <v>22.08614256903768</v>
      </c>
      <c r="Q282" s="217">
        <f t="shared" si="771"/>
        <v>15</v>
      </c>
      <c r="R282" s="217"/>
      <c r="S282" s="172">
        <f t="shared" si="772"/>
        <v>236.02155229059525</v>
      </c>
      <c r="T282" s="172">
        <f t="shared" si="773"/>
        <v>15</v>
      </c>
      <c r="U282" s="217">
        <f t="shared" si="774"/>
        <v>15.639080964283215</v>
      </c>
      <c r="V282" s="217">
        <f t="shared" si="775"/>
        <v>2.2180849831289868</v>
      </c>
      <c r="W282" s="217">
        <f t="shared" si="776"/>
        <v>12.003235586680903</v>
      </c>
      <c r="X282" s="197">
        <f t="shared" si="777"/>
        <v>109.9692597991431</v>
      </c>
      <c r="Y282" s="443">
        <f t="shared" si="840"/>
        <v>69.341777346898169</v>
      </c>
      <c r="AA282" s="217">
        <f t="shared" si="778"/>
        <v>10</v>
      </c>
      <c r="AB282" s="173">
        <f t="shared" si="779"/>
        <v>7.6751540669775205</v>
      </c>
      <c r="AC282" s="173">
        <f t="shared" si="780"/>
        <v>4.220155057949504</v>
      </c>
      <c r="AD282" s="173"/>
      <c r="AE282" s="173">
        <f t="shared" si="781"/>
        <v>7.6751540669775205</v>
      </c>
      <c r="AF282" s="545">
        <f t="shared" si="782"/>
        <v>171.98351830868415</v>
      </c>
      <c r="AG282" s="528">
        <f t="shared" si="783"/>
        <v>4.220155057949504</v>
      </c>
      <c r="AI282" s="173">
        <f t="shared" si="784"/>
        <v>7.0098607752362296</v>
      </c>
      <c r="AJ282" s="173">
        <f t="shared" si="785"/>
        <v>15.639080964283215</v>
      </c>
      <c r="AK282" s="173">
        <f t="shared" si="786"/>
        <v>5.377097010580159</v>
      </c>
      <c r="AM282" s="545">
        <f t="shared" si="787"/>
        <v>6600.0000000000009</v>
      </c>
      <c r="AN282" s="460">
        <f t="shared" si="788"/>
        <v>69.341777346898169</v>
      </c>
      <c r="AP282">
        <f t="shared" si="789"/>
        <v>6600.0000000000009</v>
      </c>
      <c r="AQ282">
        <f t="shared" si="790"/>
        <v>69.341777346898169</v>
      </c>
      <c r="AS282" s="5">
        <f t="shared" si="763"/>
        <v>14.42132056980989</v>
      </c>
      <c r="AT282" s="5">
        <f t="shared" si="791"/>
        <v>2.2180849831289868</v>
      </c>
      <c r="AU282" s="5">
        <f t="shared" si="722"/>
        <v>12.203235586680902</v>
      </c>
      <c r="AV282" s="5"/>
      <c r="AW282" s="173">
        <f t="shared" si="723"/>
        <v>0.15380595503662858</v>
      </c>
      <c r="AX282" s="173">
        <f t="shared" si="792"/>
        <v>101.75802648174397</v>
      </c>
      <c r="AY282" s="173">
        <f t="shared" si="793"/>
        <v>6.6168485903382379</v>
      </c>
      <c r="AZ282" s="173">
        <f t="shared" si="794"/>
        <v>15.378623991839344</v>
      </c>
      <c r="BA282" s="460">
        <f t="shared" si="724"/>
        <v>97.595739257675419</v>
      </c>
      <c r="BB282" s="5">
        <f t="shared" si="725"/>
        <v>3.966371573192462</v>
      </c>
      <c r="BD282" s="173">
        <f t="shared" si="841"/>
        <v>3.5410917215834101</v>
      </c>
      <c r="BE282" s="173">
        <f t="shared" si="842"/>
        <v>8.30587867447721</v>
      </c>
      <c r="BG282" s="528">
        <f t="shared" si="843"/>
        <v>0.25078661161333121</v>
      </c>
      <c r="BH282" s="528">
        <f t="shared" si="795"/>
        <v>2.038277722541904</v>
      </c>
      <c r="BI282" s="528">
        <f t="shared" si="796"/>
        <v>0.14667269447074796</v>
      </c>
      <c r="BJ282" s="528">
        <f t="shared" si="844"/>
        <v>6.9679776083886466E-2</v>
      </c>
      <c r="BK282">
        <f t="shared" si="845"/>
        <v>3.8073851024407898E-2</v>
      </c>
      <c r="BL282" s="460">
        <f t="shared" si="846"/>
        <v>184.74654549515586</v>
      </c>
      <c r="BM282" s="528">
        <f t="shared" si="797"/>
        <v>2.5802027774670155</v>
      </c>
      <c r="BN282" s="460">
        <f t="shared" si="847"/>
        <v>2580.2027774670155</v>
      </c>
      <c r="BO282" s="528">
        <f t="shared" si="798"/>
        <v>4.62</v>
      </c>
      <c r="BR282" s="460">
        <f t="shared" si="848"/>
        <v>4620</v>
      </c>
      <c r="BS282" s="528">
        <f t="shared" si="849"/>
        <v>0.37617991741999679</v>
      </c>
      <c r="BT282" s="528">
        <f t="shared" si="850"/>
        <v>2.0696286166540587</v>
      </c>
      <c r="BU282" s="528">
        <f t="shared" si="851"/>
        <v>1.936357300673466</v>
      </c>
      <c r="BV282" s="528"/>
      <c r="BW282" s="528">
        <f t="shared" si="852"/>
        <v>1.6959671080290662E-2</v>
      </c>
      <c r="BX282" s="460">
        <f t="shared" si="853"/>
        <v>4399.125505827812</v>
      </c>
      <c r="BY282" s="173">
        <f t="shared" si="854"/>
        <v>11.562616161562088</v>
      </c>
      <c r="BZ282" s="5">
        <f t="shared" si="855"/>
        <v>99.000000000000014</v>
      </c>
      <c r="CA282" s="173">
        <f t="shared" si="856"/>
        <v>0.89542020112235809</v>
      </c>
      <c r="CB282" s="5">
        <f t="shared" si="857"/>
        <v>89.542020112235804</v>
      </c>
      <c r="CE282" s="562">
        <f t="shared" si="799"/>
        <v>-50</v>
      </c>
      <c r="CF282">
        <f t="shared" si="800"/>
        <v>-50</v>
      </c>
      <c r="CG282" s="173">
        <f t="shared" si="801"/>
        <v>0.84303640995263451</v>
      </c>
      <c r="CI282" s="170">
        <v>66</v>
      </c>
      <c r="CJ282" s="217">
        <f t="shared" si="858"/>
        <v>6.6000000000000005</v>
      </c>
      <c r="CK282" s="217"/>
      <c r="CL282" s="217">
        <f t="shared" si="802"/>
        <v>99.000000000000014</v>
      </c>
      <c r="CM282" s="541">
        <f t="shared" si="803"/>
        <v>85</v>
      </c>
      <c r="CN282" s="443">
        <f t="shared" si="804"/>
        <v>15.4</v>
      </c>
      <c r="CO282" s="443">
        <f t="shared" si="805"/>
        <v>100.4</v>
      </c>
      <c r="CP282" s="443"/>
      <c r="CQ282" s="217">
        <f t="shared" si="806"/>
        <v>0.15338645418326693</v>
      </c>
      <c r="CR282" s="172">
        <f t="shared" si="807"/>
        <v>327.33148655378488</v>
      </c>
      <c r="CS282" s="172">
        <f t="shared" si="808"/>
        <v>99.000000000000014</v>
      </c>
      <c r="CT282" s="217">
        <f t="shared" si="809"/>
        <v>21.822099103585661</v>
      </c>
      <c r="CU282" s="217">
        <f t="shared" si="810"/>
        <v>15</v>
      </c>
      <c r="CV282" s="217"/>
      <c r="CW282" s="172">
        <f t="shared" si="811"/>
        <v>237.11284712099246</v>
      </c>
      <c r="CX282" s="172">
        <f t="shared" si="812"/>
        <v>15</v>
      </c>
      <c r="CY282" s="217">
        <f t="shared" si="813"/>
        <v>15.186554621848741</v>
      </c>
      <c r="CZ282" s="217">
        <f t="shared" si="814"/>
        <v>2.1439841819080576</v>
      </c>
      <c r="DA282" s="217">
        <f t="shared" si="815"/>
        <v>11.833678926115901</v>
      </c>
      <c r="DB282" s="197">
        <f t="shared" si="816"/>
        <v>108.64873837981409</v>
      </c>
      <c r="DC282" s="443">
        <f t="shared" si="817"/>
        <v>71.542717281971406</v>
      </c>
      <c r="DE282" s="217">
        <f t="shared" si="818"/>
        <v>10</v>
      </c>
      <c r="DF282" s="173">
        <f t="shared" si="819"/>
        <v>7.7922077922077913</v>
      </c>
      <c r="DG282" s="173">
        <f t="shared" si="820"/>
        <v>4.2330677290836656</v>
      </c>
      <c r="DH282" s="173"/>
      <c r="DI282" s="173">
        <f t="shared" si="821"/>
        <v>7.7922077922077913</v>
      </c>
      <c r="DJ282" s="545">
        <f t="shared" si="822"/>
        <v>169.40000000000003</v>
      </c>
      <c r="DK282" s="528">
        <f t="shared" si="823"/>
        <v>4.2330677290836656</v>
      </c>
      <c r="DM282" s="173">
        <f t="shared" si="824"/>
        <v>6.957010852370435</v>
      </c>
      <c r="DN282" s="173">
        <f t="shared" si="825"/>
        <v>15.186554621848741</v>
      </c>
      <c r="DO282" s="173">
        <f t="shared" si="826"/>
        <v>5.0418923124805479</v>
      </c>
      <c r="DQ282" s="545">
        <f t="shared" si="827"/>
        <v>6600.0000000000009</v>
      </c>
      <c r="DR282" s="460">
        <f t="shared" si="828"/>
        <v>71.542717281971406</v>
      </c>
      <c r="DT282">
        <f t="shared" si="829"/>
        <v>6600.0000000000009</v>
      </c>
      <c r="DU282">
        <f t="shared" si="830"/>
        <v>71.542717281971406</v>
      </c>
      <c r="DW282" s="5">
        <f t="shared" si="859"/>
        <v>13.977663108023961</v>
      </c>
      <c r="DX282" s="5">
        <f t="shared" si="831"/>
        <v>2.1439841819080576</v>
      </c>
      <c r="DY282" s="5">
        <f t="shared" si="832"/>
        <v>11.833678926115903</v>
      </c>
      <c r="DZ282" s="5"/>
      <c r="EA282" s="173">
        <f t="shared" si="833"/>
        <v>0.15338645418326693</v>
      </c>
      <c r="EB282" s="173">
        <f t="shared" si="860"/>
        <v>98.999999999999986</v>
      </c>
      <c r="EC282" s="173">
        <f t="shared" si="861"/>
        <v>6.4285714285714288</v>
      </c>
      <c r="ED282" s="173">
        <f t="shared" si="862"/>
        <v>15.399999999999997</v>
      </c>
      <c r="EE282" s="460">
        <f t="shared" si="834"/>
        <v>94.335304003954548</v>
      </c>
      <c r="EF282" s="5">
        <f t="shared" si="835"/>
        <v>3.8285431819786746</v>
      </c>
      <c r="EH282" s="173">
        <f t="shared" si="863"/>
        <v>3.4339354974277425</v>
      </c>
      <c r="EI282" s="173">
        <f t="shared" si="864"/>
        <v>8.0675420106521578</v>
      </c>
      <c r="EK282" s="528">
        <f t="shared" si="865"/>
        <v>0.23583826000988634</v>
      </c>
      <c r="EL282" s="528">
        <f t="shared" si="866"/>
        <v>2.1816666666666662</v>
      </c>
      <c r="EM282" s="528">
        <f t="shared" si="867"/>
        <v>8.9428396602464263E-3</v>
      </c>
      <c r="EN282" s="528">
        <f t="shared" si="868"/>
        <v>7.2116203703703696E-2</v>
      </c>
      <c r="EO282">
        <f t="shared" si="869"/>
        <v>3.8249999999999999E-2</v>
      </c>
      <c r="EP282" s="460">
        <f t="shared" si="870"/>
        <v>47.192839660246428</v>
      </c>
      <c r="EQ282" s="460"/>
      <c r="ER282" s="460">
        <f t="shared" si="871"/>
        <v>2536.8139700405027</v>
      </c>
      <c r="ES282" s="528">
        <f t="shared" si="872"/>
        <v>4.62</v>
      </c>
      <c r="EV282" s="460">
        <f t="shared" si="873"/>
        <v>4620</v>
      </c>
      <c r="EW282" s="528">
        <f t="shared" si="874"/>
        <v>0.35375739001482948</v>
      </c>
      <c r="EX282" s="528">
        <f t="shared" si="875"/>
        <v>1.952557022809124</v>
      </c>
      <c r="EY282" s="528">
        <f t="shared" si="876"/>
        <v>1.9455021880180849</v>
      </c>
      <c r="EZ282" s="528"/>
      <c r="FA282" s="528">
        <f t="shared" si="877"/>
        <v>1.6500000000000001E-2</v>
      </c>
      <c r="FB282" s="460">
        <f t="shared" si="878"/>
        <v>4268.3166008420385</v>
      </c>
      <c r="FC282" s="173">
        <f t="shared" si="879"/>
        <v>11.425130570882541</v>
      </c>
      <c r="FD282" s="5">
        <f t="shared" si="880"/>
        <v>99.000000000000014</v>
      </c>
      <c r="FE282" s="173">
        <f t="shared" si="881"/>
        <v>0.89653505038376491</v>
      </c>
      <c r="FF282" s="5">
        <f t="shared" si="882"/>
        <v>89.653505038376494</v>
      </c>
      <c r="FI282" s="562">
        <f t="shared" si="836"/>
        <v>-50</v>
      </c>
      <c r="FJ282">
        <f t="shared" si="837"/>
        <v>-50</v>
      </c>
      <c r="FL282">
        <f t="shared" si="838"/>
        <v>0.84661354581673309</v>
      </c>
    </row>
    <row r="283" spans="5:168">
      <c r="E283" s="170">
        <v>67</v>
      </c>
      <c r="F283" s="217">
        <f t="shared" si="839"/>
        <v>6.7</v>
      </c>
      <c r="G283" s="217"/>
      <c r="H283" s="217">
        <f t="shared" si="764"/>
        <v>100.5</v>
      </c>
      <c r="I283" s="541">
        <f t="shared" si="765"/>
        <v>84.602652054402697</v>
      </c>
      <c r="J283" s="172">
        <f t="shared" si="766"/>
        <v>15.638408767358383</v>
      </c>
      <c r="K283" s="172">
        <f t="shared" si="767"/>
        <v>100.24106082176108</v>
      </c>
      <c r="L283" s="443"/>
      <c r="M283" s="217">
        <f t="shared" si="768"/>
        <v>0.15599965862642701</v>
      </c>
      <c r="N283" s="172">
        <f t="shared" si="769"/>
        <v>331.35190687361393</v>
      </c>
      <c r="O283" s="172">
        <f t="shared" si="762"/>
        <v>100.5</v>
      </c>
      <c r="P283" s="217">
        <f t="shared" si="770"/>
        <v>22.090127124907596</v>
      </c>
      <c r="Q283" s="217">
        <f t="shared" si="771"/>
        <v>15</v>
      </c>
      <c r="R283" s="217"/>
      <c r="S283" s="172">
        <f t="shared" si="772"/>
        <v>231.22498826843986</v>
      </c>
      <c r="T283" s="172">
        <f t="shared" si="773"/>
        <v>15</v>
      </c>
      <c r="U283" s="217">
        <f t="shared" si="774"/>
        <v>15.876770829490537</v>
      </c>
      <c r="V283" s="217">
        <f t="shared" si="775"/>
        <v>2.2519536365287238</v>
      </c>
      <c r="W283" s="217">
        <f t="shared" si="776"/>
        <v>12.182905101672247</v>
      </c>
      <c r="X283" s="197">
        <f t="shared" si="777"/>
        <v>109.98909734719908</v>
      </c>
      <c r="Y283" s="443">
        <f t="shared" si="840"/>
        <v>68.330006998272381</v>
      </c>
      <c r="AA283" s="217">
        <f t="shared" si="778"/>
        <v>10</v>
      </c>
      <c r="AB283" s="173">
        <f t="shared" si="779"/>
        <v>7.673414973681508</v>
      </c>
      <c r="AC283" s="173">
        <f t="shared" si="780"/>
        <v>4.2199599326285524</v>
      </c>
      <c r="AD283" s="173"/>
      <c r="AE283" s="173">
        <f t="shared" si="781"/>
        <v>7.673414973681508</v>
      </c>
      <c r="AF283" s="545">
        <f t="shared" si="782"/>
        <v>174.62889790216863</v>
      </c>
      <c r="AG283" s="528">
        <f t="shared" si="783"/>
        <v>4.2199599326285524</v>
      </c>
      <c r="AI283" s="173">
        <f t="shared" si="784"/>
        <v>7.0635664383646191</v>
      </c>
      <c r="AJ283" s="173">
        <f t="shared" si="785"/>
        <v>15.876770829490537</v>
      </c>
      <c r="AK283" s="173">
        <f t="shared" si="786"/>
        <v>5.5531635774003973</v>
      </c>
      <c r="AM283" s="545">
        <f t="shared" si="787"/>
        <v>6700</v>
      </c>
      <c r="AN283" s="460">
        <f t="shared" si="788"/>
        <v>68.330006998272381</v>
      </c>
      <c r="AP283">
        <f t="shared" si="789"/>
        <v>6700</v>
      </c>
      <c r="AQ283">
        <f t="shared" si="790"/>
        <v>68.330006998272381</v>
      </c>
      <c r="AS283" s="5">
        <f t="shared" si="763"/>
        <v>14.63485873820097</v>
      </c>
      <c r="AT283" s="5">
        <f t="shared" si="791"/>
        <v>2.2519536365287238</v>
      </c>
      <c r="AU283" s="5">
        <f t="shared" si="722"/>
        <v>12.382905101672247</v>
      </c>
      <c r="AV283" s="5"/>
      <c r="AW283" s="173">
        <f t="shared" si="723"/>
        <v>0.15387600774379265</v>
      </c>
      <c r="AX283" s="173">
        <f t="shared" si="792"/>
        <v>103.34442845595173</v>
      </c>
      <c r="AY283" s="173">
        <f t="shared" si="793"/>
        <v>6.7168583591927149</v>
      </c>
      <c r="AZ283" s="173">
        <f t="shared" si="794"/>
        <v>15.385828154990673</v>
      </c>
      <c r="BA283" s="460">
        <f t="shared" si="724"/>
        <v>100.58726243161634</v>
      </c>
      <c r="BB283" s="5">
        <f t="shared" si="725"/>
        <v>4.0860354338071918</v>
      </c>
      <c r="BD283" s="173">
        <f t="shared" si="841"/>
        <v>3.5957294228042471</v>
      </c>
      <c r="BE283" s="173">
        <f t="shared" si="842"/>
        <v>8.4317661599078413</v>
      </c>
      <c r="BG283" s="528">
        <f t="shared" si="843"/>
        <v>0.25858540164040328</v>
      </c>
      <c r="BH283" s="528">
        <f t="shared" si="795"/>
        <v>2.0390156887257769</v>
      </c>
      <c r="BI283" s="528">
        <f t="shared" si="796"/>
        <v>0.14452249517374349</v>
      </c>
      <c r="BJ283" s="528">
        <f t="shared" si="844"/>
        <v>6.8659837818887043E-2</v>
      </c>
      <c r="BK283">
        <f t="shared" si="845"/>
        <v>3.807119342448121E-2</v>
      </c>
      <c r="BL283" s="460">
        <f t="shared" si="846"/>
        <v>182.5936885982247</v>
      </c>
      <c r="BM283" s="528">
        <f t="shared" si="797"/>
        <v>2.5955492507975735</v>
      </c>
      <c r="BN283" s="460">
        <f t="shared" si="847"/>
        <v>2595.5492507975737</v>
      </c>
      <c r="BO283" s="528">
        <f t="shared" si="798"/>
        <v>4.6899999999999995</v>
      </c>
      <c r="BR283" s="460">
        <f t="shared" si="848"/>
        <v>4689.9999999999991</v>
      </c>
      <c r="BS283" s="528">
        <f t="shared" si="849"/>
        <v>0.38787810246060489</v>
      </c>
      <c r="BT283" s="528">
        <f t="shared" si="850"/>
        <v>2.1328404172610105</v>
      </c>
      <c r="BU283" s="528">
        <f t="shared" si="851"/>
        <v>1.9382246276469535</v>
      </c>
      <c r="BV283" s="528"/>
      <c r="BW283" s="528">
        <f t="shared" si="852"/>
        <v>1.7224071409325286E-2</v>
      </c>
      <c r="BX283" s="460">
        <f t="shared" si="853"/>
        <v>4476.167218777894</v>
      </c>
      <c r="BY283" s="173">
        <f t="shared" si="854"/>
        <v>11.715021835561185</v>
      </c>
      <c r="BZ283" s="5">
        <f t="shared" si="855"/>
        <v>100.5</v>
      </c>
      <c r="CA283" s="173">
        <f t="shared" si="856"/>
        <v>0.89560201794793326</v>
      </c>
      <c r="CB283" s="5">
        <f t="shared" si="857"/>
        <v>89.560201794793329</v>
      </c>
      <c r="CE283" s="562">
        <f t="shared" si="799"/>
        <v>-50</v>
      </c>
      <c r="CF283">
        <f t="shared" si="800"/>
        <v>-50</v>
      </c>
      <c r="CG283" s="173">
        <f t="shared" si="801"/>
        <v>0.84308980004015832</v>
      </c>
      <c r="CI283" s="170">
        <v>67</v>
      </c>
      <c r="CJ283" s="217">
        <f t="shared" si="858"/>
        <v>6.7</v>
      </c>
      <c r="CK283" s="217"/>
      <c r="CL283" s="217">
        <f t="shared" si="802"/>
        <v>100.5</v>
      </c>
      <c r="CM283" s="541">
        <f t="shared" si="803"/>
        <v>85</v>
      </c>
      <c r="CN283" s="443">
        <f t="shared" si="804"/>
        <v>15.4</v>
      </c>
      <c r="CO283" s="443">
        <f t="shared" si="805"/>
        <v>100.4</v>
      </c>
      <c r="CP283" s="443"/>
      <c r="CQ283" s="217">
        <f t="shared" si="806"/>
        <v>0.15338645418326693</v>
      </c>
      <c r="CR283" s="172">
        <f t="shared" si="807"/>
        <v>327.33148655378488</v>
      </c>
      <c r="CS283" s="172">
        <f t="shared" si="808"/>
        <v>100.5</v>
      </c>
      <c r="CT283" s="217">
        <f t="shared" si="809"/>
        <v>21.822099103585661</v>
      </c>
      <c r="CU283" s="217">
        <f t="shared" si="810"/>
        <v>15</v>
      </c>
      <c r="CV283" s="217"/>
      <c r="CW283" s="172">
        <f t="shared" si="811"/>
        <v>232.31028352017287</v>
      </c>
      <c r="CX283" s="172">
        <f t="shared" si="812"/>
        <v>15</v>
      </c>
      <c r="CY283" s="217">
        <f t="shared" si="813"/>
        <v>15.416653934300992</v>
      </c>
      <c r="CZ283" s="217">
        <f t="shared" si="814"/>
        <v>2.1764687907248459</v>
      </c>
      <c r="DA283" s="217">
        <f t="shared" si="815"/>
        <v>12.01297709166311</v>
      </c>
      <c r="DB283" s="197">
        <f t="shared" si="816"/>
        <v>108.64873837981409</v>
      </c>
      <c r="DC283" s="443">
        <f t="shared" si="817"/>
        <v>70.474915531494247</v>
      </c>
      <c r="DE283" s="217">
        <f t="shared" si="818"/>
        <v>10</v>
      </c>
      <c r="DF283" s="173">
        <f t="shared" si="819"/>
        <v>7.7922077922077913</v>
      </c>
      <c r="DG283" s="173">
        <f t="shared" si="820"/>
        <v>4.2330677290836656</v>
      </c>
      <c r="DH283" s="173"/>
      <c r="DI283" s="173">
        <f t="shared" si="821"/>
        <v>7.7922077922077913</v>
      </c>
      <c r="DJ283" s="545">
        <f t="shared" si="822"/>
        <v>171.9666666666667</v>
      </c>
      <c r="DK283" s="528">
        <f t="shared" si="823"/>
        <v>4.2330677290836656</v>
      </c>
      <c r="DM283" s="173">
        <f t="shared" si="824"/>
        <v>7.009517339541528</v>
      </c>
      <c r="DN283" s="173">
        <f t="shared" si="825"/>
        <v>15.416653934300992</v>
      </c>
      <c r="DO283" s="173">
        <f t="shared" si="826"/>
        <v>5.2123362476303647</v>
      </c>
      <c r="DQ283" s="545">
        <f t="shared" si="827"/>
        <v>6700</v>
      </c>
      <c r="DR283" s="460">
        <f t="shared" si="828"/>
        <v>70.474915531494247</v>
      </c>
      <c r="DT283">
        <f t="shared" si="829"/>
        <v>6700</v>
      </c>
      <c r="DU283">
        <f t="shared" si="830"/>
        <v>70.474915531494247</v>
      </c>
      <c r="DW283" s="5">
        <f t="shared" si="859"/>
        <v>14.189445882387954</v>
      </c>
      <c r="DX283" s="5">
        <f t="shared" si="831"/>
        <v>2.1764687907248459</v>
      </c>
      <c r="DY283" s="5">
        <f t="shared" si="832"/>
        <v>12.012977091663108</v>
      </c>
      <c r="DZ283" s="5"/>
      <c r="EA283" s="173">
        <f t="shared" si="833"/>
        <v>0.15338645418326696</v>
      </c>
      <c r="EB283" s="173">
        <f t="shared" si="860"/>
        <v>100.5</v>
      </c>
      <c r="EC283" s="173">
        <f t="shared" si="861"/>
        <v>6.5259740259740253</v>
      </c>
      <c r="ED283" s="173">
        <f t="shared" si="862"/>
        <v>15.400000000000002</v>
      </c>
      <c r="EE283" s="460">
        <f t="shared" si="834"/>
        <v>97.215605985709786</v>
      </c>
      <c r="EF283" s="5">
        <f t="shared" si="835"/>
        <v>3.9454385546148445</v>
      </c>
      <c r="EH283" s="173">
        <f t="shared" si="863"/>
        <v>3.4859648231463445</v>
      </c>
      <c r="EI283" s="173">
        <f t="shared" si="864"/>
        <v>8.1897774956620371</v>
      </c>
      <c r="EK283" s="528">
        <f t="shared" si="865"/>
        <v>0.24303901496427452</v>
      </c>
      <c r="EL283" s="528">
        <f t="shared" si="866"/>
        <v>2.1816666666666671</v>
      </c>
      <c r="EM283" s="528">
        <f t="shared" si="867"/>
        <v>8.8093644414367813E-3</v>
      </c>
      <c r="EN283" s="528">
        <f t="shared" si="868"/>
        <v>7.1039842454394722E-2</v>
      </c>
      <c r="EO283">
        <f t="shared" si="869"/>
        <v>3.8249999999999999E-2</v>
      </c>
      <c r="EP283" s="460">
        <f t="shared" si="870"/>
        <v>47.059364441436784</v>
      </c>
      <c r="EQ283" s="460"/>
      <c r="ER283" s="460">
        <f t="shared" si="871"/>
        <v>2542.8048885267735</v>
      </c>
      <c r="ES283" s="528">
        <f t="shared" si="872"/>
        <v>4.6899999999999995</v>
      </c>
      <c r="EV283" s="460">
        <f t="shared" si="873"/>
        <v>4689.9999999999991</v>
      </c>
      <c r="EW283" s="528">
        <f t="shared" si="874"/>
        <v>0.36455852244641174</v>
      </c>
      <c r="EX283" s="528">
        <f t="shared" si="875"/>
        <v>2.01217366285357</v>
      </c>
      <c r="EY283" s="528">
        <f t="shared" si="876"/>
        <v>1.9455021880180854</v>
      </c>
      <c r="EZ283" s="528"/>
      <c r="FA283" s="528">
        <f t="shared" si="877"/>
        <v>1.6750000000000001E-2</v>
      </c>
      <c r="FB283" s="460">
        <f t="shared" si="878"/>
        <v>4338.9843733180669</v>
      </c>
      <c r="FC283" s="173">
        <f t="shared" si="879"/>
        <v>11.57178926184484</v>
      </c>
      <c r="FD283" s="5">
        <f t="shared" si="880"/>
        <v>100.5</v>
      </c>
      <c r="FE283" s="173">
        <f t="shared" si="881"/>
        <v>0.89674663590131076</v>
      </c>
      <c r="FF283" s="5">
        <f t="shared" si="882"/>
        <v>89.674663590131075</v>
      </c>
      <c r="FI283" s="562">
        <f t="shared" si="836"/>
        <v>-50</v>
      </c>
      <c r="FJ283">
        <f t="shared" si="837"/>
        <v>-50</v>
      </c>
      <c r="FL283">
        <f t="shared" si="838"/>
        <v>0.84661354581673298</v>
      </c>
    </row>
    <row r="284" spans="5:168">
      <c r="E284" s="170">
        <v>68</v>
      </c>
      <c r="F284" s="217">
        <f t="shared" si="839"/>
        <v>6.8000000000000007</v>
      </c>
      <c r="G284" s="217"/>
      <c r="H284" s="217">
        <f t="shared" si="764"/>
        <v>102.00000000000001</v>
      </c>
      <c r="I284" s="541">
        <f t="shared" si="765"/>
        <v>84.59674627369462</v>
      </c>
      <c r="J284" s="172">
        <f t="shared" si="766"/>
        <v>15.641952235783227</v>
      </c>
      <c r="K284" s="172">
        <f t="shared" si="767"/>
        <v>100.23869850947784</v>
      </c>
      <c r="L284" s="443"/>
      <c r="M284" s="217">
        <f t="shared" si="768"/>
        <v>0.15603868625338504</v>
      </c>
      <c r="N284" s="172">
        <f t="shared" si="769"/>
        <v>331.41166754362882</v>
      </c>
      <c r="O284" s="172">
        <f t="shared" si="762"/>
        <v>102.00000000000001</v>
      </c>
      <c r="P284" s="217">
        <f t="shared" si="770"/>
        <v>22.094111169575253</v>
      </c>
      <c r="Q284" s="217">
        <f t="shared" si="771"/>
        <v>15</v>
      </c>
      <c r="R284" s="217"/>
      <c r="S284" s="172">
        <f t="shared" si="772"/>
        <v>226.56979225820893</v>
      </c>
      <c r="T284" s="172">
        <f t="shared" si="773"/>
        <v>15</v>
      </c>
      <c r="U284" s="217">
        <f t="shared" si="774"/>
        <v>16.114482712039536</v>
      </c>
      <c r="V284" s="217">
        <f t="shared" si="775"/>
        <v>2.2858301419637939</v>
      </c>
      <c r="W284" s="217">
        <f t="shared" si="776"/>
        <v>12.362510102933566</v>
      </c>
      <c r="X284" s="197">
        <f t="shared" si="777"/>
        <v>110.00893236114511</v>
      </c>
      <c r="Y284" s="443">
        <f t="shared" si="840"/>
        <v>67.347594647398424</v>
      </c>
      <c r="AA284" s="217">
        <f t="shared" si="778"/>
        <v>10</v>
      </c>
      <c r="AB284" s="173">
        <f t="shared" si="779"/>
        <v>7.6716766674100079</v>
      </c>
      <c r="AC284" s="173">
        <f t="shared" si="780"/>
        <v>4.2197647980084136</v>
      </c>
      <c r="AD284" s="173"/>
      <c r="AE284" s="173">
        <f t="shared" si="781"/>
        <v>7.6716766674100079</v>
      </c>
      <c r="AF284" s="545">
        <f t="shared" si="782"/>
        <v>177.27545867220994</v>
      </c>
      <c r="AG284" s="528">
        <f t="shared" si="783"/>
        <v>4.2197647980084136</v>
      </c>
      <c r="AI284" s="173">
        <f t="shared" si="784"/>
        <v>7.1168905463834999</v>
      </c>
      <c r="AJ284" s="173">
        <f t="shared" si="785"/>
        <v>16.114482712039536</v>
      </c>
      <c r="AK284" s="173">
        <f t="shared" si="786"/>
        <v>5.7292464533626193</v>
      </c>
      <c r="AM284" s="545">
        <f t="shared" si="787"/>
        <v>6800.0000000000009</v>
      </c>
      <c r="AN284" s="460">
        <f t="shared" si="788"/>
        <v>67.347594647398424</v>
      </c>
      <c r="AP284">
        <f t="shared" si="789"/>
        <v>6800.0000000000009</v>
      </c>
      <c r="AQ284">
        <f t="shared" si="790"/>
        <v>67.347594647398424</v>
      </c>
      <c r="AS284" s="5">
        <f t="shared" si="763"/>
        <v>14.84834024489736</v>
      </c>
      <c r="AT284" s="5">
        <f t="shared" si="791"/>
        <v>2.2858301419637939</v>
      </c>
      <c r="AU284" s="5">
        <f t="shared" si="722"/>
        <v>12.562510102933565</v>
      </c>
      <c r="AV284" s="5"/>
      <c r="AW284" s="173">
        <f t="shared" si="723"/>
        <v>0.15394516183378279</v>
      </c>
      <c r="AX284" s="173">
        <f t="shared" si="792"/>
        <v>104.93154741622752</v>
      </c>
      <c r="AY284" s="173">
        <f t="shared" si="793"/>
        <v>6.8168680315334571</v>
      </c>
      <c r="AZ284" s="173">
        <f t="shared" si="794"/>
        <v>15.392926330806953</v>
      </c>
      <c r="BA284" s="460">
        <f t="shared" si="724"/>
        <v>103.62429976902533</v>
      </c>
      <c r="BB284" s="5">
        <f t="shared" si="725"/>
        <v>4.2074642575285823</v>
      </c>
      <c r="BD284" s="173">
        <f t="shared" si="841"/>
        <v>3.6503857781436069</v>
      </c>
      <c r="BE284" s="173">
        <f t="shared" si="842"/>
        <v>8.5576594169356408</v>
      </c>
      <c r="BG284" s="528">
        <f t="shared" si="843"/>
        <v>0.26650632658546214</v>
      </c>
      <c r="BH284" s="528">
        <f t="shared" si="795"/>
        <v>2.0397415816770592</v>
      </c>
      <c r="BI284" s="528">
        <f t="shared" si="796"/>
        <v>0.14243468441323995</v>
      </c>
      <c r="BJ284" s="528">
        <f t="shared" si="844"/>
        <v>6.7669493782828202E-2</v>
      </c>
      <c r="BK284">
        <f t="shared" si="845"/>
        <v>3.806853582316258E-2</v>
      </c>
      <c r="BL284" s="460">
        <f t="shared" si="846"/>
        <v>180.50322023640254</v>
      </c>
      <c r="BM284" s="528">
        <f t="shared" si="797"/>
        <v>2.6112216337402701</v>
      </c>
      <c r="BN284" s="460">
        <f t="shared" si="847"/>
        <v>2611.2216337402701</v>
      </c>
      <c r="BO284" s="528">
        <f t="shared" si="798"/>
        <v>4.76</v>
      </c>
      <c r="BR284" s="460">
        <f t="shared" si="848"/>
        <v>4760</v>
      </c>
      <c r="BS284" s="528">
        <f t="shared" si="849"/>
        <v>0.39975948987819315</v>
      </c>
      <c r="BT284" s="528">
        <f t="shared" si="850"/>
        <v>2.1970060408880174</v>
      </c>
      <c r="BU284" s="528">
        <f t="shared" si="851"/>
        <v>1.940064414572922</v>
      </c>
      <c r="BV284" s="528"/>
      <c r="BW284" s="528">
        <f t="shared" si="852"/>
        <v>1.748859123603792E-2</v>
      </c>
      <c r="BX284" s="460">
        <f t="shared" si="853"/>
        <v>4554.3185365751706</v>
      </c>
      <c r="BY284" s="173">
        <f t="shared" si="854"/>
        <v>11.868739158856922</v>
      </c>
      <c r="BZ284" s="5">
        <f t="shared" si="855"/>
        <v>102.00000000000001</v>
      </c>
      <c r="CA284" s="173">
        <f t="shared" si="856"/>
        <v>0.895768239408544</v>
      </c>
      <c r="CB284" s="5">
        <f t="shared" si="857"/>
        <v>89.576823940854396</v>
      </c>
      <c r="CE284" s="562">
        <f t="shared" si="799"/>
        <v>-50</v>
      </c>
      <c r="CF284">
        <f t="shared" si="800"/>
        <v>-50</v>
      </c>
      <c r="CG284" s="173">
        <f t="shared" si="801"/>
        <v>0.84314161983099034</v>
      </c>
      <c r="CI284" s="170">
        <v>68</v>
      </c>
      <c r="CJ284" s="217">
        <f t="shared" si="858"/>
        <v>6.8000000000000007</v>
      </c>
      <c r="CK284" s="217"/>
      <c r="CL284" s="217">
        <f t="shared" si="802"/>
        <v>102.00000000000001</v>
      </c>
      <c r="CM284" s="541">
        <f t="shared" si="803"/>
        <v>85</v>
      </c>
      <c r="CN284" s="443">
        <f t="shared" si="804"/>
        <v>15.4</v>
      </c>
      <c r="CO284" s="443">
        <f t="shared" si="805"/>
        <v>100.4</v>
      </c>
      <c r="CP284" s="443"/>
      <c r="CQ284" s="217">
        <f t="shared" si="806"/>
        <v>0.15338645418326693</v>
      </c>
      <c r="CR284" s="172">
        <f t="shared" si="807"/>
        <v>327.33148655378488</v>
      </c>
      <c r="CS284" s="172">
        <f t="shared" si="808"/>
        <v>102.00000000000001</v>
      </c>
      <c r="CT284" s="217">
        <f t="shared" si="809"/>
        <v>21.822099103585661</v>
      </c>
      <c r="CU284" s="217">
        <f t="shared" si="810"/>
        <v>15</v>
      </c>
      <c r="CV284" s="217"/>
      <c r="CW284" s="172">
        <f t="shared" si="811"/>
        <v>227.64909070628033</v>
      </c>
      <c r="CX284" s="172">
        <f t="shared" si="812"/>
        <v>15</v>
      </c>
      <c r="CY284" s="217">
        <f t="shared" si="813"/>
        <v>15.646753246753249</v>
      </c>
      <c r="CZ284" s="217">
        <f t="shared" si="814"/>
        <v>2.2089533995416351</v>
      </c>
      <c r="DA284" s="217">
        <f t="shared" si="815"/>
        <v>12.192275257210325</v>
      </c>
      <c r="DB284" s="197">
        <f t="shared" si="816"/>
        <v>108.64873837981409</v>
      </c>
      <c r="DC284" s="443">
        <f t="shared" si="817"/>
        <v>69.438519714854607</v>
      </c>
      <c r="DE284" s="217">
        <f t="shared" si="818"/>
        <v>10</v>
      </c>
      <c r="DF284" s="173">
        <f t="shared" si="819"/>
        <v>7.7922077922077913</v>
      </c>
      <c r="DG284" s="173">
        <f t="shared" si="820"/>
        <v>4.2330677290836656</v>
      </c>
      <c r="DH284" s="173"/>
      <c r="DI284" s="173">
        <f t="shared" si="821"/>
        <v>7.7922077922077913</v>
      </c>
      <c r="DJ284" s="545">
        <f t="shared" si="822"/>
        <v>174.53333333333336</v>
      </c>
      <c r="DK284" s="528">
        <f t="shared" si="823"/>
        <v>4.2330677290836656</v>
      </c>
      <c r="DM284" s="173">
        <f t="shared" si="824"/>
        <v>7.0616334276615262</v>
      </c>
      <c r="DN284" s="173">
        <f t="shared" si="825"/>
        <v>15.646753246753249</v>
      </c>
      <c r="DO284" s="173">
        <f t="shared" si="826"/>
        <v>5.3827801827801842</v>
      </c>
      <c r="DQ284" s="545">
        <f t="shared" si="827"/>
        <v>6800.0000000000009</v>
      </c>
      <c r="DR284" s="460">
        <f t="shared" si="828"/>
        <v>69.438519714854607</v>
      </c>
      <c r="DT284">
        <f t="shared" si="829"/>
        <v>6800.0000000000009</v>
      </c>
      <c r="DU284">
        <f t="shared" si="830"/>
        <v>69.438519714854607</v>
      </c>
      <c r="DW284" s="5">
        <f t="shared" si="859"/>
        <v>14.401228656751959</v>
      </c>
      <c r="DX284" s="5">
        <f t="shared" si="831"/>
        <v>2.2089533995416351</v>
      </c>
      <c r="DY284" s="5">
        <f t="shared" si="832"/>
        <v>12.192275257210325</v>
      </c>
      <c r="DZ284" s="5"/>
      <c r="EA284" s="173">
        <f t="shared" si="833"/>
        <v>0.15338645418326693</v>
      </c>
      <c r="EB284" s="173">
        <f t="shared" si="860"/>
        <v>102.00000000000003</v>
      </c>
      <c r="EC284" s="173">
        <f t="shared" si="861"/>
        <v>6.6233766233766245</v>
      </c>
      <c r="ED284" s="173">
        <f t="shared" si="862"/>
        <v>15.400000000000002</v>
      </c>
      <c r="EE284" s="460">
        <f t="shared" si="834"/>
        <v>100.13922077922081</v>
      </c>
      <c r="EF284" s="5">
        <f t="shared" si="835"/>
        <v>4.0640917524034421</v>
      </c>
      <c r="EH284" s="173">
        <f t="shared" si="863"/>
        <v>3.5379941488649469</v>
      </c>
      <c r="EI284" s="173">
        <f t="shared" si="864"/>
        <v>8.3120129806719216</v>
      </c>
      <c r="EK284" s="528">
        <f t="shared" si="865"/>
        <v>0.25034805194805204</v>
      </c>
      <c r="EL284" s="528">
        <f t="shared" si="866"/>
        <v>2.1816666666666671</v>
      </c>
      <c r="EM284" s="528">
        <f t="shared" si="867"/>
        <v>8.6798149643568245E-3</v>
      </c>
      <c r="EN284" s="528">
        <f t="shared" si="868"/>
        <v>6.9995138888888891E-2</v>
      </c>
      <c r="EO284">
        <f t="shared" si="869"/>
        <v>3.8249999999999999E-2</v>
      </c>
      <c r="EP284" s="460">
        <f t="shared" si="870"/>
        <v>46.929814964356822</v>
      </c>
      <c r="EQ284" s="460"/>
      <c r="ER284" s="460">
        <f t="shared" si="871"/>
        <v>2548.9396724679646</v>
      </c>
      <c r="ES284" s="528">
        <f t="shared" si="872"/>
        <v>4.76</v>
      </c>
      <c r="EV284" s="460">
        <f t="shared" si="873"/>
        <v>4760</v>
      </c>
      <c r="EW284" s="528">
        <f t="shared" si="874"/>
        <v>0.37552207792207803</v>
      </c>
      <c r="EX284" s="528">
        <f t="shared" si="875"/>
        <v>2.0726867937257554</v>
      </c>
      <c r="EY284" s="528">
        <f t="shared" si="876"/>
        <v>1.9455021880180854</v>
      </c>
      <c r="EZ284" s="528"/>
      <c r="FA284" s="528">
        <f t="shared" si="877"/>
        <v>1.7000000000000005E-2</v>
      </c>
      <c r="FB284" s="460">
        <f t="shared" si="878"/>
        <v>4410.7110596659186</v>
      </c>
      <c r="FC284" s="173">
        <f t="shared" si="879"/>
        <v>11.719650732133882</v>
      </c>
      <c r="FD284" s="5">
        <f t="shared" si="880"/>
        <v>102.00000000000001</v>
      </c>
      <c r="FE284" s="173">
        <f t="shared" si="881"/>
        <v>0.89694260704564188</v>
      </c>
      <c r="FF284" s="5">
        <f t="shared" si="882"/>
        <v>89.694260704564186</v>
      </c>
      <c r="FI284" s="562">
        <f t="shared" si="836"/>
        <v>-50</v>
      </c>
      <c r="FJ284">
        <f t="shared" si="837"/>
        <v>-50</v>
      </c>
      <c r="FL284">
        <f t="shared" si="838"/>
        <v>0.84661354581673309</v>
      </c>
    </row>
    <row r="285" spans="5:168">
      <c r="E285" s="170">
        <v>69</v>
      </c>
      <c r="F285" s="217">
        <f t="shared" si="839"/>
        <v>6.8999999999999995</v>
      </c>
      <c r="G285" s="217"/>
      <c r="H285" s="217">
        <f t="shared" si="764"/>
        <v>103.49999999999999</v>
      </c>
      <c r="I285" s="541">
        <f t="shared" si="765"/>
        <v>84.59084049002837</v>
      </c>
      <c r="J285" s="172">
        <f t="shared" si="766"/>
        <v>15.645495705982983</v>
      </c>
      <c r="K285" s="172">
        <f t="shared" si="767"/>
        <v>100.23633619601135</v>
      </c>
      <c r="L285" s="443"/>
      <c r="M285" s="217">
        <f t="shared" si="768"/>
        <v>0.15607771572448131</v>
      </c>
      <c r="N285" s="172">
        <f t="shared" si="769"/>
        <v>331.47142054514768</v>
      </c>
      <c r="O285" s="172">
        <f t="shared" si="762"/>
        <v>103.49999999999999</v>
      </c>
      <c r="P285" s="217">
        <f t="shared" si="770"/>
        <v>22.098094703009846</v>
      </c>
      <c r="Q285" s="217">
        <f t="shared" si="771"/>
        <v>15</v>
      </c>
      <c r="R285" s="217"/>
      <c r="S285" s="172">
        <f t="shared" si="772"/>
        <v>222.04981973592552</v>
      </c>
      <c r="T285" s="172">
        <f t="shared" si="773"/>
        <v>15</v>
      </c>
      <c r="U285" s="217">
        <f t="shared" si="774"/>
        <v>16.352216616541739</v>
      </c>
      <c r="V285" s="217">
        <f t="shared" si="775"/>
        <v>2.3197145017329883</v>
      </c>
      <c r="W285" s="217">
        <f t="shared" si="776"/>
        <v>12.542050637837061</v>
      </c>
      <c r="X285" s="197">
        <f t="shared" si="777"/>
        <v>110.02876484034391</v>
      </c>
      <c r="Y285" s="443">
        <f t="shared" si="840"/>
        <v>66.393280650274818</v>
      </c>
      <c r="AA285" s="217">
        <f t="shared" si="778"/>
        <v>10</v>
      </c>
      <c r="AB285" s="173">
        <f t="shared" si="779"/>
        <v>7.6699391476686092</v>
      </c>
      <c r="AC285" s="173">
        <f t="shared" si="780"/>
        <v>4.2195696540928855</v>
      </c>
      <c r="AD285" s="173"/>
      <c r="AE285" s="173">
        <f t="shared" si="781"/>
        <v>7.6699391476686092</v>
      </c>
      <c r="AF285" s="545">
        <f t="shared" si="782"/>
        <v>179.92320061880429</v>
      </c>
      <c r="AG285" s="528">
        <f t="shared" si="783"/>
        <v>4.2195696540928864</v>
      </c>
      <c r="AI285" s="173">
        <f t="shared" si="784"/>
        <v>7.1698416124925517</v>
      </c>
      <c r="AJ285" s="173">
        <f t="shared" si="785"/>
        <v>16.352216616541739</v>
      </c>
      <c r="AK285" s="173">
        <f t="shared" si="786"/>
        <v>5.9053456418827697</v>
      </c>
      <c r="AM285" s="545">
        <f t="shared" si="787"/>
        <v>6899.9999999999991</v>
      </c>
      <c r="AN285" s="460">
        <f t="shared" si="788"/>
        <v>66.393280650274818</v>
      </c>
      <c r="AP285">
        <f t="shared" si="789"/>
        <v>6899.9999999999991</v>
      </c>
      <c r="AQ285">
        <f t="shared" si="790"/>
        <v>66.393280650274818</v>
      </c>
      <c r="AS285" s="5">
        <f t="shared" si="763"/>
        <v>15.061765139570049</v>
      </c>
      <c r="AT285" s="5">
        <f t="shared" si="791"/>
        <v>2.3197145017329883</v>
      </c>
      <c r="AU285" s="5">
        <f t="shared" si="722"/>
        <v>12.74205063783706</v>
      </c>
      <c r="AV285" s="5"/>
      <c r="AW285" s="173">
        <f t="shared" si="723"/>
        <v>0.15401345594207072</v>
      </c>
      <c r="AX285" s="173">
        <f t="shared" si="792"/>
        <v>106.51938300583674</v>
      </c>
      <c r="AY285" s="173">
        <f t="shared" si="793"/>
        <v>6.9168776115573953</v>
      </c>
      <c r="AZ285" s="173">
        <f t="shared" si="794"/>
        <v>15.399923056012115</v>
      </c>
      <c r="BA285" s="460">
        <f t="shared" si="724"/>
        <v>106.70686707971745</v>
      </c>
      <c r="BB285" s="5">
        <f t="shared" si="725"/>
        <v>4.3306574768103783</v>
      </c>
      <c r="BD285" s="173">
        <f t="shared" si="841"/>
        <v>3.7050607842838872</v>
      </c>
      <c r="BE285" s="173">
        <f t="shared" si="842"/>
        <v>8.683558449326112</v>
      </c>
      <c r="BG285" s="528">
        <f t="shared" si="843"/>
        <v>0.27454950830476665</v>
      </c>
      <c r="BH285" s="528">
        <f t="shared" si="795"/>
        <v>2.04045591660871</v>
      </c>
      <c r="BI285" s="528">
        <f t="shared" si="796"/>
        <v>0.14040658532742709</v>
      </c>
      <c r="BJ285" s="528">
        <f t="shared" si="844"/>
        <v>6.6707474196391725E-2</v>
      </c>
      <c r="BK285">
        <f t="shared" si="845"/>
        <v>3.8065878220512765E-2</v>
      </c>
      <c r="BL285" s="460">
        <f t="shared" si="846"/>
        <v>178.47246354793987</v>
      </c>
      <c r="BM285" s="528">
        <f t="shared" si="797"/>
        <v>2.6272227941294242</v>
      </c>
      <c r="BN285" s="460">
        <f t="shared" si="847"/>
        <v>2627.2227941294241</v>
      </c>
      <c r="BO285" s="528">
        <f t="shared" si="798"/>
        <v>4.8299999999999992</v>
      </c>
      <c r="BR285" s="460">
        <f t="shared" si="848"/>
        <v>4829.9999999999991</v>
      </c>
      <c r="BS285" s="528">
        <f t="shared" si="849"/>
        <v>0.41182426245714998</v>
      </c>
      <c r="BT285" s="528">
        <f t="shared" si="850"/>
        <v>2.2621256202858873</v>
      </c>
      <c r="BU285" s="528">
        <f t="shared" si="851"/>
        <v>1.9418778365655309</v>
      </c>
      <c r="BV285" s="528"/>
      <c r="BW285" s="528">
        <f t="shared" si="852"/>
        <v>1.7753230500972793E-2</v>
      </c>
      <c r="BX285" s="460">
        <f t="shared" si="853"/>
        <v>4633.5809498095405</v>
      </c>
      <c r="BY285" s="173">
        <f t="shared" si="854"/>
        <v>12.023766312467348</v>
      </c>
      <c r="BZ285" s="5">
        <f t="shared" si="855"/>
        <v>103.49999999999999</v>
      </c>
      <c r="CA285" s="173">
        <f t="shared" si="856"/>
        <v>0.89591954368986204</v>
      </c>
      <c r="CB285" s="5">
        <f t="shared" si="857"/>
        <v>89.591954368986208</v>
      </c>
      <c r="CE285" s="562">
        <f t="shared" si="799"/>
        <v>-50</v>
      </c>
      <c r="CF285">
        <f t="shared" si="800"/>
        <v>-50</v>
      </c>
      <c r="CG285" s="173">
        <f t="shared" si="801"/>
        <v>0.84319193759889965</v>
      </c>
      <c r="CI285" s="170">
        <v>69</v>
      </c>
      <c r="CJ285" s="217">
        <f t="shared" si="858"/>
        <v>6.8999999999999995</v>
      </c>
      <c r="CK285" s="217"/>
      <c r="CL285" s="217">
        <f t="shared" si="802"/>
        <v>103.49999999999999</v>
      </c>
      <c r="CM285" s="541">
        <f t="shared" si="803"/>
        <v>85</v>
      </c>
      <c r="CN285" s="443">
        <f t="shared" si="804"/>
        <v>15.4</v>
      </c>
      <c r="CO285" s="443">
        <f t="shared" si="805"/>
        <v>100.4</v>
      </c>
      <c r="CP285" s="443"/>
      <c r="CQ285" s="217">
        <f t="shared" si="806"/>
        <v>0.15338645418326693</v>
      </c>
      <c r="CR285" s="172">
        <f t="shared" si="807"/>
        <v>327.33148655378488</v>
      </c>
      <c r="CS285" s="172">
        <f t="shared" si="808"/>
        <v>103.49999999999999</v>
      </c>
      <c r="CT285" s="217">
        <f t="shared" si="809"/>
        <v>21.822099103585661</v>
      </c>
      <c r="CU285" s="217">
        <f t="shared" si="810"/>
        <v>15</v>
      </c>
      <c r="CV285" s="217"/>
      <c r="CW285" s="172">
        <f t="shared" si="811"/>
        <v>223.12312403464929</v>
      </c>
      <c r="CX285" s="172">
        <f t="shared" si="812"/>
        <v>15</v>
      </c>
      <c r="CY285" s="217">
        <f t="shared" si="813"/>
        <v>15.876852559205497</v>
      </c>
      <c r="CZ285" s="217">
        <f t="shared" si="814"/>
        <v>2.2414380083584233</v>
      </c>
      <c r="DA285" s="217">
        <f t="shared" si="815"/>
        <v>12.37157342275753</v>
      </c>
      <c r="DB285" s="197">
        <f t="shared" si="816"/>
        <v>108.64873837981409</v>
      </c>
      <c r="DC285" s="443">
        <f t="shared" si="817"/>
        <v>68.432164356668324</v>
      </c>
      <c r="DE285" s="217">
        <f t="shared" si="818"/>
        <v>10</v>
      </c>
      <c r="DF285" s="173">
        <f t="shared" si="819"/>
        <v>7.7922077922077913</v>
      </c>
      <c r="DG285" s="173">
        <f t="shared" si="820"/>
        <v>4.2330677290836656</v>
      </c>
      <c r="DH285" s="173"/>
      <c r="DI285" s="173">
        <f t="shared" si="821"/>
        <v>7.7922077922077913</v>
      </c>
      <c r="DJ285" s="545">
        <f t="shared" si="822"/>
        <v>177.1</v>
      </c>
      <c r="DK285" s="528">
        <f t="shared" si="823"/>
        <v>4.2330677290836656</v>
      </c>
      <c r="DM285" s="173">
        <f t="shared" si="824"/>
        <v>7.1133676975114959</v>
      </c>
      <c r="DN285" s="173">
        <f t="shared" si="825"/>
        <v>15.876852559205497</v>
      </c>
      <c r="DO285" s="173">
        <f t="shared" si="826"/>
        <v>5.5532241179299984</v>
      </c>
      <c r="DQ285" s="545">
        <f t="shared" si="827"/>
        <v>6899.9999999999991</v>
      </c>
      <c r="DR285" s="460">
        <f t="shared" si="828"/>
        <v>68.432164356668324</v>
      </c>
      <c r="DT285">
        <f t="shared" si="829"/>
        <v>6899.9999999999991</v>
      </c>
      <c r="DU285">
        <f t="shared" si="830"/>
        <v>68.432164356668324</v>
      </c>
      <c r="DW285" s="5">
        <f t="shared" si="859"/>
        <v>14.613011431115954</v>
      </c>
      <c r="DX285" s="5">
        <f t="shared" si="831"/>
        <v>2.2414380083584233</v>
      </c>
      <c r="DY285" s="5">
        <f t="shared" si="832"/>
        <v>12.37157342275753</v>
      </c>
      <c r="DZ285" s="5"/>
      <c r="EA285" s="173">
        <f t="shared" si="833"/>
        <v>0.15338645418326693</v>
      </c>
      <c r="EB285" s="173">
        <f t="shared" si="860"/>
        <v>103.49999999999997</v>
      </c>
      <c r="EC285" s="173">
        <f t="shared" si="861"/>
        <v>6.7207792207792201</v>
      </c>
      <c r="ED285" s="173">
        <f t="shared" si="862"/>
        <v>15.399999999999997</v>
      </c>
      <c r="EE285" s="460">
        <f t="shared" si="834"/>
        <v>103.10614838448747</v>
      </c>
      <c r="EF285" s="5">
        <f t="shared" si="835"/>
        <v>4.1845027753444581</v>
      </c>
      <c r="EH285" s="173">
        <f t="shared" si="863"/>
        <v>3.590023474583548</v>
      </c>
      <c r="EI285" s="173">
        <f t="shared" si="864"/>
        <v>8.4342484656817991</v>
      </c>
      <c r="EK285" s="528">
        <f t="shared" si="865"/>
        <v>0.2577653709612186</v>
      </c>
      <c r="EL285" s="528">
        <f t="shared" si="866"/>
        <v>2.1816666666666666</v>
      </c>
      <c r="EM285" s="528">
        <f t="shared" si="867"/>
        <v>8.5540205445835387E-3</v>
      </c>
      <c r="EN285" s="528">
        <f t="shared" si="868"/>
        <v>6.8980716586151389E-2</v>
      </c>
      <c r="EO285">
        <f t="shared" si="869"/>
        <v>3.8249999999999999E-2</v>
      </c>
      <c r="EP285" s="460">
        <f t="shared" si="870"/>
        <v>46.804020544583537</v>
      </c>
      <c r="EQ285" s="460"/>
      <c r="ER285" s="460">
        <f t="shared" si="871"/>
        <v>2555.2167747586204</v>
      </c>
      <c r="ES285" s="528">
        <f t="shared" si="872"/>
        <v>4.8299999999999992</v>
      </c>
      <c r="EV285" s="460">
        <f t="shared" si="873"/>
        <v>4829.9999999999991</v>
      </c>
      <c r="EW285" s="528">
        <f t="shared" si="874"/>
        <v>0.38664805644182787</v>
      </c>
      <c r="EX285" s="528">
        <f t="shared" si="875"/>
        <v>2.1340964154256734</v>
      </c>
      <c r="EY285" s="528">
        <f t="shared" si="876"/>
        <v>1.9455021880180854</v>
      </c>
      <c r="EZ285" s="528"/>
      <c r="FA285" s="528">
        <f t="shared" si="877"/>
        <v>1.7249999999999995E-2</v>
      </c>
      <c r="FB285" s="460">
        <f t="shared" si="878"/>
        <v>4483.4966598855863</v>
      </c>
      <c r="FC285" s="173">
        <f t="shared" si="879"/>
        <v>11.868713434644208</v>
      </c>
      <c r="FD285" s="5">
        <f t="shared" si="880"/>
        <v>103.49999999999999</v>
      </c>
      <c r="FE285" s="173">
        <f t="shared" si="881"/>
        <v>0.8971236387985918</v>
      </c>
      <c r="FF285" s="5">
        <f t="shared" si="882"/>
        <v>89.712363879859183</v>
      </c>
      <c r="FI285" s="562">
        <f t="shared" si="836"/>
        <v>-50</v>
      </c>
      <c r="FJ285">
        <f t="shared" si="837"/>
        <v>-50</v>
      </c>
      <c r="FL285">
        <f t="shared" si="838"/>
        <v>0.84661354581673309</v>
      </c>
    </row>
    <row r="286" spans="5:168">
      <c r="E286" s="170">
        <v>70</v>
      </c>
      <c r="F286" s="217">
        <f t="shared" si="839"/>
        <v>7</v>
      </c>
      <c r="G286" s="217"/>
      <c r="H286" s="217">
        <f t="shared" si="764"/>
        <v>105</v>
      </c>
      <c r="I286" s="541">
        <f t="shared" si="765"/>
        <v>84.584934703531204</v>
      </c>
      <c r="J286" s="172">
        <f t="shared" si="766"/>
        <v>15.649039177881274</v>
      </c>
      <c r="K286" s="172">
        <f t="shared" si="767"/>
        <v>100.23397388141248</v>
      </c>
      <c r="L286" s="443"/>
      <c r="M286" s="217">
        <f t="shared" si="768"/>
        <v>0.15611674703965142</v>
      </c>
      <c r="N286" s="172">
        <f t="shared" si="769"/>
        <v>331.53116587770347</v>
      </c>
      <c r="O286" s="172">
        <f t="shared" si="762"/>
        <v>105</v>
      </c>
      <c r="P286" s="217">
        <f t="shared" si="770"/>
        <v>22.10207772518023</v>
      </c>
      <c r="Q286" s="217">
        <f t="shared" si="771"/>
        <v>15</v>
      </c>
      <c r="R286" s="217"/>
      <c r="S286" s="172">
        <f t="shared" si="772"/>
        <v>217.65927733402714</v>
      </c>
      <c r="T286" s="172">
        <f t="shared" si="773"/>
        <v>15</v>
      </c>
      <c r="U286" s="217">
        <f t="shared" si="774"/>
        <v>16.589972547609992</v>
      </c>
      <c r="V286" s="217">
        <f t="shared" si="775"/>
        <v>2.353606718135929</v>
      </c>
      <c r="W286" s="217">
        <f t="shared" si="776"/>
        <v>12.721526753713025</v>
      </c>
      <c r="X286" s="197">
        <f t="shared" si="777"/>
        <v>110.04859478418433</v>
      </c>
      <c r="Y286" s="443">
        <f t="shared" si="840"/>
        <v>65.465876409062673</v>
      </c>
      <c r="AA286" s="217">
        <f t="shared" si="778"/>
        <v>10</v>
      </c>
      <c r="AB286" s="173">
        <f t="shared" si="779"/>
        <v>7.6682024139610352</v>
      </c>
      <c r="AC286" s="173">
        <f t="shared" si="780"/>
        <v>4.2193745008855101</v>
      </c>
      <c r="AD286" s="173"/>
      <c r="AE286" s="173">
        <f t="shared" si="781"/>
        <v>7.6682024139610352</v>
      </c>
      <c r="AF286" s="545">
        <f t="shared" si="782"/>
        <v>182.57212374194819</v>
      </c>
      <c r="AG286" s="528">
        <f t="shared" si="783"/>
        <v>4.2193745008855101</v>
      </c>
      <c r="AI286" s="173">
        <f t="shared" si="784"/>
        <v>7.2224278415412995</v>
      </c>
      <c r="AJ286" s="173">
        <f t="shared" si="785"/>
        <v>16.589972547609992</v>
      </c>
      <c r="AK286" s="173">
        <f t="shared" si="786"/>
        <v>6.0814611463777721</v>
      </c>
      <c r="AM286" s="545">
        <f t="shared" si="787"/>
        <v>7000</v>
      </c>
      <c r="AN286" s="460">
        <f t="shared" si="788"/>
        <v>65.465876409062673</v>
      </c>
      <c r="AP286">
        <f t="shared" si="789"/>
        <v>7000</v>
      </c>
      <c r="AQ286">
        <f t="shared" si="790"/>
        <v>65.465876409062673</v>
      </c>
      <c r="AS286" s="5">
        <f t="shared" si="763"/>
        <v>15.275133471848953</v>
      </c>
      <c r="AT286" s="5">
        <f t="shared" si="791"/>
        <v>2.353606718135929</v>
      </c>
      <c r="AU286" s="5">
        <f t="shared" si="722"/>
        <v>12.921526753713025</v>
      </c>
      <c r="AV286" s="5"/>
      <c r="AW286" s="173">
        <f t="shared" si="723"/>
        <v>0.15408092652502633</v>
      </c>
      <c r="AX286" s="173">
        <f t="shared" si="792"/>
        <v>108.10793488816778</v>
      </c>
      <c r="AY286" s="173">
        <f t="shared" si="793"/>
        <v>7.0168871032247466</v>
      </c>
      <c r="AZ286" s="173">
        <f t="shared" si="794"/>
        <v>15.406822612050389</v>
      </c>
      <c r="BA286" s="460">
        <f t="shared" si="724"/>
        <v>109.83498017967669</v>
      </c>
      <c r="BB286" s="5">
        <f t="shared" si="725"/>
        <v>4.4556145248667969</v>
      </c>
      <c r="BD286" s="173">
        <f t="shared" si="841"/>
        <v>3.7597544381736281</v>
      </c>
      <c r="BE286" s="173">
        <f t="shared" si="842"/>
        <v>8.8094632606902579</v>
      </c>
      <c r="BG286" s="528">
        <f t="shared" si="843"/>
        <v>0.28271506870732588</v>
      </c>
      <c r="BH286" s="528">
        <f t="shared" si="795"/>
        <v>2.0411591796747603</v>
      </c>
      <c r="BI286" s="528">
        <f t="shared" si="796"/>
        <v>0.13843567203425022</v>
      </c>
      <c r="BJ286" s="528">
        <f t="shared" si="844"/>
        <v>6.5772580898067756E-2</v>
      </c>
      <c r="BK286">
        <f t="shared" si="845"/>
        <v>3.8063220616589039E-2</v>
      </c>
      <c r="BL286" s="460">
        <f t="shared" si="846"/>
        <v>176.49889265083925</v>
      </c>
      <c r="BM286" s="528">
        <f t="shared" si="797"/>
        <v>2.6435557322477719</v>
      </c>
      <c r="BN286" s="460">
        <f t="shared" si="847"/>
        <v>2643.5557322477716</v>
      </c>
      <c r="BO286" s="528">
        <f t="shared" si="798"/>
        <v>4.8999999999999995</v>
      </c>
      <c r="BR286" s="460">
        <f t="shared" si="848"/>
        <v>4899.9999999999991</v>
      </c>
      <c r="BS286" s="528">
        <f t="shared" si="849"/>
        <v>0.42407260306098876</v>
      </c>
      <c r="BT286" s="528">
        <f t="shared" si="850"/>
        <v>2.3281992882435425</v>
      </c>
      <c r="BU286" s="528">
        <f t="shared" si="851"/>
        <v>1.9436660031202402</v>
      </c>
      <c r="BV286" s="528"/>
      <c r="BW286" s="528">
        <f t="shared" si="852"/>
        <v>1.8017989148027967E-2</v>
      </c>
      <c r="BX286" s="460">
        <f t="shared" si="853"/>
        <v>4713.9558835727994</v>
      </c>
      <c r="BY286" s="173">
        <f t="shared" si="854"/>
        <v>12.180101605503792</v>
      </c>
      <c r="BZ286" s="5">
        <f t="shared" si="855"/>
        <v>105</v>
      </c>
      <c r="CA286" s="173">
        <f t="shared" si="856"/>
        <v>0.89605657070934208</v>
      </c>
      <c r="CB286" s="5">
        <f t="shared" si="857"/>
        <v>89.605657070934214</v>
      </c>
      <c r="CE286" s="562">
        <f t="shared" si="799"/>
        <v>-50</v>
      </c>
      <c r="CF286">
        <f t="shared" si="800"/>
        <v>-50</v>
      </c>
      <c r="CG286" s="173">
        <f t="shared" si="801"/>
        <v>0.84324081771629733</v>
      </c>
      <c r="CI286" s="170">
        <v>70</v>
      </c>
      <c r="CJ286" s="217">
        <f t="shared" si="858"/>
        <v>7</v>
      </c>
      <c r="CK286" s="217"/>
      <c r="CL286" s="217">
        <f t="shared" si="802"/>
        <v>105</v>
      </c>
      <c r="CM286" s="541">
        <f t="shared" si="803"/>
        <v>85</v>
      </c>
      <c r="CN286" s="443">
        <f t="shared" si="804"/>
        <v>15.4</v>
      </c>
      <c r="CO286" s="443">
        <f t="shared" si="805"/>
        <v>100.4</v>
      </c>
      <c r="CP286" s="443"/>
      <c r="CQ286" s="217">
        <f t="shared" si="806"/>
        <v>0.15338645418326693</v>
      </c>
      <c r="CR286" s="172">
        <f t="shared" si="807"/>
        <v>327.33148655378488</v>
      </c>
      <c r="CS286" s="172">
        <f t="shared" si="808"/>
        <v>105</v>
      </c>
      <c r="CT286" s="217">
        <f t="shared" si="809"/>
        <v>21.822099103585661</v>
      </c>
      <c r="CU286" s="217">
        <f t="shared" si="810"/>
        <v>15</v>
      </c>
      <c r="CV286" s="217"/>
      <c r="CW286" s="172">
        <f t="shared" si="811"/>
        <v>218.72659002397651</v>
      </c>
      <c r="CX286" s="172">
        <f t="shared" si="812"/>
        <v>15</v>
      </c>
      <c r="CY286" s="217">
        <f t="shared" si="813"/>
        <v>16.106951871657753</v>
      </c>
      <c r="CZ286" s="217">
        <f t="shared" si="814"/>
        <v>2.2739226171752125</v>
      </c>
      <c r="DA286" s="217">
        <f t="shared" si="815"/>
        <v>12.550871588304743</v>
      </c>
      <c r="DB286" s="197">
        <f t="shared" si="816"/>
        <v>108.64873837981409</v>
      </c>
      <c r="DC286" s="443">
        <f t="shared" si="817"/>
        <v>67.454562008715911</v>
      </c>
      <c r="DE286" s="217">
        <f t="shared" si="818"/>
        <v>10</v>
      </c>
      <c r="DF286" s="173">
        <f t="shared" si="819"/>
        <v>7.7922077922077913</v>
      </c>
      <c r="DG286" s="173">
        <f t="shared" si="820"/>
        <v>4.2330677290836656</v>
      </c>
      <c r="DH286" s="173"/>
      <c r="DI286" s="173">
        <f t="shared" si="821"/>
        <v>7.7922077922077913</v>
      </c>
      <c r="DJ286" s="545">
        <f t="shared" si="822"/>
        <v>179.66666666666669</v>
      </c>
      <c r="DK286" s="528">
        <f t="shared" si="823"/>
        <v>4.2330677290836656</v>
      </c>
      <c r="DM286" s="173">
        <f t="shared" si="824"/>
        <v>7.1647284200682257</v>
      </c>
      <c r="DN286" s="173">
        <f t="shared" si="825"/>
        <v>16.106951871657753</v>
      </c>
      <c r="DO286" s="173">
        <f t="shared" si="826"/>
        <v>5.723668053079817</v>
      </c>
      <c r="DQ286" s="545">
        <f t="shared" si="827"/>
        <v>7000</v>
      </c>
      <c r="DR286" s="460">
        <f t="shared" si="828"/>
        <v>67.454562008715911</v>
      </c>
      <c r="DT286">
        <f t="shared" si="829"/>
        <v>7000</v>
      </c>
      <c r="DU286">
        <f t="shared" si="830"/>
        <v>67.454562008715911</v>
      </c>
      <c r="DW286" s="5">
        <f t="shared" si="859"/>
        <v>14.824794205479957</v>
      </c>
      <c r="DX286" s="5">
        <f t="shared" si="831"/>
        <v>2.2739226171752125</v>
      </c>
      <c r="DY286" s="5">
        <f t="shared" si="832"/>
        <v>12.550871588304744</v>
      </c>
      <c r="DZ286" s="5"/>
      <c r="EA286" s="173">
        <f t="shared" si="833"/>
        <v>0.15338645418326693</v>
      </c>
      <c r="EB286" s="173">
        <f t="shared" si="860"/>
        <v>104.99999999999999</v>
      </c>
      <c r="EC286" s="173">
        <f t="shared" si="861"/>
        <v>6.8181818181818175</v>
      </c>
      <c r="ED286" s="173">
        <f t="shared" si="862"/>
        <v>15.4</v>
      </c>
      <c r="EE286" s="460">
        <f t="shared" si="834"/>
        <v>106.11638880150991</v>
      </c>
      <c r="EF286" s="5">
        <f t="shared" si="835"/>
        <v>4.3066716234379028</v>
      </c>
      <c r="EH286" s="173">
        <f t="shared" si="863"/>
        <v>3.6420528003021504</v>
      </c>
      <c r="EI286" s="173">
        <f t="shared" si="864"/>
        <v>8.5564839506916819</v>
      </c>
      <c r="EK286" s="528">
        <f t="shared" si="865"/>
        <v>0.26529097200377472</v>
      </c>
      <c r="EL286" s="528">
        <f t="shared" si="866"/>
        <v>2.1816666666666666</v>
      </c>
      <c r="EM286" s="528">
        <f t="shared" si="867"/>
        <v>8.4318202510894891E-3</v>
      </c>
      <c r="EN286" s="528">
        <f t="shared" si="868"/>
        <v>6.7995277777777793E-2</v>
      </c>
      <c r="EO286">
        <f t="shared" si="869"/>
        <v>3.8249999999999999E-2</v>
      </c>
      <c r="EP286" s="460">
        <f t="shared" si="870"/>
        <v>46.681820251089491</v>
      </c>
      <c r="EQ286" s="460"/>
      <c r="ER286" s="460">
        <f t="shared" si="871"/>
        <v>2561.6347366993086</v>
      </c>
      <c r="ES286" s="528">
        <f t="shared" si="872"/>
        <v>4.8999999999999995</v>
      </c>
      <c r="EV286" s="460">
        <f t="shared" si="873"/>
        <v>4899.9999999999991</v>
      </c>
      <c r="EW286" s="528">
        <f t="shared" si="874"/>
        <v>0.39793645800566207</v>
      </c>
      <c r="EX286" s="528">
        <f t="shared" si="875"/>
        <v>2.1964025279533299</v>
      </c>
      <c r="EY286" s="528">
        <f t="shared" si="876"/>
        <v>1.9455021880180834</v>
      </c>
      <c r="EZ286" s="528"/>
      <c r="FA286" s="528">
        <f t="shared" si="877"/>
        <v>1.7499999999999995E-2</v>
      </c>
      <c r="FB286" s="460">
        <f t="shared" si="878"/>
        <v>4557.3411739770754</v>
      </c>
      <c r="FC286" s="173">
        <f t="shared" si="879"/>
        <v>12.018975910676385</v>
      </c>
      <c r="FD286" s="5">
        <f t="shared" si="880"/>
        <v>105</v>
      </c>
      <c r="FE286" s="173">
        <f t="shared" si="881"/>
        <v>0.89729036835999332</v>
      </c>
      <c r="FF286" s="5">
        <f t="shared" si="882"/>
        <v>89.729036835999338</v>
      </c>
      <c r="FI286" s="562">
        <f t="shared" si="836"/>
        <v>-50</v>
      </c>
      <c r="FJ286">
        <f t="shared" si="837"/>
        <v>-50</v>
      </c>
      <c r="FL286">
        <f t="shared" si="838"/>
        <v>0.84661354581673309</v>
      </c>
    </row>
    <row r="287" spans="5:168">
      <c r="E287" s="170">
        <v>71</v>
      </c>
      <c r="F287" s="217">
        <f t="shared" si="839"/>
        <v>7.1</v>
      </c>
      <c r="G287" s="217"/>
      <c r="H287" s="217">
        <f t="shared" si="764"/>
        <v>106.5</v>
      </c>
      <c r="I287" s="541">
        <f t="shared" si="765"/>
        <v>84.579028914323246</v>
      </c>
      <c r="J287" s="172">
        <f t="shared" si="766"/>
        <v>15.652582651406053</v>
      </c>
      <c r="K287" s="172">
        <f t="shared" si="767"/>
        <v>100.2316115657293</v>
      </c>
      <c r="L287" s="443"/>
      <c r="M287" s="217">
        <f t="shared" si="768"/>
        <v>0.15615578019884196</v>
      </c>
      <c r="N287" s="172">
        <f t="shared" si="769"/>
        <v>331.59090354082525</v>
      </c>
      <c r="O287" s="172">
        <f t="shared" si="762"/>
        <v>106.5</v>
      </c>
      <c r="P287" s="217">
        <f t="shared" si="770"/>
        <v>22.106060236055018</v>
      </c>
      <c r="Q287" s="217">
        <f t="shared" si="771"/>
        <v>15</v>
      </c>
      <c r="R287" s="217"/>
      <c r="S287" s="172">
        <f t="shared" si="772"/>
        <v>213.3926981131273</v>
      </c>
      <c r="T287" s="172">
        <f t="shared" si="773"/>
        <v>15</v>
      </c>
      <c r="U287" s="217">
        <f t="shared" si="774"/>
        <v>16.827750509858397</v>
      </c>
      <c r="V287" s="217">
        <f t="shared" si="775"/>
        <v>2.3875067934730558</v>
      </c>
      <c r="W287" s="217">
        <f t="shared" si="776"/>
        <v>12.900938497849832</v>
      </c>
      <c r="X287" s="197">
        <f t="shared" si="777"/>
        <v>110.06842219207962</v>
      </c>
      <c r="Y287" s="443">
        <f t="shared" si="840"/>
        <v>64.564259432819341</v>
      </c>
      <c r="AA287" s="217">
        <f t="shared" si="778"/>
        <v>10</v>
      </c>
      <c r="AB287" s="173">
        <f t="shared" si="779"/>
        <v>7.6664664657893082</v>
      </c>
      <c r="AC287" s="173">
        <f t="shared" si="780"/>
        <v>4.2191793383895915</v>
      </c>
      <c r="AD287" s="173"/>
      <c r="AE287" s="173">
        <f t="shared" si="781"/>
        <v>7.6664664657893082</v>
      </c>
      <c r="AF287" s="545">
        <f t="shared" si="782"/>
        <v>185.22222804163826</v>
      </c>
      <c r="AG287" s="528">
        <f t="shared" si="783"/>
        <v>4.2191793383895915</v>
      </c>
      <c r="AI287" s="173">
        <f t="shared" si="784"/>
        <v>7.2746571454141549</v>
      </c>
      <c r="AJ287" s="173">
        <f t="shared" si="785"/>
        <v>16.827750509858397</v>
      </c>
      <c r="AK287" s="173">
        <f t="shared" si="786"/>
        <v>6.2575929702654793</v>
      </c>
      <c r="AM287" s="545">
        <f t="shared" si="787"/>
        <v>7100</v>
      </c>
      <c r="AN287" s="460">
        <f t="shared" si="788"/>
        <v>64.564259432819341</v>
      </c>
      <c r="AP287">
        <f t="shared" si="789"/>
        <v>7100</v>
      </c>
      <c r="AQ287">
        <f t="shared" si="790"/>
        <v>64.564259432819341</v>
      </c>
      <c r="AS287" s="5">
        <f t="shared" si="763"/>
        <v>15.488445291322886</v>
      </c>
      <c r="AT287" s="5">
        <f t="shared" si="791"/>
        <v>2.3875067934730558</v>
      </c>
      <c r="AU287" s="5">
        <f t="shared" si="722"/>
        <v>13.10093849784983</v>
      </c>
      <c r="AV287" s="5"/>
      <c r="AW287" s="173">
        <f t="shared" si="723"/>
        <v>0.154147608011413</v>
      </c>
      <c r="AX287" s="173">
        <f t="shared" si="792"/>
        <v>109.6972027453325</v>
      </c>
      <c r="AY287" s="173">
        <f t="shared" si="793"/>
        <v>7.1168965102754447</v>
      </c>
      <c r="AZ287" s="173">
        <f t="shared" si="794"/>
        <v>15.413629042792826</v>
      </c>
      <c r="BA287" s="460">
        <f t="shared" si="724"/>
        <v>113.00865489105797</v>
      </c>
      <c r="BB287" s="5">
        <f t="shared" si="725"/>
        <v>4.5823348356717402</v>
      </c>
      <c r="BD287" s="173">
        <f t="shared" si="841"/>
        <v>3.8144667370090506</v>
      </c>
      <c r="BE287" s="173">
        <f t="shared" si="842"/>
        <v>8.9353738544952908</v>
      </c>
      <c r="BG287" s="528">
        <f t="shared" si="843"/>
        <v>0.2910031297549695</v>
      </c>
      <c r="BH287" s="528">
        <f t="shared" si="795"/>
        <v>2.0418518299905521</v>
      </c>
      <c r="BI287" s="528">
        <f t="shared" si="796"/>
        <v>0.13651955913500735</v>
      </c>
      <c r="BJ287" s="528">
        <f t="shared" si="844"/>
        <v>6.4863682365146974E-2</v>
      </c>
      <c r="BK287">
        <f t="shared" si="845"/>
        <v>3.8060563011445461E-2</v>
      </c>
      <c r="BL287" s="460">
        <f t="shared" si="846"/>
        <v>174.58012214645279</v>
      </c>
      <c r="BM287" s="528">
        <f t="shared" si="797"/>
        <v>2.6602235800482523</v>
      </c>
      <c r="BN287" s="460">
        <f t="shared" si="847"/>
        <v>2660.2235800482522</v>
      </c>
      <c r="BO287" s="528">
        <f t="shared" si="798"/>
        <v>4.97</v>
      </c>
      <c r="BR287" s="460">
        <f t="shared" si="848"/>
        <v>4970</v>
      </c>
      <c r="BS287" s="528">
        <f t="shared" si="849"/>
        <v>0.43650469463245423</v>
      </c>
      <c r="BT287" s="528">
        <f t="shared" si="850"/>
        <v>2.3952271775879406</v>
      </c>
      <c r="BU287" s="528">
        <f t="shared" si="851"/>
        <v>1.9454299626301881</v>
      </c>
      <c r="BV287" s="528"/>
      <c r="BW287" s="528">
        <f t="shared" si="852"/>
        <v>1.8282867124222085E-2</v>
      </c>
      <c r="BX287" s="460">
        <f t="shared" si="853"/>
        <v>4795.444701974805</v>
      </c>
      <c r="BY287" s="173">
        <f t="shared" si="854"/>
        <v>12.337743466231926</v>
      </c>
      <c r="BZ287" s="5">
        <f t="shared" si="855"/>
        <v>106.5</v>
      </c>
      <c r="CA287" s="173">
        <f t="shared" si="856"/>
        <v>0.89617992477501285</v>
      </c>
      <c r="CB287" s="5">
        <f t="shared" si="857"/>
        <v>89.617992477501289</v>
      </c>
      <c r="CE287" s="562">
        <f t="shared" si="799"/>
        <v>-50</v>
      </c>
      <c r="CF287">
        <f t="shared" si="800"/>
        <v>-50</v>
      </c>
      <c r="CG287" s="173">
        <f t="shared" si="801"/>
        <v>0.84328832092897954</v>
      </c>
      <c r="CI287" s="170">
        <v>71</v>
      </c>
      <c r="CJ287" s="217">
        <f t="shared" si="858"/>
        <v>7.1</v>
      </c>
      <c r="CK287" s="217"/>
      <c r="CL287" s="217">
        <f t="shared" si="802"/>
        <v>106.5</v>
      </c>
      <c r="CM287" s="541">
        <f t="shared" si="803"/>
        <v>85</v>
      </c>
      <c r="CN287" s="443">
        <f t="shared" si="804"/>
        <v>15.4</v>
      </c>
      <c r="CO287" s="443">
        <f t="shared" si="805"/>
        <v>100.4</v>
      </c>
      <c r="CP287" s="443"/>
      <c r="CQ287" s="217">
        <f t="shared" si="806"/>
        <v>0.15338645418326693</v>
      </c>
      <c r="CR287" s="172">
        <f t="shared" si="807"/>
        <v>327.33148655378488</v>
      </c>
      <c r="CS287" s="172">
        <f t="shared" si="808"/>
        <v>106.5</v>
      </c>
      <c r="CT287" s="217">
        <f t="shared" si="809"/>
        <v>21.822099103585661</v>
      </c>
      <c r="CU287" s="217">
        <f t="shared" si="810"/>
        <v>15</v>
      </c>
      <c r="CV287" s="217"/>
      <c r="CW287" s="172">
        <f t="shared" si="811"/>
        <v>214.45402162759214</v>
      </c>
      <c r="CX287" s="172">
        <f t="shared" si="812"/>
        <v>15</v>
      </c>
      <c r="CY287" s="217">
        <f t="shared" si="813"/>
        <v>16.337051184110006</v>
      </c>
      <c r="CZ287" s="217">
        <f t="shared" si="814"/>
        <v>2.3064072259920008</v>
      </c>
      <c r="DA287" s="217">
        <f t="shared" si="815"/>
        <v>12.730169753851953</v>
      </c>
      <c r="DB287" s="197">
        <f t="shared" si="816"/>
        <v>108.64873837981409</v>
      </c>
      <c r="DC287" s="443">
        <f t="shared" si="817"/>
        <v>66.504497755072023</v>
      </c>
      <c r="DE287" s="217">
        <f t="shared" si="818"/>
        <v>10</v>
      </c>
      <c r="DF287" s="173">
        <f t="shared" si="819"/>
        <v>7.7922077922077913</v>
      </c>
      <c r="DG287" s="173">
        <f t="shared" si="820"/>
        <v>4.2330677290836656</v>
      </c>
      <c r="DH287" s="173"/>
      <c r="DI287" s="173">
        <f t="shared" si="821"/>
        <v>7.7922077922077913</v>
      </c>
      <c r="DJ287" s="545">
        <f t="shared" si="822"/>
        <v>182.23333333333335</v>
      </c>
      <c r="DK287" s="528">
        <f t="shared" si="823"/>
        <v>4.2330677290836656</v>
      </c>
      <c r="DM287" s="173">
        <f t="shared" si="824"/>
        <v>7.2157235719411172</v>
      </c>
      <c r="DN287" s="173">
        <f t="shared" si="825"/>
        <v>16.337051184110006</v>
      </c>
      <c r="DO287" s="173">
        <f t="shared" si="826"/>
        <v>5.8941119882296347</v>
      </c>
      <c r="DQ287" s="545">
        <f t="shared" si="827"/>
        <v>7100</v>
      </c>
      <c r="DR287" s="460">
        <f t="shared" si="828"/>
        <v>66.504497755072023</v>
      </c>
      <c r="DT287">
        <f t="shared" si="829"/>
        <v>7100</v>
      </c>
      <c r="DU287">
        <f t="shared" si="830"/>
        <v>66.504497755072023</v>
      </c>
      <c r="DW287" s="5">
        <f t="shared" si="859"/>
        <v>15.036576979843955</v>
      </c>
      <c r="DX287" s="5">
        <f t="shared" si="831"/>
        <v>2.3064072259920008</v>
      </c>
      <c r="DY287" s="5">
        <f t="shared" si="832"/>
        <v>12.730169753851955</v>
      </c>
      <c r="DZ287" s="5"/>
      <c r="EA287" s="173">
        <f t="shared" si="833"/>
        <v>0.15338645418326691</v>
      </c>
      <c r="EB287" s="173">
        <f t="shared" si="860"/>
        <v>106.5</v>
      </c>
      <c r="EC287" s="173">
        <f t="shared" si="861"/>
        <v>6.9155844155844148</v>
      </c>
      <c r="ED287" s="173">
        <f t="shared" si="862"/>
        <v>15.400000000000002</v>
      </c>
      <c r="EE287" s="460">
        <f t="shared" si="834"/>
        <v>109.16994203028803</v>
      </c>
      <c r="EF287" s="5">
        <f t="shared" si="835"/>
        <v>4.4305982966837689</v>
      </c>
      <c r="EH287" s="173">
        <f t="shared" si="863"/>
        <v>3.6940821260207524</v>
      </c>
      <c r="EI287" s="173">
        <f t="shared" si="864"/>
        <v>8.6787194357015629</v>
      </c>
      <c r="EK287" s="528">
        <f t="shared" si="865"/>
        <v>0.27292485507572006</v>
      </c>
      <c r="EL287" s="528">
        <f t="shared" si="866"/>
        <v>2.1816666666666666</v>
      </c>
      <c r="EM287" s="528">
        <f t="shared" si="867"/>
        <v>8.3130622193840036E-3</v>
      </c>
      <c r="EN287" s="528">
        <f t="shared" si="868"/>
        <v>6.7037597809076685E-2</v>
      </c>
      <c r="EO287">
        <f t="shared" si="869"/>
        <v>3.8249999999999999E-2</v>
      </c>
      <c r="EP287" s="460">
        <f t="shared" si="870"/>
        <v>46.563062219384001</v>
      </c>
      <c r="EQ287" s="460"/>
      <c r="ER287" s="460">
        <f t="shared" si="871"/>
        <v>2568.1921817708476</v>
      </c>
      <c r="ES287" s="528">
        <f t="shared" si="872"/>
        <v>4.97</v>
      </c>
      <c r="EV287" s="460">
        <f t="shared" si="873"/>
        <v>4970</v>
      </c>
      <c r="EW287" s="528">
        <f t="shared" si="874"/>
        <v>0.40938728261358004</v>
      </c>
      <c r="EX287" s="528">
        <f t="shared" si="875"/>
        <v>2.2596051313087218</v>
      </c>
      <c r="EY287" s="528">
        <f t="shared" si="876"/>
        <v>1.9455021880180816</v>
      </c>
      <c r="EZ287" s="528"/>
      <c r="FA287" s="528">
        <f t="shared" si="877"/>
        <v>1.7749999999999998E-2</v>
      </c>
      <c r="FB287" s="460">
        <f t="shared" si="878"/>
        <v>4632.2446019403842</v>
      </c>
      <c r="FC287" s="173">
        <f t="shared" si="879"/>
        <v>12.170436783711231</v>
      </c>
      <c r="FD287" s="5">
        <f t="shared" si="880"/>
        <v>106.5</v>
      </c>
      <c r="FE287" s="173">
        <f t="shared" si="881"/>
        <v>0.89744339775294601</v>
      </c>
      <c r="FF287" s="5">
        <f t="shared" si="882"/>
        <v>89.744339775294605</v>
      </c>
      <c r="FI287" s="562">
        <f t="shared" si="836"/>
        <v>-50</v>
      </c>
      <c r="FJ287">
        <f t="shared" si="837"/>
        <v>-50</v>
      </c>
      <c r="FL287">
        <f t="shared" si="838"/>
        <v>0.84661354581673309</v>
      </c>
    </row>
    <row r="288" spans="5:168">
      <c r="E288" s="170">
        <v>72</v>
      </c>
      <c r="F288" s="217">
        <f t="shared" si="839"/>
        <v>7.1999999999999993</v>
      </c>
      <c r="G288" s="217"/>
      <c r="H288" s="217">
        <f t="shared" si="764"/>
        <v>107.99999999999999</v>
      </c>
      <c r="I288" s="541">
        <f t="shared" si="765"/>
        <v>84.573123122517856</v>
      </c>
      <c r="J288" s="172">
        <f t="shared" si="766"/>
        <v>15.656126126489283</v>
      </c>
      <c r="K288" s="172">
        <f t="shared" si="767"/>
        <v>100.22924924900714</v>
      </c>
      <c r="L288" s="443"/>
      <c r="M288" s="217">
        <f t="shared" si="768"/>
        <v>0.15619481520200981</v>
      </c>
      <c r="N288" s="172">
        <f t="shared" si="769"/>
        <v>331.65063353403769</v>
      </c>
      <c r="O288" s="172">
        <f t="shared" si="762"/>
        <v>107.99999999999999</v>
      </c>
      <c r="P288" s="217">
        <f t="shared" si="770"/>
        <v>22.110042235602513</v>
      </c>
      <c r="Q288" s="217">
        <f t="shared" si="771"/>
        <v>15</v>
      </c>
      <c r="R288" s="217"/>
      <c r="S288" s="172">
        <f t="shared" si="772"/>
        <v>209.24491889449612</v>
      </c>
      <c r="T288" s="172">
        <f t="shared" si="773"/>
        <v>15</v>
      </c>
      <c r="U288" s="217">
        <f t="shared" si="774"/>
        <v>17.065550507902373</v>
      </c>
      <c r="V288" s="217">
        <f t="shared" si="775"/>
        <v>2.4214147300456426</v>
      </c>
      <c r="W288" s="217">
        <f t="shared" si="776"/>
        <v>13.080285917494052</v>
      </c>
      <c r="X288" s="197">
        <f t="shared" si="777"/>
        <v>110.08824706346579</v>
      </c>
      <c r="Y288" s="443">
        <f t="shared" si="840"/>
        <v>63.687368804645402</v>
      </c>
      <c r="AA288" s="217">
        <f t="shared" si="778"/>
        <v>10</v>
      </c>
      <c r="AB288" s="173">
        <f t="shared" si="779"/>
        <v>7.6647313026539026</v>
      </c>
      <c r="AC288" s="173">
        <f t="shared" si="780"/>
        <v>4.2189841666082142</v>
      </c>
      <c r="AD288" s="173"/>
      <c r="AE288" s="173">
        <f t="shared" si="781"/>
        <v>7.6647313026539026</v>
      </c>
      <c r="AF288" s="545">
        <f t="shared" si="782"/>
        <v>187.87351351787137</v>
      </c>
      <c r="AG288" s="528">
        <f t="shared" si="783"/>
        <v>4.2189841666082142</v>
      </c>
      <c r="AI288" s="173">
        <f t="shared" si="784"/>
        <v>7.3265371574429228</v>
      </c>
      <c r="AJ288" s="173">
        <f t="shared" si="785"/>
        <v>17.065550507902373</v>
      </c>
      <c r="AK288" s="173">
        <f t="shared" si="786"/>
        <v>6.433741116964721</v>
      </c>
      <c r="AM288" s="545">
        <f t="shared" si="787"/>
        <v>7199.9999999999991</v>
      </c>
      <c r="AN288" s="460">
        <f t="shared" si="788"/>
        <v>63.687368804645402</v>
      </c>
      <c r="AP288">
        <f t="shared" si="789"/>
        <v>7199.9999999999991</v>
      </c>
      <c r="AQ288">
        <f t="shared" si="790"/>
        <v>63.687368804645402</v>
      </c>
      <c r="AS288" s="5">
        <f t="shared" si="763"/>
        <v>15.701700647539694</v>
      </c>
      <c r="AT288" s="5">
        <f t="shared" si="791"/>
        <v>2.4214147300456426</v>
      </c>
      <c r="AU288" s="5">
        <f t="shared" si="722"/>
        <v>13.280285917494052</v>
      </c>
      <c r="AV288" s="5"/>
      <c r="AW288" s="173">
        <f t="shared" si="723"/>
        <v>0.15421353294141774</v>
      </c>
      <c r="AX288" s="173">
        <f t="shared" si="792"/>
        <v>111.28718627688282</v>
      </c>
      <c r="AY288" s="173">
        <f t="shared" si="793"/>
        <v>7.2169058362442708</v>
      </c>
      <c r="AZ288" s="173">
        <f t="shared" si="794"/>
        <v>15.420346170790205</v>
      </c>
      <c r="BA288" s="460">
        <f t="shared" si="724"/>
        <v>116.22790704219082</v>
      </c>
      <c r="BB288" s="5">
        <f t="shared" si="725"/>
        <v>4.7108178439580879</v>
      </c>
      <c r="BD288" s="173">
        <f t="shared" si="841"/>
        <v>3.8691976782171476</v>
      </c>
      <c r="BE288" s="173">
        <f t="shared" si="842"/>
        <v>9.0612902340745425</v>
      </c>
      <c r="BG288" s="528">
        <f t="shared" si="843"/>
        <v>0.2994138134624193</v>
      </c>
      <c r="BH288" s="528">
        <f t="shared" si="795"/>
        <v>2.0425343014867323</v>
      </c>
      <c r="BI288" s="528">
        <f t="shared" si="796"/>
        <v>0.13465599208161194</v>
      </c>
      <c r="BJ288" s="528">
        <f t="shared" si="844"/>
        <v>6.3979709144395741E-2</v>
      </c>
      <c r="BK288">
        <f t="shared" si="845"/>
        <v>3.8057905405133034E-2</v>
      </c>
      <c r="BL288" s="460">
        <f t="shared" si="846"/>
        <v>172.71389748674497</v>
      </c>
      <c r="BM288" s="528">
        <f t="shared" si="797"/>
        <v>2.6772296006920229</v>
      </c>
      <c r="BN288" s="460">
        <f t="shared" si="847"/>
        <v>2677.2296006920228</v>
      </c>
      <c r="BO288" s="528">
        <f t="shared" si="798"/>
        <v>5.0399999999999991</v>
      </c>
      <c r="BR288" s="460">
        <f t="shared" si="848"/>
        <v>5039.9999999999991</v>
      </c>
      <c r="BS288" s="528">
        <f t="shared" si="849"/>
        <v>0.44912072019362892</v>
      </c>
      <c r="BT288" s="528">
        <f t="shared" si="850"/>
        <v>2.4632094211840401</v>
      </c>
      <c r="BU288" s="528">
        <f t="shared" si="851"/>
        <v>1.9471707065348527</v>
      </c>
      <c r="BV288" s="528"/>
      <c r="BW288" s="528">
        <f t="shared" si="852"/>
        <v>1.8547864379480476E-2</v>
      </c>
      <c r="BX288" s="460">
        <f t="shared" si="853"/>
        <v>4878.0487122920022</v>
      </c>
      <c r="BY288" s="173">
        <f t="shared" si="854"/>
        <v>12.49669043387229</v>
      </c>
      <c r="BZ288" s="5">
        <f t="shared" si="855"/>
        <v>107.99999999999999</v>
      </c>
      <c r="CA288" s="173">
        <f t="shared" si="856"/>
        <v>0.89629017702581315</v>
      </c>
      <c r="CB288" s="5">
        <f t="shared" si="857"/>
        <v>89.629017702581308</v>
      </c>
      <c r="CE288" s="562">
        <f t="shared" si="799"/>
        <v>-50</v>
      </c>
      <c r="CF288">
        <f t="shared" si="800"/>
        <v>-50</v>
      </c>
      <c r="CG288" s="173">
        <f t="shared" si="801"/>
        <v>0.8433345046079761</v>
      </c>
      <c r="CI288" s="170">
        <v>72</v>
      </c>
      <c r="CJ288" s="217">
        <f t="shared" si="858"/>
        <v>7.1999999999999993</v>
      </c>
      <c r="CK288" s="217"/>
      <c r="CL288" s="217">
        <f t="shared" si="802"/>
        <v>107.99999999999999</v>
      </c>
      <c r="CM288" s="541">
        <f t="shared" si="803"/>
        <v>85</v>
      </c>
      <c r="CN288" s="443">
        <f t="shared" si="804"/>
        <v>15.4</v>
      </c>
      <c r="CO288" s="443">
        <f t="shared" si="805"/>
        <v>100.4</v>
      </c>
      <c r="CP288" s="443"/>
      <c r="CQ288" s="217">
        <f t="shared" si="806"/>
        <v>0.15338645418326693</v>
      </c>
      <c r="CR288" s="172">
        <f t="shared" si="807"/>
        <v>327.33148655378488</v>
      </c>
      <c r="CS288" s="172">
        <f t="shared" si="808"/>
        <v>107.99999999999999</v>
      </c>
      <c r="CT288" s="217">
        <f t="shared" si="809"/>
        <v>21.822099103585661</v>
      </c>
      <c r="CU288" s="217">
        <f t="shared" si="810"/>
        <v>15</v>
      </c>
      <c r="CV288" s="217"/>
      <c r="CW288" s="172">
        <f t="shared" si="811"/>
        <v>210.30025556549191</v>
      </c>
      <c r="CX288" s="172">
        <f t="shared" si="812"/>
        <v>15</v>
      </c>
      <c r="CY288" s="217">
        <f t="shared" si="813"/>
        <v>16.56715049656226</v>
      </c>
      <c r="CZ288" s="217">
        <f t="shared" si="814"/>
        <v>2.3388918348087899</v>
      </c>
      <c r="DA288" s="217">
        <f t="shared" si="815"/>
        <v>12.909467919399164</v>
      </c>
      <c r="DB288" s="197">
        <f t="shared" si="816"/>
        <v>108.64873837981409</v>
      </c>
      <c r="DC288" s="443">
        <f t="shared" si="817"/>
        <v>65.580824175140464</v>
      </c>
      <c r="DE288" s="217">
        <f t="shared" si="818"/>
        <v>10</v>
      </c>
      <c r="DF288" s="173">
        <f t="shared" si="819"/>
        <v>7.7922077922077913</v>
      </c>
      <c r="DG288" s="173">
        <f t="shared" si="820"/>
        <v>4.2330677290836656</v>
      </c>
      <c r="DH288" s="173"/>
      <c r="DI288" s="173">
        <f t="shared" si="821"/>
        <v>7.7922077922077913</v>
      </c>
      <c r="DJ288" s="545">
        <f t="shared" si="822"/>
        <v>184.8</v>
      </c>
      <c r="DK288" s="528">
        <f t="shared" si="823"/>
        <v>4.2330677290836656</v>
      </c>
      <c r="DM288" s="173">
        <f t="shared" si="824"/>
        <v>7.2663608498339798</v>
      </c>
      <c r="DN288" s="173">
        <f t="shared" si="825"/>
        <v>16.56715049656226</v>
      </c>
      <c r="DO288" s="173">
        <f t="shared" si="826"/>
        <v>6.0645559233794524</v>
      </c>
      <c r="DQ288" s="545">
        <f t="shared" si="827"/>
        <v>7199.9999999999991</v>
      </c>
      <c r="DR288" s="460">
        <f t="shared" si="828"/>
        <v>65.580824175140464</v>
      </c>
      <c r="DT288">
        <f t="shared" si="829"/>
        <v>7199.9999999999991</v>
      </c>
      <c r="DU288">
        <f t="shared" si="830"/>
        <v>65.580824175140464</v>
      </c>
      <c r="DW288" s="5">
        <f t="shared" si="859"/>
        <v>15.248359754207955</v>
      </c>
      <c r="DX288" s="5">
        <f t="shared" si="831"/>
        <v>2.3388918348087899</v>
      </c>
      <c r="DY288" s="5">
        <f t="shared" si="832"/>
        <v>12.909467919399166</v>
      </c>
      <c r="DZ288" s="5"/>
      <c r="EA288" s="173">
        <f t="shared" si="833"/>
        <v>0.15338645418326693</v>
      </c>
      <c r="EB288" s="173">
        <f t="shared" si="860"/>
        <v>107.99999999999997</v>
      </c>
      <c r="EC288" s="173">
        <f t="shared" si="861"/>
        <v>7.0129870129870122</v>
      </c>
      <c r="ED288" s="173">
        <f t="shared" si="862"/>
        <v>15.399999999999997</v>
      </c>
      <c r="EE288" s="460">
        <f t="shared" si="834"/>
        <v>112.2668080708219</v>
      </c>
      <c r="EF288" s="5">
        <f t="shared" si="835"/>
        <v>4.5562827950820584</v>
      </c>
      <c r="EH288" s="173">
        <f t="shared" si="863"/>
        <v>3.7461114517393548</v>
      </c>
      <c r="EI288" s="173">
        <f t="shared" si="864"/>
        <v>8.8009549207114439</v>
      </c>
      <c r="EK288" s="528">
        <f t="shared" si="865"/>
        <v>0.28066702017705475</v>
      </c>
      <c r="EL288" s="528">
        <f t="shared" si="866"/>
        <v>2.1816666666666662</v>
      </c>
      <c r="EM288" s="528">
        <f t="shared" si="867"/>
        <v>8.1976030218925584E-3</v>
      </c>
      <c r="EN288" s="528">
        <f t="shared" si="868"/>
        <v>6.6106520061728402E-2</v>
      </c>
      <c r="EO288">
        <f t="shared" si="869"/>
        <v>3.8249999999999999E-2</v>
      </c>
      <c r="EP288" s="460">
        <f t="shared" si="870"/>
        <v>46.447603021892562</v>
      </c>
      <c r="EQ288" s="460"/>
      <c r="ER288" s="460">
        <f t="shared" si="871"/>
        <v>2574.887809927342</v>
      </c>
      <c r="ES288" s="528">
        <f t="shared" si="872"/>
        <v>5.0399999999999991</v>
      </c>
      <c r="EV288" s="460">
        <f t="shared" si="873"/>
        <v>5039.9999999999991</v>
      </c>
      <c r="EW288" s="528">
        <f t="shared" si="874"/>
        <v>0.4210005302655821</v>
      </c>
      <c r="EX288" s="528">
        <f t="shared" si="875"/>
        <v>2.323704225491849</v>
      </c>
      <c r="EY288" s="528">
        <f t="shared" si="876"/>
        <v>1.9455021880180798</v>
      </c>
      <c r="EZ288" s="528"/>
      <c r="FA288" s="528">
        <f t="shared" si="877"/>
        <v>1.7999999999999999E-2</v>
      </c>
      <c r="FB288" s="460">
        <f t="shared" si="878"/>
        <v>4708.2069437755108</v>
      </c>
      <c r="FC288" s="173">
        <f t="shared" si="879"/>
        <v>12.323094753702852</v>
      </c>
      <c r="FD288" s="5">
        <f t="shared" si="880"/>
        <v>107.99999999999999</v>
      </c>
      <c r="FE288" s="173">
        <f t="shared" si="881"/>
        <v>0.89758329621650945</v>
      </c>
      <c r="FF288" s="5">
        <f t="shared" si="882"/>
        <v>89.758329621650944</v>
      </c>
      <c r="FI288" s="562">
        <f t="shared" si="836"/>
        <v>-50</v>
      </c>
      <c r="FJ288">
        <f t="shared" si="837"/>
        <v>-50</v>
      </c>
      <c r="FL288">
        <f t="shared" si="838"/>
        <v>0.84661354581673309</v>
      </c>
    </row>
    <row r="289" spans="5:168">
      <c r="E289" s="170">
        <v>73</v>
      </c>
      <c r="F289" s="217">
        <f t="shared" si="839"/>
        <v>7.3</v>
      </c>
      <c r="G289" s="217"/>
      <c r="H289" s="217">
        <f t="shared" si="764"/>
        <v>109.5</v>
      </c>
      <c r="I289" s="541">
        <f t="shared" si="765"/>
        <v>84.567217328222213</v>
      </c>
      <c r="J289" s="172">
        <f t="shared" si="766"/>
        <v>15.659669603066677</v>
      </c>
      <c r="K289" s="172">
        <f t="shared" si="767"/>
        <v>100.22688693128889</v>
      </c>
      <c r="L289" s="443"/>
      <c r="M289" s="217">
        <f t="shared" si="768"/>
        <v>0.15623385204912127</v>
      </c>
      <c r="N289" s="172">
        <f t="shared" si="769"/>
        <v>331.71035585686184</v>
      </c>
      <c r="O289" s="172">
        <f t="shared" si="762"/>
        <v>109.5</v>
      </c>
      <c r="P289" s="217">
        <f t="shared" si="770"/>
        <v>22.11402372379079</v>
      </c>
      <c r="Q289" s="217">
        <f t="shared" si="771"/>
        <v>15</v>
      </c>
      <c r="R289" s="217"/>
      <c r="S289" s="172">
        <f t="shared" si="772"/>
        <v>205.21105945566097</v>
      </c>
      <c r="T289" s="172">
        <f t="shared" si="773"/>
        <v>15</v>
      </c>
      <c r="U289" s="217">
        <f t="shared" si="774"/>
        <v>17.303372546358617</v>
      </c>
      <c r="V289" s="217">
        <f t="shared" si="775"/>
        <v>2.455330530155786</v>
      </c>
      <c r="W289" s="217">
        <f t="shared" si="776"/>
        <v>13.259569059850445</v>
      </c>
      <c r="X289" s="197">
        <f t="shared" si="777"/>
        <v>110.10806939779981</v>
      </c>
      <c r="Y289" s="443">
        <f t="shared" si="840"/>
        <v>62.83420101675982</v>
      </c>
      <c r="AA289" s="217">
        <f t="shared" si="778"/>
        <v>9.9999999999999982</v>
      </c>
      <c r="AB289" s="173">
        <f t="shared" si="779"/>
        <v>7.6629969240538784</v>
      </c>
      <c r="AC289" s="173">
        <f t="shared" si="780"/>
        <v>4.2187889855442533</v>
      </c>
      <c r="AD289" s="173"/>
      <c r="AE289" s="173">
        <f t="shared" si="781"/>
        <v>7.6629969240538802</v>
      </c>
      <c r="AF289" s="545">
        <f t="shared" si="782"/>
        <v>190.52598017064454</v>
      </c>
      <c r="AG289" s="528">
        <f t="shared" si="783"/>
        <v>4.218788985544256</v>
      </c>
      <c r="AI289" s="173">
        <f t="shared" si="784"/>
        <v>7.378075245920841</v>
      </c>
      <c r="AJ289" s="173">
        <f t="shared" si="785"/>
        <v>17.303372546358617</v>
      </c>
      <c r="AK289" s="173">
        <f t="shared" si="786"/>
        <v>6.6099055898952717</v>
      </c>
      <c r="AM289" s="545">
        <f t="shared" si="787"/>
        <v>7300</v>
      </c>
      <c r="AN289" s="460">
        <f t="shared" si="788"/>
        <v>62.83420101675982</v>
      </c>
      <c r="AP289">
        <f t="shared" si="789"/>
        <v>7300</v>
      </c>
      <c r="AQ289">
        <f t="shared" si="790"/>
        <v>62.83420101675982</v>
      </c>
      <c r="AS289" s="5">
        <f t="shared" si="763"/>
        <v>15.914899590006231</v>
      </c>
      <c r="AT289" s="5">
        <f t="shared" si="791"/>
        <v>2.455330530155786</v>
      </c>
      <c r="AU289" s="5">
        <f t="shared" si="722"/>
        <v>13.459569059850445</v>
      </c>
      <c r="AV289" s="5"/>
      <c r="AW289" s="173">
        <f t="shared" si="723"/>
        <v>0.15427873209439613</v>
      </c>
      <c r="AX289" s="173">
        <f t="shared" si="792"/>
        <v>112.87788519863096</v>
      </c>
      <c r="AY289" s="173">
        <f t="shared" si="793"/>
        <v>7.3169150844747133</v>
      </c>
      <c r="AZ289" s="173">
        <f t="shared" si="794"/>
        <v>15.426977612209717</v>
      </c>
      <c r="BA289" s="460">
        <f t="shared" si="724"/>
        <v>119.49275246758158</v>
      </c>
      <c r="BB289" s="5">
        <f t="shared" si="725"/>
        <v>4.8410629852169151</v>
      </c>
      <c r="BD289" s="173">
        <f t="shared" si="841"/>
        <v>3.9239472594401286</v>
      </c>
      <c r="BE289" s="173">
        <f t="shared" si="842"/>
        <v>9.1872124026365043</v>
      </c>
      <c r="BG289" s="528">
        <f t="shared" si="843"/>
        <v>0.3079472418973539</v>
      </c>
      <c r="BH289" s="528">
        <f t="shared" si="795"/>
        <v>2.043207004612777</v>
      </c>
      <c r="BI289" s="528">
        <f t="shared" si="796"/>
        <v>0.13284283832573821</v>
      </c>
      <c r="BJ289" s="528">
        <f t="shared" si="844"/>
        <v>6.31196496536202E-2</v>
      </c>
      <c r="BK289">
        <f t="shared" si="845"/>
        <v>3.8055247797699997E-2</v>
      </c>
      <c r="BL289" s="460">
        <f t="shared" si="846"/>
        <v>170.89808612343822</v>
      </c>
      <c r="BM289" s="528">
        <f t="shared" si="797"/>
        <v>2.6945771883823015</v>
      </c>
      <c r="BN289" s="460">
        <f t="shared" si="847"/>
        <v>2694.5771883823018</v>
      </c>
      <c r="BO289" s="528">
        <f t="shared" si="798"/>
        <v>5.1099999999999994</v>
      </c>
      <c r="BR289" s="460">
        <f t="shared" si="848"/>
        <v>5109.9999999999991</v>
      </c>
      <c r="BS289" s="528">
        <f t="shared" si="849"/>
        <v>0.46192086284603084</v>
      </c>
      <c r="BT289" s="528">
        <f t="shared" si="850"/>
        <v>2.5321461519347404</v>
      </c>
      <c r="BU289" s="528">
        <f t="shared" si="851"/>
        <v>1.9488891731350764</v>
      </c>
      <c r="BV289" s="528"/>
      <c r="BW289" s="528">
        <f t="shared" si="852"/>
        <v>1.8812980866438494E-2</v>
      </c>
      <c r="BX289" s="460">
        <f t="shared" si="853"/>
        <v>4961.7691687822853</v>
      </c>
      <c r="BY289" s="173">
        <f t="shared" si="854"/>
        <v>12.656941151069475</v>
      </c>
      <c r="BZ289" s="5">
        <f t="shared" si="855"/>
        <v>109.5</v>
      </c>
      <c r="CA289" s="173">
        <f t="shared" si="856"/>
        <v>0.89638786767411893</v>
      </c>
      <c r="CB289" s="5">
        <f t="shared" si="857"/>
        <v>89.638786767411887</v>
      </c>
      <c r="CE289" s="562">
        <f t="shared" si="799"/>
        <v>-50</v>
      </c>
      <c r="CF289">
        <f t="shared" si="800"/>
        <v>-50</v>
      </c>
      <c r="CG289" s="173">
        <f t="shared" si="801"/>
        <v>0.84337942298069879</v>
      </c>
      <c r="CI289" s="170">
        <v>73</v>
      </c>
      <c r="CJ289" s="217">
        <f t="shared" si="858"/>
        <v>7.3</v>
      </c>
      <c r="CK289" s="217"/>
      <c r="CL289" s="217">
        <f t="shared" si="802"/>
        <v>109.5</v>
      </c>
      <c r="CM289" s="541">
        <f t="shared" si="803"/>
        <v>85</v>
      </c>
      <c r="CN289" s="443">
        <f t="shared" si="804"/>
        <v>15.4</v>
      </c>
      <c r="CO289" s="443">
        <f t="shared" si="805"/>
        <v>100.4</v>
      </c>
      <c r="CP289" s="443"/>
      <c r="CQ289" s="217">
        <f t="shared" si="806"/>
        <v>0.15338645418326693</v>
      </c>
      <c r="CR289" s="172">
        <f t="shared" si="807"/>
        <v>327.33148655378488</v>
      </c>
      <c r="CS289" s="172">
        <f t="shared" si="808"/>
        <v>109.5</v>
      </c>
      <c r="CT289" s="217">
        <f t="shared" si="809"/>
        <v>21.822099103585661</v>
      </c>
      <c r="CU289" s="217">
        <f t="shared" si="810"/>
        <v>15</v>
      </c>
      <c r="CV289" s="217"/>
      <c r="CW289" s="172">
        <f t="shared" si="811"/>
        <v>206.26041151952541</v>
      </c>
      <c r="CX289" s="172">
        <f t="shared" si="812"/>
        <v>15</v>
      </c>
      <c r="CY289" s="217">
        <f t="shared" si="813"/>
        <v>16.797249809014513</v>
      </c>
      <c r="CZ289" s="217">
        <f t="shared" si="814"/>
        <v>2.3713764436255782</v>
      </c>
      <c r="DA289" s="217">
        <f t="shared" si="815"/>
        <v>13.088766084946373</v>
      </c>
      <c r="DB289" s="197">
        <f t="shared" si="816"/>
        <v>108.64873837981409</v>
      </c>
      <c r="DC289" s="443">
        <f t="shared" si="817"/>
        <v>64.682456720686503</v>
      </c>
      <c r="DE289" s="217">
        <f t="shared" si="818"/>
        <v>10</v>
      </c>
      <c r="DF289" s="173">
        <f t="shared" si="819"/>
        <v>7.7922077922077913</v>
      </c>
      <c r="DG289" s="173">
        <f t="shared" si="820"/>
        <v>4.2330677290836656</v>
      </c>
      <c r="DH289" s="173"/>
      <c r="DI289" s="173">
        <f t="shared" si="821"/>
        <v>7.7922077922077913</v>
      </c>
      <c r="DJ289" s="545">
        <f t="shared" si="822"/>
        <v>187.36666666666665</v>
      </c>
      <c r="DK289" s="528">
        <f t="shared" si="823"/>
        <v>4.2330677290836656</v>
      </c>
      <c r="DM289" s="173">
        <f t="shared" si="824"/>
        <v>7.316647684105976</v>
      </c>
      <c r="DN289" s="173">
        <f t="shared" si="825"/>
        <v>16.797249809014513</v>
      </c>
      <c r="DO289" s="173">
        <f t="shared" si="826"/>
        <v>6.2349998585292692</v>
      </c>
      <c r="DQ289" s="545">
        <f t="shared" si="827"/>
        <v>7300</v>
      </c>
      <c r="DR289" s="460">
        <f t="shared" si="828"/>
        <v>64.682456720686503</v>
      </c>
      <c r="DT289">
        <f t="shared" si="829"/>
        <v>7300</v>
      </c>
      <c r="DU289">
        <f t="shared" si="830"/>
        <v>64.682456720686503</v>
      </c>
      <c r="DW289" s="5">
        <f t="shared" si="859"/>
        <v>15.460142528571952</v>
      </c>
      <c r="DX289" s="5">
        <f t="shared" si="831"/>
        <v>2.3713764436255782</v>
      </c>
      <c r="DY289" s="5">
        <f t="shared" si="832"/>
        <v>13.088766084946373</v>
      </c>
      <c r="DZ289" s="5"/>
      <c r="EA289" s="173">
        <f t="shared" si="833"/>
        <v>0.15338645418326693</v>
      </c>
      <c r="EB289" s="173">
        <f t="shared" si="860"/>
        <v>109.5</v>
      </c>
      <c r="EC289" s="173">
        <f t="shared" si="861"/>
        <v>7.1103896103896096</v>
      </c>
      <c r="ED289" s="173">
        <f t="shared" si="862"/>
        <v>15.400000000000002</v>
      </c>
      <c r="EE289" s="460">
        <f t="shared" si="834"/>
        <v>115.40698692311146</v>
      </c>
      <c r="EF289" s="5">
        <f t="shared" si="835"/>
        <v>4.6837251186327711</v>
      </c>
      <c r="EH289" s="173">
        <f t="shared" si="863"/>
        <v>3.7981407774579568</v>
      </c>
      <c r="EI289" s="173">
        <f t="shared" si="864"/>
        <v>8.9231904057213249</v>
      </c>
      <c r="EK289" s="528">
        <f t="shared" si="865"/>
        <v>0.28851746730777866</v>
      </c>
      <c r="EL289" s="528">
        <f t="shared" si="866"/>
        <v>2.1816666666666671</v>
      </c>
      <c r="EM289" s="528">
        <f t="shared" si="867"/>
        <v>8.085307090085812E-3</v>
      </c>
      <c r="EN289" s="528">
        <f t="shared" si="868"/>
        <v>6.5200951293759538E-2</v>
      </c>
      <c r="EO289">
        <f t="shared" si="869"/>
        <v>3.8249999999999999E-2</v>
      </c>
      <c r="EP289" s="460">
        <f t="shared" si="870"/>
        <v>46.335307090085813</v>
      </c>
      <c r="EQ289" s="460"/>
      <c r="ER289" s="460">
        <f t="shared" si="871"/>
        <v>2581.7203923582915</v>
      </c>
      <c r="ES289" s="528">
        <f t="shared" si="872"/>
        <v>5.1099999999999994</v>
      </c>
      <c r="EV289" s="460">
        <f t="shared" si="873"/>
        <v>5109.9999999999991</v>
      </c>
      <c r="EW289" s="528">
        <f t="shared" si="874"/>
        <v>0.43277620096166797</v>
      </c>
      <c r="EX289" s="528">
        <f t="shared" si="875"/>
        <v>2.3886998105027129</v>
      </c>
      <c r="EY289" s="528">
        <f t="shared" si="876"/>
        <v>1.9455021880180838</v>
      </c>
      <c r="EZ289" s="528"/>
      <c r="FA289" s="528">
        <f t="shared" si="877"/>
        <v>1.8250000000000002E-2</v>
      </c>
      <c r="FB289" s="460">
        <f t="shared" si="878"/>
        <v>4785.2281994824643</v>
      </c>
      <c r="FC289" s="173">
        <f t="shared" si="879"/>
        <v>12.476948591840756</v>
      </c>
      <c r="FD289" s="5">
        <f t="shared" si="880"/>
        <v>109.5</v>
      </c>
      <c r="FE289" s="173">
        <f t="shared" si="881"/>
        <v>0.89771060240577816</v>
      </c>
      <c r="FF289" s="5">
        <f t="shared" si="882"/>
        <v>89.77106024057781</v>
      </c>
      <c r="FI289" s="562">
        <f t="shared" si="836"/>
        <v>-50</v>
      </c>
      <c r="FJ289">
        <f t="shared" si="837"/>
        <v>-50</v>
      </c>
      <c r="FL289">
        <f t="shared" si="838"/>
        <v>0.84661354581673309</v>
      </c>
    </row>
    <row r="290" spans="5:168">
      <c r="E290" s="170">
        <v>74</v>
      </c>
      <c r="F290" s="217">
        <f t="shared" si="839"/>
        <v>7.4</v>
      </c>
      <c r="G290" s="217"/>
      <c r="H290" s="217">
        <f t="shared" si="764"/>
        <v>111</v>
      </c>
      <c r="I290" s="541">
        <f t="shared" si="765"/>
        <v>84.561311531537626</v>
      </c>
      <c r="J290" s="172">
        <f t="shared" si="766"/>
        <v>15.663213081077425</v>
      </c>
      <c r="K290" s="172">
        <f t="shared" si="767"/>
        <v>100.22452461261506</v>
      </c>
      <c r="L290" s="443"/>
      <c r="M290" s="217">
        <f t="shared" si="768"/>
        <v>0.15627289074015172</v>
      </c>
      <c r="N290" s="172">
        <f t="shared" si="769"/>
        <v>331.77007050881531</v>
      </c>
      <c r="O290" s="172">
        <f t="shared" si="762"/>
        <v>111</v>
      </c>
      <c r="P290" s="217">
        <f t="shared" si="770"/>
        <v>22.118004700587687</v>
      </c>
      <c r="Q290" s="217">
        <f t="shared" si="771"/>
        <v>15</v>
      </c>
      <c r="R290" s="217"/>
      <c r="S290" s="172">
        <f t="shared" si="772"/>
        <v>201.28650341288568</v>
      </c>
      <c r="T290" s="172">
        <f t="shared" si="773"/>
        <v>15</v>
      </c>
      <c r="U290" s="217">
        <f t="shared" si="774"/>
        <v>17.541216629845117</v>
      </c>
      <c r="V290" s="217">
        <f t="shared" si="775"/>
        <v>2.4892541961064101</v>
      </c>
      <c r="W290" s="217">
        <f t="shared" si="776"/>
        <v>13.438787972082043</v>
      </c>
      <c r="X290" s="197">
        <f t="shared" si="777"/>
        <v>110.12788919455839</v>
      </c>
      <c r="Y290" s="443">
        <f t="shared" si="840"/>
        <v>62.003806139125608</v>
      </c>
      <c r="AA290" s="217">
        <f t="shared" si="778"/>
        <v>10</v>
      </c>
      <c r="AB290" s="173">
        <f t="shared" si="779"/>
        <v>7.6612633294870287</v>
      </c>
      <c r="AC290" s="173">
        <f t="shared" si="780"/>
        <v>4.2185937952004053</v>
      </c>
      <c r="AD290" s="173"/>
      <c r="AE290" s="173">
        <f t="shared" si="781"/>
        <v>7.6612633294870287</v>
      </c>
      <c r="AF290" s="545">
        <f t="shared" si="782"/>
        <v>193.1796279999549</v>
      </c>
      <c r="AG290" s="528">
        <f t="shared" si="783"/>
        <v>4.2185937952004053</v>
      </c>
      <c r="AI290" s="173">
        <f t="shared" si="784"/>
        <v>7.4292785267856623</v>
      </c>
      <c r="AJ290" s="173">
        <f t="shared" si="785"/>
        <v>17.541216629845117</v>
      </c>
      <c r="AK290" s="173">
        <f t="shared" si="786"/>
        <v>6.7860863924778645</v>
      </c>
      <c r="AM290" s="545">
        <f t="shared" si="787"/>
        <v>7400</v>
      </c>
      <c r="AN290" s="460">
        <f t="shared" si="788"/>
        <v>62.003806139125608</v>
      </c>
      <c r="AP290">
        <f t="shared" si="789"/>
        <v>7400</v>
      </c>
      <c r="AQ290">
        <f t="shared" si="790"/>
        <v>62.003806139125608</v>
      </c>
      <c r="AS290" s="5">
        <f t="shared" si="763"/>
        <v>16.128042168188454</v>
      </c>
      <c r="AT290" s="5">
        <f t="shared" si="791"/>
        <v>2.4892541961064101</v>
      </c>
      <c r="AU290" s="5">
        <f t="shared" si="722"/>
        <v>13.638787972082044</v>
      </c>
      <c r="AV290" s="5"/>
      <c r="AW290" s="173">
        <f t="shared" si="723"/>
        <v>0.15434323460638683</v>
      </c>
      <c r="AX290" s="173">
        <f t="shared" si="792"/>
        <v>114.46929924156416</v>
      </c>
      <c r="AY290" s="173">
        <f t="shared" si="793"/>
        <v>7.4169242581317381</v>
      </c>
      <c r="AZ290" s="173">
        <f t="shared" si="794"/>
        <v>15.433526790578016</v>
      </c>
      <c r="BA290" s="460">
        <f t="shared" si="724"/>
        <v>122.80320700791624</v>
      </c>
      <c r="BB290" s="5">
        <f t="shared" si="725"/>
        <v>4.973069695696763</v>
      </c>
      <c r="BD290" s="173">
        <f t="shared" si="841"/>
        <v>3.9787154785211207</v>
      </c>
      <c r="BE290" s="173">
        <f t="shared" si="842"/>
        <v>9.3131403632731775</v>
      </c>
      <c r="BG290" s="528">
        <f t="shared" si="843"/>
        <v>0.31660353718047102</v>
      </c>
      <c r="BH290" s="528">
        <f t="shared" si="795"/>
        <v>2.0438703279040746</v>
      </c>
      <c r="BI290" s="528">
        <f t="shared" si="796"/>
        <v>0.13107807917679162</v>
      </c>
      <c r="BJ290" s="528">
        <f t="shared" si="844"/>
        <v>6.2282546319464123E-2</v>
      </c>
      <c r="BK290">
        <f t="shared" si="845"/>
        <v>3.805259018919193E-2</v>
      </c>
      <c r="BL290" s="460">
        <f t="shared" si="846"/>
        <v>169.13066936598355</v>
      </c>
      <c r="BM290" s="528">
        <f t="shared" si="797"/>
        <v>2.7122698684762008</v>
      </c>
      <c r="BN290" s="460">
        <f t="shared" si="847"/>
        <v>2712.2698684762008</v>
      </c>
      <c r="BO290" s="528">
        <f t="shared" si="798"/>
        <v>5.18</v>
      </c>
      <c r="BR290" s="460">
        <f t="shared" si="848"/>
        <v>5180</v>
      </c>
      <c r="BS290" s="528">
        <f t="shared" si="849"/>
        <v>0.4749053057707065</v>
      </c>
      <c r="BT290" s="528">
        <f t="shared" si="850"/>
        <v>2.6020375027808416</v>
      </c>
      <c r="BU290" s="528">
        <f t="shared" si="851"/>
        <v>1.9505862511056329</v>
      </c>
      <c r="BV290" s="528"/>
      <c r="BW290" s="528">
        <f t="shared" si="852"/>
        <v>1.9078216540260692E-2</v>
      </c>
      <c r="BX290" s="460">
        <f t="shared" si="853"/>
        <v>5046.6072761974419</v>
      </c>
      <c r="BY290" s="173">
        <f t="shared" si="854"/>
        <v>12.818494356967435</v>
      </c>
      <c r="BZ290" s="5">
        <f t="shared" si="855"/>
        <v>111</v>
      </c>
      <c r="CA290" s="173">
        <f t="shared" si="856"/>
        <v>0.8964735080689008</v>
      </c>
      <c r="CB290" s="5">
        <f t="shared" si="857"/>
        <v>89.647350806890074</v>
      </c>
      <c r="CE290" s="562">
        <f t="shared" si="799"/>
        <v>-50</v>
      </c>
      <c r="CF290">
        <f t="shared" si="800"/>
        <v>-50</v>
      </c>
      <c r="CG290" s="173">
        <f t="shared" si="801"/>
        <v>0.8434231273433479</v>
      </c>
      <c r="CI290" s="170">
        <v>74</v>
      </c>
      <c r="CJ290" s="217">
        <f t="shared" si="858"/>
        <v>7.4</v>
      </c>
      <c r="CK290" s="217"/>
      <c r="CL290" s="217">
        <f t="shared" si="802"/>
        <v>111</v>
      </c>
      <c r="CM290" s="541">
        <f t="shared" si="803"/>
        <v>85</v>
      </c>
      <c r="CN290" s="443">
        <f t="shared" si="804"/>
        <v>15.4</v>
      </c>
      <c r="CO290" s="443">
        <f t="shared" si="805"/>
        <v>100.4</v>
      </c>
      <c r="CP290" s="443"/>
      <c r="CQ290" s="217">
        <f t="shared" si="806"/>
        <v>0.15338645418326693</v>
      </c>
      <c r="CR290" s="172">
        <f t="shared" si="807"/>
        <v>327.33148655378488</v>
      </c>
      <c r="CS290" s="172">
        <f t="shared" si="808"/>
        <v>111</v>
      </c>
      <c r="CT290" s="217">
        <f t="shared" si="809"/>
        <v>21.822099103585661</v>
      </c>
      <c r="CU290" s="217">
        <f t="shared" si="810"/>
        <v>15</v>
      </c>
      <c r="CV290" s="217"/>
      <c r="CW290" s="172">
        <f t="shared" si="811"/>
        <v>202.32987301549753</v>
      </c>
      <c r="CX290" s="172">
        <f t="shared" si="812"/>
        <v>15</v>
      </c>
      <c r="CY290" s="217">
        <f t="shared" si="813"/>
        <v>17.027349121466766</v>
      </c>
      <c r="CZ290" s="217">
        <f t="shared" si="814"/>
        <v>2.4038610524423669</v>
      </c>
      <c r="DA290" s="217">
        <f t="shared" si="815"/>
        <v>13.268064250493584</v>
      </c>
      <c r="DB290" s="197">
        <f t="shared" si="816"/>
        <v>108.64873837981409</v>
      </c>
      <c r="DC290" s="443">
        <f t="shared" si="817"/>
        <v>63.808369467704253</v>
      </c>
      <c r="DE290" s="217">
        <f t="shared" si="818"/>
        <v>10</v>
      </c>
      <c r="DF290" s="173">
        <f t="shared" si="819"/>
        <v>7.7922077922077913</v>
      </c>
      <c r="DG290" s="173">
        <f t="shared" si="820"/>
        <v>4.2330677290836656</v>
      </c>
      <c r="DH290" s="173"/>
      <c r="DI290" s="173">
        <f t="shared" si="821"/>
        <v>7.7922077922077913</v>
      </c>
      <c r="DJ290" s="545">
        <f t="shared" si="822"/>
        <v>189.93333333333334</v>
      </c>
      <c r="DK290" s="528">
        <f t="shared" si="823"/>
        <v>4.2330677290836656</v>
      </c>
      <c r="DM290" s="173">
        <f t="shared" si="824"/>
        <v>7.3665912514993437</v>
      </c>
      <c r="DN290" s="173">
        <f t="shared" si="825"/>
        <v>17.027349121466766</v>
      </c>
      <c r="DO290" s="173">
        <f t="shared" si="826"/>
        <v>6.4054437936790869</v>
      </c>
      <c r="DQ290" s="545">
        <f t="shared" si="827"/>
        <v>7400</v>
      </c>
      <c r="DR290" s="460">
        <f t="shared" si="828"/>
        <v>63.808369467704253</v>
      </c>
      <c r="DT290">
        <f t="shared" si="829"/>
        <v>7400</v>
      </c>
      <c r="DU290">
        <f t="shared" si="830"/>
        <v>63.808369467704253</v>
      </c>
      <c r="DW290" s="5">
        <f t="shared" si="859"/>
        <v>15.67192530293595</v>
      </c>
      <c r="DX290" s="5">
        <f t="shared" si="831"/>
        <v>2.4038610524423669</v>
      </c>
      <c r="DY290" s="5">
        <f t="shared" si="832"/>
        <v>13.268064250493584</v>
      </c>
      <c r="DZ290" s="5"/>
      <c r="EA290" s="173">
        <f t="shared" si="833"/>
        <v>0.15338645418326693</v>
      </c>
      <c r="EB290" s="173">
        <f t="shared" si="860"/>
        <v>110.99999999999999</v>
      </c>
      <c r="EC290" s="173">
        <f t="shared" si="861"/>
        <v>7.207792207792207</v>
      </c>
      <c r="ED290" s="173">
        <f t="shared" si="862"/>
        <v>15.4</v>
      </c>
      <c r="EE290" s="460">
        <f t="shared" si="834"/>
        <v>118.59047858715677</v>
      </c>
      <c r="EF290" s="5">
        <f t="shared" si="835"/>
        <v>4.812925267335908</v>
      </c>
      <c r="EH290" s="173">
        <f t="shared" si="863"/>
        <v>3.8501701031765592</v>
      </c>
      <c r="EI290" s="173">
        <f t="shared" si="864"/>
        <v>9.045425890731206</v>
      </c>
      <c r="EK290" s="528">
        <f t="shared" si="865"/>
        <v>0.29647619646789192</v>
      </c>
      <c r="EL290" s="528">
        <f t="shared" si="866"/>
        <v>2.1816666666666671</v>
      </c>
      <c r="EM290" s="528">
        <f t="shared" si="867"/>
        <v>7.97604618346303E-3</v>
      </c>
      <c r="EN290" s="528">
        <f t="shared" si="868"/>
        <v>6.4319857357357388E-2</v>
      </c>
      <c r="EO290">
        <f t="shared" si="869"/>
        <v>3.8249999999999999E-2</v>
      </c>
      <c r="EP290" s="460">
        <f t="shared" si="870"/>
        <v>46.226046183463026</v>
      </c>
      <c r="EQ290" s="460"/>
      <c r="ER290" s="460">
        <f t="shared" si="871"/>
        <v>2588.6887666753796</v>
      </c>
      <c r="ES290" s="528">
        <f t="shared" si="872"/>
        <v>5.18</v>
      </c>
      <c r="EV290" s="460">
        <f t="shared" si="873"/>
        <v>5180</v>
      </c>
      <c r="EW290" s="528">
        <f t="shared" si="874"/>
        <v>0.44471429470183788</v>
      </c>
      <c r="EX290" s="528">
        <f t="shared" si="875"/>
        <v>2.4545918863413125</v>
      </c>
      <c r="EY290" s="528">
        <f t="shared" si="876"/>
        <v>1.9455021880180832</v>
      </c>
      <c r="EZ290" s="528"/>
      <c r="FA290" s="528">
        <f t="shared" si="877"/>
        <v>1.8499999999999999E-2</v>
      </c>
      <c r="FB290" s="460">
        <f t="shared" si="878"/>
        <v>4863.3083690612339</v>
      </c>
      <c r="FC290" s="173">
        <f t="shared" si="879"/>
        <v>12.631997135736611</v>
      </c>
      <c r="FD290" s="5">
        <f t="shared" si="880"/>
        <v>111</v>
      </c>
      <c r="FE290" s="173">
        <f t="shared" si="881"/>
        <v>0.89782582641718689</v>
      </c>
      <c r="FF290" s="5">
        <f t="shared" si="882"/>
        <v>89.78258264171869</v>
      </c>
      <c r="FI290" s="562">
        <f t="shared" si="836"/>
        <v>-50</v>
      </c>
      <c r="FJ290">
        <f t="shared" si="837"/>
        <v>-50</v>
      </c>
      <c r="FL290">
        <f t="shared" si="838"/>
        <v>0.84661354581673309</v>
      </c>
    </row>
    <row r="291" spans="5:168">
      <c r="E291" s="170">
        <v>75</v>
      </c>
      <c r="F291" s="217">
        <f t="shared" si="839"/>
        <v>7.5</v>
      </c>
      <c r="G291" s="217"/>
      <c r="H291" s="217">
        <f t="shared" si="764"/>
        <v>112.5</v>
      </c>
      <c r="I291" s="541">
        <f t="shared" si="765"/>
        <v>84.555405732560033</v>
      </c>
      <c r="J291" s="172">
        <f t="shared" si="766"/>
        <v>15.666756560463984</v>
      </c>
      <c r="K291" s="172">
        <f t="shared" si="767"/>
        <v>100.22216229302401</v>
      </c>
      <c r="L291" s="443"/>
      <c r="M291" s="217">
        <f t="shared" si="768"/>
        <v>0.15631193127508466</v>
      </c>
      <c r="N291" s="172">
        <f t="shared" si="769"/>
        <v>331.82977748941232</v>
      </c>
      <c r="O291" s="172">
        <f t="shared" si="762"/>
        <v>112.5</v>
      </c>
      <c r="P291" s="217">
        <f t="shared" si="770"/>
        <v>22.121985165960822</v>
      </c>
      <c r="Q291" s="217">
        <f t="shared" si="771"/>
        <v>15</v>
      </c>
      <c r="R291" s="217"/>
      <c r="S291" s="172">
        <f t="shared" si="772"/>
        <v>197.46688063308827</v>
      </c>
      <c r="T291" s="172">
        <f t="shared" si="773"/>
        <v>15</v>
      </c>
      <c r="U291" s="217">
        <f t="shared" si="774"/>
        <v>17.779082762981155</v>
      </c>
      <c r="V291" s="217">
        <f t="shared" si="775"/>
        <v>2.5231857302012668</v>
      </c>
      <c r="W291" s="217">
        <f t="shared" si="776"/>
        <v>13.617942701310177</v>
      </c>
      <c r="X291" s="197">
        <f t="shared" si="777"/>
        <v>110.14770645323669</v>
      </c>
      <c r="Y291" s="443">
        <f t="shared" si="840"/>
        <v>61.195284290872365</v>
      </c>
      <c r="AA291" s="217">
        <f t="shared" si="778"/>
        <v>10</v>
      </c>
      <c r="AB291" s="173">
        <f t="shared" si="779"/>
        <v>7.6595305184499605</v>
      </c>
      <c r="AC291" s="173">
        <f t="shared" si="780"/>
        <v>4.2183985955791705</v>
      </c>
      <c r="AD291" s="173"/>
      <c r="AE291" s="173">
        <f t="shared" si="781"/>
        <v>7.6595305184499605</v>
      </c>
      <c r="AF291" s="545">
        <f t="shared" si="782"/>
        <v>195.83445700579978</v>
      </c>
      <c r="AG291" s="528">
        <f t="shared" si="783"/>
        <v>4.2183985955791705</v>
      </c>
      <c r="AI291" s="173">
        <f t="shared" si="784"/>
        <v>7.4801538755333832</v>
      </c>
      <c r="AJ291" s="173">
        <f t="shared" si="785"/>
        <v>17.779082762981155</v>
      </c>
      <c r="AK291" s="173">
        <f t="shared" si="786"/>
        <v>6.962283528134189</v>
      </c>
      <c r="AM291" s="545">
        <f t="shared" si="787"/>
        <v>7500</v>
      </c>
      <c r="AN291" s="460">
        <f t="shared" si="788"/>
        <v>61.195284290872365</v>
      </c>
      <c r="AP291">
        <f t="shared" si="789"/>
        <v>7500</v>
      </c>
      <c r="AQ291">
        <f t="shared" si="790"/>
        <v>61.195284290872365</v>
      </c>
      <c r="AS291" s="5">
        <f t="shared" si="763"/>
        <v>16.341128431511443</v>
      </c>
      <c r="AT291" s="5">
        <f t="shared" si="791"/>
        <v>2.5231857302012668</v>
      </c>
      <c r="AU291" s="5">
        <f t="shared" si="722"/>
        <v>13.817942701310177</v>
      </c>
      <c r="AV291" s="5"/>
      <c r="AW291" s="173">
        <f t="shared" si="723"/>
        <v>0.1544070680783389</v>
      </c>
      <c r="AX291" s="173">
        <f t="shared" si="792"/>
        <v>116.06142815084536</v>
      </c>
      <c r="AY291" s="173">
        <f t="shared" si="793"/>
        <v>7.5169333602135504</v>
      </c>
      <c r="AZ291" s="173">
        <f t="shared" si="794"/>
        <v>15.439996949440582</v>
      </c>
      <c r="BA291" s="460">
        <f t="shared" si="724"/>
        <v>126.15928651006334</v>
      </c>
      <c r="BB291" s="5">
        <f t="shared" si="725"/>
        <v>5.1068374124028848</v>
      </c>
      <c r="BD291" s="173">
        <f t="shared" si="841"/>
        <v>4.0335023334910032</v>
      </c>
      <c r="BE291" s="173">
        <f t="shared" si="842"/>
        <v>9.4390741189677687</v>
      </c>
      <c r="BG291" s="528">
        <f t="shared" si="843"/>
        <v>0.32538282148554737</v>
      </c>
      <c r="BH291" s="528">
        <f t="shared" si="795"/>
        <v>2.0445246394251684</v>
      </c>
      <c r="BI291" s="528">
        <f t="shared" si="796"/>
        <v>0.12935980230335176</v>
      </c>
      <c r="BJ291" s="528">
        <f t="shared" si="844"/>
        <v>6.1467492020440585E-2</v>
      </c>
      <c r="BK291">
        <f t="shared" si="845"/>
        <v>3.8049932579652015E-2</v>
      </c>
      <c r="BL291" s="460">
        <f t="shared" si="846"/>
        <v>167.40973488300375</v>
      </c>
      <c r="BM291" s="528">
        <f t="shared" si="797"/>
        <v>2.7303112978590374</v>
      </c>
      <c r="BN291" s="460">
        <f t="shared" si="847"/>
        <v>2730.3112978590375</v>
      </c>
      <c r="BO291" s="528">
        <f t="shared" si="798"/>
        <v>5.25</v>
      </c>
      <c r="BR291" s="460">
        <f t="shared" si="848"/>
        <v>5250</v>
      </c>
      <c r="BS291" s="528">
        <f t="shared" si="849"/>
        <v>0.48807423222832103</v>
      </c>
      <c r="BT291" s="528">
        <f t="shared" si="850"/>
        <v>2.6728836067010149</v>
      </c>
      <c r="BU291" s="528">
        <f t="shared" si="851"/>
        <v>1.9522627827327375</v>
      </c>
      <c r="BV291" s="528"/>
      <c r="BW291" s="528">
        <f t="shared" si="852"/>
        <v>1.9343571358474226E-2</v>
      </c>
      <c r="BX291" s="460">
        <f t="shared" si="853"/>
        <v>5132.5641930205475</v>
      </c>
      <c r="BY291" s="173">
        <f t="shared" si="854"/>
        <v>12.981348880834707</v>
      </c>
      <c r="BZ291" s="5">
        <f t="shared" si="855"/>
        <v>112.5</v>
      </c>
      <c r="CA291" s="173">
        <f t="shared" si="856"/>
        <v>0.89654758259601874</v>
      </c>
      <c r="CB291" s="5">
        <f t="shared" si="857"/>
        <v>89.654758259601877</v>
      </c>
      <c r="CE291" s="562">
        <f t="shared" si="799"/>
        <v>-50</v>
      </c>
      <c r="CF291">
        <f t="shared" si="800"/>
        <v>-50</v>
      </c>
      <c r="CG291" s="173">
        <f t="shared" si="801"/>
        <v>0.84346566625632624</v>
      </c>
      <c r="CI291" s="170">
        <v>75</v>
      </c>
      <c r="CJ291" s="217">
        <f t="shared" si="858"/>
        <v>7.5</v>
      </c>
      <c r="CK291" s="217"/>
      <c r="CL291" s="217">
        <f t="shared" si="802"/>
        <v>112.5</v>
      </c>
      <c r="CM291" s="541">
        <f t="shared" si="803"/>
        <v>85</v>
      </c>
      <c r="CN291" s="443">
        <f t="shared" si="804"/>
        <v>15.4</v>
      </c>
      <c r="CO291" s="443">
        <f t="shared" si="805"/>
        <v>100.4</v>
      </c>
      <c r="CP291" s="443"/>
      <c r="CQ291" s="217">
        <f t="shared" si="806"/>
        <v>0.15338645418326693</v>
      </c>
      <c r="CR291" s="172">
        <f t="shared" si="807"/>
        <v>327.33148655378488</v>
      </c>
      <c r="CS291" s="172">
        <f t="shared" si="808"/>
        <v>112.5</v>
      </c>
      <c r="CT291" s="217">
        <f t="shared" si="809"/>
        <v>21.822099103585661</v>
      </c>
      <c r="CU291" s="217">
        <f t="shared" si="810"/>
        <v>15</v>
      </c>
      <c r="CV291" s="217"/>
      <c r="CW291" s="172">
        <f t="shared" si="811"/>
        <v>198.50426983473801</v>
      </c>
      <c r="CX291" s="172">
        <f t="shared" si="812"/>
        <v>15</v>
      </c>
      <c r="CY291" s="217">
        <f t="shared" si="813"/>
        <v>17.25744843391902</v>
      </c>
      <c r="CZ291" s="217">
        <f t="shared" si="814"/>
        <v>2.4363456612591561</v>
      </c>
      <c r="DA291" s="217">
        <f t="shared" si="815"/>
        <v>13.447362416040795</v>
      </c>
      <c r="DB291" s="197">
        <f t="shared" si="816"/>
        <v>108.64873837981409</v>
      </c>
      <c r="DC291" s="443">
        <f t="shared" si="817"/>
        <v>62.957591208134865</v>
      </c>
      <c r="DE291" s="217">
        <f t="shared" si="818"/>
        <v>10</v>
      </c>
      <c r="DF291" s="173">
        <f t="shared" si="819"/>
        <v>7.7922077922077913</v>
      </c>
      <c r="DG291" s="173">
        <f t="shared" si="820"/>
        <v>4.2330677290836656</v>
      </c>
      <c r="DH291" s="173"/>
      <c r="DI291" s="173">
        <f t="shared" si="821"/>
        <v>7.7922077922077913</v>
      </c>
      <c r="DJ291" s="545">
        <f t="shared" si="822"/>
        <v>192.5</v>
      </c>
      <c r="DK291" s="528">
        <f t="shared" si="823"/>
        <v>4.2330677290836656</v>
      </c>
      <c r="DM291" s="173">
        <f t="shared" si="824"/>
        <v>7.4161984870956639</v>
      </c>
      <c r="DN291" s="173">
        <f t="shared" si="825"/>
        <v>17.25744843391902</v>
      </c>
      <c r="DO291" s="173">
        <f t="shared" si="826"/>
        <v>6.5758877288289037</v>
      </c>
      <c r="DQ291" s="545">
        <f t="shared" si="827"/>
        <v>7500</v>
      </c>
      <c r="DR291" s="460">
        <f t="shared" si="828"/>
        <v>62.957591208134865</v>
      </c>
      <c r="DT291">
        <f t="shared" si="829"/>
        <v>7500</v>
      </c>
      <c r="DU291">
        <f t="shared" si="830"/>
        <v>62.957591208134865</v>
      </c>
      <c r="DW291" s="5">
        <f t="shared" si="859"/>
        <v>15.883708077299948</v>
      </c>
      <c r="DX291" s="5">
        <f t="shared" si="831"/>
        <v>2.4363456612591561</v>
      </c>
      <c r="DY291" s="5">
        <f t="shared" si="832"/>
        <v>13.447362416040793</v>
      </c>
      <c r="DZ291" s="5"/>
      <c r="EA291" s="173">
        <f t="shared" si="833"/>
        <v>0.15338645418326696</v>
      </c>
      <c r="EB291" s="173">
        <f t="shared" si="860"/>
        <v>112.5</v>
      </c>
      <c r="EC291" s="173">
        <f t="shared" si="861"/>
        <v>7.3051948051948035</v>
      </c>
      <c r="ED291" s="173">
        <f t="shared" si="862"/>
        <v>15.400000000000004</v>
      </c>
      <c r="EE291" s="460">
        <f t="shared" si="834"/>
        <v>121.81728306295781</v>
      </c>
      <c r="EF291" s="5">
        <f t="shared" si="835"/>
        <v>4.9438832411914673</v>
      </c>
      <c r="EH291" s="173">
        <f t="shared" si="863"/>
        <v>3.9021994288951616</v>
      </c>
      <c r="EI291" s="173">
        <f t="shared" si="864"/>
        <v>9.1676613757410852</v>
      </c>
      <c r="EK291" s="528">
        <f t="shared" si="865"/>
        <v>0.30454320765739451</v>
      </c>
      <c r="EL291" s="528">
        <f t="shared" si="866"/>
        <v>2.1816666666666671</v>
      </c>
      <c r="EM291" s="528">
        <f t="shared" si="867"/>
        <v>7.869698901016858E-3</v>
      </c>
      <c r="EN291" s="528">
        <f t="shared" si="868"/>
        <v>6.3462259259259274E-2</v>
      </c>
      <c r="EO291">
        <f t="shared" si="869"/>
        <v>3.8249999999999999E-2</v>
      </c>
      <c r="EP291" s="460">
        <f t="shared" si="870"/>
        <v>46.119698901016861</v>
      </c>
      <c r="EQ291" s="460"/>
      <c r="ER291" s="460">
        <f t="shared" si="871"/>
        <v>2595.7918324843381</v>
      </c>
      <c r="ES291" s="528">
        <f t="shared" si="872"/>
        <v>5.25</v>
      </c>
      <c r="EV291" s="460">
        <f t="shared" si="873"/>
        <v>5250</v>
      </c>
      <c r="EW291" s="528">
        <f t="shared" si="874"/>
        <v>0.45681481148609171</v>
      </c>
      <c r="EX291" s="528">
        <f t="shared" si="875"/>
        <v>2.521380453007648</v>
      </c>
      <c r="EY291" s="528">
        <f t="shared" si="876"/>
        <v>1.9455021880180834</v>
      </c>
      <c r="EZ291" s="528"/>
      <c r="FA291" s="528">
        <f t="shared" si="877"/>
        <v>1.8750000000000003E-2</v>
      </c>
      <c r="FB291" s="460">
        <f t="shared" si="878"/>
        <v>4942.447452511823</v>
      </c>
      <c r="FC291" s="173">
        <f t="shared" si="879"/>
        <v>12.788239284996163</v>
      </c>
      <c r="FD291" s="5">
        <f t="shared" si="880"/>
        <v>112.5</v>
      </c>
      <c r="FE291" s="173">
        <f t="shared" si="881"/>
        <v>0.89792945165502369</v>
      </c>
      <c r="FF291" s="5">
        <f t="shared" si="882"/>
        <v>89.792945165502374</v>
      </c>
      <c r="FI291" s="562">
        <f t="shared" si="836"/>
        <v>-50</v>
      </c>
      <c r="FJ291">
        <f t="shared" si="837"/>
        <v>-50</v>
      </c>
      <c r="FL291">
        <f t="shared" si="838"/>
        <v>0.84661354581673298</v>
      </c>
    </row>
    <row r="292" spans="5:168">
      <c r="E292" s="170">
        <v>76</v>
      </c>
      <c r="F292" s="217">
        <f t="shared" si="839"/>
        <v>7.6</v>
      </c>
      <c r="G292" s="217"/>
      <c r="H292" s="217">
        <f t="shared" si="764"/>
        <v>114</v>
      </c>
      <c r="I292" s="541">
        <f t="shared" si="765"/>
        <v>84.549499931380268</v>
      </c>
      <c r="J292" s="172">
        <f t="shared" si="766"/>
        <v>15.670300041171844</v>
      </c>
      <c r="K292" s="172">
        <f t="shared" si="767"/>
        <v>100.21979997255211</v>
      </c>
      <c r="L292" s="443"/>
      <c r="M292" s="217">
        <f t="shared" si="768"/>
        <v>0.15635097365391148</v>
      </c>
      <c r="N292" s="172">
        <f t="shared" si="769"/>
        <v>331.88947679816431</v>
      </c>
      <c r="O292" s="172">
        <f t="shared" si="762"/>
        <v>114</v>
      </c>
      <c r="P292" s="217">
        <f t="shared" si="770"/>
        <v>22.12596511987762</v>
      </c>
      <c r="Q292" s="217">
        <f t="shared" si="771"/>
        <v>15</v>
      </c>
      <c r="R292" s="217"/>
      <c r="S292" s="172">
        <f t="shared" si="772"/>
        <v>193.74805103432905</v>
      </c>
      <c r="T292" s="172">
        <f t="shared" si="773"/>
        <v>15</v>
      </c>
      <c r="U292" s="217">
        <f t="shared" si="774"/>
        <v>18.016970950387293</v>
      </c>
      <c r="V292" s="217">
        <f t="shared" si="775"/>
        <v>2.5571251347449335</v>
      </c>
      <c r="W292" s="217">
        <f t="shared" si="776"/>
        <v>13.79703329461454</v>
      </c>
      <c r="X292" s="197">
        <f t="shared" si="777"/>
        <v>110.1675211733469</v>
      </c>
      <c r="Y292" s="443">
        <f t="shared" si="840"/>
        <v>60.407782386959603</v>
      </c>
      <c r="AA292" s="217">
        <f t="shared" si="778"/>
        <v>10</v>
      </c>
      <c r="AB292" s="173">
        <f t="shared" si="779"/>
        <v>7.6577984904382372</v>
      </c>
      <c r="AC292" s="173">
        <f t="shared" si="780"/>
        <v>4.2182033866828927</v>
      </c>
      <c r="AD292" s="173"/>
      <c r="AE292" s="173">
        <f t="shared" si="781"/>
        <v>7.6577984904382372</v>
      </c>
      <c r="AF292" s="545">
        <f t="shared" si="782"/>
        <v>198.49046718817669</v>
      </c>
      <c r="AG292" s="528">
        <f t="shared" si="783"/>
        <v>4.2182033866828919</v>
      </c>
      <c r="AI292" s="173">
        <f t="shared" si="784"/>
        <v>7.5307079384188551</v>
      </c>
      <c r="AJ292" s="173">
        <f t="shared" si="785"/>
        <v>18.016970950387293</v>
      </c>
      <c r="AK292" s="173">
        <f t="shared" si="786"/>
        <v>7.1384970002868835</v>
      </c>
      <c r="AM292" s="545">
        <f t="shared" si="787"/>
        <v>7600</v>
      </c>
      <c r="AN292" s="460">
        <f t="shared" si="788"/>
        <v>60.407782386959603</v>
      </c>
      <c r="AP292">
        <f t="shared" si="789"/>
        <v>7600</v>
      </c>
      <c r="AQ292">
        <f t="shared" si="790"/>
        <v>60.407782386959603</v>
      </c>
      <c r="AS292" s="5">
        <f t="shared" si="763"/>
        <v>16.554158429359472</v>
      </c>
      <c r="AT292" s="5">
        <f t="shared" si="791"/>
        <v>2.5571251347449335</v>
      </c>
      <c r="AU292" s="5">
        <f t="shared" si="722"/>
        <v>13.997033294614539</v>
      </c>
      <c r="AV292" s="5"/>
      <c r="AW292" s="173">
        <f t="shared" si="723"/>
        <v>0.1544702586758967</v>
      </c>
      <c r="AX292" s="173">
        <f t="shared" si="792"/>
        <v>117.6542716848916</v>
      </c>
      <c r="AY292" s="173">
        <f t="shared" si="793"/>
        <v>7.6169423935624261</v>
      </c>
      <c r="AZ292" s="173">
        <f t="shared" si="794"/>
        <v>15.446391164035701</v>
      </c>
      <c r="BA292" s="460">
        <f t="shared" si="724"/>
        <v>129.5610068270766</v>
      </c>
      <c r="BB292" s="5">
        <f t="shared" si="725"/>
        <v>5.2423655730965111</v>
      </c>
      <c r="BD292" s="173">
        <f t="shared" si="841"/>
        <v>4.0883078225562643</v>
      </c>
      <c r="BE292" s="173">
        <f t="shared" si="842"/>
        <v>9.5650136726017525</v>
      </c>
      <c r="BG292" s="528">
        <f t="shared" si="843"/>
        <v>0.33428521703949488</v>
      </c>
      <c r="BH292" s="528">
        <f t="shared" si="795"/>
        <v>2.045170288100417</v>
      </c>
      <c r="BI292" s="528">
        <f t="shared" si="796"/>
        <v>0.12768619481952687</v>
      </c>
      <c r="BJ292" s="528">
        <f t="shared" si="844"/>
        <v>6.067362680741837E-2</v>
      </c>
      <c r="BK292">
        <f t="shared" si="845"/>
        <v>3.8047274969121123E-2</v>
      </c>
      <c r="BL292" s="460">
        <f t="shared" si="846"/>
        <v>165.73346978864799</v>
      </c>
      <c r="BM292" s="528">
        <f t="shared" si="797"/>
        <v>2.7487052655676165</v>
      </c>
      <c r="BN292" s="460">
        <f t="shared" si="847"/>
        <v>2748.7052655676166</v>
      </c>
      <c r="BO292" s="528">
        <f t="shared" si="798"/>
        <v>5.3199999999999994</v>
      </c>
      <c r="BR292" s="460">
        <f t="shared" si="848"/>
        <v>5319.9999999999991</v>
      </c>
      <c r="BS292" s="528">
        <f t="shared" si="849"/>
        <v>0.50142782555924226</v>
      </c>
      <c r="BT292" s="528">
        <f t="shared" si="850"/>
        <v>2.7446845967117541</v>
      </c>
      <c r="BU292" s="528">
        <f t="shared" si="851"/>
        <v>1.9539195669014293</v>
      </c>
      <c r="BV292" s="528"/>
      <c r="BW292" s="528">
        <f t="shared" si="852"/>
        <v>1.9609045280815265E-2</v>
      </c>
      <c r="BX292" s="460">
        <f t="shared" si="853"/>
        <v>5219.6410344532414</v>
      </c>
      <c r="BY292" s="173">
        <f t="shared" si="854"/>
        <v>13.145503636189217</v>
      </c>
      <c r="BZ292" s="5">
        <f t="shared" si="855"/>
        <v>114</v>
      </c>
      <c r="CA292" s="173">
        <f t="shared" si="856"/>
        <v>0.89661055043044691</v>
      </c>
      <c r="CB292" s="5">
        <f t="shared" si="857"/>
        <v>89.661055043044684</v>
      </c>
      <c r="CE292" s="562">
        <f t="shared" si="799"/>
        <v>-50</v>
      </c>
      <c r="CF292">
        <f t="shared" si="800"/>
        <v>-50</v>
      </c>
      <c r="CG292" s="173">
        <f t="shared" si="801"/>
        <v>0.84350708572422639</v>
      </c>
      <c r="CI292" s="170">
        <v>76</v>
      </c>
      <c r="CJ292" s="217">
        <f t="shared" si="858"/>
        <v>7.6</v>
      </c>
      <c r="CK292" s="217"/>
      <c r="CL292" s="217">
        <f t="shared" si="802"/>
        <v>114</v>
      </c>
      <c r="CM292" s="541">
        <f t="shared" si="803"/>
        <v>85</v>
      </c>
      <c r="CN292" s="443">
        <f t="shared" si="804"/>
        <v>15.4</v>
      </c>
      <c r="CO292" s="443">
        <f t="shared" si="805"/>
        <v>100.4</v>
      </c>
      <c r="CP292" s="443"/>
      <c r="CQ292" s="217">
        <f t="shared" si="806"/>
        <v>0.15338645418326693</v>
      </c>
      <c r="CR292" s="172">
        <f t="shared" si="807"/>
        <v>327.33148655378488</v>
      </c>
      <c r="CS292" s="172">
        <f t="shared" si="808"/>
        <v>114</v>
      </c>
      <c r="CT292" s="217">
        <f t="shared" si="809"/>
        <v>21.822099103585661</v>
      </c>
      <c r="CU292" s="217">
        <f t="shared" si="810"/>
        <v>15</v>
      </c>
      <c r="CV292" s="217"/>
      <c r="CW292" s="172">
        <f t="shared" si="811"/>
        <v>194.77946181426952</v>
      </c>
      <c r="CX292" s="172">
        <f t="shared" si="812"/>
        <v>15</v>
      </c>
      <c r="CY292" s="217">
        <f t="shared" si="813"/>
        <v>17.487547746371277</v>
      </c>
      <c r="CZ292" s="217">
        <f t="shared" si="814"/>
        <v>2.4688302700759448</v>
      </c>
      <c r="DA292" s="217">
        <f t="shared" si="815"/>
        <v>13.626660581588007</v>
      </c>
      <c r="DB292" s="197">
        <f t="shared" si="816"/>
        <v>108.64873837981409</v>
      </c>
      <c r="DC292" s="443">
        <f t="shared" si="817"/>
        <v>62.129201850133072</v>
      </c>
      <c r="DE292" s="217">
        <f t="shared" si="818"/>
        <v>10</v>
      </c>
      <c r="DF292" s="173">
        <f t="shared" si="819"/>
        <v>7.7922077922077913</v>
      </c>
      <c r="DG292" s="173">
        <f t="shared" si="820"/>
        <v>4.2330677290836656</v>
      </c>
      <c r="DH292" s="173"/>
      <c r="DI292" s="173">
        <f t="shared" si="821"/>
        <v>7.7922077922077913</v>
      </c>
      <c r="DJ292" s="545">
        <f t="shared" si="822"/>
        <v>195.06666666666666</v>
      </c>
      <c r="DK292" s="528">
        <f t="shared" si="823"/>
        <v>4.2330677290836656</v>
      </c>
      <c r="DM292" s="173">
        <f t="shared" si="824"/>
        <v>7.4654760955570234</v>
      </c>
      <c r="DN292" s="173">
        <f t="shared" si="825"/>
        <v>17.487547746371277</v>
      </c>
      <c r="DO292" s="173">
        <f t="shared" si="826"/>
        <v>6.7463316639787232</v>
      </c>
      <c r="DQ292" s="545">
        <f t="shared" si="827"/>
        <v>7600</v>
      </c>
      <c r="DR292" s="460">
        <f t="shared" si="828"/>
        <v>62.129201850133072</v>
      </c>
      <c r="DT292">
        <f t="shared" si="829"/>
        <v>7600</v>
      </c>
      <c r="DU292">
        <f t="shared" si="830"/>
        <v>62.129201850133072</v>
      </c>
      <c r="DW292" s="5">
        <f t="shared" si="859"/>
        <v>16.095490851663953</v>
      </c>
      <c r="DX292" s="5">
        <f t="shared" si="831"/>
        <v>2.4688302700759448</v>
      </c>
      <c r="DY292" s="5">
        <f t="shared" si="832"/>
        <v>13.626660581588009</v>
      </c>
      <c r="DZ292" s="5"/>
      <c r="EA292" s="173">
        <f t="shared" si="833"/>
        <v>0.15338645418326691</v>
      </c>
      <c r="EB292" s="173">
        <f t="shared" si="860"/>
        <v>114</v>
      </c>
      <c r="EC292" s="173">
        <f t="shared" si="861"/>
        <v>7.4025974025974035</v>
      </c>
      <c r="ED292" s="173">
        <f t="shared" si="862"/>
        <v>15.399999999999999</v>
      </c>
      <c r="EE292" s="460">
        <f t="shared" si="834"/>
        <v>125.08740035051453</v>
      </c>
      <c r="EF292" s="5">
        <f t="shared" si="835"/>
        <v>5.0765990401994543</v>
      </c>
      <c r="EH292" s="173">
        <f t="shared" si="863"/>
        <v>3.9542287546137636</v>
      </c>
      <c r="EI292" s="173">
        <f t="shared" si="864"/>
        <v>9.2898968607509698</v>
      </c>
      <c r="EK292" s="528">
        <f t="shared" si="865"/>
        <v>0.31271850087628633</v>
      </c>
      <c r="EL292" s="528">
        <f t="shared" si="866"/>
        <v>2.1816666666666671</v>
      </c>
      <c r="EM292" s="528">
        <f t="shared" si="867"/>
        <v>7.7661502312666338E-3</v>
      </c>
      <c r="EN292" s="528">
        <f t="shared" si="868"/>
        <v>6.262722953216375E-2</v>
      </c>
      <c r="EO292">
        <f t="shared" si="869"/>
        <v>3.8249999999999999E-2</v>
      </c>
      <c r="EP292" s="460">
        <f t="shared" si="870"/>
        <v>46.016150231266636</v>
      </c>
      <c r="EQ292" s="460"/>
      <c r="ER292" s="460">
        <f t="shared" si="871"/>
        <v>2603.0285473063846</v>
      </c>
      <c r="ES292" s="528">
        <f t="shared" si="872"/>
        <v>5.3199999999999994</v>
      </c>
      <c r="EV292" s="460">
        <f t="shared" si="873"/>
        <v>5319.9999999999991</v>
      </c>
      <c r="EW292" s="528">
        <f t="shared" si="874"/>
        <v>0.46907775131442947</v>
      </c>
      <c r="EX292" s="528">
        <f t="shared" si="875"/>
        <v>2.5890655105017215</v>
      </c>
      <c r="EY292" s="528">
        <f t="shared" si="876"/>
        <v>1.9455021880180834</v>
      </c>
      <c r="EZ292" s="528"/>
      <c r="FA292" s="528">
        <f t="shared" si="877"/>
        <v>1.9E-2</v>
      </c>
      <c r="FB292" s="460">
        <f t="shared" si="878"/>
        <v>5022.6454498342346</v>
      </c>
      <c r="FC292" s="173">
        <f t="shared" si="879"/>
        <v>12.94567399714062</v>
      </c>
      <c r="FD292" s="5">
        <f t="shared" si="880"/>
        <v>114</v>
      </c>
      <c r="FE292" s="173">
        <f t="shared" si="881"/>
        <v>0.89802193655348816</v>
      </c>
      <c r="FF292" s="5">
        <f t="shared" si="882"/>
        <v>89.802193655348816</v>
      </c>
      <c r="FI292" s="562">
        <f t="shared" si="836"/>
        <v>-50</v>
      </c>
      <c r="FJ292">
        <f t="shared" si="837"/>
        <v>-50</v>
      </c>
      <c r="FL292">
        <f t="shared" si="838"/>
        <v>0.84661354581673309</v>
      </c>
    </row>
    <row r="293" spans="5:168">
      <c r="E293" s="170">
        <v>77</v>
      </c>
      <c r="F293" s="217">
        <f t="shared" si="839"/>
        <v>7.7</v>
      </c>
      <c r="G293" s="217"/>
      <c r="H293" s="217">
        <f t="shared" si="764"/>
        <v>115.5</v>
      </c>
      <c r="I293" s="541">
        <f t="shared" si="765"/>
        <v>84.543594128084436</v>
      </c>
      <c r="J293" s="172">
        <f t="shared" si="766"/>
        <v>15.673843523149339</v>
      </c>
      <c r="K293" s="172">
        <f t="shared" si="767"/>
        <v>100.21743765123378</v>
      </c>
      <c r="L293" s="443"/>
      <c r="M293" s="217">
        <f t="shared" si="768"/>
        <v>0.15639001787663082</v>
      </c>
      <c r="N293" s="172">
        <f t="shared" si="769"/>
        <v>331.94916843457975</v>
      </c>
      <c r="O293" s="172">
        <f t="shared" si="762"/>
        <v>115.5</v>
      </c>
      <c r="P293" s="217">
        <f t="shared" si="770"/>
        <v>22.129944562305315</v>
      </c>
      <c r="Q293" s="217">
        <f t="shared" si="771"/>
        <v>15</v>
      </c>
      <c r="R293" s="217"/>
      <c r="S293" s="172">
        <f t="shared" si="772"/>
        <v>190.12608964863705</v>
      </c>
      <c r="T293" s="172">
        <f t="shared" si="773"/>
        <v>15</v>
      </c>
      <c r="U293" s="217">
        <f t="shared" si="774"/>
        <v>18.254881196685403</v>
      </c>
      <c r="V293" s="217">
        <f t="shared" si="775"/>
        <v>2.591072412042819</v>
      </c>
      <c r="W293" s="217">
        <f t="shared" si="776"/>
        <v>13.976059799033232</v>
      </c>
      <c r="X293" s="197">
        <f t="shared" si="777"/>
        <v>110.18733335441725</v>
      </c>
      <c r="Y293" s="443">
        <f t="shared" si="840"/>
        <v>59.640491135354623</v>
      </c>
      <c r="AA293" s="217">
        <f t="shared" si="778"/>
        <v>10</v>
      </c>
      <c r="AB293" s="173">
        <f t="shared" si="779"/>
        <v>7.6560672449464677</v>
      </c>
      <c r="AC293" s="173">
        <f t="shared" si="780"/>
        <v>4.2180081685137569</v>
      </c>
      <c r="AD293" s="173"/>
      <c r="AE293" s="173">
        <f t="shared" si="781"/>
        <v>7.6560672449464677</v>
      </c>
      <c r="AF293" s="545">
        <f t="shared" si="782"/>
        <v>201.14765854708321</v>
      </c>
      <c r="AG293" s="528">
        <f t="shared" si="783"/>
        <v>4.2180081685137552</v>
      </c>
      <c r="AI293" s="173">
        <f t="shared" si="784"/>
        <v>7.5809471429947921</v>
      </c>
      <c r="AJ293" s="173">
        <f t="shared" si="785"/>
        <v>18.254881196685403</v>
      </c>
      <c r="AK293" s="173">
        <f t="shared" si="786"/>
        <v>7.3147268123595577</v>
      </c>
      <c r="AM293" s="545">
        <f t="shared" si="787"/>
        <v>7700</v>
      </c>
      <c r="AN293" s="460">
        <f t="shared" si="788"/>
        <v>59.640491135354623</v>
      </c>
      <c r="AP293">
        <f t="shared" si="789"/>
        <v>7700</v>
      </c>
      <c r="AQ293">
        <f t="shared" si="790"/>
        <v>59.640491135354623</v>
      </c>
      <c r="AS293" s="5">
        <f t="shared" si="763"/>
        <v>16.767132211076049</v>
      </c>
      <c r="AT293" s="5">
        <f t="shared" si="791"/>
        <v>2.591072412042819</v>
      </c>
      <c r="AU293" s="5">
        <f t="shared" si="722"/>
        <v>14.176059799033229</v>
      </c>
      <c r="AV293" s="5"/>
      <c r="AW293" s="173">
        <f t="shared" si="723"/>
        <v>0.15453283122150166</v>
      </c>
      <c r="AX293" s="173">
        <f t="shared" si="792"/>
        <v>119.24782961452378</v>
      </c>
      <c r="AY293" s="173">
        <f t="shared" si="793"/>
        <v>7.7169513608747273</v>
      </c>
      <c r="AZ293" s="173">
        <f t="shared" si="794"/>
        <v>15.452712352071488</v>
      </c>
      <c r="BA293" s="460">
        <f t="shared" si="724"/>
        <v>133.00838381819804</v>
      </c>
      <c r="BB293" s="5">
        <f t="shared" si="725"/>
        <v>5.3796536162940924</v>
      </c>
      <c r="BD293" s="173">
        <f t="shared" si="841"/>
        <v>4.1431319440878109</v>
      </c>
      <c r="BE293" s="173">
        <f t="shared" si="842"/>
        <v>9.6909590269614316</v>
      </c>
      <c r="BG293" s="528">
        <f t="shared" si="843"/>
        <v>0.34331084612241691</v>
      </c>
      <c r="BH293" s="528">
        <f t="shared" si="795"/>
        <v>2.0458076049421945</v>
      </c>
      <c r="BI293" s="528">
        <f t="shared" si="796"/>
        <v>0.12605553690367596</v>
      </c>
      <c r="BJ293" s="528">
        <f t="shared" si="844"/>
        <v>5.9900134876638977E-2</v>
      </c>
      <c r="BK293">
        <f t="shared" si="845"/>
        <v>3.8044617357637998E-2</v>
      </c>
      <c r="BL293" s="460">
        <f t="shared" si="846"/>
        <v>164.10015426131397</v>
      </c>
      <c r="BM293" s="528">
        <f t="shared" si="797"/>
        <v>2.7674556936508568</v>
      </c>
      <c r="BN293" s="460">
        <f t="shared" si="847"/>
        <v>2767.4556936508566</v>
      </c>
      <c r="BO293" s="528">
        <f t="shared" si="798"/>
        <v>5.39</v>
      </c>
      <c r="BR293" s="460">
        <f t="shared" si="848"/>
        <v>5390</v>
      </c>
      <c r="BS293" s="528">
        <f t="shared" si="849"/>
        <v>0.51496626918362531</v>
      </c>
      <c r="BT293" s="528">
        <f t="shared" si="850"/>
        <v>2.8174406058673576</v>
      </c>
      <c r="BU293" s="528">
        <f t="shared" si="851"/>
        <v>1.9555573618550446</v>
      </c>
      <c r="BV293" s="528"/>
      <c r="BW293" s="528">
        <f t="shared" si="852"/>
        <v>1.9874638269087298E-2</v>
      </c>
      <c r="BX293" s="460">
        <f t="shared" si="853"/>
        <v>5307.8388751751145</v>
      </c>
      <c r="BY293" s="173">
        <f t="shared" si="854"/>
        <v>13.310957615377678</v>
      </c>
      <c r="BZ293" s="5">
        <f t="shared" si="855"/>
        <v>115.5</v>
      </c>
      <c r="CA293" s="173">
        <f t="shared" si="856"/>
        <v>0.89666284715370681</v>
      </c>
      <c r="CB293" s="5">
        <f t="shared" si="857"/>
        <v>89.666284715370679</v>
      </c>
      <c r="CE293" s="562">
        <f t="shared" si="799"/>
        <v>-50</v>
      </c>
      <c r="CF293">
        <f t="shared" si="800"/>
        <v>-50</v>
      </c>
      <c r="CG293" s="173">
        <f t="shared" si="801"/>
        <v>0.8435474293617915</v>
      </c>
      <c r="CI293" s="170">
        <v>77</v>
      </c>
      <c r="CJ293" s="217">
        <f t="shared" si="858"/>
        <v>7.7</v>
      </c>
      <c r="CK293" s="217"/>
      <c r="CL293" s="217">
        <f t="shared" si="802"/>
        <v>115.5</v>
      </c>
      <c r="CM293" s="541">
        <f t="shared" si="803"/>
        <v>85</v>
      </c>
      <c r="CN293" s="443">
        <f t="shared" si="804"/>
        <v>15.4</v>
      </c>
      <c r="CO293" s="443">
        <f t="shared" si="805"/>
        <v>100.4</v>
      </c>
      <c r="CP293" s="443"/>
      <c r="CQ293" s="217">
        <f t="shared" si="806"/>
        <v>0.15338645418326693</v>
      </c>
      <c r="CR293" s="172">
        <f t="shared" si="807"/>
        <v>327.33148655378488</v>
      </c>
      <c r="CS293" s="172">
        <f t="shared" si="808"/>
        <v>115.5</v>
      </c>
      <c r="CT293" s="217">
        <f t="shared" si="809"/>
        <v>21.822099103585661</v>
      </c>
      <c r="CU293" s="217">
        <f t="shared" si="810"/>
        <v>15</v>
      </c>
      <c r="CV293" s="217"/>
      <c r="CW293" s="172">
        <f t="shared" si="811"/>
        <v>191.15152390933912</v>
      </c>
      <c r="CX293" s="172">
        <f t="shared" si="812"/>
        <v>15</v>
      </c>
      <c r="CY293" s="217">
        <f t="shared" si="813"/>
        <v>17.71764705882353</v>
      </c>
      <c r="CZ293" s="217">
        <f t="shared" si="814"/>
        <v>2.501314878892734</v>
      </c>
      <c r="DA293" s="217">
        <f t="shared" si="815"/>
        <v>13.805958747135218</v>
      </c>
      <c r="DB293" s="197">
        <f t="shared" si="816"/>
        <v>108.64873837981409</v>
      </c>
      <c r="DC293" s="443">
        <f t="shared" si="817"/>
        <v>61.32232909883264</v>
      </c>
      <c r="DE293" s="217">
        <f t="shared" si="818"/>
        <v>10</v>
      </c>
      <c r="DF293" s="173">
        <f t="shared" si="819"/>
        <v>7.7922077922077913</v>
      </c>
      <c r="DG293" s="173">
        <f t="shared" si="820"/>
        <v>4.2330677290836656</v>
      </c>
      <c r="DH293" s="173"/>
      <c r="DI293" s="173">
        <f t="shared" si="821"/>
        <v>7.7922077922077913</v>
      </c>
      <c r="DJ293" s="545">
        <f t="shared" si="822"/>
        <v>197.63333333333335</v>
      </c>
      <c r="DK293" s="528">
        <f t="shared" si="823"/>
        <v>4.2330677290836656</v>
      </c>
      <c r="DM293" s="173">
        <f t="shared" si="824"/>
        <v>7.5144305617037057</v>
      </c>
      <c r="DN293" s="173">
        <f t="shared" si="825"/>
        <v>17.71764705882353</v>
      </c>
      <c r="DO293" s="173">
        <f t="shared" si="826"/>
        <v>6.9167755991285409</v>
      </c>
      <c r="DQ293" s="545">
        <f t="shared" si="827"/>
        <v>7700</v>
      </c>
      <c r="DR293" s="460">
        <f t="shared" si="828"/>
        <v>61.32232909883264</v>
      </c>
      <c r="DT293">
        <f t="shared" si="829"/>
        <v>7700</v>
      </c>
      <c r="DU293">
        <f t="shared" si="830"/>
        <v>61.32232909883264</v>
      </c>
      <c r="DW293" s="5">
        <f t="shared" si="859"/>
        <v>16.307273626027953</v>
      </c>
      <c r="DX293" s="5">
        <f t="shared" si="831"/>
        <v>2.501314878892734</v>
      </c>
      <c r="DY293" s="5">
        <f t="shared" si="832"/>
        <v>13.80595874713522</v>
      </c>
      <c r="DZ293" s="5"/>
      <c r="EA293" s="173">
        <f t="shared" si="833"/>
        <v>0.15338645418326693</v>
      </c>
      <c r="EB293" s="173">
        <f t="shared" si="860"/>
        <v>115.50000000000001</v>
      </c>
      <c r="EC293" s="173">
        <f t="shared" si="861"/>
        <v>7.5000000000000009</v>
      </c>
      <c r="ED293" s="173">
        <f t="shared" si="862"/>
        <v>15.4</v>
      </c>
      <c r="EE293" s="460">
        <f t="shared" si="834"/>
        <v>128.400830449827</v>
      </c>
      <c r="EF293" s="5">
        <f t="shared" si="835"/>
        <v>5.2110726643598619</v>
      </c>
      <c r="EH293" s="173">
        <f t="shared" si="863"/>
        <v>4.0062580803323664</v>
      </c>
      <c r="EI293" s="173">
        <f t="shared" si="864"/>
        <v>9.4121323457608508</v>
      </c>
      <c r="EK293" s="528">
        <f t="shared" si="865"/>
        <v>0.32100207612456755</v>
      </c>
      <c r="EL293" s="528">
        <f t="shared" si="866"/>
        <v>2.1816666666666666</v>
      </c>
      <c r="EM293" s="528">
        <f t="shared" si="867"/>
        <v>7.6652911373540798E-3</v>
      </c>
      <c r="EN293" s="528">
        <f t="shared" si="868"/>
        <v>6.1813888888888883E-2</v>
      </c>
      <c r="EO293">
        <f t="shared" si="869"/>
        <v>3.8249999999999999E-2</v>
      </c>
      <c r="EP293" s="460">
        <f t="shared" si="870"/>
        <v>45.915291137354075</v>
      </c>
      <c r="EQ293" s="460"/>
      <c r="ER293" s="460">
        <f t="shared" si="871"/>
        <v>2610.3979228174776</v>
      </c>
      <c r="ES293" s="528">
        <f t="shared" si="872"/>
        <v>5.39</v>
      </c>
      <c r="EV293" s="460">
        <f t="shared" si="873"/>
        <v>5390</v>
      </c>
      <c r="EW293" s="528">
        <f t="shared" si="874"/>
        <v>0.48150311418685132</v>
      </c>
      <c r="EX293" s="528">
        <f t="shared" si="875"/>
        <v>2.6576470588235295</v>
      </c>
      <c r="EY293" s="528">
        <f t="shared" si="876"/>
        <v>1.9455021880180892</v>
      </c>
      <c r="EZ293" s="528"/>
      <c r="FA293" s="528">
        <f t="shared" si="877"/>
        <v>1.925E-2</v>
      </c>
      <c r="FB293" s="460">
        <f t="shared" si="878"/>
        <v>5103.9023610284712</v>
      </c>
      <c r="FC293" s="173">
        <f t="shared" si="879"/>
        <v>13.104300283845948</v>
      </c>
      <c r="FD293" s="5">
        <f t="shared" si="880"/>
        <v>115.5</v>
      </c>
      <c r="FE293" s="173">
        <f t="shared" si="881"/>
        <v>0.89810371616716467</v>
      </c>
      <c r="FF293" s="5">
        <f t="shared" si="882"/>
        <v>89.810371616716466</v>
      </c>
      <c r="FI293" s="562">
        <f t="shared" si="836"/>
        <v>-50</v>
      </c>
      <c r="FJ293">
        <f t="shared" si="837"/>
        <v>-50</v>
      </c>
      <c r="FL293">
        <f t="shared" si="838"/>
        <v>0.84661354581673309</v>
      </c>
    </row>
    <row r="294" spans="5:168">
      <c r="E294" s="170">
        <v>78</v>
      </c>
      <c r="F294" s="217">
        <f t="shared" si="839"/>
        <v>7.8000000000000007</v>
      </c>
      <c r="G294" s="217"/>
      <c r="H294" s="217">
        <f t="shared" si="764"/>
        <v>117.00000000000001</v>
      </c>
      <c r="I294" s="541">
        <f t="shared" si="765"/>
        <v>84.537688322754235</v>
      </c>
      <c r="J294" s="172">
        <f t="shared" si="766"/>
        <v>15.677387006347459</v>
      </c>
      <c r="K294" s="172">
        <f t="shared" si="767"/>
        <v>100.21507532910169</v>
      </c>
      <c r="L294" s="443"/>
      <c r="M294" s="217">
        <f t="shared" si="768"/>
        <v>0.15642906394324796</v>
      </c>
      <c r="N294" s="172">
        <f t="shared" si="769"/>
        <v>332.00885239816427</v>
      </c>
      <c r="O294" s="172">
        <f t="shared" si="762"/>
        <v>117.00000000000001</v>
      </c>
      <c r="P294" s="217">
        <f t="shared" si="770"/>
        <v>22.133923493210951</v>
      </c>
      <c r="Q294" s="217">
        <f t="shared" si="771"/>
        <v>15</v>
      </c>
      <c r="R294" s="217"/>
      <c r="S294" s="172">
        <f t="shared" si="772"/>
        <v>186.5972728338896</v>
      </c>
      <c r="T294" s="172">
        <f t="shared" si="773"/>
        <v>15</v>
      </c>
      <c r="U294" s="217">
        <f t="shared" si="774"/>
        <v>18.492813506498631</v>
      </c>
      <c r="V294" s="217">
        <f t="shared" si="775"/>
        <v>2.6250275644011558</v>
      </c>
      <c r="W294" s="217">
        <f t="shared" si="776"/>
        <v>14.155022261562793</v>
      </c>
      <c r="X294" s="197">
        <f t="shared" si="777"/>
        <v>110.20714299599099</v>
      </c>
      <c r="Y294" s="443">
        <f t="shared" si="840"/>
        <v>58.892642262504701</v>
      </c>
      <c r="AA294" s="217">
        <f t="shared" si="778"/>
        <v>10</v>
      </c>
      <c r="AB294" s="173">
        <f t="shared" si="779"/>
        <v>7.6543367814683911</v>
      </c>
      <c r="AC294" s="173">
        <f t="shared" si="780"/>
        <v>4.2178129410738023</v>
      </c>
      <c r="AD294" s="173"/>
      <c r="AE294" s="173">
        <f t="shared" si="781"/>
        <v>7.6543367814683911</v>
      </c>
      <c r="AF294" s="545">
        <f t="shared" si="782"/>
        <v>203.80603108251699</v>
      </c>
      <c r="AG294" s="528">
        <f t="shared" si="783"/>
        <v>4.2178129410738023</v>
      </c>
      <c r="AI294" s="173">
        <f t="shared" si="784"/>
        <v>7.6308777080362686</v>
      </c>
      <c r="AJ294" s="173">
        <f t="shared" si="785"/>
        <v>18.492813506498631</v>
      </c>
      <c r="AK294" s="173">
        <f t="shared" si="786"/>
        <v>7.4909729677767638</v>
      </c>
      <c r="AM294" s="545">
        <f t="shared" si="787"/>
        <v>7800.0000000000009</v>
      </c>
      <c r="AN294" s="460">
        <f t="shared" si="788"/>
        <v>58.892642262504701</v>
      </c>
      <c r="AP294">
        <f t="shared" si="789"/>
        <v>7800.0000000000009</v>
      </c>
      <c r="AQ294">
        <f t="shared" si="790"/>
        <v>58.892642262504701</v>
      </c>
      <c r="AS294" s="5">
        <f t="shared" si="763"/>
        <v>16.980049825963945</v>
      </c>
      <c r="AT294" s="5">
        <f t="shared" si="791"/>
        <v>2.6250275644011558</v>
      </c>
      <c r="AU294" s="5">
        <f t="shared" si="722"/>
        <v>14.355022261562789</v>
      </c>
      <c r="AV294" s="5"/>
      <c r="AW294" s="173">
        <f t="shared" si="723"/>
        <v>0.15459480927949132</v>
      </c>
      <c r="AX294" s="173">
        <f t="shared" si="792"/>
        <v>120.84210172218052</v>
      </c>
      <c r="AY294" s="173">
        <f t="shared" si="793"/>
        <v>7.8169602647101373</v>
      </c>
      <c r="AZ294" s="173">
        <f t="shared" si="794"/>
        <v>15.458963283685247</v>
      </c>
      <c r="BA294" s="460">
        <f t="shared" si="724"/>
        <v>136.5014333488601</v>
      </c>
      <c r="BB294" s="5">
        <f t="shared" si="725"/>
        <v>5.5187009812665631</v>
      </c>
      <c r="BD294" s="173">
        <f t="shared" si="841"/>
        <v>4.197974696610606</v>
      </c>
      <c r="BE294" s="173">
        <f t="shared" si="842"/>
        <v>9.8169101847439677</v>
      </c>
      <c r="BG294" s="528">
        <f t="shared" si="843"/>
        <v>0.35245983106765821</v>
      </c>
      <c r="BH294" s="528">
        <f t="shared" si="795"/>
        <v>2.046436904185712</v>
      </c>
      <c r="BI294" s="528">
        <f t="shared" si="796"/>
        <v>0.12446619590227714</v>
      </c>
      <c r="BJ294" s="528">
        <f t="shared" si="844"/>
        <v>5.9146241772864691E-2</v>
      </c>
      <c r="BK294">
        <f t="shared" si="845"/>
        <v>3.8041959745239405E-2</v>
      </c>
      <c r="BL294" s="460">
        <f t="shared" si="846"/>
        <v>162.50815564751656</v>
      </c>
      <c r="BM294" s="528">
        <f t="shared" si="797"/>
        <v>2.7865666382576912</v>
      </c>
      <c r="BN294" s="460">
        <f t="shared" si="847"/>
        <v>2786.5666382576915</v>
      </c>
      <c r="BO294" s="528">
        <f t="shared" si="798"/>
        <v>5.46</v>
      </c>
      <c r="BR294" s="460">
        <f t="shared" si="848"/>
        <v>5460</v>
      </c>
      <c r="BS294" s="528">
        <f t="shared" si="849"/>
        <v>0.52868974660148726</v>
      </c>
      <c r="BT294" s="528">
        <f t="shared" si="850"/>
        <v>2.8911517672598954</v>
      </c>
      <c r="BU294" s="528">
        <f t="shared" si="851"/>
        <v>1.9571768877467881</v>
      </c>
      <c r="BV294" s="528"/>
      <c r="BW294" s="528">
        <f t="shared" si="852"/>
        <v>2.0140350287030089E-2</v>
      </c>
      <c r="BX294" s="460">
        <f t="shared" si="853"/>
        <v>5397.1587518952001</v>
      </c>
      <c r="BY294" s="173">
        <f t="shared" si="854"/>
        <v>13.47770988456895</v>
      </c>
      <c r="BZ294" s="5">
        <f t="shared" si="855"/>
        <v>117.00000000000001</v>
      </c>
      <c r="CA294" s="173">
        <f t="shared" si="856"/>
        <v>0.89670488624844502</v>
      </c>
      <c r="CB294" s="5">
        <f t="shared" si="857"/>
        <v>89.670488624844495</v>
      </c>
      <c r="CE294" s="562">
        <f t="shared" si="799"/>
        <v>-50</v>
      </c>
      <c r="CF294">
        <f t="shared" si="800"/>
        <v>-50</v>
      </c>
      <c r="CG294" s="173">
        <f t="shared" si="801"/>
        <v>0.84358673854711119</v>
      </c>
      <c r="CI294" s="170">
        <v>78</v>
      </c>
      <c r="CJ294" s="217">
        <f t="shared" si="858"/>
        <v>7.8000000000000007</v>
      </c>
      <c r="CK294" s="217"/>
      <c r="CL294" s="217">
        <f t="shared" si="802"/>
        <v>117.00000000000001</v>
      </c>
      <c r="CM294" s="541">
        <f t="shared" si="803"/>
        <v>85</v>
      </c>
      <c r="CN294" s="443">
        <f t="shared" si="804"/>
        <v>15.4</v>
      </c>
      <c r="CO294" s="443">
        <f t="shared" si="805"/>
        <v>100.4</v>
      </c>
      <c r="CP294" s="443"/>
      <c r="CQ294" s="217">
        <f t="shared" si="806"/>
        <v>0.15338645418326693</v>
      </c>
      <c r="CR294" s="172">
        <f t="shared" si="807"/>
        <v>327.33148655378488</v>
      </c>
      <c r="CS294" s="172">
        <f t="shared" si="808"/>
        <v>117.00000000000001</v>
      </c>
      <c r="CT294" s="217">
        <f t="shared" si="809"/>
        <v>21.822099103585661</v>
      </c>
      <c r="CU294" s="217">
        <f t="shared" si="810"/>
        <v>15</v>
      </c>
      <c r="CV294" s="217"/>
      <c r="CW294" s="172">
        <f t="shared" si="811"/>
        <v>187.61673240502535</v>
      </c>
      <c r="CX294" s="172">
        <f t="shared" si="812"/>
        <v>15</v>
      </c>
      <c r="CY294" s="217">
        <f t="shared" si="813"/>
        <v>17.947746371275784</v>
      </c>
      <c r="CZ294" s="217">
        <f t="shared" si="814"/>
        <v>2.5337994877095222</v>
      </c>
      <c r="DA294" s="217">
        <f t="shared" si="815"/>
        <v>13.985256912682429</v>
      </c>
      <c r="DB294" s="197">
        <f t="shared" si="816"/>
        <v>108.64873837981409</v>
      </c>
      <c r="DC294" s="443">
        <f t="shared" si="817"/>
        <v>60.536145392437362</v>
      </c>
      <c r="DE294" s="217">
        <f t="shared" si="818"/>
        <v>10</v>
      </c>
      <c r="DF294" s="173">
        <f t="shared" si="819"/>
        <v>7.7922077922077913</v>
      </c>
      <c r="DG294" s="173">
        <f t="shared" si="820"/>
        <v>4.2330677290836656</v>
      </c>
      <c r="DH294" s="173"/>
      <c r="DI294" s="173">
        <f t="shared" si="821"/>
        <v>7.7922077922077913</v>
      </c>
      <c r="DJ294" s="545">
        <f t="shared" si="822"/>
        <v>200.20000000000002</v>
      </c>
      <c r="DK294" s="528">
        <f t="shared" si="823"/>
        <v>4.2330677290836656</v>
      </c>
      <c r="DM294" s="173">
        <f t="shared" si="824"/>
        <v>7.5630681604756154</v>
      </c>
      <c r="DN294" s="173">
        <f t="shared" si="825"/>
        <v>17.947746371275784</v>
      </c>
      <c r="DO294" s="173">
        <f t="shared" si="826"/>
        <v>7.0872195342783586</v>
      </c>
      <c r="DQ294" s="545">
        <f t="shared" si="827"/>
        <v>7800.0000000000009</v>
      </c>
      <c r="DR294" s="460">
        <f t="shared" si="828"/>
        <v>60.536145392437362</v>
      </c>
      <c r="DT294">
        <f t="shared" si="829"/>
        <v>7800.0000000000009</v>
      </c>
      <c r="DU294">
        <f t="shared" si="830"/>
        <v>60.536145392437362</v>
      </c>
      <c r="DW294" s="5">
        <f t="shared" si="859"/>
        <v>16.51905640039195</v>
      </c>
      <c r="DX294" s="5">
        <f t="shared" si="831"/>
        <v>2.5337994877095222</v>
      </c>
      <c r="DY294" s="5">
        <f t="shared" si="832"/>
        <v>13.985256912682427</v>
      </c>
      <c r="DZ294" s="5"/>
      <c r="EA294" s="173">
        <f t="shared" si="833"/>
        <v>0.15338645418326693</v>
      </c>
      <c r="EB294" s="173">
        <f t="shared" si="860"/>
        <v>117.00000000000003</v>
      </c>
      <c r="EC294" s="173">
        <f t="shared" si="861"/>
        <v>7.5974025974025983</v>
      </c>
      <c r="ED294" s="173">
        <f t="shared" si="862"/>
        <v>15.400000000000002</v>
      </c>
      <c r="EE294" s="460">
        <f t="shared" si="834"/>
        <v>131.75757336089518</v>
      </c>
      <c r="EF294" s="5">
        <f t="shared" si="835"/>
        <v>5.3473041136726929</v>
      </c>
      <c r="EH294" s="173">
        <f t="shared" si="863"/>
        <v>4.0582874060509679</v>
      </c>
      <c r="EI294" s="173">
        <f t="shared" si="864"/>
        <v>9.5343678307707318</v>
      </c>
      <c r="EK294" s="528">
        <f t="shared" si="865"/>
        <v>0.32939393340223788</v>
      </c>
      <c r="EL294" s="528">
        <f t="shared" si="866"/>
        <v>2.1816666666666671</v>
      </c>
      <c r="EM294" s="528">
        <f t="shared" si="867"/>
        <v>7.56701817405467E-3</v>
      </c>
      <c r="EN294" s="528">
        <f t="shared" si="868"/>
        <v>6.1021403133903147E-2</v>
      </c>
      <c r="EO294">
        <f t="shared" si="869"/>
        <v>3.8249999999999999E-2</v>
      </c>
      <c r="EP294" s="460">
        <f t="shared" si="870"/>
        <v>45.817018174054667</v>
      </c>
      <c r="EQ294" s="460"/>
      <c r="ER294" s="460">
        <f t="shared" si="871"/>
        <v>2617.8990213768629</v>
      </c>
      <c r="ES294" s="528">
        <f t="shared" si="872"/>
        <v>5.46</v>
      </c>
      <c r="EV294" s="460">
        <f t="shared" si="873"/>
        <v>5460</v>
      </c>
      <c r="EW294" s="528">
        <f t="shared" si="874"/>
        <v>0.49409090010335682</v>
      </c>
      <c r="EX294" s="528">
        <f t="shared" si="875"/>
        <v>2.7271250979730737</v>
      </c>
      <c r="EY294" s="528">
        <f t="shared" si="876"/>
        <v>1.9455021880180816</v>
      </c>
      <c r="EZ294" s="528"/>
      <c r="FA294" s="528">
        <f t="shared" si="877"/>
        <v>1.9500000000000003E-2</v>
      </c>
      <c r="FB294" s="460">
        <f t="shared" si="878"/>
        <v>5186.218186094512</v>
      </c>
      <c r="FC294" s="173">
        <f t="shared" si="879"/>
        <v>13.264117207471378</v>
      </c>
      <c r="FD294" s="5">
        <f t="shared" si="880"/>
        <v>117.00000000000001</v>
      </c>
      <c r="FE294" s="173">
        <f t="shared" si="881"/>
        <v>0.89817520364149361</v>
      </c>
      <c r="FF294" s="5">
        <f t="shared" si="882"/>
        <v>89.81752036414936</v>
      </c>
      <c r="FI294" s="562">
        <f t="shared" si="836"/>
        <v>-50</v>
      </c>
      <c r="FJ294">
        <f t="shared" si="837"/>
        <v>-50</v>
      </c>
      <c r="FL294">
        <f t="shared" si="838"/>
        <v>0.84661354581673309</v>
      </c>
    </row>
    <row r="295" spans="5:168">
      <c r="E295" s="170">
        <v>79</v>
      </c>
      <c r="F295" s="217">
        <f t="shared" si="839"/>
        <v>7.9</v>
      </c>
      <c r="G295" s="217"/>
      <c r="H295" s="217">
        <f t="shared" si="764"/>
        <v>118.5</v>
      </c>
      <c r="I295" s="541">
        <f t="shared" si="765"/>
        <v>84.531782515467185</v>
      </c>
      <c r="J295" s="172">
        <f t="shared" si="766"/>
        <v>15.680930490719691</v>
      </c>
      <c r="K295" s="172">
        <f t="shared" si="767"/>
        <v>100.21271300618687</v>
      </c>
      <c r="L295" s="443"/>
      <c r="M295" s="217">
        <f t="shared" si="768"/>
        <v>0.1564681118537746</v>
      </c>
      <c r="N295" s="172">
        <f t="shared" si="769"/>
        <v>332.068528688421</v>
      </c>
      <c r="O295" s="172">
        <f t="shared" si="762"/>
        <v>118.5</v>
      </c>
      <c r="P295" s="217">
        <f t="shared" si="770"/>
        <v>22.1379019125614</v>
      </c>
      <c r="Q295" s="217">
        <f t="shared" si="771"/>
        <v>15</v>
      </c>
      <c r="R295" s="217"/>
      <c r="S295" s="172">
        <f t="shared" si="772"/>
        <v>183.15806553293089</v>
      </c>
      <c r="T295" s="172">
        <f t="shared" si="773"/>
        <v>15</v>
      </c>
      <c r="U295" s="217">
        <f t="shared" si="774"/>
        <v>18.730767884451438</v>
      </c>
      <c r="V295" s="217">
        <f t="shared" si="775"/>
        <v>2.65899059412701</v>
      </c>
      <c r="W295" s="217">
        <f t="shared" si="776"/>
        <v>14.333920729158292</v>
      </c>
      <c r="X295" s="197">
        <f t="shared" si="777"/>
        <v>110.22695009762549</v>
      </c>
      <c r="Y295" s="443">
        <f t="shared" si="840"/>
        <v>58.163505947107701</v>
      </c>
      <c r="AA295" s="217">
        <f t="shared" si="778"/>
        <v>10</v>
      </c>
      <c r="AB295" s="173">
        <f t="shared" si="779"/>
        <v>7.6526070994969704</v>
      </c>
      <c r="AC295" s="173">
        <f t="shared" si="780"/>
        <v>4.217617704364935</v>
      </c>
      <c r="AD295" s="173"/>
      <c r="AE295" s="173">
        <f t="shared" si="781"/>
        <v>7.6526070994969704</v>
      </c>
      <c r="AF295" s="545">
        <f t="shared" si="782"/>
        <v>206.46558479447589</v>
      </c>
      <c r="AG295" s="528">
        <f t="shared" si="783"/>
        <v>4.217617704364935</v>
      </c>
      <c r="AI295" s="173">
        <f t="shared" si="784"/>
        <v>7.6805056528939541</v>
      </c>
      <c r="AJ295" s="173">
        <f t="shared" si="785"/>
        <v>18.730767884451438</v>
      </c>
      <c r="AK295" s="173">
        <f t="shared" si="786"/>
        <v>7.6672354699640284</v>
      </c>
      <c r="AM295" s="545">
        <f t="shared" si="787"/>
        <v>7900</v>
      </c>
      <c r="AN295" s="460">
        <f t="shared" si="788"/>
        <v>58.163505947107701</v>
      </c>
      <c r="AP295">
        <f t="shared" si="789"/>
        <v>7900</v>
      </c>
      <c r="AQ295">
        <f t="shared" si="790"/>
        <v>58.163505947107701</v>
      </c>
      <c r="AS295" s="5">
        <f t="shared" si="763"/>
        <v>17.192911323285301</v>
      </c>
      <c r="AT295" s="5">
        <f t="shared" si="791"/>
        <v>2.65899059412701</v>
      </c>
      <c r="AU295" s="5">
        <f t="shared" si="722"/>
        <v>14.533920729158291</v>
      </c>
      <c r="AV295" s="5"/>
      <c r="AW295" s="173">
        <f t="shared" si="723"/>
        <v>0.1546562152348098</v>
      </c>
      <c r="AX295" s="173">
        <f t="shared" si="792"/>
        <v>122.43708780119164</v>
      </c>
      <c r="AY295" s="173">
        <f t="shared" si="793"/>
        <v>7.9169691075002273</v>
      </c>
      <c r="AZ295" s="173">
        <f t="shared" si="794"/>
        <v>15.46514659065671</v>
      </c>
      <c r="BA295" s="460">
        <f t="shared" si="724"/>
        <v>140.04017129068922</v>
      </c>
      <c r="BB295" s="5">
        <f t="shared" si="725"/>
        <v>5.6595071080386097</v>
      </c>
      <c r="BD295" s="173">
        <f t="shared" si="841"/>
        <v>4.2528360787941102</v>
      </c>
      <c r="BE295" s="173">
        <f t="shared" si="842"/>
        <v>9.9428671485629803</v>
      </c>
      <c r="BG295" s="528">
        <f t="shared" si="843"/>
        <v>0.36173229426185727</v>
      </c>
      <c r="BH295" s="528">
        <f t="shared" si="795"/>
        <v>2.047058484338645</v>
      </c>
      <c r="BI295" s="528">
        <f t="shared" si="796"/>
        <v>0.12291662087644976</v>
      </c>
      <c r="BJ295" s="528">
        <f t="shared" si="844"/>
        <v>5.8411211802501119E-2</v>
      </c>
      <c r="BK295">
        <f t="shared" si="845"/>
        <v>3.8039302131960231E-2</v>
      </c>
      <c r="BL295" s="460">
        <f t="shared" si="846"/>
        <v>160.95592300841</v>
      </c>
      <c r="BM295" s="528">
        <f t="shared" si="797"/>
        <v>2.8060422909437599</v>
      </c>
      <c r="BN295" s="460">
        <f t="shared" si="847"/>
        <v>2806.0422909437598</v>
      </c>
      <c r="BO295" s="528">
        <f t="shared" si="798"/>
        <v>5.53</v>
      </c>
      <c r="BR295" s="460">
        <f t="shared" si="848"/>
        <v>5530</v>
      </c>
      <c r="BS295" s="528">
        <f t="shared" si="849"/>
        <v>0.5425984413927859</v>
      </c>
      <c r="BT295" s="528">
        <f t="shared" si="850"/>
        <v>2.9658182140191878</v>
      </c>
      <c r="BU295" s="528">
        <f t="shared" si="851"/>
        <v>1.9587788290014829</v>
      </c>
      <c r="BV295" s="528"/>
      <c r="BW295" s="528">
        <f t="shared" si="852"/>
        <v>2.0406181300198608E-2</v>
      </c>
      <c r="BX295" s="460">
        <f t="shared" si="853"/>
        <v>5487.6016657136543</v>
      </c>
      <c r="BY295" s="173">
        <f t="shared" si="854"/>
        <v>13.645759579125068</v>
      </c>
      <c r="BZ295" s="5">
        <f t="shared" si="855"/>
        <v>118.5</v>
      </c>
      <c r="CA295" s="173">
        <f t="shared" si="856"/>
        <v>0.89673706048089741</v>
      </c>
      <c r="CB295" s="5">
        <f t="shared" si="857"/>
        <v>89.673706048089741</v>
      </c>
      <c r="CE295" s="562">
        <f t="shared" si="799"/>
        <v>-50</v>
      </c>
      <c r="CF295">
        <f t="shared" si="800"/>
        <v>-50</v>
      </c>
      <c r="CG295" s="173">
        <f t="shared" si="801"/>
        <v>0.84362505256318243</v>
      </c>
      <c r="CI295" s="170">
        <v>79</v>
      </c>
      <c r="CJ295" s="217">
        <f t="shared" si="858"/>
        <v>7.9</v>
      </c>
      <c r="CK295" s="217"/>
      <c r="CL295" s="217">
        <f t="shared" si="802"/>
        <v>118.5</v>
      </c>
      <c r="CM295" s="541">
        <f t="shared" si="803"/>
        <v>85</v>
      </c>
      <c r="CN295" s="443">
        <f t="shared" si="804"/>
        <v>15.4</v>
      </c>
      <c r="CO295" s="443">
        <f t="shared" si="805"/>
        <v>100.4</v>
      </c>
      <c r="CP295" s="443"/>
      <c r="CQ295" s="217">
        <f t="shared" si="806"/>
        <v>0.15338645418326693</v>
      </c>
      <c r="CR295" s="172">
        <f t="shared" si="807"/>
        <v>327.33148655378488</v>
      </c>
      <c r="CS295" s="172">
        <f t="shared" si="808"/>
        <v>118.5</v>
      </c>
      <c r="CT295" s="217">
        <f t="shared" si="809"/>
        <v>21.822099103585661</v>
      </c>
      <c r="CU295" s="217">
        <f t="shared" si="810"/>
        <v>15</v>
      </c>
      <c r="CV295" s="217"/>
      <c r="CW295" s="172">
        <f t="shared" si="811"/>
        <v>184.17155217510577</v>
      </c>
      <c r="CX295" s="172">
        <f t="shared" si="812"/>
        <v>15</v>
      </c>
      <c r="CY295" s="217">
        <f t="shared" si="813"/>
        <v>18.177845683728037</v>
      </c>
      <c r="CZ295" s="217">
        <f t="shared" si="814"/>
        <v>2.566284096526311</v>
      </c>
      <c r="DA295" s="217">
        <f t="shared" si="815"/>
        <v>14.16455507822964</v>
      </c>
      <c r="DB295" s="197">
        <f t="shared" si="816"/>
        <v>108.64873837981409</v>
      </c>
      <c r="DC295" s="443">
        <f t="shared" si="817"/>
        <v>59.769865071014102</v>
      </c>
      <c r="DE295" s="217">
        <f t="shared" si="818"/>
        <v>10</v>
      </c>
      <c r="DF295" s="173">
        <f t="shared" si="819"/>
        <v>7.7922077922077913</v>
      </c>
      <c r="DG295" s="173">
        <f t="shared" si="820"/>
        <v>4.2330677290836656</v>
      </c>
      <c r="DH295" s="173"/>
      <c r="DI295" s="173">
        <f t="shared" si="821"/>
        <v>7.7922077922077913</v>
      </c>
      <c r="DJ295" s="545">
        <f t="shared" si="822"/>
        <v>202.76666666666668</v>
      </c>
      <c r="DK295" s="528">
        <f t="shared" si="823"/>
        <v>4.2330677290836656</v>
      </c>
      <c r="DM295" s="173">
        <f t="shared" si="824"/>
        <v>7.6113949663207823</v>
      </c>
      <c r="DN295" s="173">
        <f t="shared" si="825"/>
        <v>18.177845683728037</v>
      </c>
      <c r="DO295" s="173">
        <f t="shared" si="826"/>
        <v>7.2576634694281754</v>
      </c>
      <c r="DQ295" s="545">
        <f t="shared" si="827"/>
        <v>7900</v>
      </c>
      <c r="DR295" s="460">
        <f t="shared" si="828"/>
        <v>59.769865071014102</v>
      </c>
      <c r="DT295">
        <f t="shared" si="829"/>
        <v>7900</v>
      </c>
      <c r="DU295">
        <f t="shared" si="830"/>
        <v>59.769865071014102</v>
      </c>
      <c r="DW295" s="5">
        <f t="shared" si="859"/>
        <v>16.73083917475595</v>
      </c>
      <c r="DX295" s="5">
        <f t="shared" si="831"/>
        <v>2.566284096526311</v>
      </c>
      <c r="DY295" s="5">
        <f t="shared" si="832"/>
        <v>14.16455507822964</v>
      </c>
      <c r="DZ295" s="5"/>
      <c r="EA295" s="173">
        <f t="shared" si="833"/>
        <v>0.15338645418326693</v>
      </c>
      <c r="EB295" s="173">
        <f t="shared" si="860"/>
        <v>118.50000000000003</v>
      </c>
      <c r="EC295" s="173">
        <f t="shared" si="861"/>
        <v>7.6948051948051956</v>
      </c>
      <c r="ED295" s="173">
        <f t="shared" si="862"/>
        <v>15.400000000000002</v>
      </c>
      <c r="EE295" s="460">
        <f t="shared" si="834"/>
        <v>135.15762908371903</v>
      </c>
      <c r="EF295" s="5">
        <f t="shared" si="835"/>
        <v>5.4852933881379489</v>
      </c>
      <c r="EH295" s="173">
        <f t="shared" si="863"/>
        <v>4.1103167317695704</v>
      </c>
      <c r="EI295" s="173">
        <f t="shared" si="864"/>
        <v>9.6566033157806128</v>
      </c>
      <c r="EK295" s="528">
        <f t="shared" si="865"/>
        <v>0.33789407270929767</v>
      </c>
      <c r="EL295" s="528">
        <f t="shared" si="866"/>
        <v>2.1816666666666671</v>
      </c>
      <c r="EM295" s="528">
        <f t="shared" si="867"/>
        <v>7.4712331338767628E-3</v>
      </c>
      <c r="EN295" s="528">
        <f t="shared" si="868"/>
        <v>6.0248980309423363E-2</v>
      </c>
      <c r="EO295">
        <f t="shared" si="869"/>
        <v>3.8249999999999999E-2</v>
      </c>
      <c r="EP295" s="460">
        <f t="shared" si="870"/>
        <v>45.721233133876765</v>
      </c>
      <c r="EQ295" s="460"/>
      <c r="ER295" s="460">
        <f t="shared" si="871"/>
        <v>2625.5309528192652</v>
      </c>
      <c r="ES295" s="528">
        <f t="shared" si="872"/>
        <v>5.53</v>
      </c>
      <c r="EV295" s="460">
        <f t="shared" si="873"/>
        <v>5530</v>
      </c>
      <c r="EW295" s="528">
        <f t="shared" si="874"/>
        <v>0.50684110906394642</v>
      </c>
      <c r="EX295" s="528">
        <f t="shared" si="875"/>
        <v>2.7974996279503537</v>
      </c>
      <c r="EY295" s="528">
        <f t="shared" si="876"/>
        <v>1.9455021880180834</v>
      </c>
      <c r="EZ295" s="528"/>
      <c r="FA295" s="528">
        <f t="shared" si="877"/>
        <v>1.9750000000000004E-2</v>
      </c>
      <c r="FB295" s="460">
        <f t="shared" si="878"/>
        <v>5269.5929250323834</v>
      </c>
      <c r="FC295" s="173">
        <f t="shared" si="879"/>
        <v>13.42512387785165</v>
      </c>
      <c r="FD295" s="5">
        <f t="shared" si="880"/>
        <v>118.5</v>
      </c>
      <c r="FE295" s="173">
        <f t="shared" si="881"/>
        <v>0.89823679157366665</v>
      </c>
      <c r="FF295" s="5">
        <f t="shared" si="882"/>
        <v>89.823679157366669</v>
      </c>
      <c r="FI295" s="562">
        <f t="shared" si="836"/>
        <v>-50</v>
      </c>
      <c r="FJ295">
        <f t="shared" si="837"/>
        <v>-50</v>
      </c>
      <c r="FL295">
        <f t="shared" si="838"/>
        <v>0.84661354581673309</v>
      </c>
    </row>
    <row r="296" spans="5:168">
      <c r="E296" s="170">
        <v>80</v>
      </c>
      <c r="F296" s="217">
        <f t="shared" si="839"/>
        <v>8</v>
      </c>
      <c r="G296" s="217"/>
      <c r="H296" s="217">
        <f t="shared" si="764"/>
        <v>120</v>
      </c>
      <c r="I296" s="541">
        <f t="shared" si="765"/>
        <v>84.525876706296913</v>
      </c>
      <c r="J296" s="172">
        <f t="shared" si="766"/>
        <v>15.684473976221851</v>
      </c>
      <c r="K296" s="172">
        <f t="shared" si="767"/>
        <v>100.21035068251877</v>
      </c>
      <c r="L296" s="443"/>
      <c r="M296" s="217">
        <f t="shared" si="768"/>
        <v>0.15650716160822853</v>
      </c>
      <c r="N296" s="172">
        <f t="shared" si="769"/>
        <v>332.12819730485114</v>
      </c>
      <c r="O296" s="172">
        <f t="shared" si="762"/>
        <v>120</v>
      </c>
      <c r="P296" s="217">
        <f t="shared" si="770"/>
        <v>22.14187982032341</v>
      </c>
      <c r="Q296" s="217">
        <f t="shared" si="771"/>
        <v>15</v>
      </c>
      <c r="R296" s="217"/>
      <c r="S296" s="172">
        <f t="shared" si="772"/>
        <v>179.80510948829894</v>
      </c>
      <c r="T296" s="172">
        <f t="shared" si="773"/>
        <v>15</v>
      </c>
      <c r="U296" s="217">
        <f t="shared" si="774"/>
        <v>18.968744335169553</v>
      </c>
      <c r="V296" s="217">
        <f t="shared" si="775"/>
        <v>2.6929615035282715</v>
      </c>
      <c r="W296" s="217">
        <f t="shared" si="776"/>
        <v>14.512755248733308</v>
      </c>
      <c r="X296" s="197">
        <f t="shared" si="777"/>
        <v>110.24675465889113</v>
      </c>
      <c r="Y296" s="443">
        <f t="shared" si="840"/>
        <v>57.452388444162565</v>
      </c>
      <c r="AA296" s="217">
        <f t="shared" si="778"/>
        <v>10</v>
      </c>
      <c r="AB296" s="173">
        <f t="shared" si="779"/>
        <v>7.6508781985244596</v>
      </c>
      <c r="AC296" s="173">
        <f t="shared" si="780"/>
        <v>4.217422458388925</v>
      </c>
      <c r="AD296" s="173"/>
      <c r="AE296" s="173">
        <f t="shared" si="781"/>
        <v>7.6508781985244596</v>
      </c>
      <c r="AF296" s="545">
        <f t="shared" si="782"/>
        <v>209.12631968295798</v>
      </c>
      <c r="AG296" s="528">
        <f t="shared" si="783"/>
        <v>4.2174224583889259</v>
      </c>
      <c r="AI296" s="173">
        <f t="shared" si="784"/>
        <v>7.7298368063157534</v>
      </c>
      <c r="AJ296" s="173">
        <f t="shared" si="785"/>
        <v>18.968744335169553</v>
      </c>
      <c r="AK296" s="173">
        <f t="shared" si="786"/>
        <v>7.8435143223478168</v>
      </c>
      <c r="AM296" s="545">
        <f t="shared" si="787"/>
        <v>8000</v>
      </c>
      <c r="AN296" s="460">
        <f t="shared" si="788"/>
        <v>57.452388444162565</v>
      </c>
      <c r="AP296">
        <f t="shared" si="789"/>
        <v>8000</v>
      </c>
      <c r="AQ296">
        <f t="shared" si="790"/>
        <v>57.452388444162565</v>
      </c>
      <c r="AS296" s="5">
        <f t="shared" si="763"/>
        <v>17.405716752261583</v>
      </c>
      <c r="AT296" s="5">
        <f t="shared" si="791"/>
        <v>2.6929615035282715</v>
      </c>
      <c r="AU296" s="5">
        <f t="shared" si="722"/>
        <v>14.712755248733311</v>
      </c>
      <c r="AV296" s="5"/>
      <c r="AW296" s="173">
        <f t="shared" si="723"/>
        <v>0.15471707036588228</v>
      </c>
      <c r="AX296" s="173">
        <f t="shared" si="792"/>
        <v>124.03278765510488</v>
      </c>
      <c r="AY296" s="173">
        <f t="shared" si="793"/>
        <v>8.0169778915563477</v>
      </c>
      <c r="AZ296" s="173">
        <f t="shared" si="794"/>
        <v>15.471264774939552</v>
      </c>
      <c r="BA296" s="460">
        <f t="shared" si="724"/>
        <v>143.62461352150783</v>
      </c>
      <c r="BB296" s="5">
        <f t="shared" si="725"/>
        <v>5.8020714373879052</v>
      </c>
      <c r="BD296" s="173">
        <f t="shared" si="841"/>
        <v>4.3077160894434146</v>
      </c>
      <c r="BE296" s="173">
        <f t="shared" si="842"/>
        <v>10.068829920953709</v>
      </c>
      <c r="BG296" s="528">
        <f t="shared" si="843"/>
        <v>0.37112835814499329</v>
      </c>
      <c r="BH296" s="528">
        <f t="shared" si="795"/>
        <v>2.0476726291529297</v>
      </c>
      <c r="BI296" s="528">
        <f t="shared" si="796"/>
        <v>0.12140533755283907</v>
      </c>
      <c r="BJ296" s="528">
        <f t="shared" si="844"/>
        <v>5.7694345638530431E-2</v>
      </c>
      <c r="BK296">
        <f t="shared" si="845"/>
        <v>3.8036644517833611E-2</v>
      </c>
      <c r="BL296" s="460">
        <f t="shared" si="846"/>
        <v>159.44198207067268</v>
      </c>
      <c r="BM296" s="528">
        <f t="shared" si="797"/>
        <v>2.8258869801896371</v>
      </c>
      <c r="BN296" s="460">
        <f t="shared" si="847"/>
        <v>2825.8869801896371</v>
      </c>
      <c r="BO296" s="528">
        <f t="shared" si="798"/>
        <v>5.6</v>
      </c>
      <c r="BR296" s="460">
        <f t="shared" si="848"/>
        <v>5600</v>
      </c>
      <c r="BS296" s="528">
        <f t="shared" si="849"/>
        <v>0.5566925372174899</v>
      </c>
      <c r="BT296" s="528">
        <f t="shared" si="850"/>
        <v>3.04144007931278</v>
      </c>
      <c r="BU296" s="528">
        <f t="shared" si="851"/>
        <v>1.9603638365037679</v>
      </c>
      <c r="BV296" s="528"/>
      <c r="BW296" s="528">
        <f t="shared" si="852"/>
        <v>2.0672131275850814E-2</v>
      </c>
      <c r="BX296" s="460">
        <f t="shared" si="853"/>
        <v>5579.1685843098885</v>
      </c>
      <c r="BY296" s="173">
        <f t="shared" si="854"/>
        <v>13.815105899317015</v>
      </c>
      <c r="BZ296" s="5">
        <f t="shared" si="855"/>
        <v>120</v>
      </c>
      <c r="CA296" s="173">
        <f t="shared" si="856"/>
        <v>0.89675974318092644</v>
      </c>
      <c r="CB296" s="5">
        <f t="shared" si="857"/>
        <v>89.675974318092642</v>
      </c>
      <c r="CE296" s="562">
        <f t="shared" si="799"/>
        <v>-50</v>
      </c>
      <c r="CF296">
        <f t="shared" si="800"/>
        <v>-50</v>
      </c>
      <c r="CG296" s="173">
        <f t="shared" si="801"/>
        <v>0.84366240872885179</v>
      </c>
      <c r="CI296" s="170">
        <v>80</v>
      </c>
      <c r="CJ296" s="217">
        <f t="shared" si="858"/>
        <v>8</v>
      </c>
      <c r="CK296" s="217"/>
      <c r="CL296" s="217">
        <f t="shared" si="802"/>
        <v>120</v>
      </c>
      <c r="CM296" s="541">
        <f t="shared" si="803"/>
        <v>85</v>
      </c>
      <c r="CN296" s="443">
        <f t="shared" si="804"/>
        <v>15.4</v>
      </c>
      <c r="CO296" s="443">
        <f t="shared" si="805"/>
        <v>100.4</v>
      </c>
      <c r="CP296" s="443"/>
      <c r="CQ296" s="217">
        <f t="shared" si="806"/>
        <v>0.15338645418326693</v>
      </c>
      <c r="CR296" s="172">
        <f t="shared" si="807"/>
        <v>327.33148655378488</v>
      </c>
      <c r="CS296" s="172">
        <f t="shared" si="808"/>
        <v>120</v>
      </c>
      <c r="CT296" s="217">
        <f t="shared" si="809"/>
        <v>21.822099103585661</v>
      </c>
      <c r="CU296" s="217">
        <f t="shared" si="810"/>
        <v>15</v>
      </c>
      <c r="CV296" s="217"/>
      <c r="CW296" s="172">
        <f t="shared" si="811"/>
        <v>180.81262489655126</v>
      </c>
      <c r="CX296" s="172">
        <f t="shared" si="812"/>
        <v>15</v>
      </c>
      <c r="CY296" s="217">
        <f t="shared" si="813"/>
        <v>18.407944996180291</v>
      </c>
      <c r="CZ296" s="217">
        <f t="shared" si="814"/>
        <v>2.5987687053430997</v>
      </c>
      <c r="DA296" s="217">
        <f t="shared" si="815"/>
        <v>14.343853243776849</v>
      </c>
      <c r="DB296" s="197">
        <f t="shared" si="816"/>
        <v>108.64873837981409</v>
      </c>
      <c r="DC296" s="443">
        <f t="shared" si="817"/>
        <v>59.02274175762642</v>
      </c>
      <c r="DE296" s="217">
        <f t="shared" si="818"/>
        <v>10</v>
      </c>
      <c r="DF296" s="173">
        <f t="shared" si="819"/>
        <v>7.7922077922077913</v>
      </c>
      <c r="DG296" s="173">
        <f t="shared" si="820"/>
        <v>4.2330677290836656</v>
      </c>
      <c r="DH296" s="173"/>
      <c r="DI296" s="173">
        <f t="shared" si="821"/>
        <v>7.7922077922077913</v>
      </c>
      <c r="DJ296" s="545">
        <f t="shared" si="822"/>
        <v>205.33333333333334</v>
      </c>
      <c r="DK296" s="528">
        <f t="shared" si="823"/>
        <v>4.2330677290836656</v>
      </c>
      <c r="DM296" s="173">
        <f t="shared" si="824"/>
        <v>7.6594168620507048</v>
      </c>
      <c r="DN296" s="173">
        <f t="shared" si="825"/>
        <v>18.407944996180291</v>
      </c>
      <c r="DO296" s="173">
        <f t="shared" si="826"/>
        <v>7.4281074045779931</v>
      </c>
      <c r="DQ296" s="545">
        <f t="shared" si="827"/>
        <v>8000</v>
      </c>
      <c r="DR296" s="460">
        <f t="shared" si="828"/>
        <v>59.02274175762642</v>
      </c>
      <c r="DT296">
        <f t="shared" si="829"/>
        <v>8000</v>
      </c>
      <c r="DU296">
        <f t="shared" si="830"/>
        <v>59.02274175762642</v>
      </c>
      <c r="DW296" s="5">
        <f t="shared" si="859"/>
        <v>16.94262194911995</v>
      </c>
      <c r="DX296" s="5">
        <f t="shared" si="831"/>
        <v>2.5987687053430997</v>
      </c>
      <c r="DY296" s="5">
        <f t="shared" si="832"/>
        <v>14.34385324377685</v>
      </c>
      <c r="DZ296" s="5"/>
      <c r="EA296" s="173">
        <f t="shared" si="833"/>
        <v>0.15338645418326693</v>
      </c>
      <c r="EB296" s="173">
        <f t="shared" si="860"/>
        <v>120</v>
      </c>
      <c r="EC296" s="173">
        <f t="shared" si="861"/>
        <v>7.792207792207793</v>
      </c>
      <c r="ED296" s="173">
        <f t="shared" si="862"/>
        <v>15.399999999999999</v>
      </c>
      <c r="EE296" s="460">
        <f t="shared" si="834"/>
        <v>138.60099761829863</v>
      </c>
      <c r="EF296" s="5">
        <f t="shared" si="835"/>
        <v>5.6250404877556281</v>
      </c>
      <c r="EH296" s="173">
        <f t="shared" si="863"/>
        <v>4.1623460574881728</v>
      </c>
      <c r="EI296" s="173">
        <f t="shared" si="864"/>
        <v>9.7788388007904938</v>
      </c>
      <c r="EK296" s="528">
        <f t="shared" si="865"/>
        <v>0.34650249404574673</v>
      </c>
      <c r="EL296" s="528">
        <f t="shared" si="866"/>
        <v>2.1816666666666671</v>
      </c>
      <c r="EM296" s="528">
        <f t="shared" si="867"/>
        <v>7.3778427197033021E-3</v>
      </c>
      <c r="EN296" s="528">
        <f t="shared" si="868"/>
        <v>5.9495868055555561E-2</v>
      </c>
      <c r="EO296">
        <f t="shared" si="869"/>
        <v>3.8249999999999999E-2</v>
      </c>
      <c r="EP296" s="460">
        <f t="shared" si="870"/>
        <v>45.627842719703295</v>
      </c>
      <c r="EQ296" s="460"/>
      <c r="ER296" s="460">
        <f t="shared" si="871"/>
        <v>2633.2928714876725</v>
      </c>
      <c r="ES296" s="528">
        <f t="shared" si="872"/>
        <v>5.6</v>
      </c>
      <c r="EV296" s="460">
        <f t="shared" si="873"/>
        <v>5600</v>
      </c>
      <c r="EW296" s="528">
        <f t="shared" si="874"/>
        <v>0.51975374106862005</v>
      </c>
      <c r="EX296" s="528">
        <f t="shared" si="875"/>
        <v>2.8687706487553699</v>
      </c>
      <c r="EY296" s="528">
        <f t="shared" si="876"/>
        <v>1.9455021880180834</v>
      </c>
      <c r="EZ296" s="528"/>
      <c r="FA296" s="528">
        <f t="shared" si="877"/>
        <v>0.02</v>
      </c>
      <c r="FB296" s="460">
        <f t="shared" si="878"/>
        <v>5354.0265778420726</v>
      </c>
      <c r="FC296" s="173">
        <f t="shared" si="879"/>
        <v>13.587319449329746</v>
      </c>
      <c r="FD296" s="5">
        <f t="shared" si="880"/>
        <v>120</v>
      </c>
      <c r="FE296" s="173">
        <f t="shared" si="881"/>
        <v>0.89828885327335661</v>
      </c>
      <c r="FF296" s="5">
        <f t="shared" si="882"/>
        <v>89.828885327335655</v>
      </c>
      <c r="FI296" s="562">
        <f t="shared" si="836"/>
        <v>-50</v>
      </c>
      <c r="FJ296">
        <f t="shared" si="837"/>
        <v>-50</v>
      </c>
      <c r="FL296">
        <f t="shared" si="838"/>
        <v>0.84661354581673309</v>
      </c>
    </row>
    <row r="297" spans="5:168">
      <c r="E297" s="170">
        <v>81</v>
      </c>
      <c r="F297" s="217">
        <f t="shared" si="839"/>
        <v>8.1000000000000014</v>
      </c>
      <c r="G297" s="217"/>
      <c r="H297" s="217">
        <f t="shared" si="764"/>
        <v>121.50000000000003</v>
      </c>
      <c r="I297" s="541">
        <f t="shared" si="765"/>
        <v>84.519970895313435</v>
      </c>
      <c r="J297" s="172">
        <f t="shared" si="766"/>
        <v>15.688017462811942</v>
      </c>
      <c r="K297" s="172">
        <f t="shared" si="767"/>
        <v>100.20798835812538</v>
      </c>
      <c r="L297" s="443"/>
      <c r="M297" s="217">
        <f t="shared" si="768"/>
        <v>0.15654621320663295</v>
      </c>
      <c r="N297" s="172">
        <f t="shared" si="769"/>
        <v>332.18785824695328</v>
      </c>
      <c r="O297" s="172">
        <f t="shared" si="762"/>
        <v>121.50000000000003</v>
      </c>
      <c r="P297" s="217">
        <f t="shared" si="770"/>
        <v>22.145857216463551</v>
      </c>
      <c r="Q297" s="217">
        <f t="shared" si="771"/>
        <v>15</v>
      </c>
      <c r="R297" s="217"/>
      <c r="S297" s="172">
        <f t="shared" si="772"/>
        <v>176.53521232997801</v>
      </c>
      <c r="T297" s="172">
        <f t="shared" si="773"/>
        <v>15</v>
      </c>
      <c r="U297" s="217">
        <f t="shared" si="774"/>
        <v>19.206742863280009</v>
      </c>
      <c r="V297" s="217">
        <f t="shared" si="775"/>
        <v>2.7269402949136619</v>
      </c>
      <c r="W297" s="217">
        <f t="shared" si="776"/>
        <v>14.691525867160044</v>
      </c>
      <c r="X297" s="197">
        <f t="shared" si="777"/>
        <v>110.26655667937071</v>
      </c>
      <c r="Y297" s="443">
        <f t="shared" si="840"/>
        <v>56.758629883039681</v>
      </c>
      <c r="AA297" s="217">
        <f t="shared" si="778"/>
        <v>10</v>
      </c>
      <c r="AB297" s="173">
        <f t="shared" si="779"/>
        <v>7.6491500780424966</v>
      </c>
      <c r="AC297" s="173">
        <f t="shared" si="780"/>
        <v>4.2172272031474298</v>
      </c>
      <c r="AD297" s="173"/>
      <c r="AE297" s="173">
        <f t="shared" si="781"/>
        <v>7.6491500780424966</v>
      </c>
      <c r="AF297" s="545">
        <f t="shared" si="782"/>
        <v>211.78823574796124</v>
      </c>
      <c r="AG297" s="528">
        <f t="shared" si="783"/>
        <v>4.2172272031474289</v>
      </c>
      <c r="AI297" s="173">
        <f t="shared" si="784"/>
        <v>7.7788768147732936</v>
      </c>
      <c r="AJ297" s="173">
        <f t="shared" si="785"/>
        <v>19.206742863280009</v>
      </c>
      <c r="AK297" s="173">
        <f t="shared" si="786"/>
        <v>8.0198095283555624</v>
      </c>
      <c r="AM297" s="545">
        <f t="shared" si="787"/>
        <v>8100.0000000000018</v>
      </c>
      <c r="AN297" s="460">
        <f t="shared" si="788"/>
        <v>56.758629883039681</v>
      </c>
      <c r="AP297">
        <f t="shared" si="789"/>
        <v>8100.0000000000018</v>
      </c>
      <c r="AQ297">
        <f t="shared" si="790"/>
        <v>56.758629883039681</v>
      </c>
      <c r="AS297" s="5">
        <f t="shared" si="763"/>
        <v>17.618466162073705</v>
      </c>
      <c r="AT297" s="5">
        <f t="shared" si="791"/>
        <v>2.7269402949136619</v>
      </c>
      <c r="AU297" s="5">
        <f t="shared" si="722"/>
        <v>14.891525867160043</v>
      </c>
      <c r="AV297" s="5"/>
      <c r="AW297" s="173">
        <f t="shared" si="723"/>
        <v>0.15477739491215159</v>
      </c>
      <c r="AX297" s="173">
        <f t="shared" si="792"/>
        <v>125.62920109706235</v>
      </c>
      <c r="AY297" s="173">
        <f t="shared" si="793"/>
        <v>8.1169866190769859</v>
      </c>
      <c r="AZ297" s="173">
        <f t="shared" si="794"/>
        <v>15.477320216569254</v>
      </c>
      <c r="BA297" s="460">
        <f t="shared" si="724"/>
        <v>147.25477592533775</v>
      </c>
      <c r="BB297" s="5">
        <f t="shared" si="725"/>
        <v>5.946393410844391</v>
      </c>
      <c r="BD297" s="173">
        <f t="shared" si="841"/>
        <v>4.3626147274910387</v>
      </c>
      <c r="BE297" s="173">
        <f t="shared" si="842"/>
        <v>10.194798504377816</v>
      </c>
      <c r="BG297" s="528">
        <f t="shared" si="843"/>
        <v>0.38064814521043422</v>
      </c>
      <c r="BH297" s="528">
        <f t="shared" si="795"/>
        <v>2.0482796085253856</v>
      </c>
      <c r="BI297" s="528">
        <f t="shared" si="796"/>
        <v>0.11993094364430953</v>
      </c>
      <c r="BJ297" s="528">
        <f t="shared" si="844"/>
        <v>5.6994978100864853E-2</v>
      </c>
      <c r="BK297">
        <f t="shared" si="845"/>
        <v>3.8033986902891045E-2</v>
      </c>
      <c r="BL297" s="460">
        <f t="shared" si="846"/>
        <v>157.96493054720057</v>
      </c>
      <c r="BM297" s="528">
        <f t="shared" si="797"/>
        <v>2.8461051731246587</v>
      </c>
      <c r="BN297" s="460">
        <f t="shared" si="847"/>
        <v>2846.1051731246589</v>
      </c>
      <c r="BO297" s="528">
        <f t="shared" si="798"/>
        <v>5.6700000000000008</v>
      </c>
      <c r="BR297" s="460">
        <f t="shared" si="848"/>
        <v>5670.0000000000009</v>
      </c>
      <c r="BS297" s="528">
        <f t="shared" si="849"/>
        <v>0.57097221781565133</v>
      </c>
      <c r="BT297" s="528">
        <f t="shared" si="850"/>
        <v>3.1180174963459248</v>
      </c>
      <c r="BU297" s="528">
        <f t="shared" si="851"/>
        <v>1.9619325296273782</v>
      </c>
      <c r="BV297" s="528"/>
      <c r="BW297" s="528">
        <f t="shared" si="852"/>
        <v>2.0938200182843727E-2</v>
      </c>
      <c r="BX297" s="460">
        <f t="shared" si="853"/>
        <v>5671.8604439717983</v>
      </c>
      <c r="BY297" s="173">
        <f t="shared" si="854"/>
        <v>13.985748106355683</v>
      </c>
      <c r="BZ297" s="5">
        <f t="shared" si="855"/>
        <v>121.50000000000003</v>
      </c>
      <c r="CA297" s="173">
        <f t="shared" si="856"/>
        <v>0.89677328942836898</v>
      </c>
      <c r="CB297" s="5">
        <f t="shared" si="857"/>
        <v>89.677328942836894</v>
      </c>
      <c r="CE297" s="562">
        <f t="shared" si="799"/>
        <v>-50</v>
      </c>
      <c r="CF297">
        <f t="shared" si="800"/>
        <v>-50</v>
      </c>
      <c r="CG297" s="173">
        <f t="shared" si="801"/>
        <v>0.84369884252006022</v>
      </c>
      <c r="CI297" s="170">
        <v>81</v>
      </c>
      <c r="CJ297" s="217">
        <f t="shared" si="858"/>
        <v>8.1000000000000014</v>
      </c>
      <c r="CK297" s="217"/>
      <c r="CL297" s="217">
        <f t="shared" si="802"/>
        <v>121.50000000000003</v>
      </c>
      <c r="CM297" s="541">
        <f t="shared" si="803"/>
        <v>85</v>
      </c>
      <c r="CN297" s="443">
        <f t="shared" si="804"/>
        <v>15.4</v>
      </c>
      <c r="CO297" s="443">
        <f t="shared" si="805"/>
        <v>100.4</v>
      </c>
      <c r="CP297" s="443"/>
      <c r="CQ297" s="217">
        <f t="shared" si="806"/>
        <v>0.15338645418326693</v>
      </c>
      <c r="CR297" s="172">
        <f t="shared" si="807"/>
        <v>327.33148655378488</v>
      </c>
      <c r="CS297" s="172">
        <f t="shared" si="808"/>
        <v>121.50000000000003</v>
      </c>
      <c r="CT297" s="217">
        <f t="shared" si="809"/>
        <v>21.822099103585661</v>
      </c>
      <c r="CU297" s="217">
        <f t="shared" si="810"/>
        <v>15</v>
      </c>
      <c r="CV297" s="217"/>
      <c r="CW297" s="172">
        <f t="shared" si="811"/>
        <v>177.53675813706369</v>
      </c>
      <c r="CX297" s="172">
        <f t="shared" si="812"/>
        <v>15</v>
      </c>
      <c r="CY297" s="217">
        <f t="shared" si="813"/>
        <v>18.638044308632548</v>
      </c>
      <c r="CZ297" s="217">
        <f t="shared" si="814"/>
        <v>2.6312533141598893</v>
      </c>
      <c r="DA297" s="217">
        <f t="shared" si="815"/>
        <v>14.523151409324063</v>
      </c>
      <c r="DB297" s="197">
        <f t="shared" si="816"/>
        <v>108.64873837981409</v>
      </c>
      <c r="DC297" s="443">
        <f t="shared" si="817"/>
        <v>58.294065933458178</v>
      </c>
      <c r="DE297" s="217">
        <f t="shared" si="818"/>
        <v>10</v>
      </c>
      <c r="DF297" s="173">
        <f t="shared" si="819"/>
        <v>7.7922077922077913</v>
      </c>
      <c r="DG297" s="173">
        <f t="shared" si="820"/>
        <v>4.2330677290836656</v>
      </c>
      <c r="DH297" s="173"/>
      <c r="DI297" s="173">
        <f t="shared" si="821"/>
        <v>7.7922077922077913</v>
      </c>
      <c r="DJ297" s="545">
        <f t="shared" si="822"/>
        <v>207.90000000000006</v>
      </c>
      <c r="DK297" s="528">
        <f t="shared" si="823"/>
        <v>4.2330677290836656</v>
      </c>
      <c r="DM297" s="173">
        <f t="shared" si="824"/>
        <v>7.7071395471990787</v>
      </c>
      <c r="DN297" s="173">
        <f t="shared" si="825"/>
        <v>18.638044308632548</v>
      </c>
      <c r="DO297" s="173">
        <f t="shared" si="826"/>
        <v>7.5985513397278135</v>
      </c>
      <c r="DQ297" s="545">
        <f t="shared" si="827"/>
        <v>8100.0000000000018</v>
      </c>
      <c r="DR297" s="460">
        <f t="shared" si="828"/>
        <v>58.294065933458178</v>
      </c>
      <c r="DT297">
        <f t="shared" si="829"/>
        <v>8100.0000000000018</v>
      </c>
      <c r="DU297">
        <f t="shared" si="830"/>
        <v>58.294065933458178</v>
      </c>
      <c r="DW297" s="5">
        <f t="shared" si="859"/>
        <v>17.154404723483953</v>
      </c>
      <c r="DX297" s="5">
        <f t="shared" si="831"/>
        <v>2.6312533141598893</v>
      </c>
      <c r="DY297" s="5">
        <f t="shared" si="832"/>
        <v>14.523151409324065</v>
      </c>
      <c r="DZ297" s="5"/>
      <c r="EA297" s="173">
        <f t="shared" si="833"/>
        <v>0.15338645418326693</v>
      </c>
      <c r="EB297" s="173">
        <f t="shared" si="860"/>
        <v>121.50000000000003</v>
      </c>
      <c r="EC297" s="173">
        <f t="shared" si="861"/>
        <v>7.8896103896103913</v>
      </c>
      <c r="ED297" s="173">
        <f t="shared" si="862"/>
        <v>15.4</v>
      </c>
      <c r="EE297" s="460">
        <f t="shared" si="834"/>
        <v>142.08767896463402</v>
      </c>
      <c r="EF297" s="5">
        <f t="shared" si="835"/>
        <v>5.7665454125257325</v>
      </c>
      <c r="EH297" s="173">
        <f t="shared" si="863"/>
        <v>4.2143753832067752</v>
      </c>
      <c r="EI297" s="173">
        <f t="shared" si="864"/>
        <v>9.9010742858003784</v>
      </c>
      <c r="EK297" s="528">
        <f t="shared" si="865"/>
        <v>0.35521919741158509</v>
      </c>
      <c r="EL297" s="528">
        <f t="shared" si="866"/>
        <v>2.1816666666666666</v>
      </c>
      <c r="EM297" s="528">
        <f t="shared" si="867"/>
        <v>7.2867582416822722E-3</v>
      </c>
      <c r="EN297" s="528">
        <f t="shared" si="868"/>
        <v>5.8761351165980788E-2</v>
      </c>
      <c r="EO297">
        <f t="shared" si="869"/>
        <v>3.8249999999999999E-2</v>
      </c>
      <c r="EP297" s="460">
        <f t="shared" si="870"/>
        <v>45.536758241682271</v>
      </c>
      <c r="EQ297" s="460"/>
      <c r="ER297" s="460">
        <f t="shared" si="871"/>
        <v>2641.1839734859154</v>
      </c>
      <c r="ES297" s="528">
        <f t="shared" si="872"/>
        <v>5.6700000000000008</v>
      </c>
      <c r="EV297" s="460">
        <f t="shared" si="873"/>
        <v>5670.0000000000009</v>
      </c>
      <c r="EW297" s="528">
        <f t="shared" si="874"/>
        <v>0.53282879611737755</v>
      </c>
      <c r="EX297" s="528">
        <f t="shared" si="875"/>
        <v>2.9409381603881242</v>
      </c>
      <c r="EY297" s="528">
        <f t="shared" si="876"/>
        <v>1.9455021880180834</v>
      </c>
      <c r="EZ297" s="528"/>
      <c r="FA297" s="528">
        <f t="shared" si="877"/>
        <v>2.0250000000000004E-2</v>
      </c>
      <c r="FB297" s="460">
        <f t="shared" si="878"/>
        <v>5439.5191445235851</v>
      </c>
      <c r="FC297" s="173">
        <f t="shared" si="879"/>
        <v>13.750703118009502</v>
      </c>
      <c r="FD297" s="5">
        <f t="shared" si="880"/>
        <v>121.50000000000003</v>
      </c>
      <c r="FE297" s="173">
        <f t="shared" si="881"/>
        <v>0.89833174393177317</v>
      </c>
      <c r="FF297" s="5">
        <f t="shared" si="882"/>
        <v>89.833174393177316</v>
      </c>
      <c r="FI297" s="562">
        <f t="shared" si="836"/>
        <v>-50</v>
      </c>
      <c r="FJ297">
        <f t="shared" si="837"/>
        <v>-50</v>
      </c>
      <c r="FL297">
        <f t="shared" si="838"/>
        <v>0.84661354581673309</v>
      </c>
    </row>
    <row r="298" spans="5:168">
      <c r="E298" s="170">
        <v>82</v>
      </c>
      <c r="F298" s="217">
        <f t="shared" si="839"/>
        <v>8.1999999999999993</v>
      </c>
      <c r="G298" s="217"/>
      <c r="H298" s="217">
        <f t="shared" si="764"/>
        <v>122.99999999999999</v>
      </c>
      <c r="I298" s="541">
        <f t="shared" si="765"/>
        <v>84.514065082583286</v>
      </c>
      <c r="J298" s="172">
        <f t="shared" si="766"/>
        <v>15.691560950450029</v>
      </c>
      <c r="K298" s="172">
        <f t="shared" si="767"/>
        <v>100.20562603303331</v>
      </c>
      <c r="L298" s="443"/>
      <c r="M298" s="217">
        <f t="shared" si="768"/>
        <v>0.15658526664901637</v>
      </c>
      <c r="N298" s="172">
        <f t="shared" si="769"/>
        <v>332.24751151422396</v>
      </c>
      <c r="O298" s="172">
        <f t="shared" si="762"/>
        <v>122.99999999999999</v>
      </c>
      <c r="P298" s="217">
        <f t="shared" si="770"/>
        <v>22.149834100948265</v>
      </c>
      <c r="Q298" s="217">
        <f t="shared" si="771"/>
        <v>15</v>
      </c>
      <c r="R298" s="217"/>
      <c r="S298" s="172">
        <f t="shared" si="772"/>
        <v>173.34533746165243</v>
      </c>
      <c r="T298" s="172">
        <f t="shared" si="773"/>
        <v>15</v>
      </c>
      <c r="U298" s="217">
        <f t="shared" si="774"/>
        <v>19.44476347341114</v>
      </c>
      <c r="V298" s="217">
        <f t="shared" si="775"/>
        <v>2.7609269705927324</v>
      </c>
      <c r="W298" s="217">
        <f t="shared" si="776"/>
        <v>14.870232631269335</v>
      </c>
      <c r="X298" s="197">
        <f t="shared" si="777"/>
        <v>110.28635615865863</v>
      </c>
      <c r="Y298" s="443">
        <f t="shared" si="840"/>
        <v>56.08160222488123</v>
      </c>
      <c r="AA298" s="217">
        <f t="shared" si="778"/>
        <v>10</v>
      </c>
      <c r="AB298" s="173">
        <f t="shared" si="779"/>
        <v>7.6474227375421453</v>
      </c>
      <c r="AC298" s="173">
        <f t="shared" si="780"/>
        <v>4.2170319386419859</v>
      </c>
      <c r="AD298" s="173"/>
      <c r="AE298" s="173">
        <f t="shared" si="781"/>
        <v>7.6474227375421453</v>
      </c>
      <c r="AF298" s="545">
        <f t="shared" si="782"/>
        <v>214.45133298948372</v>
      </c>
      <c r="AG298" s="528">
        <f t="shared" si="783"/>
        <v>4.2170319386419868</v>
      </c>
      <c r="AI298" s="173">
        <f t="shared" si="784"/>
        <v>7.8276311503268197</v>
      </c>
      <c r="AJ298" s="173">
        <f t="shared" si="785"/>
        <v>19.44476347341114</v>
      </c>
      <c r="AK298" s="173">
        <f t="shared" si="786"/>
        <v>8.1961210914156588</v>
      </c>
      <c r="AM298" s="545">
        <f t="shared" si="787"/>
        <v>8200</v>
      </c>
      <c r="AN298" s="460">
        <f t="shared" si="788"/>
        <v>56.08160222488123</v>
      </c>
      <c r="AP298">
        <f t="shared" si="789"/>
        <v>8200</v>
      </c>
      <c r="AQ298">
        <f t="shared" si="790"/>
        <v>56.08160222488123</v>
      </c>
      <c r="AS298" s="5">
        <f t="shared" si="763"/>
        <v>17.831159601862066</v>
      </c>
      <c r="AT298" s="5">
        <f t="shared" si="791"/>
        <v>2.7609269705927324</v>
      </c>
      <c r="AU298" s="5">
        <f t="shared" ref="AU298:AU316" si="883">AS298-AT298</f>
        <v>15.070232631269333</v>
      </c>
      <c r="AV298" s="5"/>
      <c r="AW298" s="173">
        <f t="shared" ref="AW298:AW315" si="884">AT298/AS298</f>
        <v>0.15483720813672799</v>
      </c>
      <c r="AX298" s="173">
        <f t="shared" si="792"/>
        <v>127.22632794922212</v>
      </c>
      <c r="AY298" s="173">
        <f t="shared" si="793"/>
        <v>8.2169952921545661</v>
      </c>
      <c r="AZ298" s="173">
        <f t="shared" si="794"/>
        <v>15.483315180999975</v>
      </c>
      <c r="BA298" s="460">
        <f t="shared" si="724"/>
        <v>150.93067439240272</v>
      </c>
      <c r="BB298" s="5">
        <f t="shared" si="725"/>
        <v>6.0924724706895326</v>
      </c>
      <c r="BD298" s="173">
        <f t="shared" si="841"/>
        <v>4.4175319919893141</v>
      </c>
      <c r="BE298" s="173">
        <f t="shared" si="842"/>
        <v>10.320772901227839</v>
      </c>
      <c r="BG298" s="528">
        <f t="shared" si="843"/>
        <v>0.39029177800498155</v>
      </c>
      <c r="BH298" s="528">
        <f t="shared" si="795"/>
        <v>2.0488796793331669</v>
      </c>
      <c r="BI298" s="528">
        <f t="shared" si="796"/>
        <v>0.11849210450922899</v>
      </c>
      <c r="BJ298" s="528">
        <f t="shared" si="844"/>
        <v>5.6312476097311957E-2</v>
      </c>
      <c r="BK298">
        <f t="shared" si="845"/>
        <v>3.8031329287162477E-2</v>
      </c>
      <c r="BL298" s="460">
        <f t="shared" si="846"/>
        <v>156.52343379639146</v>
      </c>
      <c r="BM298" s="528">
        <f t="shared" si="797"/>
        <v>2.8667014774514255</v>
      </c>
      <c r="BN298" s="460">
        <f t="shared" si="847"/>
        <v>2866.7014774514255</v>
      </c>
      <c r="BO298" s="528">
        <f t="shared" si="798"/>
        <v>5.7399999999999993</v>
      </c>
      <c r="BR298" s="460">
        <f t="shared" si="848"/>
        <v>5739.9999999999991</v>
      </c>
      <c r="BS298" s="528">
        <f t="shared" si="849"/>
        <v>0.58543766700747224</v>
      </c>
      <c r="BT298" s="528">
        <f t="shared" si="850"/>
        <v>3.1955505983615669</v>
      </c>
      <c r="BU298" s="528">
        <f t="shared" si="851"/>
        <v>1.9634854981189434</v>
      </c>
      <c r="BV298" s="528"/>
      <c r="BW298" s="528">
        <f t="shared" si="852"/>
        <v>2.1204387991537024E-2</v>
      </c>
      <c r="BX298" s="460">
        <f t="shared" si="853"/>
        <v>5765.6781514795193</v>
      </c>
      <c r="BY298" s="173">
        <f t="shared" si="854"/>
        <v>14.157685518711371</v>
      </c>
      <c r="BZ298" s="5">
        <f t="shared" si="855"/>
        <v>122.99999999999999</v>
      </c>
      <c r="CA298" s="173">
        <f t="shared" si="856"/>
        <v>0.89677803715359461</v>
      </c>
      <c r="CB298" s="5">
        <f t="shared" si="857"/>
        <v>89.67780371535946</v>
      </c>
      <c r="CE298" s="562">
        <f t="shared" si="799"/>
        <v>-50</v>
      </c>
      <c r="CF298">
        <f t="shared" si="800"/>
        <v>-50</v>
      </c>
      <c r="CG298" s="173">
        <f t="shared" si="801"/>
        <v>0.84373438768221476</v>
      </c>
      <c r="CI298" s="170">
        <v>82</v>
      </c>
      <c r="CJ298" s="217">
        <f t="shared" si="858"/>
        <v>8.1999999999999993</v>
      </c>
      <c r="CK298" s="217"/>
      <c r="CL298" s="217">
        <f t="shared" si="802"/>
        <v>122.99999999999999</v>
      </c>
      <c r="CM298" s="541">
        <f t="shared" si="803"/>
        <v>85</v>
      </c>
      <c r="CN298" s="443">
        <f t="shared" si="804"/>
        <v>15.4</v>
      </c>
      <c r="CO298" s="443">
        <f t="shared" si="805"/>
        <v>100.4</v>
      </c>
      <c r="CP298" s="443"/>
      <c r="CQ298" s="217">
        <f t="shared" si="806"/>
        <v>0.15338645418326693</v>
      </c>
      <c r="CR298" s="172">
        <f t="shared" si="807"/>
        <v>327.33148655378488</v>
      </c>
      <c r="CS298" s="172">
        <f t="shared" si="808"/>
        <v>122.99999999999999</v>
      </c>
      <c r="CT298" s="217">
        <f t="shared" si="809"/>
        <v>21.822099103585661</v>
      </c>
      <c r="CU298" s="217">
        <f t="shared" si="810"/>
        <v>15</v>
      </c>
      <c r="CV298" s="217"/>
      <c r="CW298" s="172">
        <f t="shared" si="811"/>
        <v>174.34091524113057</v>
      </c>
      <c r="CX298" s="172">
        <f t="shared" si="812"/>
        <v>15</v>
      </c>
      <c r="CY298" s="217">
        <f t="shared" si="813"/>
        <v>18.868143621084794</v>
      </c>
      <c r="CZ298" s="217">
        <f t="shared" si="814"/>
        <v>2.6637379229766771</v>
      </c>
      <c r="DA298" s="217">
        <f t="shared" si="815"/>
        <v>14.702449574871268</v>
      </c>
      <c r="DB298" s="197">
        <f t="shared" si="816"/>
        <v>108.64873837981409</v>
      </c>
      <c r="DC298" s="443">
        <f t="shared" si="817"/>
        <v>57.583162690367253</v>
      </c>
      <c r="DE298" s="217">
        <f t="shared" si="818"/>
        <v>10</v>
      </c>
      <c r="DF298" s="173">
        <f t="shared" si="819"/>
        <v>7.7922077922077913</v>
      </c>
      <c r="DG298" s="173">
        <f t="shared" si="820"/>
        <v>4.2330677290836656</v>
      </c>
      <c r="DH298" s="173"/>
      <c r="DI298" s="173">
        <f t="shared" si="821"/>
        <v>7.7922077922077913</v>
      </c>
      <c r="DJ298" s="545">
        <f t="shared" si="822"/>
        <v>210.46666666666667</v>
      </c>
      <c r="DK298" s="528">
        <f t="shared" si="823"/>
        <v>4.2330677290836656</v>
      </c>
      <c r="DM298" s="173">
        <f t="shared" si="824"/>
        <v>7.7545685459175182</v>
      </c>
      <c r="DN298" s="173">
        <f t="shared" si="825"/>
        <v>18.868143621084794</v>
      </c>
      <c r="DO298" s="173">
        <f t="shared" si="826"/>
        <v>7.7689952748776259</v>
      </c>
      <c r="DQ298" s="545">
        <f t="shared" si="827"/>
        <v>8200</v>
      </c>
      <c r="DR298" s="460">
        <f t="shared" si="828"/>
        <v>57.583162690367253</v>
      </c>
      <c r="DT298">
        <f t="shared" si="829"/>
        <v>8200</v>
      </c>
      <c r="DU298">
        <f t="shared" si="830"/>
        <v>57.583162690367253</v>
      </c>
      <c r="DW298" s="5">
        <f t="shared" si="859"/>
        <v>17.366187497847946</v>
      </c>
      <c r="DX298" s="5">
        <f t="shared" si="831"/>
        <v>2.6637379229766771</v>
      </c>
      <c r="DY298" s="5">
        <f t="shared" si="832"/>
        <v>14.702449574871268</v>
      </c>
      <c r="DZ298" s="5"/>
      <c r="EA298" s="173">
        <f t="shared" si="833"/>
        <v>0.15338645418326693</v>
      </c>
      <c r="EB298" s="173">
        <f t="shared" si="860"/>
        <v>123</v>
      </c>
      <c r="EC298" s="173">
        <f t="shared" si="861"/>
        <v>7.987012987012986</v>
      </c>
      <c r="ED298" s="173">
        <f t="shared" si="862"/>
        <v>15.400000000000002</v>
      </c>
      <c r="EE298" s="460">
        <f t="shared" si="834"/>
        <v>145.61767312272499</v>
      </c>
      <c r="EF298" s="5">
        <f t="shared" si="835"/>
        <v>5.9098081624482539</v>
      </c>
      <c r="EH298" s="173">
        <f t="shared" si="863"/>
        <v>4.2664047089253758</v>
      </c>
      <c r="EI298" s="173">
        <f t="shared" si="864"/>
        <v>10.023309770810256</v>
      </c>
      <c r="EK298" s="528">
        <f t="shared" si="865"/>
        <v>0.36404418280681244</v>
      </c>
      <c r="EL298" s="528">
        <f t="shared" si="866"/>
        <v>2.1816666666666671</v>
      </c>
      <c r="EM298" s="528">
        <f t="shared" si="867"/>
        <v>7.1978953362959062E-3</v>
      </c>
      <c r="EN298" s="528">
        <f t="shared" si="868"/>
        <v>5.804474932249324E-2</v>
      </c>
      <c r="EO298">
        <f t="shared" si="869"/>
        <v>3.8249999999999999E-2</v>
      </c>
      <c r="EP298" s="460">
        <f t="shared" si="870"/>
        <v>45.4478953362959</v>
      </c>
      <c r="EQ298" s="460"/>
      <c r="ER298" s="460">
        <f t="shared" si="871"/>
        <v>2649.203494132269</v>
      </c>
      <c r="ES298" s="528">
        <f t="shared" si="872"/>
        <v>5.7399999999999993</v>
      </c>
      <c r="EV298" s="460">
        <f t="shared" si="873"/>
        <v>5739.9999999999991</v>
      </c>
      <c r="EW298" s="528">
        <f t="shared" si="874"/>
        <v>0.54606627421021858</v>
      </c>
      <c r="EX298" s="528">
        <f t="shared" si="875"/>
        <v>3.0140021628486102</v>
      </c>
      <c r="EY298" s="528">
        <f t="shared" si="876"/>
        <v>1.9455021880180834</v>
      </c>
      <c r="EZ298" s="528"/>
      <c r="FA298" s="528">
        <f t="shared" si="877"/>
        <v>2.0500000000000001E-2</v>
      </c>
      <c r="FB298" s="460">
        <f t="shared" si="878"/>
        <v>5526.0706250769126</v>
      </c>
      <c r="FC298" s="173">
        <f t="shared" si="879"/>
        <v>13.915274119209181</v>
      </c>
      <c r="FD298" s="5">
        <f t="shared" si="880"/>
        <v>122.99999999999999</v>
      </c>
      <c r="FE298" s="173">
        <f t="shared" si="881"/>
        <v>0.89836580170672964</v>
      </c>
      <c r="FF298" s="5">
        <f t="shared" si="882"/>
        <v>89.83658017067296</v>
      </c>
      <c r="FI298" s="562">
        <f t="shared" si="836"/>
        <v>-50</v>
      </c>
      <c r="FJ298">
        <f t="shared" si="837"/>
        <v>-50</v>
      </c>
      <c r="FL298">
        <f t="shared" si="838"/>
        <v>0.84661354581673309</v>
      </c>
    </row>
    <row r="299" spans="5:168">
      <c r="E299" s="170">
        <v>83</v>
      </c>
      <c r="F299" s="217">
        <f t="shared" si="839"/>
        <v>8.2999999999999989</v>
      </c>
      <c r="G299" s="217"/>
      <c r="H299" s="217">
        <f t="shared" si="764"/>
        <v>124.49999999999999</v>
      </c>
      <c r="I299" s="541">
        <f t="shared" si="765"/>
        <v>84.50815926816982</v>
      </c>
      <c r="J299" s="172">
        <f t="shared" si="766"/>
        <v>15.695104439098104</v>
      </c>
      <c r="K299" s="172">
        <f t="shared" si="767"/>
        <v>100.20326370726792</v>
      </c>
      <c r="L299" s="443"/>
      <c r="M299" s="217">
        <f t="shared" si="768"/>
        <v>0.15662432193541231</v>
      </c>
      <c r="N299" s="172">
        <f t="shared" si="769"/>
        <v>332.30715710615806</v>
      </c>
      <c r="O299" s="172">
        <f t="shared" si="762"/>
        <v>124.49999999999999</v>
      </c>
      <c r="P299" s="217">
        <f t="shared" si="770"/>
        <v>22.153810473743871</v>
      </c>
      <c r="Q299" s="217">
        <f t="shared" si="771"/>
        <v>15</v>
      </c>
      <c r="R299" s="217"/>
      <c r="S299" s="172">
        <f t="shared" si="772"/>
        <v>170.23259467811903</v>
      </c>
      <c r="T299" s="172">
        <f t="shared" si="773"/>
        <v>15</v>
      </c>
      <c r="U299" s="217">
        <f t="shared" si="774"/>
        <v>19.682806170192553</v>
      </c>
      <c r="V299" s="217">
        <f t="shared" si="775"/>
        <v>2.7949215328758616</v>
      </c>
      <c r="W299" s="217">
        <f t="shared" si="776"/>
        <v>15.048875587850702</v>
      </c>
      <c r="X299" s="197">
        <f t="shared" si="777"/>
        <v>110.30615309636018</v>
      </c>
      <c r="Y299" s="443">
        <f t="shared" si="840"/>
        <v>55.420707366041</v>
      </c>
      <c r="AA299" s="217">
        <f t="shared" si="778"/>
        <v>10</v>
      </c>
      <c r="AB299" s="173">
        <f t="shared" si="779"/>
        <v>7.6456961765139813</v>
      </c>
      <c r="AC299" s="173">
        <f t="shared" si="780"/>
        <v>4.2168366648740339</v>
      </c>
      <c r="AD299" s="173"/>
      <c r="AE299" s="173">
        <f t="shared" si="781"/>
        <v>7.6456961765139813</v>
      </c>
      <c r="AF299" s="545">
        <f t="shared" si="782"/>
        <v>217.11561140752377</v>
      </c>
      <c r="AG299" s="528">
        <f t="shared" si="783"/>
        <v>4.2168366648740339</v>
      </c>
      <c r="AI299" s="173">
        <f t="shared" si="784"/>
        <v>7.8761051180593737</v>
      </c>
      <c r="AJ299" s="173">
        <f t="shared" si="785"/>
        <v>19.682806170192553</v>
      </c>
      <c r="AK299" s="173">
        <f t="shared" si="786"/>
        <v>8.3724490149574464</v>
      </c>
      <c r="AM299" s="545">
        <f t="shared" si="787"/>
        <v>8299.9999999999982</v>
      </c>
      <c r="AN299" s="460">
        <f t="shared" si="788"/>
        <v>55.420707366041</v>
      </c>
      <c r="AP299">
        <f t="shared" si="789"/>
        <v>8299.9999999999982</v>
      </c>
      <c r="AQ299">
        <f t="shared" si="790"/>
        <v>55.420707366041</v>
      </c>
      <c r="AS299" s="5">
        <f t="shared" si="763"/>
        <v>18.043797120726563</v>
      </c>
      <c r="AT299" s="5">
        <f t="shared" si="791"/>
        <v>2.7949215328758616</v>
      </c>
      <c r="AU299" s="5">
        <f t="shared" si="883"/>
        <v>15.248875587850701</v>
      </c>
      <c r="AV299" s="5"/>
      <c r="AW299" s="173">
        <f t="shared" si="884"/>
        <v>0.15489652838455986</v>
      </c>
      <c r="AX299" s="173">
        <f t="shared" si="792"/>
        <v>128.82416804222089</v>
      </c>
      <c r="AY299" s="173">
        <f t="shared" si="793"/>
        <v>8.3170039127817663</v>
      </c>
      <c r="AZ299" s="173">
        <f t="shared" si="794"/>
        <v>15.489251825917851</v>
      </c>
      <c r="BA299" s="460">
        <f t="shared" si="724"/>
        <v>154.652324819131</v>
      </c>
      <c r="BB299" s="5">
        <f t="shared" si="725"/>
        <v>6.2403080599555807</v>
      </c>
      <c r="BD299" s="173">
        <f t="shared" si="841"/>
        <v>4.4724678821033077</v>
      </c>
      <c r="BE299" s="173">
        <f t="shared" si="842"/>
        <v>10.446753113831319</v>
      </c>
      <c r="BG299" s="528">
        <f t="shared" si="843"/>
        <v>0.40005937912891293</v>
      </c>
      <c r="BH299" s="528">
        <f t="shared" si="795"/>
        <v>2.0494730862094874</v>
      </c>
      <c r="BI299" s="528">
        <f t="shared" si="796"/>
        <v>0.11708754912110061</v>
      </c>
      <c r="BJ299" s="528">
        <f t="shared" si="844"/>
        <v>5.5646236711754671E-2</v>
      </c>
      <c r="BK299">
        <f t="shared" si="845"/>
        <v>3.8028671670676417E-2</v>
      </c>
      <c r="BL299" s="460">
        <f t="shared" si="846"/>
        <v>155.11622079177704</v>
      </c>
      <c r="BM299" s="528">
        <f t="shared" si="797"/>
        <v>2.887680643567164</v>
      </c>
      <c r="BN299" s="460">
        <f t="shared" si="847"/>
        <v>2887.6806435671642</v>
      </c>
      <c r="BO299" s="528">
        <f t="shared" si="798"/>
        <v>5.8099999999999987</v>
      </c>
      <c r="BR299" s="460">
        <f t="shared" si="848"/>
        <v>5809.9999999999991</v>
      </c>
      <c r="BS299" s="528">
        <f t="shared" si="849"/>
        <v>0.60008906869336931</v>
      </c>
      <c r="BT299" s="528">
        <f t="shared" si="850"/>
        <v>3.2740395186403304</v>
      </c>
      <c r="BU299" s="528">
        <f t="shared" si="851"/>
        <v>1.965023303848189</v>
      </c>
      <c r="BV299" s="528"/>
      <c r="BW299" s="528">
        <f t="shared" si="852"/>
        <v>2.147069467370348E-2</v>
      </c>
      <c r="BX299" s="460">
        <f t="shared" si="853"/>
        <v>5860.6225858555918</v>
      </c>
      <c r="BY299" s="173">
        <f t="shared" si="854"/>
        <v>14.330917508697524</v>
      </c>
      <c r="BZ299" s="5">
        <f t="shared" si="855"/>
        <v>124.49999999999999</v>
      </c>
      <c r="CA299" s="173">
        <f t="shared" si="856"/>
        <v>0.89677430815942205</v>
      </c>
      <c r="CB299" s="5">
        <f t="shared" si="857"/>
        <v>89.677430815942202</v>
      </c>
      <c r="CE299" s="562">
        <f t="shared" si="799"/>
        <v>-50</v>
      </c>
      <c r="CF299">
        <f t="shared" si="800"/>
        <v>-50</v>
      </c>
      <c r="CG299" s="173">
        <f t="shared" si="801"/>
        <v>0.84376907633443787</v>
      </c>
      <c r="CI299" s="170">
        <v>83</v>
      </c>
      <c r="CJ299" s="217">
        <f t="shared" si="858"/>
        <v>8.2999999999999989</v>
      </c>
      <c r="CK299" s="217"/>
      <c r="CL299" s="217">
        <f t="shared" si="802"/>
        <v>124.49999999999999</v>
      </c>
      <c r="CM299" s="541">
        <f t="shared" si="803"/>
        <v>85</v>
      </c>
      <c r="CN299" s="443">
        <f t="shared" si="804"/>
        <v>15.4</v>
      </c>
      <c r="CO299" s="443">
        <f t="shared" si="805"/>
        <v>100.4</v>
      </c>
      <c r="CP299" s="443"/>
      <c r="CQ299" s="217">
        <f t="shared" si="806"/>
        <v>0.15338645418326693</v>
      </c>
      <c r="CR299" s="172">
        <f t="shared" si="807"/>
        <v>327.33148655378488</v>
      </c>
      <c r="CS299" s="172">
        <f t="shared" si="808"/>
        <v>124.49999999999999</v>
      </c>
      <c r="CT299" s="217">
        <f t="shared" si="809"/>
        <v>21.822099103585661</v>
      </c>
      <c r="CU299" s="217">
        <f t="shared" si="810"/>
        <v>15</v>
      </c>
      <c r="CV299" s="217"/>
      <c r="CW299" s="172">
        <f t="shared" si="811"/>
        <v>171.22220594725269</v>
      </c>
      <c r="CX299" s="172">
        <f t="shared" si="812"/>
        <v>15</v>
      </c>
      <c r="CY299" s="217">
        <f t="shared" si="813"/>
        <v>19.098242933537048</v>
      </c>
      <c r="CZ299" s="217">
        <f t="shared" si="814"/>
        <v>2.6962225317934654</v>
      </c>
      <c r="DA299" s="217">
        <f t="shared" si="815"/>
        <v>14.881747740418479</v>
      </c>
      <c r="DB299" s="197">
        <f t="shared" si="816"/>
        <v>108.64873837981409</v>
      </c>
      <c r="DC299" s="443">
        <f t="shared" si="817"/>
        <v>56.889389645904991</v>
      </c>
      <c r="DE299" s="217">
        <f t="shared" si="818"/>
        <v>10</v>
      </c>
      <c r="DF299" s="173">
        <f t="shared" si="819"/>
        <v>7.7922077922077913</v>
      </c>
      <c r="DG299" s="173">
        <f t="shared" si="820"/>
        <v>4.2330677290836656</v>
      </c>
      <c r="DH299" s="173"/>
      <c r="DI299" s="173">
        <f t="shared" si="821"/>
        <v>7.7922077922077913</v>
      </c>
      <c r="DJ299" s="545">
        <f t="shared" si="822"/>
        <v>213.0333333333333</v>
      </c>
      <c r="DK299" s="528">
        <f t="shared" si="823"/>
        <v>4.2330677290836656</v>
      </c>
      <c r="DM299" s="173">
        <f t="shared" si="824"/>
        <v>7.8017092144392732</v>
      </c>
      <c r="DN299" s="173">
        <f t="shared" si="825"/>
        <v>19.098242933537048</v>
      </c>
      <c r="DO299" s="173">
        <f t="shared" si="826"/>
        <v>7.9394392100274418</v>
      </c>
      <c r="DQ299" s="545">
        <f t="shared" si="827"/>
        <v>8299.9999999999982</v>
      </c>
      <c r="DR299" s="460">
        <f t="shared" si="828"/>
        <v>56.889389645904991</v>
      </c>
      <c r="DT299">
        <f t="shared" si="829"/>
        <v>8299.9999999999982</v>
      </c>
      <c r="DU299">
        <f t="shared" si="830"/>
        <v>56.889389645904991</v>
      </c>
      <c r="DW299" s="5">
        <f t="shared" si="859"/>
        <v>17.577970272211946</v>
      </c>
      <c r="DX299" s="5">
        <f t="shared" si="831"/>
        <v>2.6962225317934654</v>
      </c>
      <c r="DY299" s="5">
        <f t="shared" si="832"/>
        <v>14.881747740418481</v>
      </c>
      <c r="DZ299" s="5"/>
      <c r="EA299" s="173">
        <f t="shared" si="833"/>
        <v>0.15338645418326691</v>
      </c>
      <c r="EB299" s="173">
        <f t="shared" si="860"/>
        <v>124.49999999999997</v>
      </c>
      <c r="EC299" s="173">
        <f t="shared" si="861"/>
        <v>8.0844155844155825</v>
      </c>
      <c r="ED299" s="173">
        <f t="shared" si="862"/>
        <v>15.4</v>
      </c>
      <c r="EE299" s="460">
        <f t="shared" si="834"/>
        <v>149.19098009257172</v>
      </c>
      <c r="EF299" s="5">
        <f t="shared" si="835"/>
        <v>6.0548287375232048</v>
      </c>
      <c r="EH299" s="173">
        <f t="shared" si="863"/>
        <v>4.3184340346439773</v>
      </c>
      <c r="EI299" s="173">
        <f t="shared" si="864"/>
        <v>10.145545255820137</v>
      </c>
      <c r="EK299" s="528">
        <f t="shared" si="865"/>
        <v>0.37297745023142925</v>
      </c>
      <c r="EL299" s="528">
        <f t="shared" si="866"/>
        <v>2.1816666666666666</v>
      </c>
      <c r="EM299" s="528">
        <f t="shared" si="867"/>
        <v>7.1111737057381235E-3</v>
      </c>
      <c r="EN299" s="528">
        <f t="shared" si="868"/>
        <v>5.7345414993306573E-2</v>
      </c>
      <c r="EO299">
        <f t="shared" si="869"/>
        <v>3.8249999999999999E-2</v>
      </c>
      <c r="EP299" s="460">
        <f t="shared" si="870"/>
        <v>45.361173705738125</v>
      </c>
      <c r="EQ299" s="460"/>
      <c r="ER299" s="460">
        <f t="shared" si="871"/>
        <v>2657.3507055971409</v>
      </c>
      <c r="ES299" s="528">
        <f t="shared" si="872"/>
        <v>5.8099999999999987</v>
      </c>
      <c r="EV299" s="460">
        <f t="shared" si="873"/>
        <v>5809.9999999999991</v>
      </c>
      <c r="EW299" s="528">
        <f t="shared" si="874"/>
        <v>0.55946617534714382</v>
      </c>
      <c r="EX299" s="528">
        <f t="shared" si="875"/>
        <v>3.0879626561368343</v>
      </c>
      <c r="EY299" s="528">
        <f t="shared" si="876"/>
        <v>1.9455021880180854</v>
      </c>
      <c r="EZ299" s="528"/>
      <c r="FA299" s="528">
        <f t="shared" si="877"/>
        <v>2.0749999999999998E-2</v>
      </c>
      <c r="FB299" s="460">
        <f t="shared" si="878"/>
        <v>5613.6810195020635</v>
      </c>
      <c r="FC299" s="173">
        <f t="shared" si="879"/>
        <v>14.081031725099203</v>
      </c>
      <c r="FD299" s="5">
        <f t="shared" si="880"/>
        <v>124.49999999999999</v>
      </c>
      <c r="FE299" s="173">
        <f t="shared" si="881"/>
        <v>0.8983913487306725</v>
      </c>
      <c r="FF299" s="5">
        <f t="shared" si="882"/>
        <v>89.839134873067252</v>
      </c>
      <c r="FI299" s="562">
        <f t="shared" si="836"/>
        <v>-50</v>
      </c>
      <c r="FJ299">
        <f t="shared" si="837"/>
        <v>-50</v>
      </c>
      <c r="FL299">
        <f t="shared" si="838"/>
        <v>0.84661354581673309</v>
      </c>
    </row>
    <row r="300" spans="5:168">
      <c r="E300" s="170">
        <v>84</v>
      </c>
      <c r="F300" s="217">
        <f t="shared" si="839"/>
        <v>8.4</v>
      </c>
      <c r="G300" s="217"/>
      <c r="H300" s="217">
        <f t="shared" si="764"/>
        <v>126</v>
      </c>
      <c r="I300" s="541">
        <f t="shared" si="765"/>
        <v>84.502253452133374</v>
      </c>
      <c r="J300" s="172">
        <f t="shared" si="766"/>
        <v>15.698647928719977</v>
      </c>
      <c r="K300" s="172">
        <f t="shared" si="767"/>
        <v>100.20090138085335</v>
      </c>
      <c r="L300" s="443"/>
      <c r="M300" s="217">
        <f t="shared" si="768"/>
        <v>0.15666337906585873</v>
      </c>
      <c r="N300" s="172">
        <f t="shared" si="769"/>
        <v>332.36679502224814</v>
      </c>
      <c r="O300" s="172">
        <f t="shared" si="762"/>
        <v>126</v>
      </c>
      <c r="P300" s="217">
        <f t="shared" si="770"/>
        <v>22.157786334816542</v>
      </c>
      <c r="Q300" s="217">
        <f t="shared" si="771"/>
        <v>15</v>
      </c>
      <c r="R300" s="217"/>
      <c r="S300" s="172">
        <f t="shared" si="772"/>
        <v>167.19423145293143</v>
      </c>
      <c r="T300" s="172">
        <f t="shared" si="773"/>
        <v>15</v>
      </c>
      <c r="U300" s="217">
        <f t="shared" si="774"/>
        <v>19.92087095825519</v>
      </c>
      <c r="V300" s="217">
        <f t="shared" si="775"/>
        <v>2.828923984074263</v>
      </c>
      <c r="W300" s="217">
        <f t="shared" si="776"/>
        <v>15.227454783652428</v>
      </c>
      <c r="X300" s="197">
        <f t="shared" si="777"/>
        <v>110.32594749209086</v>
      </c>
      <c r="Y300" s="443">
        <f t="shared" si="840"/>
        <v>54.775375375525329</v>
      </c>
      <c r="AA300" s="217">
        <f t="shared" si="778"/>
        <v>10</v>
      </c>
      <c r="AB300" s="173">
        <f t="shared" si="779"/>
        <v>7.6439703944481323</v>
      </c>
      <c r="AC300" s="173">
        <f t="shared" si="780"/>
        <v>4.2166413818449078</v>
      </c>
      <c r="AD300" s="173"/>
      <c r="AE300" s="173">
        <f t="shared" si="781"/>
        <v>7.6439703944481323</v>
      </c>
      <c r="AF300" s="545">
        <f t="shared" si="782"/>
        <v>219.7810710020797</v>
      </c>
      <c r="AG300" s="528">
        <f t="shared" si="783"/>
        <v>4.2166413818449087</v>
      </c>
      <c r="AI300" s="173">
        <f t="shared" si="784"/>
        <v>7.9243038631087277</v>
      </c>
      <c r="AJ300" s="173">
        <f t="shared" si="785"/>
        <v>19.92087095825519</v>
      </c>
      <c r="AK300" s="173">
        <f t="shared" si="786"/>
        <v>8.5487933024112515</v>
      </c>
      <c r="AM300" s="545">
        <f t="shared" si="787"/>
        <v>8400</v>
      </c>
      <c r="AN300" s="460">
        <f t="shared" si="788"/>
        <v>54.775375375525329</v>
      </c>
      <c r="AP300">
        <f t="shared" si="789"/>
        <v>8400</v>
      </c>
      <c r="AQ300">
        <f t="shared" si="790"/>
        <v>54.775375375525329</v>
      </c>
      <c r="AS300" s="5">
        <f t="shared" si="763"/>
        <v>18.256378767726691</v>
      </c>
      <c r="AT300" s="5">
        <f t="shared" si="791"/>
        <v>2.828923984074263</v>
      </c>
      <c r="AU300" s="5">
        <f t="shared" si="883"/>
        <v>15.427454783652427</v>
      </c>
      <c r="AV300" s="5"/>
      <c r="AW300" s="173">
        <f t="shared" si="884"/>
        <v>0.15495537313649438</v>
      </c>
      <c r="AX300" s="173">
        <f t="shared" si="792"/>
        <v>130.42272121467502</v>
      </c>
      <c r="AY300" s="173">
        <f t="shared" si="793"/>
        <v>8.4170124828574018</v>
      </c>
      <c r="AZ300" s="173">
        <f t="shared" si="794"/>
        <v>15.495132207573869</v>
      </c>
      <c r="BA300" s="460">
        <f t="shared" si="724"/>
        <v>158.41974310815874</v>
      </c>
      <c r="BB300" s="5">
        <f t="shared" si="725"/>
        <v>6.3898996224248368</v>
      </c>
      <c r="BD300" s="173">
        <f t="shared" si="841"/>
        <v>4.5274223971042735</v>
      </c>
      <c r="BE300" s="173">
        <f t="shared" si="842"/>
        <v>10.572739144454649</v>
      </c>
      <c r="BG300" s="528">
        <f t="shared" si="843"/>
        <v>0.40995107123602814</v>
      </c>
      <c r="BH300" s="528">
        <f t="shared" si="795"/>
        <v>2.0500600622645306</v>
      </c>
      <c r="BI300" s="528">
        <f t="shared" si="796"/>
        <v>0.11571606632295965</v>
      </c>
      <c r="BJ300" s="528">
        <f t="shared" si="844"/>
        <v>5.4995685427410332E-2</v>
      </c>
      <c r="BK300">
        <f t="shared" si="845"/>
        <v>3.8026014053460018E-2</v>
      </c>
      <c r="BL300" s="460">
        <f t="shared" si="846"/>
        <v>153.74208037641966</v>
      </c>
      <c r="BM300" s="528">
        <f t="shared" si="797"/>
        <v>2.9090475668789977</v>
      </c>
      <c r="BN300" s="460">
        <f t="shared" si="847"/>
        <v>2909.0475668789977</v>
      </c>
      <c r="BO300" s="528">
        <f t="shared" si="798"/>
        <v>5.88</v>
      </c>
      <c r="BR300" s="460">
        <f t="shared" si="848"/>
        <v>5880</v>
      </c>
      <c r="BS300" s="528">
        <f t="shared" si="849"/>
        <v>0.61492660685404221</v>
      </c>
      <c r="BT300" s="528">
        <f t="shared" si="850"/>
        <v>3.3534843905005087</v>
      </c>
      <c r="BU300" s="528">
        <f t="shared" si="851"/>
        <v>1.9665464824355161</v>
      </c>
      <c r="BV300" s="528"/>
      <c r="BW300" s="528">
        <f t="shared" si="852"/>
        <v>2.1737120202445837E-2</v>
      </c>
      <c r="BX300" s="460">
        <f t="shared" si="853"/>
        <v>5956.6945999925128</v>
      </c>
      <c r="BY300" s="173">
        <f t="shared" si="854"/>
        <v>14.5054434992969</v>
      </c>
      <c r="BZ300" s="5">
        <f t="shared" si="855"/>
        <v>126</v>
      </c>
      <c r="CA300" s="173">
        <f t="shared" si="856"/>
        <v>0.89676240907086657</v>
      </c>
      <c r="CB300" s="5">
        <f t="shared" si="857"/>
        <v>89.676240907086651</v>
      </c>
      <c r="CE300" s="562">
        <f t="shared" si="799"/>
        <v>-50</v>
      </c>
      <c r="CF300">
        <f t="shared" si="800"/>
        <v>-50</v>
      </c>
      <c r="CG300" s="173">
        <f t="shared" si="801"/>
        <v>0.84380293906636983</v>
      </c>
      <c r="CI300" s="170">
        <v>84</v>
      </c>
      <c r="CJ300" s="217">
        <f t="shared" si="858"/>
        <v>8.4</v>
      </c>
      <c r="CK300" s="217"/>
      <c r="CL300" s="217">
        <f t="shared" si="802"/>
        <v>126</v>
      </c>
      <c r="CM300" s="541">
        <f t="shared" si="803"/>
        <v>85</v>
      </c>
      <c r="CN300" s="443">
        <f t="shared" si="804"/>
        <v>15.4</v>
      </c>
      <c r="CO300" s="443">
        <f t="shared" si="805"/>
        <v>100.4</v>
      </c>
      <c r="CP300" s="443"/>
      <c r="CQ300" s="217">
        <f t="shared" si="806"/>
        <v>0.15338645418326693</v>
      </c>
      <c r="CR300" s="172">
        <f t="shared" si="807"/>
        <v>327.33148655378488</v>
      </c>
      <c r="CS300" s="172">
        <f t="shared" si="808"/>
        <v>126</v>
      </c>
      <c r="CT300" s="217">
        <f t="shared" si="809"/>
        <v>21.822099103585661</v>
      </c>
      <c r="CU300" s="217">
        <f t="shared" si="810"/>
        <v>15</v>
      </c>
      <c r="CV300" s="217"/>
      <c r="CW300" s="172">
        <f t="shared" si="811"/>
        <v>168.17787767541756</v>
      </c>
      <c r="CX300" s="172">
        <f t="shared" si="812"/>
        <v>15</v>
      </c>
      <c r="CY300" s="217">
        <f t="shared" si="813"/>
        <v>19.328342245989305</v>
      </c>
      <c r="CZ300" s="217">
        <f t="shared" si="814"/>
        <v>2.728707140610255</v>
      </c>
      <c r="DA300" s="217">
        <f t="shared" si="815"/>
        <v>15.061045905965692</v>
      </c>
      <c r="DB300" s="197">
        <f t="shared" si="816"/>
        <v>108.64873837981409</v>
      </c>
      <c r="DC300" s="443">
        <f t="shared" si="817"/>
        <v>56.212135007263264</v>
      </c>
      <c r="DE300" s="217">
        <f t="shared" si="818"/>
        <v>10</v>
      </c>
      <c r="DF300" s="173">
        <f t="shared" si="819"/>
        <v>7.7922077922077913</v>
      </c>
      <c r="DG300" s="173">
        <f t="shared" si="820"/>
        <v>4.2330677290836656</v>
      </c>
      <c r="DH300" s="173"/>
      <c r="DI300" s="173">
        <f t="shared" si="821"/>
        <v>7.7922077922077913</v>
      </c>
      <c r="DJ300" s="545">
        <f t="shared" si="822"/>
        <v>215.60000000000002</v>
      </c>
      <c r="DK300" s="528">
        <f t="shared" si="823"/>
        <v>4.2330677290836656</v>
      </c>
      <c r="DM300" s="173">
        <f t="shared" si="824"/>
        <v>7.8485667481394339</v>
      </c>
      <c r="DN300" s="173">
        <f t="shared" si="825"/>
        <v>19.328342245989305</v>
      </c>
      <c r="DO300" s="173">
        <f t="shared" si="826"/>
        <v>8.1098831451772622</v>
      </c>
      <c r="DQ300" s="545">
        <f t="shared" si="827"/>
        <v>8400</v>
      </c>
      <c r="DR300" s="460">
        <f t="shared" si="828"/>
        <v>56.212135007263264</v>
      </c>
      <c r="DT300">
        <f t="shared" si="829"/>
        <v>8400</v>
      </c>
      <c r="DU300">
        <f t="shared" si="830"/>
        <v>56.212135007263264</v>
      </c>
      <c r="DW300" s="5">
        <f t="shared" si="859"/>
        <v>17.789753046575946</v>
      </c>
      <c r="DX300" s="5">
        <f t="shared" si="831"/>
        <v>2.728707140610255</v>
      </c>
      <c r="DY300" s="5">
        <f t="shared" si="832"/>
        <v>15.061045905965692</v>
      </c>
      <c r="DZ300" s="5"/>
      <c r="EA300" s="173">
        <f t="shared" si="833"/>
        <v>0.15338645418326696</v>
      </c>
      <c r="EB300" s="173">
        <f t="shared" si="860"/>
        <v>126</v>
      </c>
      <c r="EC300" s="173">
        <f t="shared" si="861"/>
        <v>8.1818181818181817</v>
      </c>
      <c r="ED300" s="173">
        <f t="shared" si="862"/>
        <v>15.4</v>
      </c>
      <c r="EE300" s="460">
        <f t="shared" si="834"/>
        <v>152.80759987417429</v>
      </c>
      <c r="EF300" s="5">
        <f t="shared" si="835"/>
        <v>6.201607137750579</v>
      </c>
      <c r="EH300" s="173">
        <f t="shared" si="863"/>
        <v>4.3704633603625815</v>
      </c>
      <c r="EI300" s="173">
        <f t="shared" si="864"/>
        <v>10.267780740830016</v>
      </c>
      <c r="EK300" s="528">
        <f t="shared" si="865"/>
        <v>0.38201899968543579</v>
      </c>
      <c r="EL300" s="528">
        <f t="shared" si="866"/>
        <v>2.1816666666666671</v>
      </c>
      <c r="EM300" s="528">
        <f t="shared" si="867"/>
        <v>7.026516875907907E-3</v>
      </c>
      <c r="EN300" s="528">
        <f t="shared" si="868"/>
        <v>5.6662731481481494E-2</v>
      </c>
      <c r="EO300">
        <f t="shared" si="869"/>
        <v>3.8249999999999999E-2</v>
      </c>
      <c r="EP300" s="460">
        <f t="shared" si="870"/>
        <v>45.276516875907902</v>
      </c>
      <c r="EQ300" s="460"/>
      <c r="ER300" s="460">
        <f t="shared" si="871"/>
        <v>2665.6249147094923</v>
      </c>
      <c r="ES300" s="528">
        <f t="shared" si="872"/>
        <v>5.88</v>
      </c>
      <c r="EV300" s="460">
        <f t="shared" si="873"/>
        <v>5880</v>
      </c>
      <c r="EW300" s="528">
        <f t="shared" si="874"/>
        <v>0.57302849952815371</v>
      </c>
      <c r="EX300" s="528">
        <f t="shared" si="875"/>
        <v>3.1628196402527937</v>
      </c>
      <c r="EY300" s="528">
        <f t="shared" si="876"/>
        <v>1.9455021880180834</v>
      </c>
      <c r="EZ300" s="528"/>
      <c r="FA300" s="528">
        <f t="shared" si="877"/>
        <v>2.1000000000000001E-2</v>
      </c>
      <c r="FB300" s="460">
        <f t="shared" si="878"/>
        <v>5702.3503277990303</v>
      </c>
      <c r="FC300" s="173">
        <f t="shared" si="879"/>
        <v>14.247975242508524</v>
      </c>
      <c r="FD300" s="5">
        <f t="shared" si="880"/>
        <v>126</v>
      </c>
      <c r="FE300" s="173">
        <f t="shared" si="881"/>
        <v>0.89840869204798313</v>
      </c>
      <c r="FF300" s="5">
        <f t="shared" si="882"/>
        <v>89.84086920479831</v>
      </c>
      <c r="FI300" s="562">
        <f t="shared" si="836"/>
        <v>-50</v>
      </c>
      <c r="FJ300">
        <f t="shared" si="837"/>
        <v>-50</v>
      </c>
      <c r="FL300">
        <f t="shared" si="838"/>
        <v>0.84661354581673298</v>
      </c>
    </row>
    <row r="301" spans="5:168">
      <c r="E301" s="170">
        <v>85</v>
      </c>
      <c r="F301" s="217">
        <f t="shared" si="839"/>
        <v>8.5</v>
      </c>
      <c r="G301" s="217"/>
      <c r="H301" s="217">
        <f t="shared" si="764"/>
        <v>127.5</v>
      </c>
      <c r="I301" s="541">
        <f t="shared" si="765"/>
        <v>84.496347634531389</v>
      </c>
      <c r="J301" s="172">
        <f t="shared" si="766"/>
        <v>15.702191419281164</v>
      </c>
      <c r="K301" s="172">
        <f t="shared" si="767"/>
        <v>100.19853905381255</v>
      </c>
      <c r="L301" s="443"/>
      <c r="M301" s="217">
        <f t="shared" si="768"/>
        <v>0.15670243804039818</v>
      </c>
      <c r="N301" s="172">
        <f t="shared" si="769"/>
        <v>332.42642526198551</v>
      </c>
      <c r="O301" s="172">
        <f t="shared" si="762"/>
        <v>127.5</v>
      </c>
      <c r="P301" s="217">
        <f t="shared" si="770"/>
        <v>22.161761684132369</v>
      </c>
      <c r="Q301" s="217">
        <f t="shared" si="771"/>
        <v>15</v>
      </c>
      <c r="R301" s="217"/>
      <c r="S301" s="172">
        <f t="shared" si="772"/>
        <v>164.22762484108119</v>
      </c>
      <c r="T301" s="172">
        <f t="shared" si="773"/>
        <v>15</v>
      </c>
      <c r="U301" s="217">
        <f t="shared" si="774"/>
        <v>20.158957842231235</v>
      </c>
      <c r="V301" s="217">
        <f t="shared" si="775"/>
        <v>2.8629343264999747</v>
      </c>
      <c r="W301" s="217">
        <f t="shared" si="776"/>
        <v>15.405970265381544</v>
      </c>
      <c r="X301" s="197">
        <f t="shared" si="777"/>
        <v>110.34573934547578</v>
      </c>
      <c r="Y301" s="443">
        <f t="shared" si="840"/>
        <v>54.145062855518553</v>
      </c>
      <c r="AA301" s="217">
        <f t="shared" si="778"/>
        <v>10</v>
      </c>
      <c r="AB301" s="173">
        <f t="shared" si="779"/>
        <v>7.64224539083434</v>
      </c>
      <c r="AC301" s="173">
        <f t="shared" si="780"/>
        <v>4.2164460895558484</v>
      </c>
      <c r="AD301" s="173"/>
      <c r="AE301" s="173">
        <f t="shared" si="781"/>
        <v>7.64224539083434</v>
      </c>
      <c r="AF301" s="545">
        <f t="shared" si="782"/>
        <v>222.44771177314982</v>
      </c>
      <c r="AG301" s="528">
        <f t="shared" si="783"/>
        <v>4.2164460895558484</v>
      </c>
      <c r="AI301" s="173">
        <f t="shared" si="784"/>
        <v>7.9722323773233565</v>
      </c>
      <c r="AJ301" s="173">
        <f t="shared" si="785"/>
        <v>20.158957842231235</v>
      </c>
      <c r="AK301" s="173">
        <f t="shared" si="786"/>
        <v>8.7251539572083221</v>
      </c>
      <c r="AM301" s="545">
        <f t="shared" si="787"/>
        <v>8500</v>
      </c>
      <c r="AN301" s="460">
        <f t="shared" si="788"/>
        <v>54.145062855518553</v>
      </c>
      <c r="AP301">
        <f t="shared" si="789"/>
        <v>8500</v>
      </c>
      <c r="AQ301">
        <f t="shared" si="790"/>
        <v>54.145062855518553</v>
      </c>
      <c r="AS301" s="5">
        <f t="shared" si="763"/>
        <v>18.468904591881518</v>
      </c>
      <c r="AT301" s="5">
        <f t="shared" si="791"/>
        <v>2.8629343264999747</v>
      </c>
      <c r="AU301" s="5">
        <f t="shared" si="883"/>
        <v>15.605970265381544</v>
      </c>
      <c r="AV301" s="5"/>
      <c r="AW301" s="173">
        <f t="shared" si="884"/>
        <v>0.1550137590595628</v>
      </c>
      <c r="AX301" s="173">
        <f t="shared" si="792"/>
        <v>132.02198731271565</v>
      </c>
      <c r="AY301" s="173">
        <f t="shared" si="793"/>
        <v>8.517021004191859</v>
      </c>
      <c r="AZ301" s="173">
        <f t="shared" si="794"/>
        <v>15.500958286675331</v>
      </c>
      <c r="BA301" s="460">
        <f t="shared" si="724"/>
        <v>162.2329451683319</v>
      </c>
      <c r="BB301" s="5">
        <f t="shared" si="725"/>
        <v>6.5412466026289087</v>
      </c>
      <c r="BD301" s="173">
        <f t="shared" si="841"/>
        <v>4.5823955363635207</v>
      </c>
      <c r="BE301" s="173">
        <f t="shared" si="842"/>
        <v>10.698730995306612</v>
      </c>
      <c r="BG301" s="528">
        <f t="shared" si="843"/>
        <v>0.41996697703368641</v>
      </c>
      <c r="BH301" s="528">
        <f t="shared" si="795"/>
        <v>2.0506408297560172</v>
      </c>
      <c r="BI301" s="528">
        <f t="shared" si="796"/>
        <v>0.11437650134333623</v>
      </c>
      <c r="BJ301" s="528">
        <f t="shared" si="844"/>
        <v>5.4360274474164694E-2</v>
      </c>
      <c r="BK301">
        <f t="shared" si="845"/>
        <v>3.8023356435539127E-2</v>
      </c>
      <c r="BL301" s="460">
        <f t="shared" si="846"/>
        <v>152.39985777887534</v>
      </c>
      <c r="BM301" s="528">
        <f t="shared" si="797"/>
        <v>2.9308072903110656</v>
      </c>
      <c r="BN301" s="460">
        <f t="shared" si="847"/>
        <v>2930.8072903110656</v>
      </c>
      <c r="BO301" s="528">
        <f t="shared" si="798"/>
        <v>5.9499999999999993</v>
      </c>
      <c r="BR301" s="460">
        <f t="shared" si="848"/>
        <v>5949.9999999999991</v>
      </c>
      <c r="BS301" s="528">
        <f t="shared" si="849"/>
        <v>0.62995046555052958</v>
      </c>
      <c r="BT301" s="528">
        <f t="shared" si="850"/>
        <v>3.4338853472980322</v>
      </c>
      <c r="BU301" s="528">
        <f t="shared" si="851"/>
        <v>1.9680555447669494</v>
      </c>
      <c r="BV301" s="528"/>
      <c r="BW301" s="528">
        <f t="shared" si="852"/>
        <v>2.2003664552119277E-2</v>
      </c>
      <c r="BX301" s="460">
        <f t="shared" si="853"/>
        <v>6053.8950221676305</v>
      </c>
      <c r="BY301" s="173">
        <f t="shared" si="854"/>
        <v>14.681262961210374</v>
      </c>
      <c r="BZ301" s="5">
        <f t="shared" si="855"/>
        <v>127.5</v>
      </c>
      <c r="CA301" s="173">
        <f t="shared" si="856"/>
        <v>0.89674263221859496</v>
      </c>
      <c r="CB301" s="5">
        <f t="shared" si="857"/>
        <v>89.674263221859491</v>
      </c>
      <c r="CE301" s="562">
        <f t="shared" si="799"/>
        <v>-50</v>
      </c>
      <c r="CF301">
        <f t="shared" si="800"/>
        <v>-50</v>
      </c>
      <c r="CG301" s="173">
        <f t="shared" si="801"/>
        <v>0.84383600502813894</v>
      </c>
      <c r="CI301" s="170">
        <v>85</v>
      </c>
      <c r="CJ301" s="217">
        <f t="shared" si="858"/>
        <v>8.5</v>
      </c>
      <c r="CK301" s="217"/>
      <c r="CL301" s="217">
        <f t="shared" si="802"/>
        <v>127.5</v>
      </c>
      <c r="CM301" s="541">
        <f t="shared" si="803"/>
        <v>85</v>
      </c>
      <c r="CN301" s="443">
        <f t="shared" si="804"/>
        <v>15.4</v>
      </c>
      <c r="CO301" s="443">
        <f t="shared" si="805"/>
        <v>100.4</v>
      </c>
      <c r="CP301" s="443"/>
      <c r="CQ301" s="217">
        <f t="shared" si="806"/>
        <v>0.15338645418326693</v>
      </c>
      <c r="CR301" s="172">
        <f t="shared" si="807"/>
        <v>327.33148655378488</v>
      </c>
      <c r="CS301" s="172">
        <f t="shared" si="808"/>
        <v>127.5</v>
      </c>
      <c r="CT301" s="217">
        <f t="shared" si="809"/>
        <v>21.822099103585661</v>
      </c>
      <c r="CU301" s="217">
        <f t="shared" si="810"/>
        <v>15</v>
      </c>
      <c r="CV301" s="217"/>
      <c r="CW301" s="172">
        <f t="shared" si="811"/>
        <v>165.20530742962117</v>
      </c>
      <c r="CX301" s="172">
        <f t="shared" si="812"/>
        <v>15</v>
      </c>
      <c r="CY301" s="217">
        <f t="shared" si="813"/>
        <v>19.558441558441558</v>
      </c>
      <c r="CZ301" s="217">
        <f t="shared" si="814"/>
        <v>2.7611917494270433</v>
      </c>
      <c r="DA301" s="217">
        <f t="shared" si="815"/>
        <v>15.240344071512903</v>
      </c>
      <c r="DB301" s="197">
        <f t="shared" si="816"/>
        <v>108.64873837981409</v>
      </c>
      <c r="DC301" s="443">
        <f t="shared" si="817"/>
        <v>55.550815771883691</v>
      </c>
      <c r="DE301" s="217">
        <f t="shared" si="818"/>
        <v>10</v>
      </c>
      <c r="DF301" s="173">
        <f t="shared" si="819"/>
        <v>7.7922077922077913</v>
      </c>
      <c r="DG301" s="173">
        <f t="shared" si="820"/>
        <v>4.2330677290836656</v>
      </c>
      <c r="DH301" s="173"/>
      <c r="DI301" s="173">
        <f t="shared" si="821"/>
        <v>7.7922077922077913</v>
      </c>
      <c r="DJ301" s="545">
        <f t="shared" si="822"/>
        <v>218.16666666666669</v>
      </c>
      <c r="DK301" s="528">
        <f t="shared" si="823"/>
        <v>4.2330677290836656</v>
      </c>
      <c r="DM301" s="173">
        <f t="shared" si="824"/>
        <v>7.8951461882180078</v>
      </c>
      <c r="DN301" s="173">
        <f t="shared" si="825"/>
        <v>19.558441558441558</v>
      </c>
      <c r="DO301" s="173">
        <f t="shared" si="826"/>
        <v>8.2803270803270799</v>
      </c>
      <c r="DQ301" s="545">
        <f t="shared" si="827"/>
        <v>8500</v>
      </c>
      <c r="DR301" s="460">
        <f t="shared" si="828"/>
        <v>55.550815771883691</v>
      </c>
      <c r="DT301">
        <f t="shared" si="829"/>
        <v>8500</v>
      </c>
      <c r="DU301">
        <f t="shared" si="830"/>
        <v>55.550815771883691</v>
      </c>
      <c r="DW301" s="5">
        <f t="shared" si="859"/>
        <v>18.001535820939946</v>
      </c>
      <c r="DX301" s="5">
        <f t="shared" si="831"/>
        <v>2.7611917494270433</v>
      </c>
      <c r="DY301" s="5">
        <f t="shared" si="832"/>
        <v>15.240344071512903</v>
      </c>
      <c r="DZ301" s="5"/>
      <c r="EA301" s="173">
        <f t="shared" si="833"/>
        <v>0.15338645418326691</v>
      </c>
      <c r="EB301" s="173">
        <f t="shared" si="860"/>
        <v>127.5</v>
      </c>
      <c r="EC301" s="173">
        <f t="shared" si="861"/>
        <v>8.279220779220779</v>
      </c>
      <c r="ED301" s="173">
        <f t="shared" si="862"/>
        <v>15.4</v>
      </c>
      <c r="EE301" s="460">
        <f t="shared" si="834"/>
        <v>156.46753246753244</v>
      </c>
      <c r="EF301" s="5">
        <f t="shared" si="835"/>
        <v>6.3501433631303765</v>
      </c>
      <c r="EH301" s="173">
        <f t="shared" si="863"/>
        <v>4.4224926860811822</v>
      </c>
      <c r="EI301" s="173">
        <f t="shared" si="864"/>
        <v>10.390016225839901</v>
      </c>
      <c r="EK301" s="528">
        <f t="shared" si="865"/>
        <v>0.39116883116883105</v>
      </c>
      <c r="EL301" s="528">
        <f t="shared" si="866"/>
        <v>2.1816666666666666</v>
      </c>
      <c r="EM301" s="528">
        <f t="shared" si="867"/>
        <v>6.9438519714854607E-3</v>
      </c>
      <c r="EN301" s="528">
        <f t="shared" si="868"/>
        <v>5.5996111111111121E-2</v>
      </c>
      <c r="EO301">
        <f t="shared" si="869"/>
        <v>3.8249999999999999E-2</v>
      </c>
      <c r="EP301" s="460">
        <f t="shared" si="870"/>
        <v>45.193851971485465</v>
      </c>
      <c r="EQ301" s="460"/>
      <c r="ER301" s="460">
        <f t="shared" si="871"/>
        <v>2674.0254609180943</v>
      </c>
      <c r="ES301" s="528">
        <f t="shared" si="872"/>
        <v>5.9499999999999993</v>
      </c>
      <c r="EV301" s="460">
        <f t="shared" si="873"/>
        <v>5949.9999999999991</v>
      </c>
      <c r="EW301" s="528">
        <f t="shared" si="874"/>
        <v>0.58675324675324647</v>
      </c>
      <c r="EX301" s="528">
        <f t="shared" si="875"/>
        <v>3.238573115196492</v>
      </c>
      <c r="EY301" s="528">
        <f t="shared" si="876"/>
        <v>1.9455021880180869</v>
      </c>
      <c r="EZ301" s="528"/>
      <c r="FA301" s="528">
        <f t="shared" si="877"/>
        <v>2.1250000000000002E-2</v>
      </c>
      <c r="FB301" s="460">
        <f t="shared" si="878"/>
        <v>5792.0785499678259</v>
      </c>
      <c r="FC301" s="173">
        <f t="shared" si="879"/>
        <v>14.41610401088592</v>
      </c>
      <c r="FD301" s="5">
        <f t="shared" si="880"/>
        <v>127.5</v>
      </c>
      <c r="FE301" s="173">
        <f t="shared" si="881"/>
        <v>0.89841812448726666</v>
      </c>
      <c r="FF301" s="5">
        <f t="shared" si="882"/>
        <v>89.841812448726671</v>
      </c>
      <c r="FI301" s="562">
        <f t="shared" si="836"/>
        <v>-50</v>
      </c>
      <c r="FJ301">
        <f t="shared" si="837"/>
        <v>-50</v>
      </c>
      <c r="FL301">
        <f t="shared" si="838"/>
        <v>0.84661354581673309</v>
      </c>
    </row>
    <row r="302" spans="5:168">
      <c r="E302" s="170">
        <v>86</v>
      </c>
      <c r="F302" s="217">
        <f t="shared" si="839"/>
        <v>8.6</v>
      </c>
      <c r="G302" s="217"/>
      <c r="H302" s="217">
        <f t="shared" si="764"/>
        <v>129</v>
      </c>
      <c r="I302" s="541">
        <f t="shared" si="765"/>
        <v>84.490441815418677</v>
      </c>
      <c r="J302" s="172">
        <f t="shared" si="766"/>
        <v>15.705734910748792</v>
      </c>
      <c r="K302" s="172">
        <f t="shared" si="767"/>
        <v>100.19617672616747</v>
      </c>
      <c r="L302" s="443"/>
      <c r="M302" s="217">
        <f t="shared" si="768"/>
        <v>0.15674149885907718</v>
      </c>
      <c r="N302" s="172">
        <f t="shared" si="769"/>
        <v>332.48604782485961</v>
      </c>
      <c r="O302" s="172">
        <f t="shared" si="762"/>
        <v>129</v>
      </c>
      <c r="P302" s="217">
        <f t="shared" si="770"/>
        <v>22.165736521657308</v>
      </c>
      <c r="Q302" s="217">
        <f t="shared" si="771"/>
        <v>15</v>
      </c>
      <c r="R302" s="217"/>
      <c r="S302" s="172">
        <f t="shared" si="772"/>
        <v>161.330273946657</v>
      </c>
      <c r="T302" s="172">
        <f t="shared" si="773"/>
        <v>15</v>
      </c>
      <c r="U302" s="217">
        <f t="shared" si="774"/>
        <v>20.397066826754212</v>
      </c>
      <c r="V302" s="217">
        <f t="shared" si="775"/>
        <v>2.8969525624658696</v>
      </c>
      <c r="W302" s="217">
        <f t="shared" si="776"/>
        <v>15.584422079703947</v>
      </c>
      <c r="X302" s="197">
        <f t="shared" si="777"/>
        <v>110.36552865614915</v>
      </c>
      <c r="Y302" s="443">
        <f t="shared" si="840"/>
        <v>53.529251415079564</v>
      </c>
      <c r="AA302" s="217">
        <f t="shared" si="778"/>
        <v>10</v>
      </c>
      <c r="AB302" s="173">
        <f t="shared" si="779"/>
        <v>7.6405211651620091</v>
      </c>
      <c r="AC302" s="173">
        <f t="shared" si="780"/>
        <v>4.2162507880080096</v>
      </c>
      <c r="AD302" s="173"/>
      <c r="AE302" s="173">
        <f t="shared" si="781"/>
        <v>7.6405211651620091</v>
      </c>
      <c r="AF302" s="545">
        <f t="shared" si="782"/>
        <v>225.11553372073266</v>
      </c>
      <c r="AG302" s="528">
        <f t="shared" si="783"/>
        <v>4.2162507880080087</v>
      </c>
      <c r="AI302" s="173">
        <f t="shared" si="784"/>
        <v>8.0198955055667245</v>
      </c>
      <c r="AJ302" s="173">
        <f t="shared" si="785"/>
        <v>20.397066826754212</v>
      </c>
      <c r="AK302" s="173">
        <f t="shared" si="786"/>
        <v>8.9015309827808977</v>
      </c>
      <c r="AM302" s="545">
        <f t="shared" si="787"/>
        <v>8600</v>
      </c>
      <c r="AN302" s="460">
        <f t="shared" si="788"/>
        <v>53.529251415079564</v>
      </c>
      <c r="AP302">
        <f t="shared" si="789"/>
        <v>8600</v>
      </c>
      <c r="AQ302">
        <f t="shared" si="790"/>
        <v>53.529251415079564</v>
      </c>
      <c r="AS302" s="5">
        <f t="shared" si="763"/>
        <v>18.681374642169814</v>
      </c>
      <c r="AT302" s="5">
        <f t="shared" si="791"/>
        <v>2.8969525624658696</v>
      </c>
      <c r="AU302" s="5">
        <f t="shared" si="883"/>
        <v>15.784422079703944</v>
      </c>
      <c r="AV302" s="5"/>
      <c r="AW302" s="173">
        <f t="shared" si="884"/>
        <v>0.15507170205379453</v>
      </c>
      <c r="AX302" s="173">
        <f t="shared" si="792"/>
        <v>133.62196618955701</v>
      </c>
      <c r="AY302" s="173">
        <f t="shared" si="793"/>
        <v>8.6170294785122241</v>
      </c>
      <c r="AZ302" s="173">
        <f t="shared" si="794"/>
        <v>15.506731933871434</v>
      </c>
      <c r="BA302" s="460">
        <f t="shared" si="724"/>
        <v>166.09194691470987</v>
      </c>
      <c r="BB302" s="5">
        <f t="shared" si="725"/>
        <v>6.6943484458479885</v>
      </c>
      <c r="BD302" s="173">
        <f t="shared" si="841"/>
        <v>4.637387299346746</v>
      </c>
      <c r="BE302" s="173">
        <f t="shared" si="842"/>
        <v>10.824728668541761</v>
      </c>
      <c r="BG302" s="528">
        <f t="shared" si="843"/>
        <v>0.43010721928285017</v>
      </c>
      <c r="BH302" s="528">
        <f t="shared" si="795"/>
        <v>2.0512156007134901</v>
      </c>
      <c r="BI302" s="528">
        <f t="shared" si="796"/>
        <v>0.11306775255271745</v>
      </c>
      <c r="BJ302" s="528">
        <f t="shared" si="844"/>
        <v>5.3739481289987852E-2</v>
      </c>
      <c r="BK302">
        <f t="shared" si="845"/>
        <v>3.8020698816938404E-2</v>
      </c>
      <c r="BL302" s="460">
        <f t="shared" si="846"/>
        <v>151.08845136965584</v>
      </c>
      <c r="BM302" s="528">
        <f t="shared" si="797"/>
        <v>2.952965007002291</v>
      </c>
      <c r="BN302" s="460">
        <f t="shared" si="847"/>
        <v>2952.9650070022908</v>
      </c>
      <c r="BO302" s="528">
        <f t="shared" si="798"/>
        <v>6.02</v>
      </c>
      <c r="BR302" s="460">
        <f t="shared" si="848"/>
        <v>6020</v>
      </c>
      <c r="BS302" s="528">
        <f t="shared" si="849"/>
        <v>0.64516082892427518</v>
      </c>
      <c r="BT302" s="528">
        <f t="shared" si="850"/>
        <v>3.515242522426496</v>
      </c>
      <c r="BU302" s="528">
        <f t="shared" si="851"/>
        <v>1.9695509784052583</v>
      </c>
      <c r="BV302" s="528"/>
      <c r="BW302" s="528">
        <f t="shared" si="852"/>
        <v>2.2270327698259509E-2</v>
      </c>
      <c r="BX302" s="460">
        <f t="shared" si="853"/>
        <v>6152.2246574542887</v>
      </c>
      <c r="BY302" s="173">
        <f t="shared" si="854"/>
        <v>14.858375410110273</v>
      </c>
      <c r="BZ302" s="5">
        <f t="shared" si="855"/>
        <v>129</v>
      </c>
      <c r="CA302" s="173">
        <f t="shared" si="856"/>
        <v>0.89671525646141803</v>
      </c>
      <c r="CB302" s="5">
        <f t="shared" si="857"/>
        <v>89.671525646141802</v>
      </c>
      <c r="CE302" s="562">
        <f t="shared" si="799"/>
        <v>-50</v>
      </c>
      <c r="CF302">
        <f t="shared" si="800"/>
        <v>-50</v>
      </c>
      <c r="CG302" s="173">
        <f t="shared" si="801"/>
        <v>0.84386830201405283</v>
      </c>
      <c r="CI302" s="170">
        <v>86</v>
      </c>
      <c r="CJ302" s="217">
        <f t="shared" si="858"/>
        <v>8.6</v>
      </c>
      <c r="CK302" s="217"/>
      <c r="CL302" s="217">
        <f t="shared" si="802"/>
        <v>129</v>
      </c>
      <c r="CM302" s="541">
        <f t="shared" si="803"/>
        <v>85</v>
      </c>
      <c r="CN302" s="443">
        <f t="shared" si="804"/>
        <v>15.4</v>
      </c>
      <c r="CO302" s="443">
        <f t="shared" si="805"/>
        <v>100.4</v>
      </c>
      <c r="CP302" s="443"/>
      <c r="CQ302" s="217">
        <f t="shared" si="806"/>
        <v>0.15338645418326693</v>
      </c>
      <c r="CR302" s="172">
        <f t="shared" si="807"/>
        <v>327.33148655378488</v>
      </c>
      <c r="CS302" s="172">
        <f t="shared" si="808"/>
        <v>129</v>
      </c>
      <c r="CT302" s="217">
        <f t="shared" si="809"/>
        <v>21.822099103585661</v>
      </c>
      <c r="CU302" s="217">
        <f t="shared" si="810"/>
        <v>15</v>
      </c>
      <c r="CV302" s="217"/>
      <c r="CW302" s="172">
        <f t="shared" si="811"/>
        <v>162.3019942653797</v>
      </c>
      <c r="CX302" s="172">
        <f t="shared" si="812"/>
        <v>15</v>
      </c>
      <c r="CY302" s="217">
        <f t="shared" si="813"/>
        <v>19.788540870893812</v>
      </c>
      <c r="CZ302" s="217">
        <f t="shared" si="814"/>
        <v>2.793676358243832</v>
      </c>
      <c r="DA302" s="217">
        <f t="shared" si="815"/>
        <v>15.419642237060113</v>
      </c>
      <c r="DB302" s="197">
        <f t="shared" si="816"/>
        <v>108.64873837981409</v>
      </c>
      <c r="DC302" s="443">
        <f t="shared" si="817"/>
        <v>54.904876053605975</v>
      </c>
      <c r="DE302" s="217">
        <f t="shared" si="818"/>
        <v>10</v>
      </c>
      <c r="DF302" s="173">
        <f t="shared" si="819"/>
        <v>7.7922077922077913</v>
      </c>
      <c r="DG302" s="173">
        <f t="shared" si="820"/>
        <v>4.2330677290836656</v>
      </c>
      <c r="DH302" s="173"/>
      <c r="DI302" s="173">
        <f t="shared" si="821"/>
        <v>7.7922077922077913</v>
      </c>
      <c r="DJ302" s="545">
        <f t="shared" si="822"/>
        <v>220.73333333333335</v>
      </c>
      <c r="DK302" s="528">
        <f t="shared" si="823"/>
        <v>4.2330677290836656</v>
      </c>
      <c r="DM302" s="173">
        <f t="shared" si="824"/>
        <v>7.9414524280301944</v>
      </c>
      <c r="DN302" s="173">
        <f t="shared" si="825"/>
        <v>19.788540870893812</v>
      </c>
      <c r="DO302" s="173">
        <f t="shared" si="826"/>
        <v>8.4507710154768976</v>
      </c>
      <c r="DQ302" s="545">
        <f t="shared" si="827"/>
        <v>8600</v>
      </c>
      <c r="DR302" s="460">
        <f t="shared" si="828"/>
        <v>54.904876053605975</v>
      </c>
      <c r="DT302">
        <f t="shared" si="829"/>
        <v>8600</v>
      </c>
      <c r="DU302">
        <f t="shared" si="830"/>
        <v>54.904876053605975</v>
      </c>
      <c r="DW302" s="5">
        <f t="shared" si="859"/>
        <v>18.213318595303946</v>
      </c>
      <c r="DX302" s="5">
        <f t="shared" si="831"/>
        <v>2.793676358243832</v>
      </c>
      <c r="DY302" s="5">
        <f t="shared" si="832"/>
        <v>15.419642237060113</v>
      </c>
      <c r="DZ302" s="5"/>
      <c r="EA302" s="173">
        <f t="shared" si="833"/>
        <v>0.15338645418326691</v>
      </c>
      <c r="EB302" s="173">
        <f t="shared" si="860"/>
        <v>129</v>
      </c>
      <c r="EC302" s="173">
        <f t="shared" si="861"/>
        <v>8.3766233766233764</v>
      </c>
      <c r="ED302" s="173">
        <f t="shared" si="862"/>
        <v>15.4</v>
      </c>
      <c r="EE302" s="460">
        <f t="shared" si="834"/>
        <v>160.17077787264637</v>
      </c>
      <c r="EF302" s="5">
        <f t="shared" si="835"/>
        <v>6.5004374136625964</v>
      </c>
      <c r="EH302" s="173">
        <f t="shared" si="863"/>
        <v>4.4745220117997846</v>
      </c>
      <c r="EI302" s="173">
        <f t="shared" si="864"/>
        <v>10.512251710849782</v>
      </c>
      <c r="EK302" s="528">
        <f t="shared" si="865"/>
        <v>0.40042694468161588</v>
      </c>
      <c r="EL302" s="528">
        <f t="shared" si="866"/>
        <v>2.1816666666666671</v>
      </c>
      <c r="EM302" s="528">
        <f t="shared" si="867"/>
        <v>6.8631095067007465E-3</v>
      </c>
      <c r="EN302" s="528">
        <f t="shared" si="868"/>
        <v>5.5344993540051686E-2</v>
      </c>
      <c r="EO302">
        <f t="shared" si="869"/>
        <v>3.8249999999999999E-2</v>
      </c>
      <c r="EP302" s="460">
        <f t="shared" si="870"/>
        <v>45.113109506700752</v>
      </c>
      <c r="EQ302" s="460"/>
      <c r="ER302" s="460">
        <f t="shared" si="871"/>
        <v>2682.5517143950356</v>
      </c>
      <c r="ES302" s="528">
        <f t="shared" si="872"/>
        <v>6.02</v>
      </c>
      <c r="EV302" s="460">
        <f t="shared" si="873"/>
        <v>6020</v>
      </c>
      <c r="EW302" s="528">
        <f t="shared" si="874"/>
        <v>0.60064041702242377</v>
      </c>
      <c r="EX302" s="528">
        <f t="shared" si="875"/>
        <v>3.3152230809679248</v>
      </c>
      <c r="EY302" s="528">
        <f t="shared" si="876"/>
        <v>1.9455021880180854</v>
      </c>
      <c r="EZ302" s="528"/>
      <c r="FA302" s="528">
        <f t="shared" si="877"/>
        <v>2.1500000000000002E-2</v>
      </c>
      <c r="FB302" s="460">
        <f t="shared" si="878"/>
        <v>5882.8656860084329</v>
      </c>
      <c r="FC302" s="173">
        <f t="shared" si="879"/>
        <v>14.58541740040347</v>
      </c>
      <c r="FD302" s="5">
        <f t="shared" si="880"/>
        <v>129</v>
      </c>
      <c r="FE302" s="173">
        <f t="shared" si="881"/>
        <v>0.8984199254738352</v>
      </c>
      <c r="FF302" s="5">
        <f t="shared" si="882"/>
        <v>89.841992547383526</v>
      </c>
      <c r="FI302" s="562">
        <f t="shared" si="836"/>
        <v>-50</v>
      </c>
      <c r="FJ302">
        <f t="shared" si="837"/>
        <v>-50</v>
      </c>
      <c r="FL302">
        <f t="shared" si="838"/>
        <v>0.84661354581673309</v>
      </c>
    </row>
    <row r="303" spans="5:168">
      <c r="E303" s="170">
        <v>87</v>
      </c>
      <c r="F303" s="217">
        <f t="shared" si="839"/>
        <v>8.6999999999999993</v>
      </c>
      <c r="G303" s="217"/>
      <c r="H303" s="217">
        <f t="shared" si="764"/>
        <v>130.5</v>
      </c>
      <c r="I303" s="541">
        <f t="shared" si="765"/>
        <v>84.484535994847491</v>
      </c>
      <c r="J303" s="172">
        <f t="shared" si="766"/>
        <v>15.709278403091503</v>
      </c>
      <c r="K303" s="172">
        <f t="shared" si="767"/>
        <v>100.19381439793899</v>
      </c>
      <c r="L303" s="443"/>
      <c r="M303" s="217">
        <f t="shared" si="768"/>
        <v>0.15678056152194611</v>
      </c>
      <c r="N303" s="172">
        <f t="shared" si="769"/>
        <v>332.54566271035822</v>
      </c>
      <c r="O303" s="172">
        <f t="shared" si="762"/>
        <v>130.5</v>
      </c>
      <c r="P303" s="217">
        <f t="shared" si="770"/>
        <v>22.169710847357216</v>
      </c>
      <c r="Q303" s="217">
        <f t="shared" si="771"/>
        <v>15</v>
      </c>
      <c r="R303" s="217"/>
      <c r="S303" s="172">
        <f t="shared" si="772"/>
        <v>158.49979291002609</v>
      </c>
      <c r="T303" s="172">
        <f t="shared" si="773"/>
        <v>15</v>
      </c>
      <c r="U303" s="217">
        <f t="shared" si="774"/>
        <v>20.635197916458921</v>
      </c>
      <c r="V303" s="217">
        <f t="shared" si="775"/>
        <v>2.9309786942856499</v>
      </c>
      <c r="W303" s="217">
        <f t="shared" si="776"/>
        <v>15.762810273244398</v>
      </c>
      <c r="X303" s="197">
        <f t="shared" si="777"/>
        <v>110.38531542375374</v>
      </c>
      <c r="Y303" s="443">
        <f t="shared" si="840"/>
        <v>52.927446247999896</v>
      </c>
      <c r="AA303" s="217">
        <f t="shared" si="778"/>
        <v>10</v>
      </c>
      <c r="AB303" s="173">
        <f t="shared" si="779"/>
        <v>7.6387977169202523</v>
      </c>
      <c r="AC303" s="173">
        <f t="shared" si="780"/>
        <v>4.2160554772024597</v>
      </c>
      <c r="AD303" s="173"/>
      <c r="AE303" s="173">
        <f t="shared" si="781"/>
        <v>7.6387977169202523</v>
      </c>
      <c r="AF303" s="545">
        <f t="shared" si="782"/>
        <v>227.78453684482676</v>
      </c>
      <c r="AG303" s="528">
        <f t="shared" si="783"/>
        <v>4.2160554772024597</v>
      </c>
      <c r="AI303" s="173">
        <f t="shared" si="784"/>
        <v>8.0672979516923178</v>
      </c>
      <c r="AJ303" s="173">
        <f t="shared" si="785"/>
        <v>20.635197916458921</v>
      </c>
      <c r="AK303" s="173">
        <f t="shared" si="786"/>
        <v>9.0779243825621627</v>
      </c>
      <c r="AM303" s="545">
        <f t="shared" si="787"/>
        <v>8700</v>
      </c>
      <c r="AN303" s="460">
        <f t="shared" si="788"/>
        <v>52.927446247999896</v>
      </c>
      <c r="AP303">
        <f t="shared" si="789"/>
        <v>8700</v>
      </c>
      <c r="AQ303">
        <f t="shared" si="790"/>
        <v>52.927446247999896</v>
      </c>
      <c r="AS303" s="5">
        <f t="shared" si="763"/>
        <v>18.893788967530046</v>
      </c>
      <c r="AT303" s="5">
        <f t="shared" si="791"/>
        <v>2.9309786942856499</v>
      </c>
      <c r="AU303" s="5">
        <f t="shared" si="883"/>
        <v>15.962810273244397</v>
      </c>
      <c r="AV303" s="5"/>
      <c r="AW303" s="173">
        <f t="shared" si="884"/>
        <v>0.15512921729583667</v>
      </c>
      <c r="AX303" s="173">
        <f t="shared" si="792"/>
        <v>135.2226577050933</v>
      </c>
      <c r="AY303" s="173">
        <f t="shared" si="793"/>
        <v>8.7170379074669846</v>
      </c>
      <c r="AZ303" s="173">
        <f t="shared" si="794"/>
        <v>15.512454934865206</v>
      </c>
      <c r="BA303" s="460">
        <f t="shared" si="724"/>
        <v>169.99676426856769</v>
      </c>
      <c r="BB303" s="5">
        <f t="shared" si="725"/>
        <v>6.8492045981101199</v>
      </c>
      <c r="BD303" s="173">
        <f t="shared" si="841"/>
        <v>4.6923976856087224</v>
      </c>
      <c r="BE303" s="173">
        <f t="shared" si="842"/>
        <v>10.950732166263471</v>
      </c>
      <c r="BG303" s="528">
        <f t="shared" si="843"/>
        <v>0.44037192079812187</v>
      </c>
      <c r="BH303" s="528">
        <f t="shared" si="795"/>
        <v>2.051784577519987</v>
      </c>
      <c r="BI303" s="528">
        <f t="shared" si="796"/>
        <v>0.11178876844136257</v>
      </c>
      <c r="BJ303" s="528">
        <f t="shared" si="844"/>
        <v>5.3132807087349417E-2</v>
      </c>
      <c r="BK303">
        <f t="shared" si="845"/>
        <v>3.8018041197681367E-2</v>
      </c>
      <c r="BL303" s="460">
        <f t="shared" si="846"/>
        <v>149.80680963904393</v>
      </c>
      <c r="BM303" s="528">
        <f t="shared" si="797"/>
        <v>2.9755260631942435</v>
      </c>
      <c r="BN303" s="460">
        <f t="shared" si="847"/>
        <v>2975.5260631942433</v>
      </c>
      <c r="BO303" s="528">
        <f t="shared" si="798"/>
        <v>6.089999999999999</v>
      </c>
      <c r="BR303" s="460">
        <f t="shared" si="848"/>
        <v>6089.9999999999991</v>
      </c>
      <c r="BS303" s="528">
        <f t="shared" si="849"/>
        <v>0.66055788119718273</v>
      </c>
      <c r="BT303" s="528">
        <f t="shared" si="850"/>
        <v>3.5975560493171237</v>
      </c>
      <c r="BU303" s="528">
        <f t="shared" si="851"/>
        <v>1.9710332489056579</v>
      </c>
      <c r="BV303" s="528"/>
      <c r="BW303" s="528">
        <f t="shared" si="852"/>
        <v>2.2537109617515549E-2</v>
      </c>
      <c r="BX303" s="460">
        <f t="shared" si="853"/>
        <v>6251.6842890374801</v>
      </c>
      <c r="BY303" s="173">
        <f t="shared" si="854"/>
        <v>15.036780404081981</v>
      </c>
      <c r="BZ303" s="5">
        <f t="shared" si="855"/>
        <v>130.5</v>
      </c>
      <c r="CA303" s="173">
        <f t="shared" si="856"/>
        <v>0.89668054795267249</v>
      </c>
      <c r="CB303" s="5">
        <f t="shared" si="857"/>
        <v>89.668054795267253</v>
      </c>
      <c r="CE303" s="562">
        <f t="shared" si="799"/>
        <v>-50</v>
      </c>
      <c r="CF303">
        <f t="shared" si="800"/>
        <v>-50</v>
      </c>
      <c r="CG303" s="173">
        <f t="shared" si="801"/>
        <v>0.84389985654052024</v>
      </c>
      <c r="CI303" s="170">
        <v>87</v>
      </c>
      <c r="CJ303" s="217">
        <f t="shared" si="858"/>
        <v>8.6999999999999993</v>
      </c>
      <c r="CK303" s="217"/>
      <c r="CL303" s="217">
        <f t="shared" si="802"/>
        <v>130.5</v>
      </c>
      <c r="CM303" s="541">
        <f t="shared" si="803"/>
        <v>85</v>
      </c>
      <c r="CN303" s="443">
        <f t="shared" si="804"/>
        <v>15.4</v>
      </c>
      <c r="CO303" s="443">
        <f t="shared" si="805"/>
        <v>100.4</v>
      </c>
      <c r="CP303" s="443"/>
      <c r="CQ303" s="217">
        <f t="shared" si="806"/>
        <v>0.15338645418326693</v>
      </c>
      <c r="CR303" s="172">
        <f t="shared" si="807"/>
        <v>327.33148655378488</v>
      </c>
      <c r="CS303" s="172">
        <f t="shared" si="808"/>
        <v>130.5</v>
      </c>
      <c r="CT303" s="217">
        <f t="shared" si="809"/>
        <v>21.822099103585661</v>
      </c>
      <c r="CU303" s="217">
        <f t="shared" si="810"/>
        <v>15</v>
      </c>
      <c r="CV303" s="217"/>
      <c r="CW303" s="172">
        <f t="shared" si="811"/>
        <v>159.46555227677351</v>
      </c>
      <c r="CX303" s="172">
        <f t="shared" si="812"/>
        <v>15</v>
      </c>
      <c r="CY303" s="217">
        <f t="shared" si="813"/>
        <v>20.018640183346065</v>
      </c>
      <c r="CZ303" s="217">
        <f t="shared" si="814"/>
        <v>2.8261609670606211</v>
      </c>
      <c r="DA303" s="217">
        <f t="shared" si="815"/>
        <v>15.598940402607322</v>
      </c>
      <c r="DB303" s="197">
        <f t="shared" si="816"/>
        <v>108.64873837981409</v>
      </c>
      <c r="DC303" s="443">
        <f t="shared" si="817"/>
        <v>54.273785524254187</v>
      </c>
      <c r="DE303" s="217">
        <f t="shared" si="818"/>
        <v>10</v>
      </c>
      <c r="DF303" s="173">
        <f t="shared" si="819"/>
        <v>7.7922077922077913</v>
      </c>
      <c r="DG303" s="173">
        <f t="shared" si="820"/>
        <v>4.2330677290836656</v>
      </c>
      <c r="DH303" s="173"/>
      <c r="DI303" s="173">
        <f t="shared" si="821"/>
        <v>7.7922077922077913</v>
      </c>
      <c r="DJ303" s="545">
        <f t="shared" si="822"/>
        <v>223.3</v>
      </c>
      <c r="DK303" s="528">
        <f t="shared" si="823"/>
        <v>4.2330677290836656</v>
      </c>
      <c r="DM303" s="173">
        <f t="shared" si="824"/>
        <v>7.987490219086343</v>
      </c>
      <c r="DN303" s="173">
        <f t="shared" si="825"/>
        <v>20.018640183346065</v>
      </c>
      <c r="DO303" s="173">
        <f t="shared" si="826"/>
        <v>8.6212149506267135</v>
      </c>
      <c r="DQ303" s="545">
        <f t="shared" si="827"/>
        <v>8700</v>
      </c>
      <c r="DR303" s="460">
        <f t="shared" si="828"/>
        <v>54.273785524254187</v>
      </c>
      <c r="DT303">
        <f t="shared" si="829"/>
        <v>8700</v>
      </c>
      <c r="DU303">
        <f t="shared" si="830"/>
        <v>54.273785524254187</v>
      </c>
      <c r="DW303" s="5">
        <f t="shared" si="859"/>
        <v>18.425101369667942</v>
      </c>
      <c r="DX303" s="5">
        <f t="shared" si="831"/>
        <v>2.8261609670606211</v>
      </c>
      <c r="DY303" s="5">
        <f t="shared" si="832"/>
        <v>15.598940402607321</v>
      </c>
      <c r="DZ303" s="5"/>
      <c r="EA303" s="173">
        <f t="shared" si="833"/>
        <v>0.15338645418326696</v>
      </c>
      <c r="EB303" s="173">
        <f t="shared" si="860"/>
        <v>130.50000000000003</v>
      </c>
      <c r="EC303" s="173">
        <f t="shared" si="861"/>
        <v>8.474025974025972</v>
      </c>
      <c r="ED303" s="173">
        <f t="shared" si="862"/>
        <v>15.400000000000007</v>
      </c>
      <c r="EE303" s="460">
        <f t="shared" si="834"/>
        <v>163.91733608951603</v>
      </c>
      <c r="EF303" s="5">
        <f t="shared" si="835"/>
        <v>6.6524892893472396</v>
      </c>
      <c r="EH303" s="173">
        <f t="shared" si="863"/>
        <v>4.5265513375183879</v>
      </c>
      <c r="EI303" s="173">
        <f t="shared" si="864"/>
        <v>10.634487195859661</v>
      </c>
      <c r="EK303" s="528">
        <f t="shared" si="865"/>
        <v>0.40979334022379016</v>
      </c>
      <c r="EL303" s="528">
        <f t="shared" si="866"/>
        <v>2.1816666666666671</v>
      </c>
      <c r="EM303" s="528">
        <f t="shared" si="867"/>
        <v>6.7842231905317733E-3</v>
      </c>
      <c r="EN303" s="528">
        <f t="shared" si="868"/>
        <v>5.4708844189016614E-2</v>
      </c>
      <c r="EO303">
        <f t="shared" si="869"/>
        <v>3.8249999999999999E-2</v>
      </c>
      <c r="EP303" s="460">
        <f t="shared" si="870"/>
        <v>45.034223190531769</v>
      </c>
      <c r="EQ303" s="460"/>
      <c r="ER303" s="460">
        <f t="shared" si="871"/>
        <v>2691.2030742700058</v>
      </c>
      <c r="ES303" s="528">
        <f t="shared" si="872"/>
        <v>6.089999999999999</v>
      </c>
      <c r="EV303" s="460">
        <f t="shared" si="873"/>
        <v>6089.9999999999991</v>
      </c>
      <c r="EW303" s="528">
        <f t="shared" si="874"/>
        <v>0.61469001033568516</v>
      </c>
      <c r="EX303" s="528">
        <f t="shared" si="875"/>
        <v>3.3927695375670921</v>
      </c>
      <c r="EY303" s="528">
        <f t="shared" si="876"/>
        <v>1.9455021880180834</v>
      </c>
      <c r="EZ303" s="528"/>
      <c r="FA303" s="528">
        <f t="shared" si="877"/>
        <v>2.1749999999999999E-2</v>
      </c>
      <c r="FB303" s="460">
        <f t="shared" si="878"/>
        <v>5974.7117359208605</v>
      </c>
      <c r="FC303" s="173">
        <f t="shared" si="879"/>
        <v>14.755914810190868</v>
      </c>
      <c r="FD303" s="5">
        <f t="shared" si="880"/>
        <v>130.5</v>
      </c>
      <c r="FE303" s="173">
        <f t="shared" si="881"/>
        <v>0.89841436178710699</v>
      </c>
      <c r="FF303" s="5">
        <f t="shared" si="882"/>
        <v>89.841436178710694</v>
      </c>
      <c r="FI303" s="562">
        <f t="shared" si="836"/>
        <v>-50</v>
      </c>
      <c r="FJ303">
        <f t="shared" si="837"/>
        <v>-50</v>
      </c>
      <c r="FL303">
        <f t="shared" si="838"/>
        <v>0.84661354581673298</v>
      </c>
    </row>
    <row r="304" spans="5:168">
      <c r="E304" s="170">
        <v>88</v>
      </c>
      <c r="F304" s="217">
        <f t="shared" si="839"/>
        <v>8.8000000000000007</v>
      </c>
      <c r="G304" s="217"/>
      <c r="H304" s="217">
        <f t="shared" si="764"/>
        <v>132</v>
      </c>
      <c r="I304" s="541">
        <f t="shared" si="765"/>
        <v>84.47863017286771</v>
      </c>
      <c r="J304" s="172">
        <f t="shared" si="766"/>
        <v>15.712821896279371</v>
      </c>
      <c r="K304" s="172">
        <f t="shared" si="767"/>
        <v>100.19145206914708</v>
      </c>
      <c r="L304" s="443"/>
      <c r="M304" s="217">
        <f t="shared" si="768"/>
        <v>0.15681962602905913</v>
      </c>
      <c r="N304" s="172">
        <f t="shared" si="769"/>
        <v>332.60526991796797</v>
      </c>
      <c r="O304" s="172">
        <f t="shared" si="762"/>
        <v>132</v>
      </c>
      <c r="P304" s="217">
        <f t="shared" si="770"/>
        <v>22.173684661197864</v>
      </c>
      <c r="Q304" s="217">
        <f t="shared" si="771"/>
        <v>15</v>
      </c>
      <c r="R304" s="217"/>
      <c r="S304" s="172">
        <f t="shared" si="772"/>
        <v>155.73390437321393</v>
      </c>
      <c r="T304" s="172">
        <f t="shared" si="773"/>
        <v>15</v>
      </c>
      <c r="U304" s="217">
        <f t="shared" si="774"/>
        <v>20.873351115981457</v>
      </c>
      <c r="V304" s="217">
        <f t="shared" si="775"/>
        <v>2.9650127242738491</v>
      </c>
      <c r="W304" s="217">
        <f t="shared" si="776"/>
        <v>15.941134892586577</v>
      </c>
      <c r="X304" s="197">
        <f t="shared" si="777"/>
        <v>110.40509964794038</v>
      </c>
      <c r="Y304" s="443">
        <f t="shared" si="840"/>
        <v>52.339174806622928</v>
      </c>
      <c r="AA304" s="217">
        <f t="shared" si="778"/>
        <v>10</v>
      </c>
      <c r="AB304" s="173">
        <f t="shared" si="779"/>
        <v>7.6370750455979355</v>
      </c>
      <c r="AC304" s="173">
        <f t="shared" si="780"/>
        <v>4.2158601571401952</v>
      </c>
      <c r="AD304" s="173"/>
      <c r="AE304" s="173">
        <f t="shared" si="781"/>
        <v>7.6370750455979355</v>
      </c>
      <c r="AF304" s="545">
        <f t="shared" si="782"/>
        <v>230.4547211454308</v>
      </c>
      <c r="AG304" s="528">
        <f t="shared" si="783"/>
        <v>4.2158601571401935</v>
      </c>
      <c r="AI304" s="173">
        <f t="shared" si="784"/>
        <v>8.1144442842102045</v>
      </c>
      <c r="AJ304" s="173">
        <f t="shared" si="785"/>
        <v>20.873351115981457</v>
      </c>
      <c r="AK304" s="173">
        <f t="shared" si="786"/>
        <v>9.2543341599862643</v>
      </c>
      <c r="AM304" s="545">
        <f t="shared" si="787"/>
        <v>8800</v>
      </c>
      <c r="AN304" s="460">
        <f t="shared" si="788"/>
        <v>52.339174806622928</v>
      </c>
      <c r="AP304">
        <f t="shared" si="789"/>
        <v>8800</v>
      </c>
      <c r="AQ304">
        <f t="shared" si="790"/>
        <v>52.339174806622928</v>
      </c>
      <c r="AS304" s="5">
        <f t="shared" si="763"/>
        <v>19.106147616860429</v>
      </c>
      <c r="AT304" s="5">
        <f t="shared" si="791"/>
        <v>2.9650127242738491</v>
      </c>
      <c r="AU304" s="5">
        <f t="shared" si="883"/>
        <v>16.141134892586582</v>
      </c>
      <c r="AV304" s="5"/>
      <c r="AW304" s="173">
        <f t="shared" si="884"/>
        <v>0.15518631927963025</v>
      </c>
      <c r="AX304" s="173">
        <f t="shared" si="792"/>
        <v>136.82406172552302</v>
      </c>
      <c r="AY304" s="173">
        <f t="shared" si="793"/>
        <v>8.8170462926304669</v>
      </c>
      <c r="AZ304" s="173">
        <f t="shared" si="794"/>
        <v>15.518128995181117</v>
      </c>
      <c r="BA304" s="460">
        <f t="shared" si="724"/>
        <v>173.94741315739918</v>
      </c>
      <c r="BB304" s="5">
        <f t="shared" si="725"/>
        <v>7.0058145061904478</v>
      </c>
      <c r="BD304" s="173">
        <f t="shared" si="841"/>
        <v>4.7474266947883716</v>
      </c>
      <c r="BE304" s="173">
        <f t="shared" si="842"/>
        <v>11.076741490526844</v>
      </c>
      <c r="BG304" s="528">
        <f t="shared" si="843"/>
        <v>0.45076120444778489</v>
      </c>
      <c r="BH304" s="528">
        <f t="shared" si="795"/>
        <v>2.0523479534544706</v>
      </c>
      <c r="BI304" s="528">
        <f t="shared" si="796"/>
        <v>0.11053854480104432</v>
      </c>
      <c r="BJ304" s="528">
        <f t="shared" si="844"/>
        <v>5.2539775516367127E-2</v>
      </c>
      <c r="BK304">
        <f t="shared" si="845"/>
        <v>3.8015383577790468E-2</v>
      </c>
      <c r="BL304" s="460">
        <f t="shared" si="846"/>
        <v>148.5539283788348</v>
      </c>
      <c r="BM304" s="528">
        <f t="shared" si="797"/>
        <v>2.9984959613093944</v>
      </c>
      <c r="BN304" s="460">
        <f t="shared" si="847"/>
        <v>2998.4959613093943</v>
      </c>
      <c r="BO304" s="528">
        <f t="shared" si="798"/>
        <v>6.16</v>
      </c>
      <c r="BR304" s="460">
        <f t="shared" si="848"/>
        <v>6160</v>
      </c>
      <c r="BS304" s="528">
        <f t="shared" si="849"/>
        <v>0.67614180667167734</v>
      </c>
      <c r="BT304" s="528">
        <f t="shared" si="850"/>
        <v>3.6808260614387653</v>
      </c>
      <c r="BU304" s="528">
        <f t="shared" si="851"/>
        <v>1.9725028010433974</v>
      </c>
      <c r="BV304" s="528"/>
      <c r="BW304" s="528">
        <f t="shared" si="852"/>
        <v>2.2804010287587172E-2</v>
      </c>
      <c r="BX304" s="460">
        <f t="shared" si="853"/>
        <v>6352.2746794414279</v>
      </c>
      <c r="BY304" s="173">
        <f t="shared" si="854"/>
        <v>15.216477541238884</v>
      </c>
      <c r="BZ304" s="5">
        <f t="shared" si="855"/>
        <v>132</v>
      </c>
      <c r="CA304" s="173">
        <f t="shared" si="856"/>
        <v>0.89663876085490246</v>
      </c>
      <c r="CB304" s="5">
        <f t="shared" si="857"/>
        <v>89.663876085490244</v>
      </c>
      <c r="CE304" s="562">
        <f t="shared" si="799"/>
        <v>-50</v>
      </c>
      <c r="CF304">
        <f t="shared" si="800"/>
        <v>-50</v>
      </c>
      <c r="CG304" s="173">
        <f t="shared" si="801"/>
        <v>0.84393069391865916</v>
      </c>
      <c r="CI304" s="170">
        <v>88</v>
      </c>
      <c r="CJ304" s="217">
        <f t="shared" si="858"/>
        <v>8.8000000000000007</v>
      </c>
      <c r="CK304" s="217"/>
      <c r="CL304" s="217">
        <f t="shared" si="802"/>
        <v>132</v>
      </c>
      <c r="CM304" s="541">
        <f t="shared" si="803"/>
        <v>85</v>
      </c>
      <c r="CN304" s="443">
        <f t="shared" si="804"/>
        <v>15.4</v>
      </c>
      <c r="CO304" s="443">
        <f t="shared" si="805"/>
        <v>100.4</v>
      </c>
      <c r="CP304" s="443"/>
      <c r="CQ304" s="217">
        <f t="shared" si="806"/>
        <v>0.15338645418326693</v>
      </c>
      <c r="CR304" s="172">
        <f t="shared" si="807"/>
        <v>327.33148655378488</v>
      </c>
      <c r="CS304" s="172">
        <f t="shared" si="808"/>
        <v>132</v>
      </c>
      <c r="CT304" s="217">
        <f t="shared" si="809"/>
        <v>21.822099103585661</v>
      </c>
      <c r="CU304" s="217">
        <f t="shared" si="810"/>
        <v>15</v>
      </c>
      <c r="CV304" s="217"/>
      <c r="CW304" s="172">
        <f t="shared" si="811"/>
        <v>156.69370406169872</v>
      </c>
      <c r="CX304" s="172">
        <f t="shared" si="812"/>
        <v>15</v>
      </c>
      <c r="CY304" s="217">
        <f t="shared" si="813"/>
        <v>20.248739495798318</v>
      </c>
      <c r="CZ304" s="217">
        <f t="shared" si="814"/>
        <v>2.8586455758774094</v>
      </c>
      <c r="DA304" s="217">
        <f t="shared" si="815"/>
        <v>15.778238568154533</v>
      </c>
      <c r="DB304" s="197">
        <f t="shared" si="816"/>
        <v>108.64873837981409</v>
      </c>
      <c r="DC304" s="443">
        <f t="shared" si="817"/>
        <v>53.657037961478572</v>
      </c>
      <c r="DE304" s="217">
        <f t="shared" si="818"/>
        <v>10</v>
      </c>
      <c r="DF304" s="173">
        <f t="shared" si="819"/>
        <v>7.7922077922077913</v>
      </c>
      <c r="DG304" s="173">
        <f t="shared" si="820"/>
        <v>4.2330677290836656</v>
      </c>
      <c r="DH304" s="173"/>
      <c r="DI304" s="173">
        <f t="shared" si="821"/>
        <v>7.7922077922077913</v>
      </c>
      <c r="DJ304" s="545">
        <f t="shared" si="822"/>
        <v>225.86666666666667</v>
      </c>
      <c r="DK304" s="528">
        <f t="shared" si="823"/>
        <v>4.2330677290836656</v>
      </c>
      <c r="DM304" s="173">
        <f t="shared" si="824"/>
        <v>8.0332641767424366</v>
      </c>
      <c r="DN304" s="173">
        <f t="shared" si="825"/>
        <v>20.248739495798318</v>
      </c>
      <c r="DO304" s="173">
        <f t="shared" si="826"/>
        <v>8.7916588857765312</v>
      </c>
      <c r="DQ304" s="545">
        <f t="shared" si="827"/>
        <v>8800</v>
      </c>
      <c r="DR304" s="460">
        <f t="shared" si="828"/>
        <v>53.657037961478572</v>
      </c>
      <c r="DT304">
        <f t="shared" si="829"/>
        <v>8800</v>
      </c>
      <c r="DU304">
        <f t="shared" si="830"/>
        <v>53.657037961478572</v>
      </c>
      <c r="DW304" s="5">
        <f t="shared" si="859"/>
        <v>18.636884144031942</v>
      </c>
      <c r="DX304" s="5">
        <f t="shared" si="831"/>
        <v>2.8586455758774094</v>
      </c>
      <c r="DY304" s="5">
        <f t="shared" si="832"/>
        <v>15.778238568154533</v>
      </c>
      <c r="DZ304" s="5"/>
      <c r="EA304" s="173">
        <f t="shared" si="833"/>
        <v>0.15338645418326693</v>
      </c>
      <c r="EB304" s="173">
        <f t="shared" si="860"/>
        <v>132</v>
      </c>
      <c r="EC304" s="173">
        <f t="shared" si="861"/>
        <v>8.5714285714285712</v>
      </c>
      <c r="ED304" s="173">
        <f t="shared" si="862"/>
        <v>15.4</v>
      </c>
      <c r="EE304" s="460">
        <f t="shared" si="834"/>
        <v>167.70720711814135</v>
      </c>
      <c r="EF304" s="5">
        <f t="shared" si="835"/>
        <v>6.8062989901843087</v>
      </c>
      <c r="EH304" s="173">
        <f t="shared" si="863"/>
        <v>4.5785806632369894</v>
      </c>
      <c r="EI304" s="173">
        <f t="shared" si="864"/>
        <v>10.756722680869544</v>
      </c>
      <c r="EK304" s="528">
        <f t="shared" si="865"/>
        <v>0.41926801779535339</v>
      </c>
      <c r="EL304" s="528">
        <f t="shared" si="866"/>
        <v>2.1816666666666671</v>
      </c>
      <c r="EM304" s="528">
        <f t="shared" si="867"/>
        <v>6.707129745184821E-3</v>
      </c>
      <c r="EN304" s="528">
        <f t="shared" si="868"/>
        <v>5.4087152777777793E-2</v>
      </c>
      <c r="EO304">
        <f t="shared" si="869"/>
        <v>3.8249999999999999E-2</v>
      </c>
      <c r="EP304" s="460">
        <f t="shared" si="870"/>
        <v>44.957129745184822</v>
      </c>
      <c r="EQ304" s="460"/>
      <c r="ER304" s="460">
        <f t="shared" si="871"/>
        <v>2699.9789669849833</v>
      </c>
      <c r="ES304" s="528">
        <f t="shared" si="872"/>
        <v>6.16</v>
      </c>
      <c r="EV304" s="460">
        <f t="shared" si="873"/>
        <v>6160</v>
      </c>
      <c r="EW304" s="528">
        <f t="shared" si="874"/>
        <v>0.62890202669303008</v>
      </c>
      <c r="EX304" s="528">
        <f t="shared" si="875"/>
        <v>3.4712124849939978</v>
      </c>
      <c r="EY304" s="528">
        <f t="shared" si="876"/>
        <v>1.9455021880180821</v>
      </c>
      <c r="EZ304" s="528"/>
      <c r="FA304" s="528">
        <f t="shared" si="877"/>
        <v>2.2000000000000002E-2</v>
      </c>
      <c r="FB304" s="460">
        <f t="shared" si="878"/>
        <v>6067.6166997051105</v>
      </c>
      <c r="FC304" s="173">
        <f t="shared" si="879"/>
        <v>14.927595666690094</v>
      </c>
      <c r="FD304" s="5">
        <f t="shared" si="880"/>
        <v>132</v>
      </c>
      <c r="FE304" s="173">
        <f t="shared" si="881"/>
        <v>0.89840168826723465</v>
      </c>
      <c r="FF304" s="5">
        <f t="shared" si="882"/>
        <v>89.84016882672347</v>
      </c>
      <c r="FI304" s="562">
        <f t="shared" si="836"/>
        <v>-50</v>
      </c>
      <c r="FJ304">
        <f t="shared" si="837"/>
        <v>-50</v>
      </c>
      <c r="FL304">
        <f t="shared" si="838"/>
        <v>0.84661354581673309</v>
      </c>
    </row>
    <row r="305" spans="5:168">
      <c r="E305" s="170">
        <v>89</v>
      </c>
      <c r="F305" s="217">
        <f t="shared" si="839"/>
        <v>8.9</v>
      </c>
      <c r="G305" s="217"/>
      <c r="H305" s="217">
        <f t="shared" si="764"/>
        <v>133.5</v>
      </c>
      <c r="I305" s="541">
        <f t="shared" si="765"/>
        <v>84.47272434952697</v>
      </c>
      <c r="J305" s="172">
        <f t="shared" si="766"/>
        <v>15.716365390283817</v>
      </c>
      <c r="K305" s="172">
        <f t="shared" si="767"/>
        <v>100.18908973981078</v>
      </c>
      <c r="L305" s="443"/>
      <c r="M305" s="217">
        <f t="shared" si="768"/>
        <v>0.1568586923804737</v>
      </c>
      <c r="N305" s="172">
        <f t="shared" si="769"/>
        <v>332.66486944717383</v>
      </c>
      <c r="O305" s="172">
        <f t="shared" si="762"/>
        <v>133.5</v>
      </c>
      <c r="P305" s="217">
        <f t="shared" si="770"/>
        <v>22.17765796314492</v>
      </c>
      <c r="Q305" s="217">
        <f t="shared" si="771"/>
        <v>15</v>
      </c>
      <c r="R305" s="217"/>
      <c r="S305" s="172">
        <f t="shared" si="772"/>
        <v>153.03043338587352</v>
      </c>
      <c r="T305" s="172">
        <f t="shared" si="773"/>
        <v>15</v>
      </c>
      <c r="U305" s="217">
        <f t="shared" si="774"/>
        <v>21.111526429959213</v>
      </c>
      <c r="V305" s="217">
        <f t="shared" si="775"/>
        <v>2.9990546547458332</v>
      </c>
      <c r="W305" s="217">
        <f t="shared" si="776"/>
        <v>16.119395984273154</v>
      </c>
      <c r="X305" s="197">
        <f t="shared" si="777"/>
        <v>110.42488132836739</v>
      </c>
      <c r="Y305" s="443">
        <f t="shared" si="840"/>
        <v>51.76398556415397</v>
      </c>
      <c r="AA305" s="217">
        <f t="shared" si="778"/>
        <v>9.9999999999999982</v>
      </c>
      <c r="AB305" s="173">
        <f t="shared" si="779"/>
        <v>7.635353150683712</v>
      </c>
      <c r="AC305" s="173">
        <f t="shared" si="780"/>
        <v>4.215664827822124</v>
      </c>
      <c r="AD305" s="173"/>
      <c r="AE305" s="173">
        <f t="shared" si="781"/>
        <v>7.6353531506837138</v>
      </c>
      <c r="AF305" s="545">
        <f t="shared" si="782"/>
        <v>233.12608662254326</v>
      </c>
      <c r="AG305" s="528">
        <f t="shared" si="783"/>
        <v>4.2156648278221258</v>
      </c>
      <c r="AI305" s="173">
        <f t="shared" si="784"/>
        <v>8.1613389416643294</v>
      </c>
      <c r="AJ305" s="173">
        <f t="shared" si="785"/>
        <v>21.111526429959213</v>
      </c>
      <c r="AK305" s="173">
        <f t="shared" si="786"/>
        <v>9.4307603184883053</v>
      </c>
      <c r="AM305" s="545">
        <f t="shared" si="787"/>
        <v>8900</v>
      </c>
      <c r="AN305" s="460">
        <f t="shared" si="788"/>
        <v>51.76398556415397</v>
      </c>
      <c r="AP305">
        <f t="shared" si="789"/>
        <v>8900</v>
      </c>
      <c r="AQ305">
        <f t="shared" si="790"/>
        <v>51.76398556415397</v>
      </c>
      <c r="AS305" s="5">
        <f t="shared" si="763"/>
        <v>19.318450639018987</v>
      </c>
      <c r="AT305" s="5">
        <f t="shared" si="791"/>
        <v>2.9990546547458332</v>
      </c>
      <c r="AU305" s="5">
        <f t="shared" si="883"/>
        <v>16.319395984273154</v>
      </c>
      <c r="AV305" s="5"/>
      <c r="AW305" s="173">
        <f t="shared" si="884"/>
        <v>0.15524302185437208</v>
      </c>
      <c r="AX305" s="173">
        <f t="shared" si="792"/>
        <v>138.42617812299861</v>
      </c>
      <c r="AY305" s="173">
        <f t="shared" si="793"/>
        <v>8.9170546355069504</v>
      </c>
      <c r="AZ305" s="173">
        <f t="shared" si="794"/>
        <v>15.523755744615199</v>
      </c>
      <c r="BA305" s="460">
        <f t="shared" si="724"/>
        <v>177.94390951491943</v>
      </c>
      <c r="BB305" s="5">
        <f t="shared" si="725"/>
        <v>7.164177617610501</v>
      </c>
      <c r="BD305" s="173">
        <f t="shared" si="841"/>
        <v>4.8024743266041447</v>
      </c>
      <c r="BE305" s="173">
        <f t="shared" si="842"/>
        <v>11.202756643341415</v>
      </c>
      <c r="BG305" s="528">
        <f t="shared" si="843"/>
        <v>0.46127519315383864</v>
      </c>
      <c r="BH305" s="528">
        <f t="shared" si="795"/>
        <v>2.0529059131980616</v>
      </c>
      <c r="BI305" s="528">
        <f t="shared" si="796"/>
        <v>0.10931612209484179</v>
      </c>
      <c r="BJ305" s="528">
        <f t="shared" si="844"/>
        <v>5.1959931417158364E-2</v>
      </c>
      <c r="BK305">
        <f t="shared" si="845"/>
        <v>3.8012725957287136E-2</v>
      </c>
      <c r="BL305" s="460">
        <f t="shared" si="846"/>
        <v>147.32884805212893</v>
      </c>
      <c r="BM305" s="528">
        <f t="shared" si="797"/>
        <v>3.0218803632206082</v>
      </c>
      <c r="BN305" s="460">
        <f t="shared" si="847"/>
        <v>3021.8803632206082</v>
      </c>
      <c r="BO305" s="528">
        <f t="shared" si="798"/>
        <v>6.2299999999999995</v>
      </c>
      <c r="BR305" s="460">
        <f t="shared" si="848"/>
        <v>6229.9999999999991</v>
      </c>
      <c r="BS305" s="528">
        <f t="shared" si="849"/>
        <v>0.69191278973075798</v>
      </c>
      <c r="BT305" s="528">
        <f t="shared" si="850"/>
        <v>3.7650526922979055</v>
      </c>
      <c r="BU305" s="528">
        <f t="shared" si="851"/>
        <v>1.9739600599600995</v>
      </c>
      <c r="BV305" s="528"/>
      <c r="BW305" s="528">
        <f t="shared" si="852"/>
        <v>2.3071029687166431E-2</v>
      </c>
      <c r="BX305" s="460">
        <f t="shared" si="853"/>
        <v>6453.9965716759298</v>
      </c>
      <c r="BY305" s="173">
        <f t="shared" si="854"/>
        <v>15.397466457497115</v>
      </c>
      <c r="BZ305" s="5">
        <f t="shared" si="855"/>
        <v>133.5</v>
      </c>
      <c r="CA305" s="173">
        <f t="shared" si="856"/>
        <v>0.89659013800686582</v>
      </c>
      <c r="CB305" s="5">
        <f t="shared" si="857"/>
        <v>89.65901380068658</v>
      </c>
      <c r="CE305" s="562">
        <f t="shared" si="799"/>
        <v>-50</v>
      </c>
      <c r="CF305">
        <f t="shared" si="800"/>
        <v>-50</v>
      </c>
      <c r="CG305" s="173">
        <f t="shared" si="801"/>
        <v>0.8439608383220083</v>
      </c>
      <c r="CI305" s="170">
        <v>89</v>
      </c>
      <c r="CJ305" s="217">
        <f t="shared" si="858"/>
        <v>8.9</v>
      </c>
      <c r="CK305" s="217"/>
      <c r="CL305" s="217">
        <f t="shared" si="802"/>
        <v>133.5</v>
      </c>
      <c r="CM305" s="541">
        <f t="shared" si="803"/>
        <v>85</v>
      </c>
      <c r="CN305" s="443">
        <f t="shared" si="804"/>
        <v>15.4</v>
      </c>
      <c r="CO305" s="443">
        <f t="shared" si="805"/>
        <v>100.4</v>
      </c>
      <c r="CP305" s="443"/>
      <c r="CQ305" s="217">
        <f t="shared" si="806"/>
        <v>0.15338645418326693</v>
      </c>
      <c r="CR305" s="172">
        <f t="shared" si="807"/>
        <v>327.33148655378488</v>
      </c>
      <c r="CS305" s="172">
        <f t="shared" si="808"/>
        <v>133.5</v>
      </c>
      <c r="CT305" s="217">
        <f t="shared" si="809"/>
        <v>21.822099103585661</v>
      </c>
      <c r="CU305" s="217">
        <f t="shared" si="810"/>
        <v>15</v>
      </c>
      <c r="CV305" s="217"/>
      <c r="CW305" s="172">
        <f t="shared" si="811"/>
        <v>153.98427462771767</v>
      </c>
      <c r="CX305" s="172">
        <f t="shared" si="812"/>
        <v>15</v>
      </c>
      <c r="CY305" s="217">
        <f t="shared" si="813"/>
        <v>20.478838808250572</v>
      </c>
      <c r="CZ305" s="217">
        <f t="shared" si="814"/>
        <v>2.8911301846941986</v>
      </c>
      <c r="DA305" s="217">
        <f t="shared" si="815"/>
        <v>15.957536733701744</v>
      </c>
      <c r="DB305" s="197">
        <f t="shared" si="816"/>
        <v>108.64873837981409</v>
      </c>
      <c r="DC305" s="443">
        <f t="shared" si="817"/>
        <v>53.054149894495666</v>
      </c>
      <c r="DE305" s="217">
        <f t="shared" si="818"/>
        <v>10</v>
      </c>
      <c r="DF305" s="173">
        <f t="shared" si="819"/>
        <v>7.7922077922077913</v>
      </c>
      <c r="DG305" s="173">
        <f t="shared" si="820"/>
        <v>4.2330677290836656</v>
      </c>
      <c r="DH305" s="173"/>
      <c r="DI305" s="173">
        <f t="shared" si="821"/>
        <v>7.7922077922077913</v>
      </c>
      <c r="DJ305" s="545">
        <f t="shared" si="822"/>
        <v>228.43333333333334</v>
      </c>
      <c r="DK305" s="528">
        <f t="shared" si="823"/>
        <v>4.2330677290836656</v>
      </c>
      <c r="DM305" s="173">
        <f t="shared" si="824"/>
        <v>8.0787787856003757</v>
      </c>
      <c r="DN305" s="173">
        <f t="shared" si="825"/>
        <v>20.478838808250572</v>
      </c>
      <c r="DO305" s="173">
        <f t="shared" si="826"/>
        <v>8.9621028209263489</v>
      </c>
      <c r="DQ305" s="545">
        <f t="shared" si="827"/>
        <v>8900</v>
      </c>
      <c r="DR305" s="460">
        <f t="shared" si="828"/>
        <v>53.054149894495666</v>
      </c>
      <c r="DT305">
        <f t="shared" si="829"/>
        <v>8900</v>
      </c>
      <c r="DU305">
        <f t="shared" si="830"/>
        <v>53.054149894495666</v>
      </c>
      <c r="DW305" s="5">
        <f t="shared" si="859"/>
        <v>18.848666918395942</v>
      </c>
      <c r="DX305" s="5">
        <f t="shared" si="831"/>
        <v>2.8911301846941986</v>
      </c>
      <c r="DY305" s="5">
        <f t="shared" si="832"/>
        <v>15.957536733701744</v>
      </c>
      <c r="DZ305" s="5"/>
      <c r="EA305" s="173">
        <f t="shared" si="833"/>
        <v>0.15338645418326693</v>
      </c>
      <c r="EB305" s="173">
        <f t="shared" si="860"/>
        <v>133.5</v>
      </c>
      <c r="EC305" s="173">
        <f t="shared" si="861"/>
        <v>8.6688311688311686</v>
      </c>
      <c r="ED305" s="173">
        <f t="shared" si="862"/>
        <v>15.4</v>
      </c>
      <c r="EE305" s="460">
        <f t="shared" si="834"/>
        <v>171.54039095852244</v>
      </c>
      <c r="EF305" s="5">
        <f t="shared" si="835"/>
        <v>6.9618665161737994</v>
      </c>
      <c r="EH305" s="173">
        <f t="shared" si="863"/>
        <v>4.6306099889555918</v>
      </c>
      <c r="EI305" s="173">
        <f t="shared" si="864"/>
        <v>10.878958165879425</v>
      </c>
      <c r="EK305" s="528">
        <f t="shared" si="865"/>
        <v>0.42885097739630612</v>
      </c>
      <c r="EL305" s="528">
        <f t="shared" si="866"/>
        <v>2.1816666666666671</v>
      </c>
      <c r="EM305" s="528">
        <f t="shared" si="867"/>
        <v>6.6317687368119584E-3</v>
      </c>
      <c r="EN305" s="528">
        <f t="shared" si="868"/>
        <v>5.347943196004995E-2</v>
      </c>
      <c r="EO305">
        <f t="shared" si="869"/>
        <v>3.8249999999999999E-2</v>
      </c>
      <c r="EP305" s="460">
        <f t="shared" si="870"/>
        <v>44.881768736811964</v>
      </c>
      <c r="EQ305" s="460"/>
      <c r="ER305" s="460">
        <f t="shared" si="871"/>
        <v>2708.8788447598354</v>
      </c>
      <c r="ES305" s="528">
        <f t="shared" si="872"/>
        <v>6.2299999999999995</v>
      </c>
      <c r="EV305" s="460">
        <f t="shared" si="873"/>
        <v>6229.9999999999991</v>
      </c>
      <c r="EW305" s="528">
        <f t="shared" si="874"/>
        <v>0.6432764660944591</v>
      </c>
      <c r="EX305" s="528">
        <f t="shared" si="875"/>
        <v>3.5505519232486384</v>
      </c>
      <c r="EY305" s="528">
        <f t="shared" si="876"/>
        <v>1.9455021880180834</v>
      </c>
      <c r="EZ305" s="528"/>
      <c r="FA305" s="528">
        <f t="shared" si="877"/>
        <v>2.2249999999999999E-2</v>
      </c>
      <c r="FB305" s="460">
        <f t="shared" si="878"/>
        <v>6161.5805773611801</v>
      </c>
      <c r="FC305" s="173">
        <f t="shared" si="879"/>
        <v>15.100459422121016</v>
      </c>
      <c r="FD305" s="5">
        <f t="shared" si="880"/>
        <v>133.5</v>
      </c>
      <c r="FE305" s="173">
        <f t="shared" si="881"/>
        <v>0.89838214847488462</v>
      </c>
      <c r="FF305" s="5">
        <f t="shared" si="882"/>
        <v>89.838214847488459</v>
      </c>
      <c r="FI305" s="562">
        <f t="shared" si="836"/>
        <v>-50</v>
      </c>
      <c r="FJ305">
        <f t="shared" si="837"/>
        <v>-50</v>
      </c>
      <c r="FL305">
        <f t="shared" si="838"/>
        <v>0.84661354581673309</v>
      </c>
    </row>
    <row r="306" spans="5:168">
      <c r="E306" s="170">
        <v>90</v>
      </c>
      <c r="F306" s="217">
        <f t="shared" si="839"/>
        <v>9</v>
      </c>
      <c r="G306" s="217"/>
      <c r="H306" s="217">
        <f t="shared" si="764"/>
        <v>135</v>
      </c>
      <c r="I306" s="541">
        <f t="shared" si="765"/>
        <v>84.466818524870774</v>
      </c>
      <c r="J306" s="172">
        <f t="shared" si="766"/>
        <v>15.71990888507754</v>
      </c>
      <c r="K306" s="172">
        <f t="shared" si="767"/>
        <v>100.18672740994832</v>
      </c>
      <c r="L306" s="443"/>
      <c r="M306" s="217">
        <f t="shared" si="768"/>
        <v>0.15689776057625066</v>
      </c>
      <c r="N306" s="172">
        <f t="shared" si="769"/>
        <v>332.7244612974597</v>
      </c>
      <c r="O306" s="172">
        <f t="shared" si="762"/>
        <v>135</v>
      </c>
      <c r="P306" s="217">
        <f t="shared" si="770"/>
        <v>22.181630753163979</v>
      </c>
      <c r="Q306" s="217">
        <f t="shared" si="771"/>
        <v>15</v>
      </c>
      <c r="R306" s="217"/>
      <c r="S306" s="172">
        <f t="shared" si="772"/>
        <v>150.38730171757746</v>
      </c>
      <c r="T306" s="172">
        <f t="shared" si="773"/>
        <v>15</v>
      </c>
      <c r="U306" s="217">
        <f t="shared" si="774"/>
        <v>21.349723863030881</v>
      </c>
      <c r="V306" s="217">
        <f t="shared" si="775"/>
        <v>3.0331044880177997</v>
      </c>
      <c r="W306" s="217">
        <f t="shared" si="776"/>
        <v>16.297593594805807</v>
      </c>
      <c r="X306" s="197">
        <f t="shared" si="777"/>
        <v>110.44466046470042</v>
      </c>
      <c r="Y306" s="443">
        <f t="shared" si="840"/>
        <v>51.201446858648445</v>
      </c>
      <c r="AA306" s="217">
        <f t="shared" si="778"/>
        <v>10</v>
      </c>
      <c r="AB306" s="173">
        <f t="shared" si="779"/>
        <v>7.6336320316660728</v>
      </c>
      <c r="AC306" s="173">
        <f t="shared" si="780"/>
        <v>4.2154694892491031</v>
      </c>
      <c r="AD306" s="173"/>
      <c r="AE306" s="173">
        <f t="shared" si="781"/>
        <v>7.6336320316660728</v>
      </c>
      <c r="AF306" s="545">
        <f t="shared" si="782"/>
        <v>235.79863327616312</v>
      </c>
      <c r="AG306" s="528">
        <f t="shared" si="783"/>
        <v>4.2154694892491031</v>
      </c>
      <c r="AI306" s="173">
        <f t="shared" si="784"/>
        <v>8.2079862377384458</v>
      </c>
      <c r="AJ306" s="173">
        <f t="shared" si="785"/>
        <v>21.349723863030881</v>
      </c>
      <c r="AK306" s="173">
        <f t="shared" si="786"/>
        <v>9.6072028615043568</v>
      </c>
      <c r="AM306" s="545">
        <f t="shared" si="787"/>
        <v>9000</v>
      </c>
      <c r="AN306" s="460">
        <f t="shared" si="788"/>
        <v>51.201446858648445</v>
      </c>
      <c r="AP306">
        <f t="shared" si="789"/>
        <v>9000</v>
      </c>
      <c r="AQ306">
        <f t="shared" si="790"/>
        <v>51.201446858648445</v>
      </c>
      <c r="AS306" s="5">
        <f t="shared" si="763"/>
        <v>19.530698082823609</v>
      </c>
      <c r="AT306" s="5">
        <f t="shared" si="791"/>
        <v>3.0331044880177997</v>
      </c>
      <c r="AU306" s="5">
        <f t="shared" si="883"/>
        <v>16.49759359480581</v>
      </c>
      <c r="AV306" s="5"/>
      <c r="AW306" s="173">
        <f t="shared" si="884"/>
        <v>0.15529933825997147</v>
      </c>
      <c r="AX306" s="173">
        <f t="shared" si="792"/>
        <v>140.02900677529877</v>
      </c>
      <c r="AY306" s="173">
        <f t="shared" si="793"/>
        <v>9.0170629375345328</v>
      </c>
      <c r="AZ306" s="173">
        <f t="shared" si="794"/>
        <v>15.529336741391964</v>
      </c>
      <c r="BA306" s="460">
        <f t="shared" si="724"/>
        <v>181.98626928106799</v>
      </c>
      <c r="BB306" s="5">
        <f t="shared" si="725"/>
        <v>7.3242933806374753</v>
      </c>
      <c r="BD306" s="173">
        <f t="shared" si="841"/>
        <v>4.8575405808497223</v>
      </c>
      <c r="BE306" s="173">
        <f t="shared" si="842"/>
        <v>11.328777626673654</v>
      </c>
      <c r="BG306" s="528">
        <f t="shared" si="843"/>
        <v>0.47191400989203713</v>
      </c>
      <c r="BH306" s="528">
        <f t="shared" si="795"/>
        <v>2.0534586333068634</v>
      </c>
      <c r="BI306" s="528">
        <f t="shared" si="796"/>
        <v>0.10812058300050681</v>
      </c>
      <c r="BJ306" s="528">
        <f t="shared" si="844"/>
        <v>5.1392839654526873E-2</v>
      </c>
      <c r="BK306">
        <f t="shared" si="845"/>
        <v>3.8010068336191846E-2</v>
      </c>
      <c r="BL306" s="460">
        <f t="shared" si="846"/>
        <v>146.13065133669866</v>
      </c>
      <c r="BM306" s="528">
        <f t="shared" si="797"/>
        <v>3.0456850937134692</v>
      </c>
      <c r="BN306" s="460">
        <f t="shared" si="847"/>
        <v>3045.6850937134691</v>
      </c>
      <c r="BO306" s="528">
        <f t="shared" si="798"/>
        <v>6.3</v>
      </c>
      <c r="BR306" s="460">
        <f t="shared" si="848"/>
        <v>6300</v>
      </c>
      <c r="BS306" s="528">
        <f t="shared" si="849"/>
        <v>0.7078710148380557</v>
      </c>
      <c r="BT306" s="528">
        <f t="shared" si="850"/>
        <v>3.8502360754386467</v>
      </c>
      <c r="BU306" s="528">
        <f t="shared" si="851"/>
        <v>1.9754054322350356</v>
      </c>
      <c r="BV306" s="528"/>
      <c r="BW306" s="528">
        <f t="shared" si="852"/>
        <v>2.333816779588313E-2</v>
      </c>
      <c r="BX306" s="460">
        <f t="shared" si="853"/>
        <v>6556.8506903076204</v>
      </c>
      <c r="BY306" s="173">
        <f t="shared" si="854"/>
        <v>15.579746824497745</v>
      </c>
      <c r="BZ306" s="5">
        <f t="shared" si="855"/>
        <v>135</v>
      </c>
      <c r="CA306" s="173">
        <f t="shared" si="856"/>
        <v>0.89653491154653031</v>
      </c>
      <c r="CB306" s="5">
        <f t="shared" si="857"/>
        <v>89.653491154653025</v>
      </c>
      <c r="CE306" s="562">
        <f t="shared" si="799"/>
        <v>-50</v>
      </c>
      <c r="CF306">
        <f t="shared" si="800"/>
        <v>-50</v>
      </c>
      <c r="CG306" s="173">
        <f t="shared" si="801"/>
        <v>0.84399031284972748</v>
      </c>
      <c r="CI306" s="170">
        <v>90</v>
      </c>
      <c r="CJ306" s="217">
        <f t="shared" si="858"/>
        <v>9</v>
      </c>
      <c r="CK306" s="217"/>
      <c r="CL306" s="217">
        <f t="shared" si="802"/>
        <v>135</v>
      </c>
      <c r="CM306" s="541">
        <f t="shared" si="803"/>
        <v>85</v>
      </c>
      <c r="CN306" s="443">
        <f t="shared" si="804"/>
        <v>15.4</v>
      </c>
      <c r="CO306" s="443">
        <f t="shared" si="805"/>
        <v>100.4</v>
      </c>
      <c r="CP306" s="443"/>
      <c r="CQ306" s="217">
        <f t="shared" si="806"/>
        <v>0.15338645418326693</v>
      </c>
      <c r="CR306" s="172">
        <f t="shared" si="807"/>
        <v>327.33148655378488</v>
      </c>
      <c r="CS306" s="172">
        <f t="shared" si="808"/>
        <v>135</v>
      </c>
      <c r="CT306" s="217">
        <f t="shared" si="809"/>
        <v>21.822099103585661</v>
      </c>
      <c r="CU306" s="217">
        <f t="shared" si="810"/>
        <v>15</v>
      </c>
      <c r="CV306" s="217"/>
      <c r="CW306" s="172">
        <f t="shared" si="811"/>
        <v>151.3351857042399</v>
      </c>
      <c r="CX306" s="172">
        <f t="shared" si="812"/>
        <v>15</v>
      </c>
      <c r="CY306" s="217">
        <f t="shared" si="813"/>
        <v>20.708938120702825</v>
      </c>
      <c r="CZ306" s="217">
        <f t="shared" si="814"/>
        <v>2.9236147935109869</v>
      </c>
      <c r="DA306" s="217">
        <f t="shared" si="815"/>
        <v>16.136834899248953</v>
      </c>
      <c r="DB306" s="197">
        <f t="shared" si="816"/>
        <v>108.64873837981409</v>
      </c>
      <c r="DC306" s="443">
        <f t="shared" si="817"/>
        <v>52.464659340112384</v>
      </c>
      <c r="DE306" s="217">
        <f t="shared" si="818"/>
        <v>10</v>
      </c>
      <c r="DF306" s="173">
        <f t="shared" si="819"/>
        <v>7.7922077922077913</v>
      </c>
      <c r="DG306" s="173">
        <f t="shared" si="820"/>
        <v>4.2330677290836656</v>
      </c>
      <c r="DH306" s="173"/>
      <c r="DI306" s="173">
        <f t="shared" si="821"/>
        <v>7.7922077922077913</v>
      </c>
      <c r="DJ306" s="545">
        <f t="shared" si="822"/>
        <v>231</v>
      </c>
      <c r="DK306" s="528">
        <f t="shared" si="823"/>
        <v>4.2330677290836656</v>
      </c>
      <c r="DM306" s="173">
        <f t="shared" si="824"/>
        <v>8.1240384046359608</v>
      </c>
      <c r="DN306" s="173">
        <f t="shared" si="825"/>
        <v>20.708938120702825</v>
      </c>
      <c r="DO306" s="173">
        <f t="shared" si="826"/>
        <v>9.1325467560761666</v>
      </c>
      <c r="DQ306" s="545">
        <f t="shared" si="827"/>
        <v>9000</v>
      </c>
      <c r="DR306" s="460">
        <f t="shared" si="828"/>
        <v>52.464659340112384</v>
      </c>
      <c r="DT306">
        <f t="shared" si="829"/>
        <v>9000</v>
      </c>
      <c r="DU306">
        <f t="shared" si="830"/>
        <v>52.464659340112384</v>
      </c>
      <c r="DW306" s="5">
        <f t="shared" si="859"/>
        <v>19.060449692759939</v>
      </c>
      <c r="DX306" s="5">
        <f t="shared" si="831"/>
        <v>2.9236147935109869</v>
      </c>
      <c r="DY306" s="5">
        <f t="shared" si="832"/>
        <v>16.136834899248953</v>
      </c>
      <c r="DZ306" s="5"/>
      <c r="EA306" s="173">
        <f t="shared" si="833"/>
        <v>0.15338645418326693</v>
      </c>
      <c r="EB306" s="173">
        <f t="shared" si="860"/>
        <v>135</v>
      </c>
      <c r="EC306" s="173">
        <f t="shared" si="861"/>
        <v>8.7662337662337659</v>
      </c>
      <c r="ED306" s="173">
        <f t="shared" si="862"/>
        <v>15.4</v>
      </c>
      <c r="EE306" s="460">
        <f t="shared" si="834"/>
        <v>175.41688761065922</v>
      </c>
      <c r="EF306" s="5">
        <f t="shared" si="835"/>
        <v>7.1191918673157142</v>
      </c>
      <c r="EH306" s="173">
        <f t="shared" si="863"/>
        <v>4.6826393146741934</v>
      </c>
      <c r="EI306" s="173">
        <f t="shared" si="864"/>
        <v>11.001193650889306</v>
      </c>
      <c r="EK306" s="528">
        <f t="shared" si="865"/>
        <v>0.43854221902664797</v>
      </c>
      <c r="EL306" s="528">
        <f t="shared" si="866"/>
        <v>2.1816666666666671</v>
      </c>
      <c r="EM306" s="528">
        <f t="shared" si="867"/>
        <v>6.5580824175140474E-3</v>
      </c>
      <c r="EN306" s="528">
        <f t="shared" si="868"/>
        <v>5.2885216049382726E-2</v>
      </c>
      <c r="EO306">
        <f t="shared" si="869"/>
        <v>3.8249999999999999E-2</v>
      </c>
      <c r="EP306" s="460">
        <f t="shared" si="870"/>
        <v>44.808082417514051</v>
      </c>
      <c r="EQ306" s="460"/>
      <c r="ER306" s="460">
        <f t="shared" si="871"/>
        <v>2717.9021841602121</v>
      </c>
      <c r="ES306" s="528">
        <f t="shared" si="872"/>
        <v>6.3</v>
      </c>
      <c r="EV306" s="460">
        <f t="shared" si="873"/>
        <v>6300</v>
      </c>
      <c r="EW306" s="528">
        <f t="shared" si="874"/>
        <v>0.65781332853997199</v>
      </c>
      <c r="EX306" s="528">
        <f t="shared" si="875"/>
        <v>3.6307878523310153</v>
      </c>
      <c r="EY306" s="528">
        <f t="shared" si="876"/>
        <v>1.9455021880180854</v>
      </c>
      <c r="EZ306" s="528"/>
      <c r="FA306" s="528">
        <f t="shared" si="877"/>
        <v>2.2500000000000003E-2</v>
      </c>
      <c r="FB306" s="460">
        <f t="shared" si="878"/>
        <v>6256.603368889073</v>
      </c>
      <c r="FC306" s="173">
        <f t="shared" si="879"/>
        <v>15.274505553049284</v>
      </c>
      <c r="FD306" s="5">
        <f t="shared" si="880"/>
        <v>135</v>
      </c>
      <c r="FE306" s="173">
        <f t="shared" si="881"/>
        <v>0.89835597530775335</v>
      </c>
      <c r="FF306" s="5">
        <f t="shared" si="882"/>
        <v>89.835597530775331</v>
      </c>
      <c r="FI306" s="562">
        <f t="shared" si="836"/>
        <v>-50</v>
      </c>
      <c r="FJ306">
        <f t="shared" si="837"/>
        <v>-50</v>
      </c>
      <c r="FL306">
        <f t="shared" si="838"/>
        <v>0.84661354581673309</v>
      </c>
    </row>
    <row r="307" spans="5:168">
      <c r="E307" s="170">
        <v>91</v>
      </c>
      <c r="F307" s="217">
        <f t="shared" si="839"/>
        <v>9.1</v>
      </c>
      <c r="G307" s="217"/>
      <c r="H307" s="217">
        <f t="shared" si="764"/>
        <v>136.5</v>
      </c>
      <c r="I307" s="541">
        <f t="shared" si="765"/>
        <v>84.460912698942607</v>
      </c>
      <c r="J307" s="172">
        <f t="shared" si="766"/>
        <v>15.723452380634436</v>
      </c>
      <c r="K307" s="172">
        <f t="shared" si="767"/>
        <v>100.18436507957705</v>
      </c>
      <c r="L307" s="443"/>
      <c r="M307" s="217">
        <f t="shared" si="768"/>
        <v>0.15693683061645386</v>
      </c>
      <c r="N307" s="172">
        <f t="shared" si="769"/>
        <v>332.78404546830797</v>
      </c>
      <c r="O307" s="172">
        <f t="shared" si="762"/>
        <v>136.5</v>
      </c>
      <c r="P307" s="217">
        <f t="shared" si="770"/>
        <v>22.185603031220531</v>
      </c>
      <c r="Q307" s="217">
        <f t="shared" si="771"/>
        <v>15</v>
      </c>
      <c r="R307" s="217"/>
      <c r="S307" s="172">
        <f t="shared" si="772"/>
        <v>147.80252254518081</v>
      </c>
      <c r="T307" s="172">
        <f t="shared" si="773"/>
        <v>15</v>
      </c>
      <c r="U307" s="217">
        <f t="shared" si="774"/>
        <v>21.587943419836463</v>
      </c>
      <c r="V307" s="217">
        <f t="shared" si="775"/>
        <v>3.067162226406781</v>
      </c>
      <c r="W307" s="217">
        <f t="shared" si="776"/>
        <v>16.475727770645289</v>
      </c>
      <c r="X307" s="197">
        <f t="shared" si="777"/>
        <v>110.46443705661177</v>
      </c>
      <c r="Y307" s="443">
        <f t="shared" si="840"/>
        <v>50.651145812457855</v>
      </c>
      <c r="AA307" s="217">
        <f t="shared" si="778"/>
        <v>10</v>
      </c>
      <c r="AB307" s="173">
        <f t="shared" si="779"/>
        <v>7.6319116880333659</v>
      </c>
      <c r="AC307" s="173">
        <f t="shared" si="780"/>
        <v>4.215274141421907</v>
      </c>
      <c r="AD307" s="173"/>
      <c r="AE307" s="173">
        <f t="shared" si="781"/>
        <v>7.6319116880333659</v>
      </c>
      <c r="AF307" s="545">
        <f t="shared" si="782"/>
        <v>238.47236110628893</v>
      </c>
      <c r="AG307" s="528">
        <f t="shared" si="783"/>
        <v>4.215274141421907</v>
      </c>
      <c r="AI307" s="173">
        <f t="shared" si="784"/>
        <v>8.2543903661071507</v>
      </c>
      <c r="AJ307" s="173">
        <f t="shared" si="785"/>
        <v>21.587943419836463</v>
      </c>
      <c r="AK307" s="173">
        <f t="shared" si="786"/>
        <v>9.7836617924714542</v>
      </c>
      <c r="AM307" s="545">
        <f t="shared" si="787"/>
        <v>9100</v>
      </c>
      <c r="AN307" s="460">
        <f t="shared" si="788"/>
        <v>50.651145812457855</v>
      </c>
      <c r="AP307">
        <f t="shared" si="789"/>
        <v>9100</v>
      </c>
      <c r="AQ307">
        <f t="shared" si="790"/>
        <v>50.651145812457855</v>
      </c>
      <c r="AS307" s="5">
        <f t="shared" si="763"/>
        <v>19.742889997052067</v>
      </c>
      <c r="AT307" s="5">
        <f t="shared" si="791"/>
        <v>3.067162226406781</v>
      </c>
      <c r="AU307" s="5">
        <f t="shared" si="883"/>
        <v>16.675727770645288</v>
      </c>
      <c r="AV307" s="5"/>
      <c r="AW307" s="173">
        <f t="shared" si="884"/>
        <v>0.15535528116019276</v>
      </c>
      <c r="AX307" s="173">
        <f t="shared" si="792"/>
        <v>141.63254756552286</v>
      </c>
      <c r="AY307" s="173">
        <f t="shared" si="793"/>
        <v>9.1170712000887182</v>
      </c>
      <c r="AZ307" s="173">
        <f t="shared" si="794"/>
        <v>15.53487347605058</v>
      </c>
      <c r="BA307" s="460">
        <f t="shared" si="724"/>
        <v>186.07450840201136</v>
      </c>
      <c r="BB307" s="5">
        <f t="shared" si="725"/>
        <v>7.4861612442834717</v>
      </c>
      <c r="BD307" s="173">
        <f t="shared" si="841"/>
        <v>4.9126254573899999</v>
      </c>
      <c r="BE307" s="173">
        <f t="shared" si="842"/>
        <v>11.454804442449342</v>
      </c>
      <c r="BG307" s="528">
        <f t="shared" si="843"/>
        <v>0.48267777769192616</v>
      </c>
      <c r="BH307" s="528">
        <f t="shared" si="795"/>
        <v>2.0540062826539258</v>
      </c>
      <c r="BI307" s="528">
        <f t="shared" si="796"/>
        <v>0.10695105011418539</v>
      </c>
      <c r="BJ307" s="528">
        <f t="shared" si="844"/>
        <v>5.0838084028714384E-2</v>
      </c>
      <c r="BK307">
        <f t="shared" si="845"/>
        <v>3.8007410714524174E-2</v>
      </c>
      <c r="BL307" s="460">
        <f t="shared" si="846"/>
        <v>144.95846082870955</v>
      </c>
      <c r="BM307" s="528">
        <f t="shared" si="797"/>
        <v>3.0699161441436051</v>
      </c>
      <c r="BN307" s="460">
        <f t="shared" si="847"/>
        <v>3069.9161441436049</v>
      </c>
      <c r="BO307" s="528">
        <f t="shared" si="798"/>
        <v>6.3699999999999992</v>
      </c>
      <c r="BR307" s="460">
        <f t="shared" si="848"/>
        <v>6369.9999999999991</v>
      </c>
      <c r="BS307" s="528">
        <f t="shared" si="849"/>
        <v>0.72401666653788921</v>
      </c>
      <c r="BT307" s="528">
        <f t="shared" si="850"/>
        <v>3.9363763444427158</v>
      </c>
      <c r="BU307" s="528">
        <f t="shared" si="851"/>
        <v>1.9768393068870398</v>
      </c>
      <c r="BV307" s="528"/>
      <c r="BW307" s="528">
        <f t="shared" si="852"/>
        <v>2.3605424594253813E-2</v>
      </c>
      <c r="BX307" s="460">
        <f t="shared" si="853"/>
        <v>6660.8377424618984</v>
      </c>
      <c r="BY307" s="173">
        <f t="shared" si="854"/>
        <v>15.763318347665173</v>
      </c>
      <c r="BZ307" s="5">
        <f t="shared" si="855"/>
        <v>136.5</v>
      </c>
      <c r="CA307" s="173">
        <f t="shared" si="856"/>
        <v>0.89647330349340903</v>
      </c>
      <c r="CB307" s="5">
        <f t="shared" si="857"/>
        <v>89.647330349340905</v>
      </c>
      <c r="CE307" s="562">
        <f t="shared" si="799"/>
        <v>-50</v>
      </c>
      <c r="CF307">
        <f t="shared" si="800"/>
        <v>-50</v>
      </c>
      <c r="CG307" s="173">
        <f t="shared" si="801"/>
        <v>0.84401913958562869</v>
      </c>
      <c r="CI307" s="170">
        <v>91</v>
      </c>
      <c r="CJ307" s="217">
        <f t="shared" si="858"/>
        <v>9.1</v>
      </c>
      <c r="CK307" s="217"/>
      <c r="CL307" s="217">
        <f t="shared" si="802"/>
        <v>136.5</v>
      </c>
      <c r="CM307" s="541">
        <f t="shared" si="803"/>
        <v>85</v>
      </c>
      <c r="CN307" s="443">
        <f t="shared" si="804"/>
        <v>15.4</v>
      </c>
      <c r="CO307" s="443">
        <f t="shared" si="805"/>
        <v>100.4</v>
      </c>
      <c r="CP307" s="443"/>
      <c r="CQ307" s="217">
        <f t="shared" si="806"/>
        <v>0.15338645418326693</v>
      </c>
      <c r="CR307" s="172">
        <f t="shared" si="807"/>
        <v>327.33148655378488</v>
      </c>
      <c r="CS307" s="172">
        <f t="shared" si="808"/>
        <v>136.5</v>
      </c>
      <c r="CT307" s="217">
        <f t="shared" si="809"/>
        <v>21.822099103585661</v>
      </c>
      <c r="CU307" s="217">
        <f t="shared" si="810"/>
        <v>15</v>
      </c>
      <c r="CV307" s="217"/>
      <c r="CW307" s="172">
        <f t="shared" si="811"/>
        <v>148.74445042978149</v>
      </c>
      <c r="CX307" s="172">
        <f t="shared" si="812"/>
        <v>15</v>
      </c>
      <c r="CY307" s="217">
        <f t="shared" si="813"/>
        <v>20.939037433155079</v>
      </c>
      <c r="CZ307" s="217">
        <f t="shared" si="814"/>
        <v>2.956099402327776</v>
      </c>
      <c r="DA307" s="217">
        <f t="shared" si="815"/>
        <v>16.316133064796166</v>
      </c>
      <c r="DB307" s="197">
        <f t="shared" si="816"/>
        <v>108.64873837981409</v>
      </c>
      <c r="DC307" s="443">
        <f t="shared" si="817"/>
        <v>51.888124622089165</v>
      </c>
      <c r="DE307" s="217">
        <f t="shared" si="818"/>
        <v>10</v>
      </c>
      <c r="DF307" s="173">
        <f t="shared" si="819"/>
        <v>7.7922077922077913</v>
      </c>
      <c r="DG307" s="173">
        <f t="shared" si="820"/>
        <v>4.2330677290836656</v>
      </c>
      <c r="DH307" s="173"/>
      <c r="DI307" s="173">
        <f t="shared" si="821"/>
        <v>7.7922077922077913</v>
      </c>
      <c r="DJ307" s="545">
        <f t="shared" si="822"/>
        <v>233.56666666666666</v>
      </c>
      <c r="DK307" s="528">
        <f t="shared" si="823"/>
        <v>4.2330677290836656</v>
      </c>
      <c r="DM307" s="173">
        <f t="shared" si="824"/>
        <v>8.1690472720711647</v>
      </c>
      <c r="DN307" s="173">
        <f t="shared" si="825"/>
        <v>20.939037433155079</v>
      </c>
      <c r="DO307" s="173">
        <f t="shared" si="826"/>
        <v>9.3029906912259825</v>
      </c>
      <c r="DQ307" s="545">
        <f t="shared" si="827"/>
        <v>9100</v>
      </c>
      <c r="DR307" s="460">
        <f t="shared" si="828"/>
        <v>51.888124622089165</v>
      </c>
      <c r="DT307">
        <f t="shared" si="829"/>
        <v>9100</v>
      </c>
      <c r="DU307">
        <f t="shared" si="830"/>
        <v>51.888124622089165</v>
      </c>
      <c r="DW307" s="5">
        <f t="shared" si="859"/>
        <v>19.272232467123942</v>
      </c>
      <c r="DX307" s="5">
        <f t="shared" si="831"/>
        <v>2.956099402327776</v>
      </c>
      <c r="DY307" s="5">
        <f t="shared" si="832"/>
        <v>16.316133064796166</v>
      </c>
      <c r="DZ307" s="5"/>
      <c r="EA307" s="173">
        <f t="shared" si="833"/>
        <v>0.15338645418326693</v>
      </c>
      <c r="EB307" s="173">
        <f t="shared" si="860"/>
        <v>136.5</v>
      </c>
      <c r="EC307" s="173">
        <f t="shared" si="861"/>
        <v>8.8636363636363633</v>
      </c>
      <c r="ED307" s="173">
        <f t="shared" si="862"/>
        <v>15.4</v>
      </c>
      <c r="EE307" s="460">
        <f t="shared" si="834"/>
        <v>179.33669707455175</v>
      </c>
      <c r="EF307" s="5">
        <f t="shared" si="835"/>
        <v>7.2782750436100541</v>
      </c>
      <c r="EH307" s="173">
        <f t="shared" si="863"/>
        <v>4.7346686403927958</v>
      </c>
      <c r="EI307" s="173">
        <f t="shared" si="864"/>
        <v>11.123429135899187</v>
      </c>
      <c r="EK307" s="528">
        <f t="shared" si="865"/>
        <v>0.44834174268637933</v>
      </c>
      <c r="EL307" s="528">
        <f t="shared" si="866"/>
        <v>2.1816666666666671</v>
      </c>
      <c r="EM307" s="528">
        <f t="shared" si="867"/>
        <v>6.4860155777611448E-3</v>
      </c>
      <c r="EN307" s="528">
        <f t="shared" si="868"/>
        <v>5.2304059829059835E-2</v>
      </c>
      <c r="EO307">
        <f t="shared" si="869"/>
        <v>3.8249999999999999E-2</v>
      </c>
      <c r="EP307" s="460">
        <f t="shared" si="870"/>
        <v>44.736015577761144</v>
      </c>
      <c r="EQ307" s="460"/>
      <c r="ER307" s="460">
        <f t="shared" si="871"/>
        <v>2727.0484847598673</v>
      </c>
      <c r="ES307" s="528">
        <f t="shared" si="872"/>
        <v>6.3699999999999992</v>
      </c>
      <c r="EV307" s="460">
        <f t="shared" si="873"/>
        <v>6369.9999999999991</v>
      </c>
      <c r="EW307" s="528">
        <f t="shared" si="874"/>
        <v>0.67251261402956897</v>
      </c>
      <c r="EX307" s="528">
        <f t="shared" si="875"/>
        <v>3.711920272241128</v>
      </c>
      <c r="EY307" s="528">
        <f t="shared" si="876"/>
        <v>1.9455021880180854</v>
      </c>
      <c r="EZ307" s="528"/>
      <c r="FA307" s="528">
        <f t="shared" si="877"/>
        <v>2.2749999999999999E-2</v>
      </c>
      <c r="FB307" s="460">
        <f t="shared" si="878"/>
        <v>6352.6850742887827</v>
      </c>
      <c r="FC307" s="173">
        <f t="shared" si="879"/>
        <v>15.449733559048651</v>
      </c>
      <c r="FD307" s="5">
        <f t="shared" si="880"/>
        <v>136.5</v>
      </c>
      <c r="FE307" s="173">
        <f t="shared" si="881"/>
        <v>0.89832339157709173</v>
      </c>
      <c r="FF307" s="5">
        <f t="shared" si="882"/>
        <v>89.832339157709171</v>
      </c>
      <c r="FI307" s="562">
        <f t="shared" si="836"/>
        <v>-50</v>
      </c>
      <c r="FJ307">
        <f t="shared" si="837"/>
        <v>-50</v>
      </c>
      <c r="FL307">
        <f t="shared" si="838"/>
        <v>0.84661354581673309</v>
      </c>
    </row>
    <row r="308" spans="5:168">
      <c r="E308" s="170">
        <v>92</v>
      </c>
      <c r="F308" s="217">
        <f t="shared" si="839"/>
        <v>9.2000000000000011</v>
      </c>
      <c r="G308" s="217"/>
      <c r="H308" s="217">
        <f t="shared" si="764"/>
        <v>138.00000000000003</v>
      </c>
      <c r="I308" s="541">
        <f t="shared" si="765"/>
        <v>84.455006871784093</v>
      </c>
      <c r="J308" s="172">
        <f t="shared" si="766"/>
        <v>15.726995876929546</v>
      </c>
      <c r="K308" s="172">
        <f t="shared" si="767"/>
        <v>100.18200274871364</v>
      </c>
      <c r="L308" s="443"/>
      <c r="M308" s="217">
        <f t="shared" si="768"/>
        <v>0.15697590250115004</v>
      </c>
      <c r="N308" s="172">
        <f t="shared" si="769"/>
        <v>332.84362195920005</v>
      </c>
      <c r="O308" s="172">
        <f t="shared" si="762"/>
        <v>138.00000000000003</v>
      </c>
      <c r="P308" s="217">
        <f t="shared" si="770"/>
        <v>22.189574797280002</v>
      </c>
      <c r="Q308" s="217">
        <f t="shared" si="771"/>
        <v>15</v>
      </c>
      <c r="R308" s="217"/>
      <c r="S308" s="172">
        <f t="shared" si="772"/>
        <v>145.27419548671779</v>
      </c>
      <c r="T308" s="172">
        <f t="shared" si="773"/>
        <v>15</v>
      </c>
      <c r="U308" s="217">
        <f t="shared" si="774"/>
        <v>21.826185105017245</v>
      </c>
      <c r="V308" s="217">
        <f t="shared" si="775"/>
        <v>3.101227872230639</v>
      </c>
      <c r="W308" s="217">
        <f t="shared" si="776"/>
        <v>16.653798558211466</v>
      </c>
      <c r="X308" s="197">
        <f t="shared" si="777"/>
        <v>110.48421110378027</v>
      </c>
      <c r="Y308" s="443">
        <f t="shared" si="840"/>
        <v>50.112687321449215</v>
      </c>
      <c r="AA308" s="217">
        <f t="shared" si="778"/>
        <v>10</v>
      </c>
      <c r="AB308" s="173">
        <f t="shared" si="779"/>
        <v>7.6301921192738398</v>
      </c>
      <c r="AC308" s="173">
        <f t="shared" si="780"/>
        <v>4.2150787843412578</v>
      </c>
      <c r="AD308" s="173"/>
      <c r="AE308" s="173">
        <f t="shared" si="781"/>
        <v>7.6301921192738398</v>
      </c>
      <c r="AF308" s="545">
        <f t="shared" si="782"/>
        <v>241.14727011291976</v>
      </c>
      <c r="AG308" s="528">
        <f t="shared" si="783"/>
        <v>4.2150787843412578</v>
      </c>
      <c r="AI308" s="173">
        <f t="shared" si="784"/>
        <v>8.3005554050474704</v>
      </c>
      <c r="AJ308" s="173">
        <f t="shared" si="785"/>
        <v>21.826185105017245</v>
      </c>
      <c r="AK308" s="173">
        <f t="shared" si="786"/>
        <v>9.9601371148275888</v>
      </c>
      <c r="AM308" s="545">
        <f t="shared" si="787"/>
        <v>9200.0000000000018</v>
      </c>
      <c r="AN308" s="460">
        <f t="shared" si="788"/>
        <v>50.112687321449215</v>
      </c>
      <c r="AP308">
        <f t="shared" si="789"/>
        <v>9200.0000000000018</v>
      </c>
      <c r="AQ308">
        <f t="shared" si="790"/>
        <v>50.112687321449215</v>
      </c>
      <c r="AS308" s="5">
        <f t="shared" si="763"/>
        <v>19.955026430442103</v>
      </c>
      <c r="AT308" s="5">
        <f t="shared" si="791"/>
        <v>3.101227872230639</v>
      </c>
      <c r="AU308" s="5">
        <f t="shared" si="883"/>
        <v>16.853798558211466</v>
      </c>
      <c r="AV308" s="5"/>
      <c r="AW308" s="173">
        <f t="shared" si="884"/>
        <v>0.15541086267365728</v>
      </c>
      <c r="AX308" s="173">
        <f t="shared" si="792"/>
        <v>143.23680038180407</v>
      </c>
      <c r="AY308" s="173">
        <f t="shared" si="793"/>
        <v>9.2170794244857941</v>
      </c>
      <c r="AZ308" s="173">
        <f t="shared" si="794"/>
        <v>15.540367375080423</v>
      </c>
      <c r="BA308" s="460">
        <f t="shared" si="724"/>
        <v>190.20864283014589</v>
      </c>
      <c r="BB308" s="5">
        <f t="shared" si="725"/>
        <v>7.6497806583047998</v>
      </c>
      <c r="BD308" s="173">
        <f t="shared" si="841"/>
        <v>4.9677289561573028</v>
      </c>
      <c r="BE308" s="173">
        <f t="shared" si="842"/>
        <v>11.580837092555754</v>
      </c>
      <c r="BG308" s="528">
        <f t="shared" si="843"/>
        <v>0.49356661963687454</v>
      </c>
      <c r="BH308" s="528">
        <f t="shared" si="795"/>
        <v>2.0545490228426684</v>
      </c>
      <c r="BI308" s="528">
        <f t="shared" si="796"/>
        <v>0.10580668380241401</v>
      </c>
      <c r="BJ308" s="528">
        <f t="shared" si="844"/>
        <v>5.0295266256487295E-2</v>
      </c>
      <c r="BK308">
        <f t="shared" si="845"/>
        <v>3.8004753092302841E-2</v>
      </c>
      <c r="BL308" s="460">
        <f t="shared" si="846"/>
        <v>143.81143689471685</v>
      </c>
      <c r="BM308" s="528">
        <f t="shared" si="797"/>
        <v>3.0945796762917595</v>
      </c>
      <c r="BN308" s="460">
        <f t="shared" si="847"/>
        <v>3094.5796762917594</v>
      </c>
      <c r="BO308" s="528">
        <f t="shared" si="798"/>
        <v>6.44</v>
      </c>
      <c r="BR308" s="460">
        <f t="shared" si="848"/>
        <v>6440</v>
      </c>
      <c r="BS308" s="528">
        <f t="shared" si="849"/>
        <v>0.74034992945531175</v>
      </c>
      <c r="BT308" s="528">
        <f t="shared" si="850"/>
        <v>4.0234736329294556</v>
      </c>
      <c r="BU308" s="528">
        <f t="shared" si="851"/>
        <v>1.9782620563122122</v>
      </c>
      <c r="BV308" s="528"/>
      <c r="BW308" s="528">
        <f t="shared" si="852"/>
        <v>2.3872800063634014E-2</v>
      </c>
      <c r="BX308" s="460">
        <f t="shared" si="853"/>
        <v>6765.9584187606133</v>
      </c>
      <c r="BY308" s="173">
        <f t="shared" si="854"/>
        <v>15.948180764391362</v>
      </c>
      <c r="BZ308" s="5">
        <f t="shared" si="855"/>
        <v>138.00000000000003</v>
      </c>
      <c r="CA308" s="173">
        <f t="shared" si="856"/>
        <v>0.89640552629329795</v>
      </c>
      <c r="CB308" s="5">
        <f t="shared" si="857"/>
        <v>89.64055262932979</v>
      </c>
      <c r="CE308" s="562">
        <f t="shared" si="799"/>
        <v>-50</v>
      </c>
      <c r="CF308">
        <f t="shared" si="800"/>
        <v>-50</v>
      </c>
      <c r="CG308" s="173">
        <f t="shared" si="801"/>
        <v>0.84404733965335799</v>
      </c>
      <c r="CI308" s="170">
        <v>92</v>
      </c>
      <c r="CJ308" s="217">
        <f t="shared" si="858"/>
        <v>9.2000000000000011</v>
      </c>
      <c r="CK308" s="217"/>
      <c r="CL308" s="217">
        <f t="shared" si="802"/>
        <v>138.00000000000003</v>
      </c>
      <c r="CM308" s="541">
        <f t="shared" si="803"/>
        <v>85</v>
      </c>
      <c r="CN308" s="443">
        <f t="shared" si="804"/>
        <v>15.4</v>
      </c>
      <c r="CO308" s="443">
        <f t="shared" si="805"/>
        <v>100.4</v>
      </c>
      <c r="CP308" s="443"/>
      <c r="CQ308" s="217">
        <f t="shared" si="806"/>
        <v>0.15338645418326693</v>
      </c>
      <c r="CR308" s="172">
        <f t="shared" si="807"/>
        <v>327.33148655378488</v>
      </c>
      <c r="CS308" s="172">
        <f t="shared" si="808"/>
        <v>138.00000000000003</v>
      </c>
      <c r="CT308" s="217">
        <f t="shared" si="809"/>
        <v>21.822099103585661</v>
      </c>
      <c r="CU308" s="217">
        <f t="shared" si="810"/>
        <v>15</v>
      </c>
      <c r="CV308" s="217"/>
      <c r="CW308" s="172">
        <f t="shared" si="811"/>
        <v>146.21016838576514</v>
      </c>
      <c r="CX308" s="172">
        <f t="shared" si="812"/>
        <v>15</v>
      </c>
      <c r="CY308" s="217">
        <f t="shared" si="813"/>
        <v>21.169136745607336</v>
      </c>
      <c r="CZ308" s="217">
        <f t="shared" si="814"/>
        <v>2.9885840111445656</v>
      </c>
      <c r="DA308" s="217">
        <f t="shared" si="815"/>
        <v>16.495431230343378</v>
      </c>
      <c r="DB308" s="197">
        <f t="shared" si="816"/>
        <v>108.64873837981409</v>
      </c>
      <c r="DC308" s="443">
        <f t="shared" si="817"/>
        <v>51.324123267501228</v>
      </c>
      <c r="DE308" s="217">
        <f t="shared" si="818"/>
        <v>10</v>
      </c>
      <c r="DF308" s="173">
        <f t="shared" si="819"/>
        <v>7.7922077922077913</v>
      </c>
      <c r="DG308" s="173">
        <f t="shared" si="820"/>
        <v>4.2330677290836656</v>
      </c>
      <c r="DH308" s="173"/>
      <c r="DI308" s="173">
        <f t="shared" si="821"/>
        <v>7.7922077922077913</v>
      </c>
      <c r="DJ308" s="545">
        <f t="shared" si="822"/>
        <v>236.13333333333338</v>
      </c>
      <c r="DK308" s="528">
        <f t="shared" si="823"/>
        <v>4.2330677290836656</v>
      </c>
      <c r="DM308" s="173">
        <f t="shared" si="824"/>
        <v>8.2138095100061026</v>
      </c>
      <c r="DN308" s="173">
        <f t="shared" si="825"/>
        <v>21.169136745607336</v>
      </c>
      <c r="DO308" s="173">
        <f t="shared" si="826"/>
        <v>9.4734346263758038</v>
      </c>
      <c r="DQ308" s="545">
        <f t="shared" si="827"/>
        <v>9200.0000000000018</v>
      </c>
      <c r="DR308" s="460">
        <f t="shared" si="828"/>
        <v>51.324123267501228</v>
      </c>
      <c r="DT308">
        <f t="shared" si="829"/>
        <v>9200.0000000000018</v>
      </c>
      <c r="DU308">
        <f t="shared" si="830"/>
        <v>51.324123267501228</v>
      </c>
      <c r="DW308" s="5">
        <f t="shared" si="859"/>
        <v>19.484015241487946</v>
      </c>
      <c r="DX308" s="5">
        <f t="shared" si="831"/>
        <v>2.9885840111445656</v>
      </c>
      <c r="DY308" s="5">
        <f t="shared" si="832"/>
        <v>16.495431230343378</v>
      </c>
      <c r="DZ308" s="5"/>
      <c r="EA308" s="173">
        <f t="shared" si="833"/>
        <v>0.15338645418326693</v>
      </c>
      <c r="EB308" s="173">
        <f t="shared" si="860"/>
        <v>138</v>
      </c>
      <c r="EC308" s="173">
        <f t="shared" si="861"/>
        <v>8.9610389610389625</v>
      </c>
      <c r="ED308" s="173">
        <f t="shared" si="862"/>
        <v>15.399999999999997</v>
      </c>
      <c r="EE308" s="460">
        <f t="shared" si="834"/>
        <v>183.29981935020004</v>
      </c>
      <c r="EF308" s="5">
        <f t="shared" si="835"/>
        <v>7.4391160450568181</v>
      </c>
      <c r="EH308" s="173">
        <f t="shared" si="863"/>
        <v>4.7866979661113991</v>
      </c>
      <c r="EI308" s="173">
        <f t="shared" si="864"/>
        <v>11.24566462090907</v>
      </c>
      <c r="EK308" s="528">
        <f t="shared" si="865"/>
        <v>0.45824954837550008</v>
      </c>
      <c r="EL308" s="528">
        <f t="shared" si="866"/>
        <v>2.1816666666666666</v>
      </c>
      <c r="EM308" s="528">
        <f t="shared" si="867"/>
        <v>6.4155154084376536E-3</v>
      </c>
      <c r="EN308" s="528">
        <f t="shared" si="868"/>
        <v>5.1735537439613531E-2</v>
      </c>
      <c r="EO308">
        <f t="shared" si="869"/>
        <v>3.8249999999999999E-2</v>
      </c>
      <c r="EP308" s="460">
        <f t="shared" si="870"/>
        <v>44.665515408437656</v>
      </c>
      <c r="EQ308" s="460"/>
      <c r="ER308" s="460">
        <f t="shared" si="871"/>
        <v>2736.3172678902183</v>
      </c>
      <c r="ES308" s="528">
        <f t="shared" si="872"/>
        <v>6.44</v>
      </c>
      <c r="EV308" s="460">
        <f t="shared" si="873"/>
        <v>6440</v>
      </c>
      <c r="EW308" s="528">
        <f t="shared" si="874"/>
        <v>0.68737432256325015</v>
      </c>
      <c r="EX308" s="528">
        <f t="shared" si="875"/>
        <v>3.7939491829789778</v>
      </c>
      <c r="EY308" s="528">
        <f t="shared" si="876"/>
        <v>1.9455021880180854</v>
      </c>
      <c r="EZ308" s="528"/>
      <c r="FA308" s="528">
        <f t="shared" si="877"/>
        <v>2.3E-2</v>
      </c>
      <c r="FB308" s="460">
        <f t="shared" si="878"/>
        <v>6449.825693560314</v>
      </c>
      <c r="FC308" s="173">
        <f t="shared" si="879"/>
        <v>15.626142961450533</v>
      </c>
      <c r="FD308" s="5">
        <f t="shared" si="880"/>
        <v>138.00000000000003</v>
      </c>
      <c r="FE308" s="173">
        <f t="shared" si="881"/>
        <v>0.89828461054723208</v>
      </c>
      <c r="FF308" s="5">
        <f t="shared" si="882"/>
        <v>89.828461054723206</v>
      </c>
      <c r="FI308" s="562">
        <f t="shared" si="836"/>
        <v>-50</v>
      </c>
      <c r="FJ308">
        <f t="shared" si="837"/>
        <v>-50</v>
      </c>
      <c r="FL308">
        <f t="shared" si="838"/>
        <v>0.84661354581673309</v>
      </c>
    </row>
    <row r="309" spans="5:168">
      <c r="E309" s="170">
        <v>93</v>
      </c>
      <c r="F309" s="217">
        <f t="shared" si="839"/>
        <v>9.3000000000000007</v>
      </c>
      <c r="G309" s="217"/>
      <c r="H309" s="217">
        <f t="shared" si="764"/>
        <v>139.5</v>
      </c>
      <c r="I309" s="541">
        <f t="shared" si="765"/>
        <v>84.449101043435022</v>
      </c>
      <c r="J309" s="172">
        <f t="shared" si="766"/>
        <v>15.730539373938983</v>
      </c>
      <c r="K309" s="172">
        <f t="shared" si="767"/>
        <v>100.179640417374</v>
      </c>
      <c r="L309" s="443"/>
      <c r="M309" s="217">
        <f t="shared" si="768"/>
        <v>0.15701497623040883</v>
      </c>
      <c r="N309" s="172">
        <f t="shared" si="769"/>
        <v>332.9031907696164</v>
      </c>
      <c r="O309" s="172">
        <f t="shared" si="762"/>
        <v>139.5</v>
      </c>
      <c r="P309" s="217">
        <f t="shared" si="770"/>
        <v>22.193546051307759</v>
      </c>
      <c r="Q309" s="217">
        <f t="shared" si="771"/>
        <v>15</v>
      </c>
      <c r="R309" s="217"/>
      <c r="S309" s="172">
        <f t="shared" si="772"/>
        <v>142.80050195575217</v>
      </c>
      <c r="T309" s="172">
        <f t="shared" si="773"/>
        <v>15</v>
      </c>
      <c r="U309" s="217">
        <f t="shared" si="774"/>
        <v>22.064448923215796</v>
      </c>
      <c r="V309" s="217">
        <f t="shared" si="775"/>
        <v>3.1353014278080669</v>
      </c>
      <c r="W309" s="217">
        <f t="shared" si="776"/>
        <v>16.831806003883347</v>
      </c>
      <c r="X309" s="197">
        <f t="shared" si="777"/>
        <v>110.50398260589073</v>
      </c>
      <c r="Y309" s="443">
        <f t="shared" si="840"/>
        <v>49.585693108797514</v>
      </c>
      <c r="AA309" s="217">
        <f t="shared" si="778"/>
        <v>10</v>
      </c>
      <c r="AB309" s="173">
        <f t="shared" si="779"/>
        <v>7.6284733248756726</v>
      </c>
      <c r="AC309" s="173">
        <f t="shared" si="780"/>
        <v>4.2148834180078136</v>
      </c>
      <c r="AD309" s="173"/>
      <c r="AE309" s="173">
        <f t="shared" si="781"/>
        <v>7.6284733248756726</v>
      </c>
      <c r="AF309" s="545">
        <f t="shared" si="782"/>
        <v>243.82336029605426</v>
      </c>
      <c r="AG309" s="528">
        <f t="shared" si="783"/>
        <v>4.2148834180078145</v>
      </c>
      <c r="AI309" s="173">
        <f t="shared" si="784"/>
        <v>8.3464853218252326</v>
      </c>
      <c r="AJ309" s="173">
        <f t="shared" si="785"/>
        <v>22.064448923215796</v>
      </c>
      <c r="AK309" s="173">
        <f t="shared" si="786"/>
        <v>10.1366288320117</v>
      </c>
      <c r="AM309" s="545">
        <f t="shared" si="787"/>
        <v>9300</v>
      </c>
      <c r="AN309" s="460">
        <f t="shared" si="788"/>
        <v>49.585693108797514</v>
      </c>
      <c r="AP309">
        <f t="shared" si="789"/>
        <v>9300</v>
      </c>
      <c r="AQ309">
        <f t="shared" si="790"/>
        <v>49.585693108797514</v>
      </c>
      <c r="AS309" s="5">
        <f t="shared" si="763"/>
        <v>20.167107431691413</v>
      </c>
      <c r="AT309" s="5">
        <f t="shared" si="791"/>
        <v>3.1353014278080669</v>
      </c>
      <c r="AU309" s="5">
        <f t="shared" si="883"/>
        <v>17.031806003883347</v>
      </c>
      <c r="AV309" s="5"/>
      <c r="AW309" s="173">
        <f t="shared" si="884"/>
        <v>0.15546609440286546</v>
      </c>
      <c r="AX309" s="173">
        <f t="shared" si="792"/>
        <v>144.84176511704163</v>
      </c>
      <c r="AY309" s="173">
        <f t="shared" si="793"/>
        <v>9.3170876119859631</v>
      </c>
      <c r="AZ309" s="173">
        <f t="shared" si="794"/>
        <v>15.545819804324907</v>
      </c>
      <c r="BA309" s="460">
        <f t="shared" ref="BA309:BA316" si="885">F309*AT309/Vout_ripple*1000</f>
        <v>194.38868852410016</v>
      </c>
      <c r="BB309" s="5">
        <f t="shared" ref="BB309:BB316" si="886">H309/Efficiency/I309*AU309/Vinripple1</f>
        <v>7.815151073201223</v>
      </c>
      <c r="BD309" s="173">
        <f t="shared" si="841"/>
        <v>5.0228510771478811</v>
      </c>
      <c r="BE309" s="173">
        <f t="shared" si="842"/>
        <v>11.706875578843711</v>
      </c>
      <c r="BG309" s="528">
        <f t="shared" si="843"/>
        <v>0.50458065886411263</v>
      </c>
      <c r="BH309" s="528">
        <f t="shared" si="795"/>
        <v>2.055087008593893</v>
      </c>
      <c r="BI309" s="528">
        <f t="shared" si="796"/>
        <v>0.10468668019134003</v>
      </c>
      <c r="BJ309" s="528">
        <f t="shared" si="844"/>
        <v>4.9764005017315663E-2</v>
      </c>
      <c r="BK309">
        <f t="shared" si="845"/>
        <v>3.8002095469545756E-2</v>
      </c>
      <c r="BL309" s="460">
        <f t="shared" si="846"/>
        <v>142.68877566088577</v>
      </c>
      <c r="BM309" s="528">
        <f t="shared" si="797"/>
        <v>3.1196820264200338</v>
      </c>
      <c r="BN309" s="460">
        <f t="shared" si="847"/>
        <v>3119.6820264200337</v>
      </c>
      <c r="BO309" s="528">
        <f t="shared" si="798"/>
        <v>6.51</v>
      </c>
      <c r="BR309" s="460">
        <f t="shared" si="848"/>
        <v>6510</v>
      </c>
      <c r="BS309" s="528">
        <f t="shared" si="849"/>
        <v>0.75687098829616895</v>
      </c>
      <c r="BT309" s="528">
        <f t="shared" si="850"/>
        <v>4.1115280745558183</v>
      </c>
      <c r="BU309" s="528">
        <f t="shared" si="851"/>
        <v>1.9796740371621599</v>
      </c>
      <c r="BV309" s="528"/>
      <c r="BW309" s="528">
        <f t="shared" si="852"/>
        <v>2.4140294186173604E-2</v>
      </c>
      <c r="BX309" s="460">
        <f t="shared" si="853"/>
        <v>6872.2133942003202</v>
      </c>
      <c r="BY309" s="173">
        <f t="shared" si="854"/>
        <v>16.134333842336527</v>
      </c>
      <c r="BZ309" s="5">
        <f t="shared" si="855"/>
        <v>139.5</v>
      </c>
      <c r="CA309" s="173">
        <f t="shared" si="856"/>
        <v>0.89633178332821328</v>
      </c>
      <c r="CB309" s="5">
        <f t="shared" si="857"/>
        <v>89.633178332821331</v>
      </c>
      <c r="CE309" s="562">
        <f t="shared" si="799"/>
        <v>-50</v>
      </c>
      <c r="CF309">
        <f t="shared" si="800"/>
        <v>-50</v>
      </c>
      <c r="CG309" s="173">
        <f t="shared" si="801"/>
        <v>0.84407493326801797</v>
      </c>
      <c r="CI309" s="170">
        <v>93</v>
      </c>
      <c r="CJ309" s="217">
        <f t="shared" si="858"/>
        <v>9.3000000000000007</v>
      </c>
      <c r="CK309" s="217"/>
      <c r="CL309" s="217">
        <f t="shared" si="802"/>
        <v>139.5</v>
      </c>
      <c r="CM309" s="541">
        <f t="shared" si="803"/>
        <v>85</v>
      </c>
      <c r="CN309" s="443">
        <f t="shared" si="804"/>
        <v>15.4</v>
      </c>
      <c r="CO309" s="443">
        <f t="shared" si="805"/>
        <v>100.4</v>
      </c>
      <c r="CP309" s="443"/>
      <c r="CQ309" s="217">
        <f t="shared" si="806"/>
        <v>0.15338645418326693</v>
      </c>
      <c r="CR309" s="172">
        <f t="shared" si="807"/>
        <v>327.33148655378488</v>
      </c>
      <c r="CS309" s="172">
        <f t="shared" si="808"/>
        <v>139.5</v>
      </c>
      <c r="CT309" s="217">
        <f t="shared" si="809"/>
        <v>21.822099103585661</v>
      </c>
      <c r="CU309" s="217">
        <f t="shared" si="810"/>
        <v>15</v>
      </c>
      <c r="CV309" s="217"/>
      <c r="CW309" s="172">
        <f t="shared" si="811"/>
        <v>143.73052095078054</v>
      </c>
      <c r="CX309" s="172">
        <f t="shared" si="812"/>
        <v>15</v>
      </c>
      <c r="CY309" s="217">
        <f t="shared" si="813"/>
        <v>21.399236058059586</v>
      </c>
      <c r="CZ309" s="217">
        <f t="shared" si="814"/>
        <v>3.021068619961353</v>
      </c>
      <c r="DA309" s="217">
        <f t="shared" si="815"/>
        <v>16.674729395890587</v>
      </c>
      <c r="DB309" s="197">
        <f t="shared" si="816"/>
        <v>108.64873837981409</v>
      </c>
      <c r="DC309" s="443">
        <f t="shared" si="817"/>
        <v>50.772250974302295</v>
      </c>
      <c r="DE309" s="217">
        <f t="shared" si="818"/>
        <v>10</v>
      </c>
      <c r="DF309" s="173">
        <f t="shared" si="819"/>
        <v>7.7922077922077913</v>
      </c>
      <c r="DG309" s="173">
        <f t="shared" si="820"/>
        <v>4.2330677290836656</v>
      </c>
      <c r="DH309" s="173"/>
      <c r="DI309" s="173">
        <f t="shared" si="821"/>
        <v>7.7922077922077913</v>
      </c>
      <c r="DJ309" s="545">
        <f t="shared" si="822"/>
        <v>238.70000000000002</v>
      </c>
      <c r="DK309" s="528">
        <f t="shared" si="823"/>
        <v>4.2330677290836656</v>
      </c>
      <c r="DM309" s="173">
        <f t="shared" si="824"/>
        <v>8.2583291288250322</v>
      </c>
      <c r="DN309" s="173">
        <f t="shared" si="825"/>
        <v>21.399236058059586</v>
      </c>
      <c r="DO309" s="173">
        <f t="shared" si="826"/>
        <v>9.643878561525618</v>
      </c>
      <c r="DQ309" s="545">
        <f t="shared" si="827"/>
        <v>9300</v>
      </c>
      <c r="DR309" s="460">
        <f t="shared" si="828"/>
        <v>50.772250974302295</v>
      </c>
      <c r="DT309">
        <f t="shared" si="829"/>
        <v>9300</v>
      </c>
      <c r="DU309">
        <f t="shared" si="830"/>
        <v>50.772250974302295</v>
      </c>
      <c r="DW309" s="5">
        <f t="shared" si="859"/>
        <v>19.695798015851942</v>
      </c>
      <c r="DX309" s="5">
        <f t="shared" si="831"/>
        <v>3.021068619961353</v>
      </c>
      <c r="DY309" s="5">
        <f t="shared" si="832"/>
        <v>16.674729395890587</v>
      </c>
      <c r="DZ309" s="5"/>
      <c r="EA309" s="173">
        <f t="shared" si="833"/>
        <v>0.15338645418326691</v>
      </c>
      <c r="EB309" s="173">
        <f t="shared" si="860"/>
        <v>139.49999999999994</v>
      </c>
      <c r="EC309" s="173">
        <f t="shared" si="861"/>
        <v>9.0584415584415581</v>
      </c>
      <c r="ED309" s="173">
        <f t="shared" si="862"/>
        <v>15.399999999999995</v>
      </c>
      <c r="EE309" s="460">
        <f t="shared" si="834"/>
        <v>187.30625443760391</v>
      </c>
      <c r="EF309" s="5">
        <f t="shared" si="835"/>
        <v>7.6017148716560028</v>
      </c>
      <c r="EH309" s="173">
        <f t="shared" si="863"/>
        <v>4.8387272918299997</v>
      </c>
      <c r="EI309" s="173">
        <f t="shared" si="864"/>
        <v>11.367900105918949</v>
      </c>
      <c r="EK309" s="528">
        <f t="shared" si="865"/>
        <v>0.46826563609400962</v>
      </c>
      <c r="EL309" s="528">
        <f t="shared" si="866"/>
        <v>2.1816666666666666</v>
      </c>
      <c r="EM309" s="528">
        <f t="shared" si="867"/>
        <v>6.3465313717877871E-3</v>
      </c>
      <c r="EN309" s="528">
        <f t="shared" si="868"/>
        <v>5.1179241338112309E-2</v>
      </c>
      <c r="EO309">
        <f t="shared" si="869"/>
        <v>3.8249999999999999E-2</v>
      </c>
      <c r="EP309" s="460">
        <f t="shared" si="870"/>
        <v>44.59653137178779</v>
      </c>
      <c r="EQ309" s="460"/>
      <c r="ER309" s="460">
        <f t="shared" si="871"/>
        <v>2745.7080754705767</v>
      </c>
      <c r="ES309" s="528">
        <f t="shared" si="872"/>
        <v>6.51</v>
      </c>
      <c r="EV309" s="460">
        <f t="shared" si="873"/>
        <v>6510</v>
      </c>
      <c r="EW309" s="528">
        <f t="shared" si="874"/>
        <v>0.70239845414101443</v>
      </c>
      <c r="EX309" s="528">
        <f t="shared" si="875"/>
        <v>3.8768745845445611</v>
      </c>
      <c r="EY309" s="528">
        <f t="shared" si="876"/>
        <v>1.9455021880180821</v>
      </c>
      <c r="EZ309" s="528"/>
      <c r="FA309" s="528">
        <f t="shared" si="877"/>
        <v>2.3249999999999996E-2</v>
      </c>
      <c r="FB309" s="460">
        <f t="shared" si="878"/>
        <v>6548.0252267036576</v>
      </c>
      <c r="FC309" s="173">
        <f t="shared" si="879"/>
        <v>15.803733302174235</v>
      </c>
      <c r="FD309" s="5">
        <f t="shared" si="880"/>
        <v>139.5</v>
      </c>
      <c r="FE309" s="173">
        <f t="shared" si="881"/>
        <v>0.89823983644086047</v>
      </c>
      <c r="FF309" s="5">
        <f t="shared" si="882"/>
        <v>89.823983644086042</v>
      </c>
      <c r="FI309" s="562">
        <f t="shared" si="836"/>
        <v>-50</v>
      </c>
      <c r="FJ309">
        <f t="shared" si="837"/>
        <v>-50</v>
      </c>
      <c r="FL309">
        <f t="shared" si="838"/>
        <v>0.84661354581673309</v>
      </c>
    </row>
    <row r="310" spans="5:168">
      <c r="E310" s="170">
        <v>94</v>
      </c>
      <c r="F310" s="217">
        <f t="shared" si="839"/>
        <v>9.3999999999999986</v>
      </c>
      <c r="G310" s="217"/>
      <c r="H310" s="217">
        <f t="shared" si="764"/>
        <v>140.99999999999997</v>
      </c>
      <c r="I310" s="541">
        <f t="shared" si="765"/>
        <v>84.443195213933521</v>
      </c>
      <c r="J310" s="172">
        <f t="shared" si="766"/>
        <v>15.734082871639885</v>
      </c>
      <c r="K310" s="172">
        <f t="shared" si="767"/>
        <v>100.17727808557341</v>
      </c>
      <c r="L310" s="443"/>
      <c r="M310" s="217">
        <f t="shared" si="768"/>
        <v>0.15705405180430224</v>
      </c>
      <c r="N310" s="172">
        <f t="shared" si="769"/>
        <v>332.96275189903582</v>
      </c>
      <c r="O310" s="172">
        <f t="shared" si="762"/>
        <v>140.99999999999997</v>
      </c>
      <c r="P310" s="217">
        <f t="shared" si="770"/>
        <v>22.197516793269056</v>
      </c>
      <c r="Q310" s="217">
        <f t="shared" si="771"/>
        <v>15</v>
      </c>
      <c r="R310" s="217"/>
      <c r="S310" s="172">
        <f t="shared" si="772"/>
        <v>140.37970081231995</v>
      </c>
      <c r="T310" s="172">
        <f t="shared" si="773"/>
        <v>15</v>
      </c>
      <c r="U310" s="217">
        <f t="shared" si="774"/>
        <v>22.302734879076027</v>
      </c>
      <c r="V310" s="217">
        <f t="shared" si="775"/>
        <v>3.169382895458599</v>
      </c>
      <c r="W310" s="217">
        <f t="shared" si="776"/>
        <v>17.009750153999175</v>
      </c>
      <c r="X310" s="197">
        <f t="shared" si="777"/>
        <v>110.52375156263371</v>
      </c>
      <c r="Y310" s="443">
        <f t="shared" si="840"/>
        <v>49.069800838589011</v>
      </c>
      <c r="AA310" s="217">
        <f t="shared" si="778"/>
        <v>10</v>
      </c>
      <c r="AB310" s="173">
        <f t="shared" si="779"/>
        <v>7.6267553043269949</v>
      </c>
      <c r="AC310" s="173">
        <f t="shared" si="780"/>
        <v>4.2146880424221775</v>
      </c>
      <c r="AD310" s="173"/>
      <c r="AE310" s="173">
        <f t="shared" si="781"/>
        <v>7.6267553043269949</v>
      </c>
      <c r="AF310" s="545">
        <f t="shared" si="782"/>
        <v>246.50063165569148</v>
      </c>
      <c r="AG310" s="528">
        <f t="shared" si="783"/>
        <v>4.2146880424221784</v>
      </c>
      <c r="AI310" s="173">
        <f t="shared" si="784"/>
        <v>8.392183976869557</v>
      </c>
      <c r="AJ310" s="173">
        <f t="shared" si="785"/>
        <v>22.302734879076027</v>
      </c>
      <c r="AK310" s="173">
        <f t="shared" si="786"/>
        <v>10.313136947463724</v>
      </c>
      <c r="AM310" s="545">
        <f t="shared" si="787"/>
        <v>9399.9999999999982</v>
      </c>
      <c r="AN310" s="460">
        <f t="shared" si="788"/>
        <v>49.069800838589011</v>
      </c>
      <c r="AP310">
        <f t="shared" si="789"/>
        <v>9399.9999999999982</v>
      </c>
      <c r="AQ310">
        <f t="shared" si="790"/>
        <v>49.069800838589011</v>
      </c>
      <c r="AS310" s="5">
        <f t="shared" si="763"/>
        <v>20.379133049457771</v>
      </c>
      <c r="AT310" s="5">
        <f t="shared" si="791"/>
        <v>3.169382895458599</v>
      </c>
      <c r="AU310" s="5">
        <f t="shared" si="883"/>
        <v>17.20975015399917</v>
      </c>
      <c r="AV310" s="5"/>
      <c r="AW310" s="173">
        <f t="shared" si="884"/>
        <v>0.15552098746138404</v>
      </c>
      <c r="AX310" s="173">
        <f t="shared" si="792"/>
        <v>146.4474416686501</v>
      </c>
      <c r="AY310" s="173">
        <f t="shared" si="793"/>
        <v>9.4170957637963344</v>
      </c>
      <c r="AZ310" s="173">
        <f t="shared" si="794"/>
        <v>15.551232072170457</v>
      </c>
      <c r="BA310" s="460">
        <f t="shared" si="885"/>
        <v>198.61466144873884</v>
      </c>
      <c r="BB310" s="5">
        <f t="shared" si="886"/>
        <v>7.9822719402152558</v>
      </c>
      <c r="BD310" s="173">
        <f t="shared" si="841"/>
        <v>5.0779918204186156</v>
      </c>
      <c r="BE310" s="173">
        <f t="shared" si="842"/>
        <v>11.832919903129564</v>
      </c>
      <c r="BG310" s="528">
        <f t="shared" si="843"/>
        <v>0.51572001856476735</v>
      </c>
      <c r="BH310" s="528">
        <f t="shared" si="795"/>
        <v>2.0556203881083364</v>
      </c>
      <c r="BI310" s="528">
        <f t="shared" si="796"/>
        <v>0.10359026928304527</v>
      </c>
      <c r="BJ310" s="528">
        <f t="shared" si="844"/>
        <v>4.9243935059844549E-2</v>
      </c>
      <c r="BK310">
        <f t="shared" si="845"/>
        <v>3.7999437846270086E-2</v>
      </c>
      <c r="BL310" s="460">
        <f t="shared" si="846"/>
        <v>141.58970712931534</v>
      </c>
      <c r="BM310" s="528">
        <f t="shared" si="797"/>
        <v>3.1452297095331971</v>
      </c>
      <c r="BN310" s="460">
        <f t="shared" si="847"/>
        <v>3145.2297095331969</v>
      </c>
      <c r="BO310" s="528">
        <f t="shared" si="798"/>
        <v>6.5799999999999983</v>
      </c>
      <c r="BR310" s="460">
        <f t="shared" si="848"/>
        <v>6579.9999999999982</v>
      </c>
      <c r="BS310" s="528">
        <f t="shared" si="849"/>
        <v>0.77358002784715096</v>
      </c>
      <c r="BT310" s="528">
        <f t="shared" si="850"/>
        <v>4.200539803016393</v>
      </c>
      <c r="BU310" s="528">
        <f t="shared" si="851"/>
        <v>1.9810755911671782</v>
      </c>
      <c r="BV310" s="528"/>
      <c r="BW310" s="528">
        <f t="shared" si="852"/>
        <v>2.4407906944775015E-2</v>
      </c>
      <c r="BX310" s="460">
        <f t="shared" si="853"/>
        <v>6979.6033289754978</v>
      </c>
      <c r="BY310" s="173">
        <f t="shared" si="854"/>
        <v>16.321777377837758</v>
      </c>
      <c r="BZ310" s="5">
        <f t="shared" si="855"/>
        <v>140.99999999999997</v>
      </c>
      <c r="CA310" s="173">
        <f t="shared" si="856"/>
        <v>0.89625226939409708</v>
      </c>
      <c r="CB310" s="5">
        <f t="shared" si="857"/>
        <v>89.625226939409714</v>
      </c>
      <c r="CE310" s="562">
        <f t="shared" si="799"/>
        <v>-50</v>
      </c>
      <c r="CF310">
        <f t="shared" si="800"/>
        <v>-50</v>
      </c>
      <c r="CG310" s="173">
        <f t="shared" si="801"/>
        <v>0.84410193978449366</v>
      </c>
      <c r="CI310" s="170">
        <v>94</v>
      </c>
      <c r="CJ310" s="217">
        <f t="shared" si="858"/>
        <v>9.3999999999999986</v>
      </c>
      <c r="CK310" s="217"/>
      <c r="CL310" s="217">
        <f t="shared" si="802"/>
        <v>140.99999999999997</v>
      </c>
      <c r="CM310" s="541">
        <f t="shared" si="803"/>
        <v>85</v>
      </c>
      <c r="CN310" s="443">
        <f t="shared" si="804"/>
        <v>15.4</v>
      </c>
      <c r="CO310" s="443">
        <f t="shared" si="805"/>
        <v>100.4</v>
      </c>
      <c r="CP310" s="443"/>
      <c r="CQ310" s="217">
        <f t="shared" si="806"/>
        <v>0.15338645418326693</v>
      </c>
      <c r="CR310" s="172">
        <f t="shared" si="807"/>
        <v>327.33148655378488</v>
      </c>
      <c r="CS310" s="172">
        <f t="shared" si="808"/>
        <v>140.99999999999997</v>
      </c>
      <c r="CT310" s="217">
        <f t="shared" si="809"/>
        <v>21.822099103585661</v>
      </c>
      <c r="CU310" s="217">
        <f t="shared" si="810"/>
        <v>15</v>
      </c>
      <c r="CV310" s="217"/>
      <c r="CW310" s="172">
        <f t="shared" si="811"/>
        <v>141.30376695144264</v>
      </c>
      <c r="CX310" s="172">
        <f t="shared" si="812"/>
        <v>15</v>
      </c>
      <c r="CY310" s="217">
        <f t="shared" si="813"/>
        <v>21.629335370511836</v>
      </c>
      <c r="CZ310" s="217">
        <f t="shared" si="814"/>
        <v>3.0535532287781413</v>
      </c>
      <c r="DA310" s="217">
        <f t="shared" si="815"/>
        <v>16.854027561437793</v>
      </c>
      <c r="DB310" s="197">
        <f t="shared" si="816"/>
        <v>108.64873837981409</v>
      </c>
      <c r="DC310" s="443">
        <f t="shared" si="817"/>
        <v>50.232120644788459</v>
      </c>
      <c r="DE310" s="217">
        <f t="shared" si="818"/>
        <v>10</v>
      </c>
      <c r="DF310" s="173">
        <f t="shared" si="819"/>
        <v>7.7922077922077913</v>
      </c>
      <c r="DG310" s="173">
        <f t="shared" si="820"/>
        <v>4.2330677290836656</v>
      </c>
      <c r="DH310" s="173"/>
      <c r="DI310" s="173">
        <f t="shared" si="821"/>
        <v>7.7922077922077913</v>
      </c>
      <c r="DJ310" s="545">
        <f t="shared" si="822"/>
        <v>241.26666666666662</v>
      </c>
      <c r="DK310" s="528">
        <f t="shared" si="823"/>
        <v>4.2330677290836656</v>
      </c>
      <c r="DM310" s="173">
        <f t="shared" si="824"/>
        <v>8.3026100313897278</v>
      </c>
      <c r="DN310" s="173">
        <f t="shared" si="825"/>
        <v>21.629335370511836</v>
      </c>
      <c r="DO310" s="173">
        <f t="shared" si="826"/>
        <v>9.8143224966754321</v>
      </c>
      <c r="DQ310" s="545">
        <f t="shared" si="827"/>
        <v>9399.9999999999982</v>
      </c>
      <c r="DR310" s="460">
        <f t="shared" si="828"/>
        <v>50.232120644788459</v>
      </c>
      <c r="DT310">
        <f t="shared" si="829"/>
        <v>9399.9999999999982</v>
      </c>
      <c r="DU310">
        <f t="shared" si="830"/>
        <v>50.232120644788459</v>
      </c>
      <c r="DW310" s="5">
        <f t="shared" si="859"/>
        <v>19.907580790215935</v>
      </c>
      <c r="DX310" s="5">
        <f t="shared" si="831"/>
        <v>3.0535532287781413</v>
      </c>
      <c r="DY310" s="5">
        <f t="shared" si="832"/>
        <v>16.854027561437793</v>
      </c>
      <c r="DZ310" s="5"/>
      <c r="EA310" s="173">
        <f t="shared" si="833"/>
        <v>0.15338645418326693</v>
      </c>
      <c r="EB310" s="173">
        <f t="shared" si="860"/>
        <v>140.99999999999997</v>
      </c>
      <c r="EC310" s="173">
        <f t="shared" si="861"/>
        <v>9.1558441558441537</v>
      </c>
      <c r="ED310" s="173">
        <f t="shared" si="862"/>
        <v>15.4</v>
      </c>
      <c r="EE310" s="460">
        <f t="shared" si="834"/>
        <v>191.35600233676351</v>
      </c>
      <c r="EF310" s="5">
        <f t="shared" si="835"/>
        <v>7.766071523407609</v>
      </c>
      <c r="EH310" s="173">
        <f t="shared" si="863"/>
        <v>4.8907566175486012</v>
      </c>
      <c r="EI310" s="173">
        <f t="shared" si="864"/>
        <v>11.490135590928828</v>
      </c>
      <c r="EK310" s="528">
        <f t="shared" si="865"/>
        <v>0.47839000584190872</v>
      </c>
      <c r="EL310" s="528">
        <f t="shared" si="866"/>
        <v>2.1816666666666671</v>
      </c>
      <c r="EM310" s="528">
        <f t="shared" si="867"/>
        <v>6.2790150805985571E-3</v>
      </c>
      <c r="EN310" s="528">
        <f t="shared" si="868"/>
        <v>5.0634781323877096E-2</v>
      </c>
      <c r="EO310">
        <f t="shared" si="869"/>
        <v>3.8249999999999999E-2</v>
      </c>
      <c r="EP310" s="460">
        <f t="shared" si="870"/>
        <v>44.529015080598555</v>
      </c>
      <c r="EQ310" s="460"/>
      <c r="ER310" s="460">
        <f t="shared" si="871"/>
        <v>2755.2204689130522</v>
      </c>
      <c r="ES310" s="528">
        <f t="shared" si="872"/>
        <v>6.5799999999999983</v>
      </c>
      <c r="EV310" s="460">
        <f t="shared" si="873"/>
        <v>6579.9999999999982</v>
      </c>
      <c r="EW310" s="528">
        <f t="shared" si="874"/>
        <v>0.71758500876286302</v>
      </c>
      <c r="EX310" s="528">
        <f t="shared" si="875"/>
        <v>3.9606964769378807</v>
      </c>
      <c r="EY310" s="528">
        <f t="shared" si="876"/>
        <v>1.9455021880180849</v>
      </c>
      <c r="EZ310" s="528"/>
      <c r="FA310" s="528">
        <f t="shared" si="877"/>
        <v>2.3499999999999997E-2</v>
      </c>
      <c r="FB310" s="460">
        <f t="shared" si="878"/>
        <v>6647.283673718829</v>
      </c>
      <c r="FC310" s="173">
        <f t="shared" si="879"/>
        <v>15.98250414263188</v>
      </c>
      <c r="FD310" s="5">
        <f t="shared" si="880"/>
        <v>140.99999999999997</v>
      </c>
      <c r="FE310" s="173">
        <f t="shared" si="881"/>
        <v>0.89818926491253814</v>
      </c>
      <c r="FF310" s="5">
        <f t="shared" si="882"/>
        <v>89.818926491253819</v>
      </c>
      <c r="FI310" s="562">
        <f t="shared" si="836"/>
        <v>-50</v>
      </c>
      <c r="FJ310">
        <f t="shared" si="837"/>
        <v>-50</v>
      </c>
      <c r="FL310">
        <f t="shared" si="838"/>
        <v>0.84661354581673309</v>
      </c>
    </row>
    <row r="311" spans="5:168">
      <c r="E311" s="170">
        <v>95</v>
      </c>
      <c r="F311" s="217">
        <f t="shared" si="839"/>
        <v>9.5</v>
      </c>
      <c r="G311" s="217"/>
      <c r="H311" s="217">
        <f t="shared" si="764"/>
        <v>142.5</v>
      </c>
      <c r="I311" s="541">
        <f t="shared" si="765"/>
        <v>84.437289383316084</v>
      </c>
      <c r="J311" s="172">
        <f t="shared" si="766"/>
        <v>15.737626370010346</v>
      </c>
      <c r="K311" s="172">
        <f t="shared" si="767"/>
        <v>100.17491575332643</v>
      </c>
      <c r="L311" s="443"/>
      <c r="M311" s="217">
        <f t="shared" si="768"/>
        <v>0.15709312922290497</v>
      </c>
      <c r="N311" s="172">
        <f t="shared" si="769"/>
        <v>333.02230534693695</v>
      </c>
      <c r="O311" s="172">
        <f t="shared" si="762"/>
        <v>142.5</v>
      </c>
      <c r="P311" s="217">
        <f t="shared" si="770"/>
        <v>22.201487023129129</v>
      </c>
      <c r="Q311" s="217">
        <f t="shared" si="771"/>
        <v>15</v>
      </c>
      <c r="R311" s="217"/>
      <c r="S311" s="172">
        <f t="shared" si="772"/>
        <v>138.0101242886127</v>
      </c>
      <c r="T311" s="172">
        <f t="shared" si="773"/>
        <v>15</v>
      </c>
      <c r="U311" s="217">
        <f t="shared" si="774"/>
        <v>22.541042977243105</v>
      </c>
      <c r="V311" s="217">
        <f t="shared" si="775"/>
        <v>3.2034722775025952</v>
      </c>
      <c r="W311" s="217">
        <f t="shared" si="776"/>
        <v>17.187631054856428</v>
      </c>
      <c r="X311" s="197">
        <f t="shared" si="777"/>
        <v>110.54351797370524</v>
      </c>
      <c r="Y311" s="443">
        <f t="shared" si="840"/>
        <v>48.564663284870946</v>
      </c>
      <c r="AA311" s="217">
        <f t="shared" si="778"/>
        <v>10</v>
      </c>
      <c r="AB311" s="173">
        <f t="shared" si="779"/>
        <v>7.6250380571159226</v>
      </c>
      <c r="AC311" s="173">
        <f t="shared" si="780"/>
        <v>4.214492657584902</v>
      </c>
      <c r="AD311" s="173"/>
      <c r="AE311" s="173">
        <f t="shared" si="781"/>
        <v>7.6250380571159226</v>
      </c>
      <c r="AF311" s="545">
        <f t="shared" si="782"/>
        <v>249.17908419183044</v>
      </c>
      <c r="AG311" s="528">
        <f t="shared" si="783"/>
        <v>4.2144926575849029</v>
      </c>
      <c r="AI311" s="173">
        <f t="shared" si="784"/>
        <v>8.4376551277477976</v>
      </c>
      <c r="AJ311" s="173">
        <f t="shared" si="785"/>
        <v>22.541042977243105</v>
      </c>
      <c r="AK311" s="173">
        <f t="shared" si="786"/>
        <v>10.48966146462452</v>
      </c>
      <c r="AM311" s="545">
        <f t="shared" si="787"/>
        <v>9500</v>
      </c>
      <c r="AN311" s="460">
        <f t="shared" si="788"/>
        <v>48.564663284870946</v>
      </c>
      <c r="AP311">
        <f t="shared" si="789"/>
        <v>9500</v>
      </c>
      <c r="AQ311">
        <f t="shared" si="790"/>
        <v>48.564663284870946</v>
      </c>
      <c r="AS311" s="5">
        <f t="shared" si="763"/>
        <v>20.591103332359022</v>
      </c>
      <c r="AT311" s="5">
        <f t="shared" si="791"/>
        <v>3.2034722775025952</v>
      </c>
      <c r="AU311" s="5">
        <f t="shared" si="883"/>
        <v>17.387631054856428</v>
      </c>
      <c r="AV311" s="5"/>
      <c r="AW311" s="173">
        <f t="shared" si="884"/>
        <v>0.15557555249933219</v>
      </c>
      <c r="AX311" s="173">
        <f t="shared" si="792"/>
        <v>148.05382993832328</v>
      </c>
      <c r="AY311" s="173">
        <f t="shared" si="793"/>
        <v>9.517103881073659</v>
      </c>
      <c r="AZ311" s="173">
        <f t="shared" si="794"/>
        <v>15.556605432536351</v>
      </c>
      <c r="BA311" s="460">
        <f t="shared" si="885"/>
        <v>202.88657757516438</v>
      </c>
      <c r="BB311" s="5">
        <f t="shared" si="886"/>
        <v>8.1511427113314383</v>
      </c>
      <c r="BD311" s="173">
        <f t="shared" si="841"/>
        <v>5.1331511860839028</v>
      </c>
      <c r="BE311" s="173">
        <f t="shared" si="842"/>
        <v>11.958970067196937</v>
      </c>
      <c r="BG311" s="528">
        <f t="shared" si="843"/>
        <v>0.52698482198389163</v>
      </c>
      <c r="BH311" s="528">
        <f t="shared" si="795"/>
        <v>2.0561493034065341</v>
      </c>
      <c r="BI311" s="528">
        <f t="shared" si="796"/>
        <v>0.10251671318969885</v>
      </c>
      <c r="BJ311" s="528">
        <f t="shared" si="844"/>
        <v>4.8734706364257675E-2</v>
      </c>
      <c r="BK311">
        <f t="shared" si="845"/>
        <v>3.7996780222492234E-2</v>
      </c>
      <c r="BL311" s="460">
        <f t="shared" si="846"/>
        <v>140.51349341219108</v>
      </c>
      <c r="BM311" s="528">
        <f t="shared" si="797"/>
        <v>3.1712294238495669</v>
      </c>
      <c r="BN311" s="460">
        <f t="shared" si="847"/>
        <v>3171.229423849567</v>
      </c>
      <c r="BO311" s="528">
        <f t="shared" si="798"/>
        <v>6.6499999999999995</v>
      </c>
      <c r="BR311" s="460">
        <f t="shared" si="848"/>
        <v>6649.9999999999991</v>
      </c>
      <c r="BS311" s="528">
        <f t="shared" si="849"/>
        <v>0.79047723297583738</v>
      </c>
      <c r="BT311" s="528">
        <f t="shared" si="850"/>
        <v>4.2905089520433695</v>
      </c>
      <c r="BU311" s="528">
        <f t="shared" si="851"/>
        <v>1.9824670459082572</v>
      </c>
      <c r="BV311" s="528"/>
      <c r="BW311" s="528">
        <f t="shared" si="852"/>
        <v>2.4675638323053879E-2</v>
      </c>
      <c r="BX311" s="460">
        <f t="shared" si="853"/>
        <v>7088.1288692505177</v>
      </c>
      <c r="BY311" s="173">
        <f t="shared" si="854"/>
        <v>16.51051119441739</v>
      </c>
      <c r="BZ311" s="5">
        <f t="shared" si="855"/>
        <v>142.5</v>
      </c>
      <c r="CA311" s="173">
        <f t="shared" si="856"/>
        <v>0.89616717114863875</v>
      </c>
      <c r="CB311" s="5">
        <f t="shared" si="857"/>
        <v>89.616717114863874</v>
      </c>
      <c r="CE311" s="562">
        <f t="shared" si="799"/>
        <v>-50</v>
      </c>
      <c r="CF311">
        <f t="shared" si="800"/>
        <v>-50</v>
      </c>
      <c r="CG311" s="173">
        <f t="shared" si="801"/>
        <v>0.84412837774272775</v>
      </c>
      <c r="CI311" s="170">
        <v>95</v>
      </c>
      <c r="CJ311" s="217">
        <f t="shared" si="858"/>
        <v>9.5</v>
      </c>
      <c r="CK311" s="217"/>
      <c r="CL311" s="217">
        <f t="shared" si="802"/>
        <v>142.5</v>
      </c>
      <c r="CM311" s="541">
        <f t="shared" si="803"/>
        <v>85</v>
      </c>
      <c r="CN311" s="443">
        <f t="shared" si="804"/>
        <v>15.4</v>
      </c>
      <c r="CO311" s="443">
        <f t="shared" si="805"/>
        <v>100.4</v>
      </c>
      <c r="CP311" s="443"/>
      <c r="CQ311" s="217">
        <f t="shared" si="806"/>
        <v>0.15338645418326693</v>
      </c>
      <c r="CR311" s="172">
        <f t="shared" si="807"/>
        <v>327.33148655378488</v>
      </c>
      <c r="CS311" s="172">
        <f t="shared" si="808"/>
        <v>142.5</v>
      </c>
      <c r="CT311" s="217">
        <f t="shared" si="809"/>
        <v>21.822099103585661</v>
      </c>
      <c r="CU311" s="217">
        <f t="shared" si="810"/>
        <v>15</v>
      </c>
      <c r="CV311" s="217"/>
      <c r="CW311" s="172">
        <f t="shared" si="811"/>
        <v>138.92823858799639</v>
      </c>
      <c r="CX311" s="172">
        <f t="shared" si="812"/>
        <v>15</v>
      </c>
      <c r="CY311" s="217">
        <f t="shared" si="813"/>
        <v>21.859434682964093</v>
      </c>
      <c r="CZ311" s="217">
        <f t="shared" si="814"/>
        <v>3.0860378375949304</v>
      </c>
      <c r="DA311" s="217">
        <f t="shared" si="815"/>
        <v>17.033325726985009</v>
      </c>
      <c r="DB311" s="197">
        <f t="shared" si="816"/>
        <v>108.64873837981409</v>
      </c>
      <c r="DC311" s="443">
        <f t="shared" si="817"/>
        <v>49.703361480106466</v>
      </c>
      <c r="DE311" s="217">
        <f t="shared" si="818"/>
        <v>10</v>
      </c>
      <c r="DF311" s="173">
        <f t="shared" si="819"/>
        <v>7.7922077922077913</v>
      </c>
      <c r="DG311" s="173">
        <f t="shared" si="820"/>
        <v>4.2330677290836656</v>
      </c>
      <c r="DH311" s="173"/>
      <c r="DI311" s="173">
        <f t="shared" si="821"/>
        <v>7.7922077922077913</v>
      </c>
      <c r="DJ311" s="545">
        <f t="shared" si="822"/>
        <v>243.83333333333334</v>
      </c>
      <c r="DK311" s="528">
        <f t="shared" si="823"/>
        <v>4.2330677290836656</v>
      </c>
      <c r="DM311" s="173">
        <f t="shared" si="824"/>
        <v>8.3466560170326094</v>
      </c>
      <c r="DN311" s="173">
        <f t="shared" si="825"/>
        <v>21.859434682964093</v>
      </c>
      <c r="DO311" s="173">
        <f t="shared" si="826"/>
        <v>9.9847664318252516</v>
      </c>
      <c r="DQ311" s="545">
        <f t="shared" si="827"/>
        <v>9500</v>
      </c>
      <c r="DR311" s="460">
        <f t="shared" si="828"/>
        <v>49.703361480106466</v>
      </c>
      <c r="DT311">
        <f t="shared" si="829"/>
        <v>9500</v>
      </c>
      <c r="DU311">
        <f t="shared" si="830"/>
        <v>49.703361480106466</v>
      </c>
      <c r="DW311" s="5">
        <f t="shared" si="859"/>
        <v>20.119363564579938</v>
      </c>
      <c r="DX311" s="5">
        <f t="shared" si="831"/>
        <v>3.0860378375949304</v>
      </c>
      <c r="DY311" s="5">
        <f t="shared" si="832"/>
        <v>17.033325726985009</v>
      </c>
      <c r="DZ311" s="5"/>
      <c r="EA311" s="173">
        <f t="shared" si="833"/>
        <v>0.15338645418326691</v>
      </c>
      <c r="EB311" s="173">
        <f t="shared" si="860"/>
        <v>142.5</v>
      </c>
      <c r="EC311" s="173">
        <f t="shared" si="861"/>
        <v>9.2532467532467528</v>
      </c>
      <c r="ED311" s="173">
        <f t="shared" si="862"/>
        <v>15.4</v>
      </c>
      <c r="EE311" s="460">
        <f t="shared" si="834"/>
        <v>195.44906304767892</v>
      </c>
      <c r="EF311" s="5">
        <f t="shared" si="835"/>
        <v>7.9321860003116464</v>
      </c>
      <c r="EH311" s="173">
        <f t="shared" si="863"/>
        <v>4.9427859432672037</v>
      </c>
      <c r="EI311" s="173">
        <f t="shared" si="864"/>
        <v>11.612371075938711</v>
      </c>
      <c r="EK311" s="528">
        <f t="shared" si="865"/>
        <v>0.48862265761919726</v>
      </c>
      <c r="EL311" s="528">
        <f t="shared" si="866"/>
        <v>2.1816666666666666</v>
      </c>
      <c r="EM311" s="528">
        <f t="shared" si="867"/>
        <v>6.2129201850133079E-3</v>
      </c>
      <c r="EN311" s="528">
        <f t="shared" si="868"/>
        <v>5.0101783625731013E-2</v>
      </c>
      <c r="EO311">
        <f t="shared" si="869"/>
        <v>3.8249999999999999E-2</v>
      </c>
      <c r="EP311" s="460">
        <f t="shared" si="870"/>
        <v>44.462920185013303</v>
      </c>
      <c r="EQ311" s="460"/>
      <c r="ER311" s="460">
        <f t="shared" si="871"/>
        <v>2764.8540280966081</v>
      </c>
      <c r="ES311" s="528">
        <f t="shared" si="872"/>
        <v>6.6499999999999995</v>
      </c>
      <c r="EV311" s="460">
        <f t="shared" si="873"/>
        <v>6649.9999999999991</v>
      </c>
      <c r="EW311" s="528">
        <f t="shared" si="874"/>
        <v>0.73293398642879581</v>
      </c>
      <c r="EX311" s="528">
        <f t="shared" si="875"/>
        <v>4.0454148601589388</v>
      </c>
      <c r="EY311" s="528">
        <f t="shared" si="876"/>
        <v>1.9455021880180834</v>
      </c>
      <c r="EZ311" s="528"/>
      <c r="FA311" s="528">
        <f t="shared" si="877"/>
        <v>2.375E-2</v>
      </c>
      <c r="FB311" s="460">
        <f t="shared" si="878"/>
        <v>6747.6010346058174</v>
      </c>
      <c r="FC311" s="173">
        <f t="shared" si="879"/>
        <v>16.162455062702424</v>
      </c>
      <c r="FD311" s="5">
        <f t="shared" si="880"/>
        <v>142.5</v>
      </c>
      <c r="FE311" s="173">
        <f t="shared" si="881"/>
        <v>0.89813308349278265</v>
      </c>
      <c r="FF311" s="5">
        <f t="shared" si="882"/>
        <v>89.813308349278259</v>
      </c>
      <c r="FI311" s="562">
        <f t="shared" si="836"/>
        <v>-50</v>
      </c>
      <c r="FJ311">
        <f t="shared" si="837"/>
        <v>-50</v>
      </c>
      <c r="FL311">
        <f t="shared" si="838"/>
        <v>0.84661354581673309</v>
      </c>
    </row>
    <row r="312" spans="5:168">
      <c r="E312" s="170">
        <v>96</v>
      </c>
      <c r="F312" s="217">
        <f t="shared" si="839"/>
        <v>9.6</v>
      </c>
      <c r="G312" s="217"/>
      <c r="H312" s="217">
        <f>F312*Vout</f>
        <v>144</v>
      </c>
      <c r="I312" s="541">
        <f t="shared" si="765"/>
        <v>84.431383551617685</v>
      </c>
      <c r="J312" s="172">
        <f t="shared" si="766"/>
        <v>15.741169869029388</v>
      </c>
      <c r="K312" s="172">
        <f t="shared" si="767"/>
        <v>100.17255342064708</v>
      </c>
      <c r="L312" s="443"/>
      <c r="M312" s="217">
        <f t="shared" si="768"/>
        <v>0.15713220848629394</v>
      </c>
      <c r="N312" s="172">
        <f>M312*I312*(Isw_max+VIN_max/Lmag*ILIM_delay)*0.5*Efficiency</f>
        <v>333.08185111279676</v>
      </c>
      <c r="O312" s="172">
        <f t="shared" si="762"/>
        <v>144</v>
      </c>
      <c r="P312" s="217">
        <f>N312/Vout</f>
        <v>22.205456740853116</v>
      </c>
      <c r="Q312" s="217">
        <f t="shared" si="771"/>
        <v>15</v>
      </c>
      <c r="R312" s="217"/>
      <c r="S312" s="172">
        <f t="shared" si="772"/>
        <v>135.69017416937152</v>
      </c>
      <c r="T312" s="172">
        <f>MIN(Vout, S312)</f>
        <v>15</v>
      </c>
      <c r="U312" s="217">
        <f t="shared" si="774"/>
        <v>22.779373222363528</v>
      </c>
      <c r="V312" s="217">
        <f>L*U312/I312*1000000</f>
        <v>3.2375695762612549</v>
      </c>
      <c r="W312" s="217">
        <f t="shared" si="776"/>
        <v>17.365448752711888</v>
      </c>
      <c r="X312" s="197">
        <f t="shared" si="777"/>
        <v>110.56328183880646</v>
      </c>
      <c r="Y312" s="443">
        <f t="shared" si="840"/>
        <v>48.069947552142594</v>
      </c>
      <c r="AA312" s="217">
        <f t="shared" si="778"/>
        <v>10</v>
      </c>
      <c r="AB312" s="173">
        <f>L*AA312/J312*1000000</f>
        <v>7.6233215827305782</v>
      </c>
      <c r="AC312" s="173">
        <f>0.5*AB312*AA312*Nps*X312/1000</f>
        <v>4.2142972634964853</v>
      </c>
      <c r="AD312" s="173"/>
      <c r="AE312" s="173">
        <f t="shared" si="781"/>
        <v>7.6233215827305782</v>
      </c>
      <c r="AF312" s="545">
        <f>MAX(12000,F312/(0.5*AE312/1000000*Isw_min*Nps))/1000</f>
        <v>251.85871790447021</v>
      </c>
      <c r="AG312" s="528">
        <f t="shared" si="783"/>
        <v>4.2142972634964844</v>
      </c>
      <c r="AI312" s="173">
        <f t="shared" si="784"/>
        <v>8.4829024329525033</v>
      </c>
      <c r="AJ312" s="173">
        <f>MAX(IF(F312&gt;AC312,U312,AI312),Isw_min)</f>
        <v>22.779373222363528</v>
      </c>
      <c r="AK312" s="173">
        <f>IF(F312&gt;AG312, (AJ312-Isw_min)/1.08*0.8+1.2, AF312*0.2/350+1)</f>
        <v>10.666202386935945</v>
      </c>
      <c r="AM312" s="545">
        <f t="shared" si="787"/>
        <v>9600</v>
      </c>
      <c r="AN312" s="460">
        <f t="shared" si="788"/>
        <v>48.069947552142594</v>
      </c>
      <c r="AP312">
        <f t="shared" si="789"/>
        <v>9600</v>
      </c>
      <c r="AQ312">
        <f t="shared" si="790"/>
        <v>48.069947552142594</v>
      </c>
      <c r="AS312" s="5">
        <f t="shared" si="763"/>
        <v>20.803018328973142</v>
      </c>
      <c r="AT312" s="5">
        <f t="shared" si="791"/>
        <v>3.2375695762612549</v>
      </c>
      <c r="AU312" s="5">
        <f t="shared" si="883"/>
        <v>17.565448752711887</v>
      </c>
      <c r="AV312" s="5"/>
      <c r="AW312" s="173">
        <f t="shared" si="884"/>
        <v>0.15562979972729105</v>
      </c>
      <c r="AX312" s="173">
        <f t="shared" si="792"/>
        <v>149.66092983181429</v>
      </c>
      <c r="AY312" s="173">
        <f t="shared" si="793"/>
        <v>9.6171119649269379</v>
      </c>
      <c r="AZ312" s="173">
        <f t="shared" si="794"/>
        <v>15.561941087679878</v>
      </c>
      <c r="BA312" s="460">
        <f t="shared" si="885"/>
        <v>207.20445288072031</v>
      </c>
      <c r="BB312" s="5">
        <f t="shared" si="886"/>
        <v>8.3217628392755802</v>
      </c>
      <c r="BD312" s="173">
        <f t="shared" si="841"/>
        <v>5.1883291743127788</v>
      </c>
      <c r="BE312" s="173">
        <f t="shared" si="842"/>
        <v>12.085026072798481</v>
      </c>
      <c r="BG312" s="528">
        <f t="shared" si="843"/>
        <v>0.53837519242050247</v>
      </c>
      <c r="BH312" s="528">
        <f t="shared" si="795"/>
        <v>2.05667389064766</v>
      </c>
      <c r="BI312" s="528">
        <f t="shared" si="796"/>
        <v>0.10146530447702742</v>
      </c>
      <c r="BJ312" s="528">
        <f t="shared" si="844"/>
        <v>4.8235983356496467E-2</v>
      </c>
      <c r="BK312">
        <f t="shared" si="845"/>
        <v>3.7994122598227958E-2</v>
      </c>
      <c r="BL312" s="460">
        <f t="shared" si="846"/>
        <v>139.45942707525538</v>
      </c>
      <c r="BM312" s="528">
        <f t="shared" si="797"/>
        <v>3.1976880554865774</v>
      </c>
      <c r="BN312" s="460">
        <f t="shared" si="847"/>
        <v>3197.6880554865775</v>
      </c>
      <c r="BO312" s="528">
        <f t="shared" si="798"/>
        <v>6.72</v>
      </c>
      <c r="BR312" s="460">
        <f t="shared" si="848"/>
        <v>6720</v>
      </c>
      <c r="BS312" s="528">
        <f t="shared" si="849"/>
        <v>0.80756278863075359</v>
      </c>
      <c r="BT312" s="528">
        <f t="shared" si="850"/>
        <v>4.3814356554065723</v>
      </c>
      <c r="BU312" s="528">
        <f t="shared" si="851"/>
        <v>1.9838487155417441</v>
      </c>
      <c r="BV312" s="528"/>
      <c r="BW312" s="528">
        <f t="shared" si="852"/>
        <v>2.494348830530238E-2</v>
      </c>
      <c r="BX312" s="460">
        <f t="shared" si="853"/>
        <v>7197.7906478843724</v>
      </c>
      <c r="BY312" s="173">
        <f t="shared" si="854"/>
        <v>16.70053514138429</v>
      </c>
      <c r="BZ312" s="5">
        <f t="shared" si="855"/>
        <v>144</v>
      </c>
      <c r="CA312" s="173">
        <f t="shared" si="856"/>
        <v>0.89607666753137349</v>
      </c>
      <c r="CB312" s="5">
        <f t="shared" si="857"/>
        <v>89.607666753137352</v>
      </c>
      <c r="CE312" s="562">
        <f t="shared" si="799"/>
        <v>-50</v>
      </c>
      <c r="CF312">
        <f t="shared" si="800"/>
        <v>-50</v>
      </c>
      <c r="CG312" s="173">
        <f t="shared" si="801"/>
        <v>0.84415426491016532</v>
      </c>
      <c r="CI312" s="170">
        <v>96</v>
      </c>
      <c r="CJ312" s="217">
        <f t="shared" si="858"/>
        <v>9.6</v>
      </c>
      <c r="CK312" s="217"/>
      <c r="CL312" s="217">
        <f t="shared" si="802"/>
        <v>144</v>
      </c>
      <c r="CM312" s="541">
        <f t="shared" si="803"/>
        <v>85</v>
      </c>
      <c r="CN312" s="443">
        <f t="shared" si="804"/>
        <v>15.4</v>
      </c>
      <c r="CO312" s="443">
        <f t="shared" si="805"/>
        <v>100.4</v>
      </c>
      <c r="CP312" s="443"/>
      <c r="CQ312" s="217">
        <f t="shared" si="806"/>
        <v>0.15338645418326693</v>
      </c>
      <c r="CR312" s="172">
        <f t="shared" si="807"/>
        <v>327.33148655378488</v>
      </c>
      <c r="CS312" s="172">
        <f t="shared" si="808"/>
        <v>144</v>
      </c>
      <c r="CT312" s="217">
        <f t="shared" si="809"/>
        <v>21.822099103585661</v>
      </c>
      <c r="CU312" s="217">
        <f t="shared" si="810"/>
        <v>15</v>
      </c>
      <c r="CV312" s="217"/>
      <c r="CW312" s="172">
        <f t="shared" si="811"/>
        <v>136.60233761463718</v>
      </c>
      <c r="CX312" s="172">
        <f t="shared" si="812"/>
        <v>15</v>
      </c>
      <c r="CY312" s="217">
        <f t="shared" si="813"/>
        <v>22.089533995416346</v>
      </c>
      <c r="CZ312" s="217">
        <f t="shared" si="814"/>
        <v>3.1185224464117196</v>
      </c>
      <c r="DA312" s="217">
        <f t="shared" si="815"/>
        <v>17.212623892532218</v>
      </c>
      <c r="DB312" s="197">
        <f t="shared" si="816"/>
        <v>108.64873837981409</v>
      </c>
      <c r="DC312" s="443">
        <f t="shared" si="817"/>
        <v>49.185618131355355</v>
      </c>
      <c r="DE312" s="217">
        <f t="shared" si="818"/>
        <v>10</v>
      </c>
      <c r="DF312" s="173">
        <f t="shared" si="819"/>
        <v>7.7922077922077913</v>
      </c>
      <c r="DG312" s="173">
        <f t="shared" si="820"/>
        <v>4.2330677290836656</v>
      </c>
      <c r="DH312" s="173"/>
      <c r="DI312" s="173">
        <f t="shared" si="821"/>
        <v>7.7922077922077913</v>
      </c>
      <c r="DJ312" s="545">
        <f t="shared" si="822"/>
        <v>246.4</v>
      </c>
      <c r="DK312" s="528">
        <f t="shared" si="823"/>
        <v>4.2330677290836656</v>
      </c>
      <c r="DM312" s="173">
        <f t="shared" si="824"/>
        <v>8.390470785361213</v>
      </c>
      <c r="DN312" s="173">
        <f t="shared" si="825"/>
        <v>22.089533995416346</v>
      </c>
      <c r="DO312" s="173">
        <f t="shared" si="826"/>
        <v>10.155210366975071</v>
      </c>
      <c r="DQ312" s="545">
        <f t="shared" si="827"/>
        <v>9600</v>
      </c>
      <c r="DR312" s="460">
        <f t="shared" si="828"/>
        <v>49.185618131355355</v>
      </c>
      <c r="DT312">
        <f t="shared" si="829"/>
        <v>9600</v>
      </c>
      <c r="DU312">
        <f t="shared" si="830"/>
        <v>49.185618131355355</v>
      </c>
      <c r="DW312" s="5">
        <f t="shared" si="859"/>
        <v>20.331146338943938</v>
      </c>
      <c r="DX312" s="5">
        <f t="shared" si="831"/>
        <v>3.1185224464117196</v>
      </c>
      <c r="DY312" s="5">
        <f t="shared" si="832"/>
        <v>17.212623892532218</v>
      </c>
      <c r="DZ312" s="5"/>
      <c r="EA312" s="173">
        <f t="shared" si="833"/>
        <v>0.15338645418326693</v>
      </c>
      <c r="EB312" s="173">
        <f t="shared" si="860"/>
        <v>144</v>
      </c>
      <c r="EC312" s="173">
        <f t="shared" si="861"/>
        <v>9.3506493506493502</v>
      </c>
      <c r="ED312" s="173">
        <f t="shared" si="862"/>
        <v>15.4</v>
      </c>
      <c r="EE312" s="460">
        <f t="shared" si="834"/>
        <v>199.58543657035003</v>
      </c>
      <c r="EF312" s="5">
        <f t="shared" si="835"/>
        <v>8.1000583023681028</v>
      </c>
      <c r="EH312" s="173">
        <f t="shared" si="863"/>
        <v>4.9948152689858061</v>
      </c>
      <c r="EI312" s="173">
        <f t="shared" si="864"/>
        <v>11.734606560948592</v>
      </c>
      <c r="EK312" s="528">
        <f t="shared" si="865"/>
        <v>0.49896359142587499</v>
      </c>
      <c r="EL312" s="528">
        <f t="shared" si="866"/>
        <v>2.1816666666666666</v>
      </c>
      <c r="EM312" s="528">
        <f t="shared" si="867"/>
        <v>6.1482022664194188E-3</v>
      </c>
      <c r="EN312" s="528">
        <f t="shared" si="868"/>
        <v>4.9579890046296309E-2</v>
      </c>
      <c r="EO312">
        <f t="shared" si="869"/>
        <v>3.8249999999999999E-2</v>
      </c>
      <c r="EP312" s="460">
        <f t="shared" si="870"/>
        <v>44.398202266419418</v>
      </c>
      <c r="EQ312" s="460"/>
      <c r="ER312" s="460">
        <f t="shared" si="871"/>
        <v>2774.6083504052576</v>
      </c>
      <c r="ES312" s="528">
        <f t="shared" si="872"/>
        <v>6.72</v>
      </c>
      <c r="EV312" s="460">
        <f t="shared" si="873"/>
        <v>6720</v>
      </c>
      <c r="EW312" s="528">
        <f t="shared" si="874"/>
        <v>0.74844538713881248</v>
      </c>
      <c r="EX312" s="528">
        <f t="shared" si="875"/>
        <v>4.1310297342077318</v>
      </c>
      <c r="EY312" s="528">
        <f t="shared" si="876"/>
        <v>1.9455021880180854</v>
      </c>
      <c r="EZ312" s="528"/>
      <c r="FA312" s="528">
        <f t="shared" si="877"/>
        <v>2.4E-2</v>
      </c>
      <c r="FB312" s="460">
        <f t="shared" si="878"/>
        <v>6848.9773093646309</v>
      </c>
      <c r="FC312" s="173">
        <f t="shared" si="879"/>
        <v>16.343585659769889</v>
      </c>
      <c r="FD312" s="5">
        <f t="shared" si="880"/>
        <v>144</v>
      </c>
      <c r="FE312" s="173">
        <f t="shared" si="881"/>
        <v>0.89807147200481685</v>
      </c>
      <c r="FF312" s="5">
        <f t="shared" si="882"/>
        <v>89.80714720048168</v>
      </c>
      <c r="FI312" s="562">
        <f t="shared" si="836"/>
        <v>-50</v>
      </c>
      <c r="FJ312">
        <f t="shared" si="837"/>
        <v>-50</v>
      </c>
      <c r="FL312">
        <f t="shared" si="838"/>
        <v>0.84661354581673309</v>
      </c>
    </row>
    <row r="313" spans="5:168">
      <c r="E313" s="170">
        <v>97</v>
      </c>
      <c r="F313" s="217">
        <f>IF(PLOT_TYPE=1, E313/100*Iout_max, min_I*EXP(N313*rr/100))</f>
        <v>9.6999999999999993</v>
      </c>
      <c r="G313" s="217"/>
      <c r="H313" s="217">
        <f>F313*Vout</f>
        <v>145.5</v>
      </c>
      <c r="I313" s="541">
        <f t="shared" si="765"/>
        <v>84.425477718871846</v>
      </c>
      <c r="J313" s="172">
        <f t="shared" si="766"/>
        <v>15.744713368676889</v>
      </c>
      <c r="K313" s="172">
        <f t="shared" si="767"/>
        <v>100.17019108754873</v>
      </c>
      <c r="L313" s="443"/>
      <c r="M313" s="217">
        <f t="shared" si="768"/>
        <v>0.15717128959454835</v>
      </c>
      <c r="N313" s="172">
        <f>M313*I313*(Isw_max+VIN_max/Lmag*ILIM_delay)*0.5*Efficiency</f>
        <v>333.14138919609167</v>
      </c>
      <c r="O313" s="172">
        <f t="shared" si="762"/>
        <v>145.5</v>
      </c>
      <c r="P313" s="217">
        <f>N313/Vout</f>
        <v>22.20942594640611</v>
      </c>
      <c r="Q313" s="217">
        <f t="shared" si="771"/>
        <v>15</v>
      </c>
      <c r="R313" s="217"/>
      <c r="S313" s="172">
        <f t="shared" si="772"/>
        <v>133.41831820861216</v>
      </c>
      <c r="T313" s="172">
        <f>MIN(Vout, S313)</f>
        <v>15</v>
      </c>
      <c r="U313" s="217">
        <f t="shared" si="774"/>
        <v>23.01772561908507</v>
      </c>
      <c r="V313" s="217">
        <f>L*U313/I313*1000000</f>
        <v>3.2716747940566093</v>
      </c>
      <c r="W313" s="217">
        <f t="shared" si="776"/>
        <v>17.543203293781684</v>
      </c>
      <c r="X313" s="197">
        <f t="shared" si="777"/>
        <v>110.58304315764337</v>
      </c>
      <c r="Y313" s="443">
        <f t="shared" si="840"/>
        <v>47.58533434361054</v>
      </c>
      <c r="AA313" s="217">
        <f t="shared" si="778"/>
        <v>10</v>
      </c>
      <c r="AB313" s="173">
        <f>L*AA313/J313*1000000</f>
        <v>7.6216058806591178</v>
      </c>
      <c r="AC313" s="173">
        <f>0.5*AB313*AA313*Nps*X313/1000</f>
        <v>4.2141018601573785</v>
      </c>
      <c r="AD313" s="173"/>
      <c r="AE313" s="173">
        <f t="shared" si="781"/>
        <v>7.6216058806591178</v>
      </c>
      <c r="AF313" s="545">
        <f>MAX(12000,F313/(0.5*AE313/1000000*Isw_min*Nps))/1000</f>
        <v>254.53953279360968</v>
      </c>
      <c r="AG313" s="528">
        <f t="shared" si="783"/>
        <v>4.2141018601573785</v>
      </c>
      <c r="AI313" s="173">
        <f t="shared" si="784"/>
        <v>8.5279294555111207</v>
      </c>
      <c r="AJ313" s="173">
        <f>MAX(IF(F313&gt;AC313,U313,AI313),Isw_min)</f>
        <v>23.01772561908507</v>
      </c>
      <c r="AK313" s="173">
        <f>IF(F313&gt;AG313, (AJ313-Isw_min)/1.08*0.8+1.2, AF313*0.2/350+1)</f>
        <v>10.842759717840792</v>
      </c>
      <c r="AM313" s="545">
        <f t="shared" si="787"/>
        <v>9700</v>
      </c>
      <c r="AN313" s="460">
        <f t="shared" si="788"/>
        <v>47.58533434361054</v>
      </c>
      <c r="AP313">
        <f t="shared" si="789"/>
        <v>9700</v>
      </c>
      <c r="AQ313">
        <f t="shared" si="790"/>
        <v>47.58533434361054</v>
      </c>
      <c r="AS313" s="5">
        <f t="shared" si="763"/>
        <v>21.014878087838291</v>
      </c>
      <c r="AT313" s="5">
        <f t="shared" si="791"/>
        <v>3.2716747940566093</v>
      </c>
      <c r="AU313" s="5">
        <f t="shared" si="883"/>
        <v>17.743203293781683</v>
      </c>
      <c r="AV313" s="5"/>
      <c r="AW313" s="173">
        <f t="shared" si="884"/>
        <v>0.1556837389387469</v>
      </c>
      <c r="AX313" s="173">
        <f t="shared" si="792"/>
        <v>151.2687412587274</v>
      </c>
      <c r="AY313" s="173">
        <f t="shared" si="793"/>
        <v>9.7171200164198623</v>
      </c>
      <c r="AZ313" s="173">
        <f t="shared" si="794"/>
        <v>15.567240190829738</v>
      </c>
      <c r="BA313" s="460">
        <f t="shared" si="885"/>
        <v>211.56830334899408</v>
      </c>
      <c r="BB313" s="5">
        <f t="shared" si="886"/>
        <v>8.494131777514081</v>
      </c>
      <c r="BD313" s="173">
        <f t="shared" si="841"/>
        <v>5.2435257853261801</v>
      </c>
      <c r="BE313" s="173">
        <f t="shared" si="842"/>
        <v>12.211087921657427</v>
      </c>
      <c r="BG313" s="528">
        <f t="shared" si="843"/>
        <v>0.54989125322761068</v>
      </c>
      <c r="BH313" s="528">
        <f t="shared" si="795"/>
        <v>2.0571942804288117</v>
      </c>
      <c r="BI313" s="528">
        <f t="shared" si="796"/>
        <v>0.10043536460928897</v>
      </c>
      <c r="BJ313" s="528">
        <f t="shared" si="844"/>
        <v>4.7747444170627533E-2</v>
      </c>
      <c r="BK313">
        <f t="shared" si="845"/>
        <v>3.7991464973492331E-2</v>
      </c>
      <c r="BL313" s="460">
        <f t="shared" si="846"/>
        <v>138.42682958278129</v>
      </c>
      <c r="BM313" s="528">
        <f t="shared" si="797"/>
        <v>3.2246126833666211</v>
      </c>
      <c r="BN313" s="460">
        <f t="shared" si="847"/>
        <v>3224.6126833666212</v>
      </c>
      <c r="BO313" s="528">
        <f t="shared" si="798"/>
        <v>6.7899999999999991</v>
      </c>
      <c r="BR313" s="460">
        <f t="shared" si="848"/>
        <v>6789.9999999999991</v>
      </c>
      <c r="BS313" s="528">
        <f t="shared" si="849"/>
        <v>0.82483687984141596</v>
      </c>
      <c r="BT313" s="528">
        <f t="shared" si="850"/>
        <v>4.473320046913436</v>
      </c>
      <c r="BU313" s="528">
        <f t="shared" si="851"/>
        <v>1.9852209014798377</v>
      </c>
      <c r="BV313" s="528"/>
      <c r="BW313" s="528">
        <f t="shared" si="852"/>
        <v>2.5211456876454576E-2</v>
      </c>
      <c r="BX313" s="460">
        <f t="shared" si="853"/>
        <v>7308.5892851111439</v>
      </c>
      <c r="BY313" s="173">
        <f t="shared" si="854"/>
        <v>16.891849092520975</v>
      </c>
      <c r="BZ313" s="5">
        <f t="shared" si="855"/>
        <v>145.5</v>
      </c>
      <c r="CA313" s="173">
        <f t="shared" si="856"/>
        <v>0.89598093015803382</v>
      </c>
      <c r="CB313" s="5">
        <f t="shared" si="857"/>
        <v>89.598093015803386</v>
      </c>
      <c r="CE313" s="562">
        <f t="shared" si="799"/>
        <v>-50</v>
      </c>
      <c r="CF313">
        <f t="shared" si="800"/>
        <v>-50</v>
      </c>
      <c r="CG313" s="173">
        <f t="shared" si="801"/>
        <v>0.84417961832157318</v>
      </c>
      <c r="CI313" s="170">
        <v>97</v>
      </c>
      <c r="CJ313" s="217">
        <f t="shared" si="858"/>
        <v>9.6999999999999993</v>
      </c>
      <c r="CK313" s="217"/>
      <c r="CL313" s="217">
        <f t="shared" si="802"/>
        <v>145.5</v>
      </c>
      <c r="CM313" s="541">
        <f t="shared" si="803"/>
        <v>85</v>
      </c>
      <c r="CN313" s="443">
        <f t="shared" si="804"/>
        <v>15.4</v>
      </c>
      <c r="CO313" s="443">
        <f t="shared" si="805"/>
        <v>100.4</v>
      </c>
      <c r="CP313" s="443"/>
      <c r="CQ313" s="217">
        <f t="shared" si="806"/>
        <v>0.15338645418326693</v>
      </c>
      <c r="CR313" s="172">
        <f t="shared" si="807"/>
        <v>327.33148655378488</v>
      </c>
      <c r="CS313" s="172">
        <f t="shared" si="808"/>
        <v>145.5</v>
      </c>
      <c r="CT313" s="217">
        <f t="shared" si="809"/>
        <v>21.822099103585661</v>
      </c>
      <c r="CU313" s="217">
        <f t="shared" si="810"/>
        <v>15</v>
      </c>
      <c r="CV313" s="217"/>
      <c r="CW313" s="172">
        <f t="shared" si="811"/>
        <v>134.32453175616715</v>
      </c>
      <c r="CX313" s="172">
        <f t="shared" si="812"/>
        <v>15</v>
      </c>
      <c r="CY313" s="217">
        <f t="shared" si="813"/>
        <v>22.3196333078686</v>
      </c>
      <c r="CZ313" s="217">
        <f t="shared" si="814"/>
        <v>3.1510070552285083</v>
      </c>
      <c r="DA313" s="217">
        <f t="shared" si="815"/>
        <v>17.391922058079427</v>
      </c>
      <c r="DB313" s="197">
        <f t="shared" si="816"/>
        <v>108.64873837981409</v>
      </c>
      <c r="DC313" s="443">
        <f t="shared" si="817"/>
        <v>48.678549903197059</v>
      </c>
      <c r="DE313" s="217">
        <f t="shared" si="818"/>
        <v>10</v>
      </c>
      <c r="DF313" s="173">
        <f t="shared" si="819"/>
        <v>7.7922077922077913</v>
      </c>
      <c r="DG313" s="173">
        <f t="shared" si="820"/>
        <v>4.2330677290836656</v>
      </c>
      <c r="DH313" s="173"/>
      <c r="DI313" s="173">
        <f t="shared" si="821"/>
        <v>7.7922077922077913</v>
      </c>
      <c r="DJ313" s="545">
        <f t="shared" si="822"/>
        <v>248.96666666666667</v>
      </c>
      <c r="DK313" s="528">
        <f t="shared" si="823"/>
        <v>4.2330677290836656</v>
      </c>
      <c r="DM313" s="173">
        <f t="shared" si="824"/>
        <v>8.4340579398847701</v>
      </c>
      <c r="DN313" s="173">
        <f t="shared" si="825"/>
        <v>22.3196333078686</v>
      </c>
      <c r="DO313" s="173">
        <f t="shared" si="826"/>
        <v>10.325654302124887</v>
      </c>
      <c r="DQ313" s="545">
        <f t="shared" si="827"/>
        <v>9700</v>
      </c>
      <c r="DR313" s="460">
        <f t="shared" si="828"/>
        <v>48.678549903197059</v>
      </c>
      <c r="DT313">
        <f t="shared" si="829"/>
        <v>9700</v>
      </c>
      <c r="DU313">
        <f t="shared" si="830"/>
        <v>48.678549903197059</v>
      </c>
      <c r="DW313" s="5">
        <f t="shared" si="859"/>
        <v>20.542929113307935</v>
      </c>
      <c r="DX313" s="5">
        <f t="shared" si="831"/>
        <v>3.1510070552285083</v>
      </c>
      <c r="DY313" s="5">
        <f t="shared" si="832"/>
        <v>17.391922058079427</v>
      </c>
      <c r="DZ313" s="5"/>
      <c r="EA313" s="173">
        <f t="shared" si="833"/>
        <v>0.15338645418326696</v>
      </c>
      <c r="EB313" s="173">
        <f t="shared" si="860"/>
        <v>145.50000000000003</v>
      </c>
      <c r="EC313" s="173">
        <f t="shared" si="861"/>
        <v>9.4480519480519458</v>
      </c>
      <c r="ED313" s="173">
        <f t="shared" si="862"/>
        <v>15.400000000000007</v>
      </c>
      <c r="EE313" s="460">
        <f t="shared" si="834"/>
        <v>203.76512290477686</v>
      </c>
      <c r="EF313" s="5">
        <f t="shared" si="835"/>
        <v>8.2696884295769824</v>
      </c>
      <c r="EH313" s="173">
        <f t="shared" si="863"/>
        <v>5.0468445947044094</v>
      </c>
      <c r="EI313" s="173">
        <f t="shared" si="864"/>
        <v>11.856842045958471</v>
      </c>
      <c r="EK313" s="528">
        <f t="shared" si="865"/>
        <v>0.50941280726194227</v>
      </c>
      <c r="EL313" s="528">
        <f t="shared" si="866"/>
        <v>2.1816666666666671</v>
      </c>
      <c r="EM313" s="528">
        <f t="shared" si="867"/>
        <v>6.0848187378996325E-3</v>
      </c>
      <c r="EN313" s="528">
        <f t="shared" si="868"/>
        <v>4.9068757159221092E-2</v>
      </c>
      <c r="EO313">
        <f t="shared" si="869"/>
        <v>3.8249999999999999E-2</v>
      </c>
      <c r="EP313" s="460">
        <f t="shared" si="870"/>
        <v>44.334818737899631</v>
      </c>
      <c r="EQ313" s="460"/>
      <c r="ER313" s="460">
        <f t="shared" si="871"/>
        <v>2784.4830498257306</v>
      </c>
      <c r="ES313" s="528">
        <f t="shared" si="872"/>
        <v>6.7899999999999991</v>
      </c>
      <c r="EV313" s="460">
        <f t="shared" si="873"/>
        <v>6789.9999999999991</v>
      </c>
      <c r="EW313" s="528">
        <f t="shared" si="874"/>
        <v>0.76411921089291346</v>
      </c>
      <c r="EX313" s="528">
        <f t="shared" si="875"/>
        <v>4.2175410990842597</v>
      </c>
      <c r="EY313" s="528">
        <f t="shared" si="876"/>
        <v>1.9455021880180854</v>
      </c>
      <c r="EZ313" s="528"/>
      <c r="FA313" s="528">
        <f t="shared" si="877"/>
        <v>2.4250000000000001E-2</v>
      </c>
      <c r="FB313" s="460">
        <f t="shared" si="878"/>
        <v>6951.4124979952585</v>
      </c>
      <c r="FC313" s="173">
        <f t="shared" si="879"/>
        <v>16.525895547820987</v>
      </c>
      <c r="FD313" s="5">
        <f t="shared" si="880"/>
        <v>145.5</v>
      </c>
      <c r="FE313" s="173">
        <f t="shared" si="881"/>
        <v>0.8980046029559301</v>
      </c>
      <c r="FF313" s="5">
        <f t="shared" si="882"/>
        <v>89.800460295593012</v>
      </c>
      <c r="FI313" s="562">
        <f t="shared" si="836"/>
        <v>-50</v>
      </c>
      <c r="FJ313">
        <f t="shared" si="837"/>
        <v>-50</v>
      </c>
      <c r="FL313">
        <f t="shared" si="838"/>
        <v>0.84661354581673298</v>
      </c>
    </row>
    <row r="314" spans="5:168">
      <c r="E314" s="170">
        <v>98</v>
      </c>
      <c r="F314" s="217">
        <f>IF(PLOT_TYPE=1, E314/100*Iout_max, min_I*EXP(N314*rr/100))</f>
        <v>9.8000000000000007</v>
      </c>
      <c r="G314" s="217"/>
      <c r="H314" s="217">
        <f>F314*Vout</f>
        <v>147</v>
      </c>
      <c r="I314" s="541">
        <f t="shared" si="765"/>
        <v>84.419571885110742</v>
      </c>
      <c r="J314" s="172">
        <f t="shared" si="766"/>
        <v>15.748256868933558</v>
      </c>
      <c r="K314" s="172">
        <f t="shared" si="767"/>
        <v>100.16782875404429</v>
      </c>
      <c r="L314" s="443"/>
      <c r="M314" s="217">
        <f t="shared" si="768"/>
        <v>0.15721037254774942</v>
      </c>
      <c r="N314" s="172">
        <f>M314*I314*(Isw_max+VIN_max/Lmag*ILIM_delay)*0.5*Efficiency</f>
        <v>333.20091959629713</v>
      </c>
      <c r="O314" s="172">
        <f t="shared" si="762"/>
        <v>147</v>
      </c>
      <c r="P314" s="217">
        <f>N314/Vout</f>
        <v>22.21339463975314</v>
      </c>
      <c r="Q314" s="217">
        <f t="shared" si="771"/>
        <v>15</v>
      </c>
      <c r="R314" s="217"/>
      <c r="S314" s="172">
        <f t="shared" si="772"/>
        <v>131.19308676580462</v>
      </c>
      <c r="T314" s="172">
        <f>MIN(Vout, S314)</f>
        <v>15</v>
      </c>
      <c r="U314" s="217">
        <f t="shared" si="774"/>
        <v>23.256100172056836</v>
      </c>
      <c r="V314" s="217">
        <f>L*U314/I314*1000000</f>
        <v>3.3057879332115259</v>
      </c>
      <c r="W314" s="217">
        <f t="shared" si="776"/>
        <v>17.720894724241337</v>
      </c>
      <c r="X314" s="197">
        <f t="shared" si="777"/>
        <v>110.60280192992671</v>
      </c>
      <c r="Y314" s="443">
        <f t="shared" si="840"/>
        <v>47.11051727382808</v>
      </c>
      <c r="AA314" s="217">
        <f t="shared" si="778"/>
        <v>10</v>
      </c>
      <c r="AB314" s="173">
        <f>L*AA314/J314*1000000</f>
        <v>7.6198909503897481</v>
      </c>
      <c r="AC314" s="173">
        <f>0.5*AB314*AA314*Nps*X314/1000</f>
        <v>4.2139064475679913</v>
      </c>
      <c r="AD314" s="173"/>
      <c r="AE314" s="173">
        <f t="shared" si="781"/>
        <v>7.6198909503897481</v>
      </c>
      <c r="AF314" s="545">
        <f>MAX(12000,F314/(0.5*AE314/1000000*Isw_min*Nps))/1000</f>
        <v>257.22152885924811</v>
      </c>
      <c r="AG314" s="528">
        <f t="shared" si="783"/>
        <v>4.2139064475679913</v>
      </c>
      <c r="AI314" s="173">
        <f t="shared" si="784"/>
        <v>8.5727396664284985</v>
      </c>
      <c r="AJ314" s="173">
        <f>MAX(IF(F314&gt;AC314,U314,AI314),Isw_min)</f>
        <v>23.256100172056836</v>
      </c>
      <c r="AK314" s="173">
        <f>IF(F314&gt;AG314, (AJ314-Isw_min)/1.08*0.8+1.2, AF314*0.2/350+1)</f>
        <v>11.019333460782841</v>
      </c>
      <c r="AM314" s="545">
        <f t="shared" si="787"/>
        <v>9800</v>
      </c>
      <c r="AN314" s="460">
        <f t="shared" si="788"/>
        <v>47.11051727382808</v>
      </c>
      <c r="AP314">
        <f t="shared" si="789"/>
        <v>9800</v>
      </c>
      <c r="AQ314">
        <f t="shared" si="790"/>
        <v>47.11051727382808</v>
      </c>
      <c r="AS314" s="5">
        <f t="shared" si="763"/>
        <v>21.226682657452862</v>
      </c>
      <c r="AT314" s="5">
        <f t="shared" si="791"/>
        <v>3.3057879332115259</v>
      </c>
      <c r="AU314" s="5">
        <f t="shared" si="883"/>
        <v>17.920894724241336</v>
      </c>
      <c r="AV314" s="5"/>
      <c r="AW314" s="173">
        <f t="shared" si="884"/>
        <v>0.15573737953117403</v>
      </c>
      <c r="AX314" s="173">
        <f t="shared" si="792"/>
        <v>152.87726413232446</v>
      </c>
      <c r="AY314" s="173">
        <f t="shared" si="793"/>
        <v>9.8171280365731093</v>
      </c>
      <c r="AZ314" s="173">
        <f t="shared" si="794"/>
        <v>15.572503848660176</v>
      </c>
      <c r="BA314" s="460">
        <f t="shared" si="885"/>
        <v>215.97814496981974</v>
      </c>
      <c r="BB314" s="5">
        <f t="shared" si="886"/>
        <v>8.6682489802531801</v>
      </c>
      <c r="BD314" s="173">
        <f t="shared" si="841"/>
        <v>5.2987410193943942</v>
      </c>
      <c r="BE314" s="173">
        <f t="shared" si="842"/>
        <v>12.337155615469118</v>
      </c>
      <c r="BG314" s="528">
        <f t="shared" si="843"/>
        <v>0.56153312781225484</v>
      </c>
      <c r="BH314" s="528">
        <f t="shared" si="795"/>
        <v>2.0577105980661603</v>
      </c>
      <c r="BI314" s="528">
        <f t="shared" si="796"/>
        <v>9.9426242488567018E-2</v>
      </c>
      <c r="BJ314" s="528">
        <f t="shared" si="844"/>
        <v>4.7268779955951648E-2</v>
      </c>
      <c r="BK314">
        <f t="shared" si="845"/>
        <v>3.7988807348299833E-2</v>
      </c>
      <c r="BL314" s="460">
        <f t="shared" si="846"/>
        <v>137.41504983686687</v>
      </c>
      <c r="BM314" s="528">
        <f t="shared" si="797"/>
        <v>3.2520105843494025</v>
      </c>
      <c r="BN314" s="460">
        <f t="shared" si="847"/>
        <v>3252.0105843494025</v>
      </c>
      <c r="BO314" s="528">
        <f t="shared" si="798"/>
        <v>6.86</v>
      </c>
      <c r="BR314" s="460">
        <f t="shared" si="848"/>
        <v>6860</v>
      </c>
      <c r="BS314" s="528">
        <f t="shared" si="849"/>
        <v>0.84229969171838226</v>
      </c>
      <c r="BT314" s="528">
        <f t="shared" si="850"/>
        <v>4.5661622604090359</v>
      </c>
      <c r="BU314" s="528">
        <f t="shared" si="851"/>
        <v>1.9865838930301334</v>
      </c>
      <c r="BV314" s="528"/>
      <c r="BW314" s="528">
        <f t="shared" si="852"/>
        <v>2.5479544022054081E-2</v>
      </c>
      <c r="BX314" s="460">
        <f t="shared" si="853"/>
        <v>7420.5253891796046</v>
      </c>
      <c r="BY314" s="173">
        <f t="shared" si="854"/>
        <v>17.084452944850842</v>
      </c>
      <c r="BZ314" s="5">
        <f t="shared" si="855"/>
        <v>147</v>
      </c>
      <c r="CA314" s="173">
        <f t="shared" si="856"/>
        <v>0.89588012369098136</v>
      </c>
      <c r="CB314" s="5">
        <f t="shared" si="857"/>
        <v>89.588012369098138</v>
      </c>
      <c r="CE314" s="562">
        <f t="shared" si="799"/>
        <v>-50</v>
      </c>
      <c r="CF314">
        <f t="shared" si="800"/>
        <v>-50</v>
      </c>
      <c r="CG314" s="173">
        <f t="shared" si="801"/>
        <v>0.84420445431642177</v>
      </c>
      <c r="CI314" s="170">
        <v>98</v>
      </c>
      <c r="CJ314" s="217">
        <f t="shared" si="858"/>
        <v>9.8000000000000007</v>
      </c>
      <c r="CK314" s="217"/>
      <c r="CL314" s="217">
        <f t="shared" si="802"/>
        <v>147</v>
      </c>
      <c r="CM314" s="541">
        <f t="shared" si="803"/>
        <v>85</v>
      </c>
      <c r="CN314" s="443">
        <f t="shared" si="804"/>
        <v>15.4</v>
      </c>
      <c r="CO314" s="443">
        <f t="shared" si="805"/>
        <v>100.4</v>
      </c>
      <c r="CP314" s="443"/>
      <c r="CQ314" s="217">
        <f t="shared" si="806"/>
        <v>0.15338645418326693</v>
      </c>
      <c r="CR314" s="172">
        <f t="shared" si="807"/>
        <v>327.33148655378488</v>
      </c>
      <c r="CS314" s="172">
        <f t="shared" si="808"/>
        <v>147</v>
      </c>
      <c r="CT314" s="217">
        <f t="shared" si="809"/>
        <v>21.822099103585661</v>
      </c>
      <c r="CU314" s="217">
        <f t="shared" si="810"/>
        <v>15</v>
      </c>
      <c r="CV314" s="217"/>
      <c r="CW314" s="172">
        <f t="shared" si="811"/>
        <v>132.09335134411</v>
      </c>
      <c r="CX314" s="172">
        <f t="shared" si="812"/>
        <v>15</v>
      </c>
      <c r="CY314" s="217">
        <f t="shared" si="813"/>
        <v>22.549732620320857</v>
      </c>
      <c r="CZ314" s="217">
        <f t="shared" si="814"/>
        <v>3.1834916640452975</v>
      </c>
      <c r="DA314" s="217">
        <f t="shared" si="815"/>
        <v>17.571220223626643</v>
      </c>
      <c r="DB314" s="197">
        <f t="shared" si="816"/>
        <v>108.64873837981409</v>
      </c>
      <c r="DC314" s="443">
        <f t="shared" si="817"/>
        <v>48.181830006225638</v>
      </c>
      <c r="DE314" s="217">
        <f t="shared" si="818"/>
        <v>10</v>
      </c>
      <c r="DF314" s="173">
        <f t="shared" si="819"/>
        <v>7.7922077922077913</v>
      </c>
      <c r="DG314" s="173">
        <f t="shared" si="820"/>
        <v>4.2330677290836656</v>
      </c>
      <c r="DH314" s="173"/>
      <c r="DI314" s="173">
        <f t="shared" si="821"/>
        <v>7.7922077922077913</v>
      </c>
      <c r="DJ314" s="545">
        <f t="shared" si="822"/>
        <v>251.53333333333336</v>
      </c>
      <c r="DK314" s="528">
        <f t="shared" si="823"/>
        <v>4.2330677290836656</v>
      </c>
      <c r="DM314" s="173">
        <f t="shared" si="824"/>
        <v>8.477420991472977</v>
      </c>
      <c r="DN314" s="173">
        <f t="shared" si="825"/>
        <v>22.549732620320857</v>
      </c>
      <c r="DO314" s="173">
        <f t="shared" si="826"/>
        <v>10.496098237274708</v>
      </c>
      <c r="DQ314" s="545">
        <f t="shared" si="827"/>
        <v>9800</v>
      </c>
      <c r="DR314" s="460">
        <f t="shared" si="828"/>
        <v>48.181830006225638</v>
      </c>
      <c r="DT314">
        <f t="shared" si="829"/>
        <v>9800</v>
      </c>
      <c r="DU314">
        <f t="shared" si="830"/>
        <v>48.181830006225638</v>
      </c>
      <c r="DW314" s="5">
        <f t="shared" si="859"/>
        <v>20.754711887671945</v>
      </c>
      <c r="DX314" s="5">
        <f t="shared" si="831"/>
        <v>3.1834916640452975</v>
      </c>
      <c r="DY314" s="5">
        <f t="shared" si="832"/>
        <v>17.571220223626646</v>
      </c>
      <c r="DZ314" s="5"/>
      <c r="EA314" s="173">
        <f t="shared" si="833"/>
        <v>0.15338645418326688</v>
      </c>
      <c r="EB314" s="173">
        <f t="shared" si="860"/>
        <v>147</v>
      </c>
      <c r="EC314" s="173">
        <f t="shared" si="861"/>
        <v>9.5454545454545467</v>
      </c>
      <c r="ED314" s="173">
        <f t="shared" si="862"/>
        <v>15.399999999999999</v>
      </c>
      <c r="EE314" s="460">
        <f t="shared" si="834"/>
        <v>207.98812205095942</v>
      </c>
      <c r="EF314" s="5">
        <f t="shared" si="835"/>
        <v>8.4410763819382915</v>
      </c>
      <c r="EH314" s="173">
        <f t="shared" si="863"/>
        <v>5.0988739204230109</v>
      </c>
      <c r="EI314" s="173">
        <f t="shared" si="864"/>
        <v>11.979077530968356</v>
      </c>
      <c r="EK314" s="528">
        <f t="shared" si="865"/>
        <v>0.5199703051273985</v>
      </c>
      <c r="EL314" s="528">
        <f t="shared" si="866"/>
        <v>2.1816666666666662</v>
      </c>
      <c r="EM314" s="528">
        <f t="shared" si="867"/>
        <v>6.0227287507782041E-3</v>
      </c>
      <c r="EN314" s="528">
        <f t="shared" si="868"/>
        <v>4.8568055555555552E-2</v>
      </c>
      <c r="EO314">
        <f t="shared" si="869"/>
        <v>3.8249999999999999E-2</v>
      </c>
      <c r="EP314" s="460">
        <f t="shared" si="870"/>
        <v>44.272728750778199</v>
      </c>
      <c r="EQ314" s="460"/>
      <c r="ER314" s="460">
        <f t="shared" si="871"/>
        <v>2794.4777561003984</v>
      </c>
      <c r="ES314" s="528">
        <f t="shared" si="872"/>
        <v>6.86</v>
      </c>
      <c r="EV314" s="460">
        <f t="shared" si="873"/>
        <v>6860</v>
      </c>
      <c r="EW314" s="528">
        <f t="shared" si="874"/>
        <v>0.77995545769109764</v>
      </c>
      <c r="EX314" s="528">
        <f t="shared" si="875"/>
        <v>4.3049489547885269</v>
      </c>
      <c r="EY314" s="528">
        <f t="shared" si="876"/>
        <v>1.9455021880180816</v>
      </c>
      <c r="EZ314" s="528"/>
      <c r="FA314" s="528">
        <f t="shared" si="877"/>
        <v>2.4500000000000001E-2</v>
      </c>
      <c r="FB314" s="460">
        <f t="shared" si="878"/>
        <v>7054.9066004977058</v>
      </c>
      <c r="FC314" s="173">
        <f t="shared" si="879"/>
        <v>16.709384356598104</v>
      </c>
      <c r="FD314" s="5">
        <f t="shared" si="880"/>
        <v>147</v>
      </c>
      <c r="FE314" s="173">
        <f t="shared" si="881"/>
        <v>0.89793264190523703</v>
      </c>
      <c r="FF314" s="5">
        <f t="shared" si="882"/>
        <v>89.793264190523701</v>
      </c>
      <c r="FI314" s="562">
        <f t="shared" si="836"/>
        <v>-50</v>
      </c>
      <c r="FJ314">
        <f t="shared" si="837"/>
        <v>-50</v>
      </c>
      <c r="FL314">
        <f t="shared" si="838"/>
        <v>0.84661354581673309</v>
      </c>
    </row>
    <row r="315" spans="5:168">
      <c r="E315" s="170">
        <v>99</v>
      </c>
      <c r="F315" s="217">
        <f>IF(PLOT_TYPE=1, E315/100*Iout_max, min_I*EXP(N315*rr/100))</f>
        <v>9.9</v>
      </c>
      <c r="G315" s="217"/>
      <c r="H315" s="217">
        <f>F315*Vout</f>
        <v>148.5</v>
      </c>
      <c r="I315" s="541">
        <f t="shared" si="765"/>
        <v>84.413666050365194</v>
      </c>
      <c r="J315" s="172">
        <f t="shared" si="766"/>
        <v>15.751800369780883</v>
      </c>
      <c r="K315" s="172">
        <f t="shared" si="767"/>
        <v>100.16546642014607</v>
      </c>
      <c r="L315" s="443"/>
      <c r="M315" s="217">
        <f t="shared" si="768"/>
        <v>0.1572494573459805</v>
      </c>
      <c r="N315" s="172">
        <f>M315*I315*(Isw_max+VIN_max/Lmag*ILIM_delay)*0.5*Efficiency</f>
        <v>333.26044231288785</v>
      </c>
      <c r="O315" s="172">
        <f t="shared" si="762"/>
        <v>148.5</v>
      </c>
      <c r="P315" s="217">
        <f>N315/Vout</f>
        <v>22.21736282085919</v>
      </c>
      <c r="Q315" s="217">
        <f t="shared" si="771"/>
        <v>15</v>
      </c>
      <c r="R315" s="217"/>
      <c r="S315" s="172">
        <f t="shared" si="772"/>
        <v>129.01306964599195</v>
      </c>
      <c r="T315" s="172">
        <f>MIN(Vout, S315)</f>
        <v>15</v>
      </c>
      <c r="U315" s="217">
        <f t="shared" si="774"/>
        <v>23.494496885929198</v>
      </c>
      <c r="V315" s="217">
        <f>L*U315/I315*1000000</f>
        <v>3.3399089960497066</v>
      </c>
      <c r="W315" s="217">
        <f t="shared" si="776"/>
        <v>17.898523090225797</v>
      </c>
      <c r="X315" s="197">
        <f t="shared" si="777"/>
        <v>110.62255815537149</v>
      </c>
      <c r="Y315" s="443">
        <f t="shared" si="840"/>
        <v>46.645202222609456</v>
      </c>
      <c r="AA315" s="217">
        <f t="shared" si="778"/>
        <v>10</v>
      </c>
      <c r="AB315" s="173">
        <f>L*AA315/J315*1000000</f>
        <v>7.6181767914107512</v>
      </c>
      <c r="AC315" s="173">
        <f>0.5*AB315*AA315*Nps*X315/1000</f>
        <v>4.2137110257286858</v>
      </c>
      <c r="AD315" s="173"/>
      <c r="AE315" s="173">
        <f t="shared" si="781"/>
        <v>7.6181767914107512</v>
      </c>
      <c r="AF315" s="545">
        <f>MAX(12000,F315/(0.5*AE315/1000000*Isw_min*Nps))/1000</f>
        <v>259.90470610138453</v>
      </c>
      <c r="AG315" s="528">
        <f t="shared" si="783"/>
        <v>4.2137110257286858</v>
      </c>
      <c r="AI315" s="173">
        <f t="shared" si="784"/>
        <v>8.6173364479715229</v>
      </c>
      <c r="AJ315" s="173">
        <f>MAX(IF(F315&gt;AC315,U315,AI315),Isw_min)</f>
        <v>23.494496885929198</v>
      </c>
      <c r="AK315" s="173">
        <f>IF(F315&gt;AG315, (AJ315-Isw_min)/1.08*0.8+1.2, AF315*0.2/350+1)</f>
        <v>11.195923619206813</v>
      </c>
      <c r="AM315" s="545">
        <f t="shared" si="787"/>
        <v>9900</v>
      </c>
      <c r="AN315" s="460">
        <f t="shared" si="788"/>
        <v>46.645202222609456</v>
      </c>
      <c r="AP315">
        <f t="shared" si="789"/>
        <v>9900</v>
      </c>
      <c r="AQ315">
        <f t="shared" si="790"/>
        <v>46.645202222609456</v>
      </c>
      <c r="AS315" s="5">
        <f t="shared" si="763"/>
        <v>21.438432086275505</v>
      </c>
      <c r="AT315" s="5">
        <f t="shared" si="791"/>
        <v>3.3399089960497066</v>
      </c>
      <c r="AU315" s="5">
        <f t="shared" si="883"/>
        <v>18.098523090225797</v>
      </c>
      <c r="AV315" s="5"/>
      <c r="AW315" s="173">
        <f t="shared" si="884"/>
        <v>0.15579073052585107</v>
      </c>
      <c r="AX315" s="173">
        <f t="shared" si="792"/>
        <v>154.48649836934067</v>
      </c>
      <c r="AY315" s="173">
        <f t="shared" si="793"/>
        <v>9.9171360263664781</v>
      </c>
      <c r="AZ315" s="173">
        <f t="shared" si="794"/>
        <v>15.577733123616607</v>
      </c>
      <c r="BA315" s="460">
        <f t="shared" si="885"/>
        <v>220.43399373928062</v>
      </c>
      <c r="BB315" s="5">
        <f t="shared" si="886"/>
        <v>8.8441139024382451</v>
      </c>
      <c r="BD315" s="173">
        <f t="shared" si="841"/>
        <v>5.3539748768346511</v>
      </c>
      <c r="BE315" s="173">
        <f t="shared" si="842"/>
        <v>12.463229155902402</v>
      </c>
      <c r="BG315" s="528">
        <f t="shared" si="843"/>
        <v>0.57330093963553241</v>
      </c>
      <c r="BH315" s="528">
        <f t="shared" si="795"/>
        <v>2.0582229638592002</v>
      </c>
      <c r="BI315" s="528">
        <f t="shared" si="796"/>
        <v>9.8437313081777666E-2</v>
      </c>
      <c r="BJ315" s="528">
        <f t="shared" si="844"/>
        <v>4.679969422571921E-2</v>
      </c>
      <c r="BK315">
        <f t="shared" si="845"/>
        <v>3.7986149722664335E-2</v>
      </c>
      <c r="BL315" s="460">
        <f t="shared" si="846"/>
        <v>136.42346280444201</v>
      </c>
      <c r="BM315" s="528">
        <f t="shared" si="797"/>
        <v>3.2798892385975384</v>
      </c>
      <c r="BN315" s="460">
        <f t="shared" si="847"/>
        <v>3279.8892385975382</v>
      </c>
      <c r="BO315" s="528">
        <f t="shared" si="798"/>
        <v>6.93</v>
      </c>
      <c r="BR315" s="460">
        <f t="shared" si="848"/>
        <v>6930</v>
      </c>
      <c r="BS315" s="528">
        <f t="shared" si="849"/>
        <v>0.85995140945329851</v>
      </c>
      <c r="BT315" s="528">
        <f t="shared" si="850"/>
        <v>4.6599624297760709</v>
      </c>
      <c r="BU315" s="528">
        <f t="shared" si="851"/>
        <v>1.9879379679970637</v>
      </c>
      <c r="BV315" s="528"/>
      <c r="BW315" s="528">
        <f t="shared" si="852"/>
        <v>2.5747749728223447E-2</v>
      </c>
      <c r="BX315" s="460">
        <f t="shared" si="853"/>
        <v>7533.5995569546567</v>
      </c>
      <c r="BY315" s="173">
        <f t="shared" si="854"/>
        <v>17.278346617479549</v>
      </c>
      <c r="BZ315" s="5">
        <f t="shared" si="855"/>
        <v>148.5</v>
      </c>
      <c r="CA315" s="173">
        <f t="shared" si="856"/>
        <v>0.89577440618738968</v>
      </c>
      <c r="CB315" s="5">
        <f t="shared" si="857"/>
        <v>89.577440618738962</v>
      </c>
      <c r="CE315" s="562">
        <f t="shared" si="799"/>
        <v>-50</v>
      </c>
      <c r="CF315">
        <f t="shared" si="800"/>
        <v>-50</v>
      </c>
      <c r="CG315" s="173">
        <f t="shared" si="801"/>
        <v>0.84422878857400063</v>
      </c>
      <c r="CI315" s="170">
        <v>99</v>
      </c>
      <c r="CJ315" s="217">
        <f t="shared" si="858"/>
        <v>9.9</v>
      </c>
      <c r="CK315" s="217"/>
      <c r="CL315" s="217">
        <f t="shared" si="802"/>
        <v>148.5</v>
      </c>
      <c r="CM315" s="541">
        <f t="shared" si="803"/>
        <v>85</v>
      </c>
      <c r="CN315" s="443">
        <f t="shared" si="804"/>
        <v>15.4</v>
      </c>
      <c r="CO315" s="443">
        <f t="shared" si="805"/>
        <v>100.4</v>
      </c>
      <c r="CP315" s="443"/>
      <c r="CQ315" s="217">
        <f t="shared" si="806"/>
        <v>0.15338645418326693</v>
      </c>
      <c r="CR315" s="172">
        <f t="shared" si="807"/>
        <v>327.33148655378488</v>
      </c>
      <c r="CS315" s="172">
        <f t="shared" si="808"/>
        <v>148.5</v>
      </c>
      <c r="CT315" s="217">
        <f t="shared" si="809"/>
        <v>21.822099103585661</v>
      </c>
      <c r="CU315" s="217">
        <f t="shared" si="810"/>
        <v>15</v>
      </c>
      <c r="CV315" s="217"/>
      <c r="CW315" s="172">
        <f t="shared" si="811"/>
        <v>129.90738615677023</v>
      </c>
      <c r="CX315" s="172">
        <f t="shared" si="812"/>
        <v>15</v>
      </c>
      <c r="CY315" s="217">
        <f t="shared" si="813"/>
        <v>22.77983193277311</v>
      </c>
      <c r="CZ315" s="217">
        <f t="shared" si="814"/>
        <v>3.2159762728620866</v>
      </c>
      <c r="DA315" s="217">
        <f t="shared" si="815"/>
        <v>17.750518389173852</v>
      </c>
      <c r="DB315" s="197">
        <f t="shared" si="816"/>
        <v>108.64873837981409</v>
      </c>
      <c r="DC315" s="443">
        <f t="shared" si="817"/>
        <v>47.695144854647609</v>
      </c>
      <c r="DE315" s="217">
        <f t="shared" si="818"/>
        <v>10</v>
      </c>
      <c r="DF315" s="173">
        <f t="shared" si="819"/>
        <v>7.7922077922077913</v>
      </c>
      <c r="DG315" s="173">
        <f t="shared" si="820"/>
        <v>4.2330677290836656</v>
      </c>
      <c r="DH315" s="173"/>
      <c r="DI315" s="173">
        <f t="shared" si="821"/>
        <v>7.7922077922077913</v>
      </c>
      <c r="DJ315" s="545">
        <f t="shared" si="822"/>
        <v>254.10000000000002</v>
      </c>
      <c r="DK315" s="528">
        <f t="shared" si="823"/>
        <v>4.2330677290836656</v>
      </c>
      <c r="DM315" s="173">
        <f t="shared" si="824"/>
        <v>8.5205633616563183</v>
      </c>
      <c r="DN315" s="173">
        <f t="shared" si="825"/>
        <v>22.77983193277311</v>
      </c>
      <c r="DO315" s="173">
        <f t="shared" si="826"/>
        <v>10.666542172424524</v>
      </c>
      <c r="DQ315" s="545">
        <f t="shared" si="827"/>
        <v>9900</v>
      </c>
      <c r="DR315" s="460">
        <f t="shared" si="828"/>
        <v>47.695144854647609</v>
      </c>
      <c r="DT315">
        <f t="shared" si="829"/>
        <v>9900</v>
      </c>
      <c r="DU315">
        <f t="shared" si="830"/>
        <v>47.695144854647609</v>
      </c>
      <c r="DW315" s="5">
        <f t="shared" si="859"/>
        <v>20.966494662035938</v>
      </c>
      <c r="DX315" s="5">
        <f t="shared" si="831"/>
        <v>3.2159762728620866</v>
      </c>
      <c r="DY315" s="5">
        <f t="shared" si="832"/>
        <v>17.750518389173852</v>
      </c>
      <c r="DZ315" s="5"/>
      <c r="EA315" s="173">
        <f t="shared" si="833"/>
        <v>0.15338645418326696</v>
      </c>
      <c r="EB315" s="173">
        <f t="shared" si="860"/>
        <v>148.5</v>
      </c>
      <c r="EC315" s="173">
        <f t="shared" si="861"/>
        <v>9.6428571428571423</v>
      </c>
      <c r="ED315" s="173">
        <f t="shared" si="862"/>
        <v>15.4</v>
      </c>
      <c r="EE315" s="460">
        <f t="shared" si="834"/>
        <v>212.25443400889773</v>
      </c>
      <c r="EF315" s="5">
        <f t="shared" si="835"/>
        <v>8.6142221594520159</v>
      </c>
      <c r="EH315" s="173">
        <f t="shared" si="863"/>
        <v>5.1509032461416142</v>
      </c>
      <c r="EI315" s="173">
        <f t="shared" si="864"/>
        <v>12.101313015978235</v>
      </c>
      <c r="EK315" s="528">
        <f t="shared" si="865"/>
        <v>0.53063608502224446</v>
      </c>
      <c r="EL315" s="528">
        <f t="shared" si="866"/>
        <v>2.1816666666666666</v>
      </c>
      <c r="EM315" s="528">
        <f t="shared" si="867"/>
        <v>5.9618931068309506E-3</v>
      </c>
      <c r="EN315" s="528">
        <f t="shared" si="868"/>
        <v>4.8077469135802471E-2</v>
      </c>
      <c r="EO315">
        <f t="shared" si="869"/>
        <v>3.8249999999999999E-2</v>
      </c>
      <c r="EP315" s="460">
        <f t="shared" si="870"/>
        <v>44.211893106830949</v>
      </c>
      <c r="EQ315" s="460"/>
      <c r="ER315" s="460">
        <f t="shared" si="871"/>
        <v>2804.5921139315446</v>
      </c>
      <c r="ES315" s="528">
        <f t="shared" si="872"/>
        <v>6.93</v>
      </c>
      <c r="EV315" s="460">
        <f t="shared" si="873"/>
        <v>6930</v>
      </c>
      <c r="EW315" s="528">
        <f t="shared" si="874"/>
        <v>0.79595412753336658</v>
      </c>
      <c r="EX315" s="528">
        <f t="shared" si="875"/>
        <v>4.3932533013205273</v>
      </c>
      <c r="EY315" s="528">
        <f t="shared" si="876"/>
        <v>1.9455021880180834</v>
      </c>
      <c r="EZ315" s="528"/>
      <c r="FA315" s="528">
        <f t="shared" si="877"/>
        <v>2.4750000000000001E-2</v>
      </c>
      <c r="FB315" s="460">
        <f t="shared" si="878"/>
        <v>7159.4596168719772</v>
      </c>
      <c r="FC315" s="173">
        <f t="shared" si="879"/>
        <v>16.894051730803522</v>
      </c>
      <c r="FD315" s="5">
        <f t="shared" si="880"/>
        <v>148.5</v>
      </c>
      <c r="FE315" s="173">
        <f t="shared" si="881"/>
        <v>0.89785574780947752</v>
      </c>
      <c r="FF315" s="5">
        <f t="shared" si="882"/>
        <v>89.785574780947755</v>
      </c>
      <c r="FI315" s="562">
        <f t="shared" si="836"/>
        <v>-50</v>
      </c>
      <c r="FJ315">
        <f t="shared" si="837"/>
        <v>-50</v>
      </c>
      <c r="FL315">
        <f t="shared" si="838"/>
        <v>0.84661354581673298</v>
      </c>
    </row>
    <row r="316" spans="5:168">
      <c r="E316" s="170">
        <v>100</v>
      </c>
      <c r="F316" s="217">
        <f>IF(PLOT_TYPE=1, E316/100*Iout_max, min_I*EXP(N316*rr/100))</f>
        <v>10</v>
      </c>
      <c r="G316" s="217"/>
      <c r="H316" s="217">
        <f>F316*Vout</f>
        <v>150</v>
      </c>
      <c r="I316" s="541">
        <f t="shared" si="765"/>
        <v>84.407760214664847</v>
      </c>
      <c r="J316" s="172">
        <f t="shared" si="766"/>
        <v>15.755343871201093</v>
      </c>
      <c r="K316" s="172">
        <f t="shared" si="767"/>
        <v>100.16310408586594</v>
      </c>
      <c r="L316" s="443"/>
      <c r="M316" s="217">
        <f t="shared" si="768"/>
        <v>0.15728854398932673</v>
      </c>
      <c r="N316" s="172">
        <f>M316*I316*(Isw_max+VIN_max/Lmag*ILIM_delay)*0.5*Efficiency</f>
        <v>333.31995734533763</v>
      </c>
      <c r="O316" s="172">
        <f t="shared" si="762"/>
        <v>150</v>
      </c>
      <c r="P316" s="217">
        <f>N316/Vout</f>
        <v>22.221330489689176</v>
      </c>
      <c r="Q316" s="217">
        <f t="shared" si="771"/>
        <v>15</v>
      </c>
      <c r="R316" s="217"/>
      <c r="S316" s="172">
        <f t="shared" si="772"/>
        <v>126.87691312957625</v>
      </c>
      <c r="T316" s="172">
        <f>MIN(Vout, S316)</f>
        <v>15</v>
      </c>
      <c r="U316" s="217">
        <f t="shared" si="774"/>
        <v>23.732915765353852</v>
      </c>
      <c r="V316" s="217">
        <f>L*U316/I316*1000000</f>
        <v>3.3740379848956881</v>
      </c>
      <c r="W316" s="217">
        <f t="shared" si="776"/>
        <v>18.076088437829515</v>
      </c>
      <c r="X316" s="197">
        <f t="shared" si="777"/>
        <v>110.64231183369697</v>
      </c>
      <c r="Y316" s="443">
        <f t="shared" si="840"/>
        <v>46.189106727355785</v>
      </c>
      <c r="AA316" s="217">
        <f t="shared" si="778"/>
        <v>10</v>
      </c>
      <c r="AB316" s="173">
        <f>L*AA316/J316*1000000</f>
        <v>7.6164634032105019</v>
      </c>
      <c r="AC316" s="173">
        <f>0.5*AB316*AA316*Nps*X316/1000</f>
        <v>4.2135155946397855</v>
      </c>
      <c r="AD316" s="173"/>
      <c r="AE316" s="173">
        <f t="shared" si="781"/>
        <v>7.6164634032105019</v>
      </c>
      <c r="AF316" s="545">
        <f>MAX(12000,F316/(0.5*AE316/1000000*Isw_min*Nps))/1000</f>
        <v>262.58906452001816</v>
      </c>
      <c r="AG316" s="528">
        <f t="shared" si="783"/>
        <v>4.2135155946397864</v>
      </c>
      <c r="AI316" s="173">
        <f t="shared" si="784"/>
        <v>8.6617230968046695</v>
      </c>
      <c r="AJ316" s="173">
        <f>MAX(IF(F316&gt;AC316,U316,AI316),Isw_min)</f>
        <v>23.732915765353852</v>
      </c>
      <c r="AK316" s="173">
        <f>IF(F316&gt;AG316, (AJ316-Isw_min)/1.08*0.8+1.2, AF316*0.2/350+1)</f>
        <v>11.372530196558408</v>
      </c>
      <c r="AM316" s="545">
        <f t="shared" si="787"/>
        <v>10000</v>
      </c>
      <c r="AN316" s="460">
        <f t="shared" si="788"/>
        <v>46.189106727355785</v>
      </c>
      <c r="AP316">
        <f t="shared" si="789"/>
        <v>10000</v>
      </c>
      <c r="AQ316">
        <f t="shared" si="790"/>
        <v>46.189106727355785</v>
      </c>
      <c r="AS316" s="5">
        <f t="shared" si="763"/>
        <v>21.650126422725204</v>
      </c>
      <c r="AT316" s="5">
        <f t="shared" si="791"/>
        <v>3.3740379848956881</v>
      </c>
      <c r="AU316" s="5">
        <f t="shared" si="883"/>
        <v>18.276088437829515</v>
      </c>
      <c r="AV316" s="5"/>
      <c r="AW316" s="173">
        <f>AT316/AS316</f>
        <v>0.15584380058649938</v>
      </c>
      <c r="AX316" s="173">
        <f t="shared" si="792"/>
        <v>156.09644388981326</v>
      </c>
      <c r="AY316" s="173">
        <f t="shared" si="793"/>
        <v>10.01714398674093</v>
      </c>
      <c r="AZ316" s="173">
        <f t="shared" si="794"/>
        <v>15.582929036103346</v>
      </c>
      <c r="BA316" s="460">
        <f t="shared" si="885"/>
        <v>224.93586565971253</v>
      </c>
      <c r="BB316" s="5">
        <f t="shared" si="886"/>
        <v>9.0217259997530519</v>
      </c>
      <c r="BD316" s="173">
        <f t="shared" si="841"/>
        <v>5.4092273580088657</v>
      </c>
      <c r="BE316" s="173">
        <f t="shared" si="842"/>
        <v>12.589308544600941</v>
      </c>
      <c r="BG316" s="528">
        <f t="shared" si="843"/>
        <v>0.58519481221263148</v>
      </c>
      <c r="BH316" s="528">
        <f t="shared" si="795"/>
        <v>2.0587314933393022</v>
      </c>
      <c r="BI316" s="528">
        <f t="shared" si="796"/>
        <v>9.7467976129305259E-2</v>
      </c>
      <c r="BJ316" s="528">
        <f t="shared" si="844"/>
        <v>4.6339902244566925E-2</v>
      </c>
      <c r="BK316">
        <f t="shared" si="845"/>
        <v>3.7983492096599181E-2</v>
      </c>
      <c r="BL316" s="460">
        <f t="shared" si="846"/>
        <v>135.45146822590442</v>
      </c>
      <c r="BM316" s="528">
        <f t="shared" si="797"/>
        <v>3.3082563351827972</v>
      </c>
      <c r="BN316" s="460">
        <f t="shared" si="847"/>
        <v>3308.2563351827971</v>
      </c>
      <c r="BO316" s="528">
        <f t="shared" si="798"/>
        <v>7</v>
      </c>
      <c r="BR316" s="460">
        <f t="shared" si="848"/>
        <v>7000</v>
      </c>
      <c r="BS316" s="528">
        <f t="shared" si="849"/>
        <v>0.87779221831894716</v>
      </c>
      <c r="BT316" s="528">
        <f t="shared" si="850"/>
        <v>4.7547206889348681</v>
      </c>
      <c r="BU316" s="528">
        <f t="shared" si="851"/>
        <v>1.9892833932478002</v>
      </c>
      <c r="BV316" s="528"/>
      <c r="BW316" s="528">
        <f t="shared" si="852"/>
        <v>2.6016073981635544E-2</v>
      </c>
      <c r="BX316" s="460">
        <f t="shared" si="853"/>
        <v>7647.812374483251</v>
      </c>
      <c r="BY316" s="173">
        <f t="shared" si="854"/>
        <v>17.473530050505655</v>
      </c>
      <c r="BZ316" s="5">
        <f t="shared" si="855"/>
        <v>150</v>
      </c>
      <c r="CA316" s="173">
        <f t="shared" si="856"/>
        <v>0.89566392942672146</v>
      </c>
      <c r="CB316" s="5">
        <f t="shared" si="857"/>
        <v>89.566392942672152</v>
      </c>
      <c r="CE316" s="562">
        <f t="shared" si="799"/>
        <v>-50</v>
      </c>
      <c r="CF316">
        <f t="shared" si="800"/>
        <v>-50</v>
      </c>
      <c r="CG316" s="173">
        <f t="shared" si="801"/>
        <v>0.84425263614642787</v>
      </c>
      <c r="CI316" s="170">
        <v>100</v>
      </c>
      <c r="CJ316" s="217">
        <f t="shared" si="858"/>
        <v>10</v>
      </c>
      <c r="CK316" s="217"/>
      <c r="CL316" s="217">
        <f t="shared" si="802"/>
        <v>150</v>
      </c>
      <c r="CM316" s="541">
        <f t="shared" si="803"/>
        <v>85</v>
      </c>
      <c r="CN316" s="443">
        <f t="shared" si="804"/>
        <v>15.4</v>
      </c>
      <c r="CO316" s="443">
        <f t="shared" si="805"/>
        <v>100.4</v>
      </c>
      <c r="CP316" s="443"/>
      <c r="CQ316" s="217">
        <f t="shared" si="806"/>
        <v>0.15338645418326693</v>
      </c>
      <c r="CR316" s="172">
        <f t="shared" si="807"/>
        <v>327.33148655378488</v>
      </c>
      <c r="CS316" s="172">
        <f t="shared" si="808"/>
        <v>150</v>
      </c>
      <c r="CT316" s="217">
        <f t="shared" si="809"/>
        <v>21.822099103585661</v>
      </c>
      <c r="CU316" s="217">
        <f t="shared" si="810"/>
        <v>15</v>
      </c>
      <c r="CV316" s="217"/>
      <c r="CW316" s="172">
        <f t="shared" si="811"/>
        <v>127.76528244896227</v>
      </c>
      <c r="CX316" s="172">
        <f t="shared" si="812"/>
        <v>15</v>
      </c>
      <c r="CY316" s="217">
        <f t="shared" si="813"/>
        <v>23.009931245225363</v>
      </c>
      <c r="CZ316" s="217">
        <f t="shared" si="814"/>
        <v>3.2484608816788749</v>
      </c>
      <c r="DA316" s="217">
        <f t="shared" si="815"/>
        <v>17.929816554721064</v>
      </c>
      <c r="DB316" s="197">
        <f t="shared" si="816"/>
        <v>108.64873837981409</v>
      </c>
      <c r="DC316" s="443">
        <f t="shared" si="817"/>
        <v>47.218193406101136</v>
      </c>
      <c r="DE316" s="217">
        <f t="shared" si="818"/>
        <v>10</v>
      </c>
      <c r="DF316" s="173">
        <f t="shared" si="819"/>
        <v>7.7922077922077913</v>
      </c>
      <c r="DG316" s="173">
        <f t="shared" si="820"/>
        <v>4.2330677290836656</v>
      </c>
      <c r="DH316" s="173"/>
      <c r="DI316" s="173">
        <f t="shared" si="821"/>
        <v>7.7922077922077913</v>
      </c>
      <c r="DJ316" s="545">
        <f t="shared" si="822"/>
        <v>256.66666666666669</v>
      </c>
      <c r="DK316" s="528">
        <f t="shared" si="823"/>
        <v>4.2330677290836656</v>
      </c>
      <c r="DM316" s="173">
        <f t="shared" si="824"/>
        <v>8.5634883857767541</v>
      </c>
      <c r="DN316" s="173">
        <f t="shared" si="825"/>
        <v>23.009931245225363</v>
      </c>
      <c r="DO316" s="173">
        <f t="shared" si="826"/>
        <v>10.836986107574344</v>
      </c>
      <c r="DQ316" s="545">
        <f t="shared" si="827"/>
        <v>10000</v>
      </c>
      <c r="DR316" s="460">
        <f t="shared" si="828"/>
        <v>47.218193406101136</v>
      </c>
      <c r="DT316">
        <f t="shared" si="829"/>
        <v>10000</v>
      </c>
      <c r="DU316">
        <f t="shared" si="830"/>
        <v>47.218193406101136</v>
      </c>
      <c r="DW316" s="5">
        <f t="shared" si="859"/>
        <v>21.178277436399934</v>
      </c>
      <c r="DX316" s="5">
        <f t="shared" si="831"/>
        <v>3.2484608816788749</v>
      </c>
      <c r="DY316" s="5">
        <f t="shared" si="832"/>
        <v>17.929816554721061</v>
      </c>
      <c r="DZ316" s="5"/>
      <c r="EA316" s="173">
        <f t="shared" si="833"/>
        <v>0.15338645418326696</v>
      </c>
      <c r="EB316" s="173">
        <f t="shared" si="860"/>
        <v>150.00000000000003</v>
      </c>
      <c r="EC316" s="173">
        <f t="shared" si="861"/>
        <v>9.7402597402597397</v>
      </c>
      <c r="ED316" s="173">
        <f t="shared" si="862"/>
        <v>15.400000000000004</v>
      </c>
      <c r="EE316" s="460">
        <f t="shared" si="834"/>
        <v>216.56405877859166</v>
      </c>
      <c r="EF316" s="5">
        <f t="shared" si="835"/>
        <v>8.7891257621181662</v>
      </c>
      <c r="EH316" s="173">
        <f t="shared" si="863"/>
        <v>5.2029325718602166</v>
      </c>
      <c r="EI316" s="173">
        <f t="shared" si="864"/>
        <v>12.223548500988116</v>
      </c>
      <c r="EK316" s="528">
        <f t="shared" si="865"/>
        <v>0.54141014694647938</v>
      </c>
      <c r="EL316" s="528">
        <f t="shared" si="866"/>
        <v>2.1816666666666671</v>
      </c>
      <c r="EM316" s="528">
        <f t="shared" si="867"/>
        <v>5.9022741757626413E-3</v>
      </c>
      <c r="EN316" s="528">
        <f t="shared" si="868"/>
        <v>4.7596694444444448E-2</v>
      </c>
      <c r="EO316">
        <f t="shared" si="869"/>
        <v>3.8249999999999999E-2</v>
      </c>
      <c r="EP316" s="460">
        <f t="shared" si="870"/>
        <v>44.152274175762642</v>
      </c>
      <c r="EQ316" s="460"/>
      <c r="ER316" s="460">
        <f t="shared" si="871"/>
        <v>2814.8257822333539</v>
      </c>
      <c r="ES316" s="528">
        <f t="shared" si="872"/>
        <v>7</v>
      </c>
      <c r="EV316" s="460">
        <f t="shared" si="873"/>
        <v>7000</v>
      </c>
      <c r="EW316" s="528">
        <f t="shared" si="874"/>
        <v>0.81211522041971895</v>
      </c>
      <c r="EX316" s="528">
        <f t="shared" si="875"/>
        <v>4.4824541386802643</v>
      </c>
      <c r="EY316" s="528">
        <f t="shared" si="876"/>
        <v>1.9455021880180849</v>
      </c>
      <c r="EZ316" s="528"/>
      <c r="FA316" s="528">
        <f t="shared" si="877"/>
        <v>2.5000000000000005E-2</v>
      </c>
      <c r="FB316" s="460">
        <f t="shared" si="878"/>
        <v>7265.0715471180692</v>
      </c>
      <c r="FC316" s="173">
        <f t="shared" si="879"/>
        <v>17.079897329351422</v>
      </c>
      <c r="FD316" s="5">
        <f t="shared" si="880"/>
        <v>150</v>
      </c>
      <c r="FE316" s="173">
        <f t="shared" si="881"/>
        <v>0.89777407334837445</v>
      </c>
      <c r="FF316" s="5">
        <f t="shared" si="882"/>
        <v>89.777407334837449</v>
      </c>
      <c r="FI316" s="562">
        <f t="shared" si="836"/>
        <v>-50</v>
      </c>
      <c r="FJ316">
        <f t="shared" si="837"/>
        <v>-50</v>
      </c>
      <c r="FL316">
        <f t="shared" si="838"/>
        <v>0.84661354581673298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5.0000000000000001E-4</v>
      </c>
      <c r="G322" s="884">
        <f>F322*Vout</f>
        <v>7.4999999999999997E-3</v>
      </c>
    </row>
    <row r="323" spans="5:165">
      <c r="E323" t="s">
        <v>907</v>
      </c>
    </row>
    <row r="324" spans="5:165">
      <c r="F324" t="s">
        <v>908</v>
      </c>
      <c r="G324" t="s">
        <v>909</v>
      </c>
      <c r="H324" t="s">
        <v>910</v>
      </c>
      <c r="I324" s="76" t="s">
        <v>660</v>
      </c>
    </row>
    <row r="325" spans="5:165">
      <c r="F325" s="885">
        <v>1.9999999999999999E-7</v>
      </c>
      <c r="G325">
        <f>VIN_max</f>
        <v>85</v>
      </c>
      <c r="H325">
        <f>15000</f>
        <v>15000</v>
      </c>
      <c r="I325">
        <f>L*0.9</f>
        <v>1.08E-5</v>
      </c>
    </row>
    <row r="326" spans="5:165">
      <c r="G326" s="76" t="s">
        <v>911</v>
      </c>
    </row>
    <row r="327" spans="5:165">
      <c r="G327" s="884">
        <f>0.5*(G325/I325*F325)^2*H325*I325</f>
        <v>0.2006944444444444</v>
      </c>
    </row>
    <row r="328" spans="5:165">
      <c r="E328" s="76" t="s">
        <v>912</v>
      </c>
    </row>
    <row r="329" spans="5:165">
      <c r="G329" t="str">
        <f>IF(G327&gt;G322, "Yes", "No")</f>
        <v>Yes</v>
      </c>
      <c r="H329">
        <f>(Vout*1.05)^2/(G327-G322)</f>
        <v>1284.0043134435662</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FM329"/>
  <sheetViews>
    <sheetView topLeftCell="A6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150</v>
      </c>
      <c r="EA2">
        <f>Vout_ripple</f>
        <v>150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1.5000000000000002E-8</v>
      </c>
      <c r="I5" s="217">
        <f>G5*Vout2</f>
        <v>8.0000000000000005E-9</v>
      </c>
      <c r="J5" s="541">
        <f t="shared" ref="J5:J36" si="1">Vin-(F5/CG5/Nps+G5/CH5/(Nps/Nsec1sec2))*(Rdcr_pri+RON/1000)</f>
        <v>71.999977924771713</v>
      </c>
      <c r="K5" s="443">
        <f t="shared" ref="K5:K36" si="2">MAX((S5+Vfwd2+Rdcr_sec*F5/CG5)*Nps,(Vout2+Vfwd22+Rdcr_sec2*G5/CH5)*Nps/Nsec1sec2)</f>
        <v>15.700007599342076</v>
      </c>
      <c r="L5" s="172">
        <f t="shared" ref="L5:L36" si="3">MAX((Vout+Vfwd2+F5/CG5*Rdcr_sec)*Nps+J5, (Vout2+Vfwd22+G5/CH5*Rdcr_sec2)*Nps/Nsec1sec2+J5)</f>
        <v>87.699985524113785</v>
      </c>
      <c r="M5" s="443"/>
      <c r="N5" s="217">
        <f t="shared" ref="N5:N36" si="4">MAX((Vout+Vfwd2+F5/CG5*Rdcr_sec)*Nps/((Vout+Vfwd2+F5/CG5*Rdcr_sec)*Nps+J5), (Vout2+Vfwd22+G5/CH5*Rdcr_sec2)*Nps/Nsec1sec2/((Vout2+Vfwd22+G5/CH5*Rdcr_sec2)*Nps/Nsec1sec2+J5))</f>
        <v>0.17901950046531351</v>
      </c>
      <c r="O5" s="172">
        <f>N5*J5*Isw_max*0.5*Efficiency*(Pout/Pout_total)</f>
        <v>322.23500204015579</v>
      </c>
      <c r="P5" s="172">
        <f t="shared" ref="P5:P36" si="5">N5*J5*Isw_max*0.5*Efficiency*(Pout2/Pout_total)</f>
        <v>4.2964666938687444</v>
      </c>
      <c r="Q5" s="217">
        <f t="shared" ref="Q5:Q68" si="6">O5/Vout</f>
        <v>21.482333469343718</v>
      </c>
      <c r="R5" s="217">
        <f t="shared" ref="R5:R36" si="7">O5/Vout2</f>
        <v>40.279375255019474</v>
      </c>
      <c r="S5" s="443">
        <f t="shared" ref="S5:S36" si="8">MIN(Vout,O5/F5)</f>
        <v>15</v>
      </c>
      <c r="T5" s="217">
        <f t="shared" ref="T5:T36" si="9">MIN(2*(Vout*F5+Vout2*G5)/(Efficiency*J5*N5), Isw_max)</f>
        <v>3.5688239723153697E-9</v>
      </c>
      <c r="U5" s="217">
        <f t="shared" ref="U5:U68" si="10">L*T5/J5*1000000</f>
        <v>5.9480417775308966E-10</v>
      </c>
      <c r="V5" s="217">
        <f t="shared" ref="V5:V68" si="11">L*T5/K5*1000000</f>
        <v>2.7277622253876553E-9</v>
      </c>
      <c r="W5" s="197">
        <f t="shared" ref="W5:W68" si="12">IF(1/((350000*L)*(1/J5+1/K5))&gt;Isw_min, 350, 0.001/((Isw_min*L)*(1/J5+1/K5)))</f>
        <v>107.4116673467186</v>
      </c>
      <c r="X5" s="443">
        <f>MIN(1/(U5+V5+0.2)*1000, 350)</f>
        <v>350</v>
      </c>
      <c r="Z5" s="217">
        <f t="shared" ref="Z5:Z68" si="13">1/((W5*1000*L)*(1/J5+1/K5))</f>
        <v>10</v>
      </c>
      <c r="AA5" s="173">
        <f t="shared" ref="AA5:AA68" si="14">L*Z5/K5*1000000</f>
        <v>7.6433084022856592</v>
      </c>
      <c r="AB5" s="173">
        <f t="shared" ref="AB5:AB36" si="15">0.5*AA5*Z5*Nps*W5/1000*(Pout/Pout_total)</f>
        <v>4.1049024976734323</v>
      </c>
      <c r="AC5" s="173"/>
      <c r="AD5" s="173">
        <f t="shared" ref="AD5:AD68" si="16">L*Isw_min/K5*1000000</f>
        <v>7.6433084022856592</v>
      </c>
      <c r="AE5" s="545">
        <f t="shared" ref="AE5:AE36" si="17">MAX(10, F5/(0.5*AD5/1000000*Isw_min*Nps)/1000*Pout_total/Pout)</f>
        <v>10</v>
      </c>
      <c r="AF5" s="528">
        <f t="shared" ref="AF5:AF36" si="18">0.5*AD5/1000000*Isw_min*Nps*W5*1000*(Pout/Pout_total)</f>
        <v>4.1049024976734323</v>
      </c>
      <c r="AH5" s="173">
        <f t="shared" ref="AH5:AH36" si="19">SQRT((H5+I5)/(0.5*L*Fsw_DCM))</f>
        <v>1.0465362369445672E-4</v>
      </c>
      <c r="AI5" s="173">
        <f t="shared" ref="AI5:AI36" si="20">MAX(IF(F5&gt;AB5,T5,AH5),Isw_min)</f>
        <v>10</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1.6666671776674782</v>
      </c>
      <c r="AT5" s="5">
        <f>AR5-AS5</f>
        <v>98.333332822332522</v>
      </c>
      <c r="AU5" s="173">
        <f>AS5/AR5</f>
        <v>1.6666671776674781E-2</v>
      </c>
      <c r="AW5" s="5">
        <f t="shared" ref="AW5:AW36" si="26">F5*AS5/Vout_ripple*1000</f>
        <v>1.1111114517783188E-8</v>
      </c>
      <c r="AX5" s="5">
        <f t="shared" ref="AX5:AX36" si="27">G5*AS5/Vout_ripple2*1000</f>
        <v>2.0833339720843478E-8</v>
      </c>
      <c r="AY5" s="5">
        <f t="shared" ref="AY5:AY68" si="28">H5/Efficiency/J5*AT5/Vinripple1</f>
        <v>5.6905881349178386E-9</v>
      </c>
      <c r="AZ5" s="5"/>
      <c r="BA5" s="173">
        <f>AI5*SQRT(AU5/3)</f>
        <v>0.74535610676317632</v>
      </c>
      <c r="BB5" s="173">
        <f t="shared" ref="BB5:BB36" si="29">AI5*Npri_sec1*SQRT((1-AU5)/3)*(Pout/Pout_total)</f>
        <v>5.725187997563415</v>
      </c>
      <c r="BC5" s="173">
        <f t="shared" ref="BC5:BC36" si="30">AI5*Npri_sec2*SQRT((1-AU5)/3)*(Pout2/Pout_total)</f>
        <v>0.14099678676352254</v>
      </c>
      <c r="BD5" s="173"/>
      <c r="BE5" s="528">
        <f t="shared" ref="BE5:BE68" si="31">Rdson*BA5^2</f>
        <v>1.111111451778319E-2</v>
      </c>
      <c r="BF5" s="528">
        <f t="shared" ref="BF5:BF36" si="32">0.5*L5*AI5*AM5*1000*Tfall</f>
        <v>0.16443747285771332</v>
      </c>
      <c r="BG5" s="528">
        <f t="shared" ref="BG5:BG36" si="33">Qg*Vdd*AM5*1000*0+Qg*J5*AM5*1000</f>
        <v>1.7999994481192928E-2</v>
      </c>
      <c r="BH5" s="528">
        <f t="shared" ref="BH5:BH68" si="34">0.5*(Coss+Csw)*L5^2*AM5*1000</f>
        <v>7.6912874609297681E-3</v>
      </c>
      <c r="BI5">
        <f t="shared" ref="BI5:BI68" si="35">J5*IQ</f>
        <v>3.2399990066147272E-2</v>
      </c>
      <c r="BJ5" s="460">
        <f>(BG5+BI5)*1000</f>
        <v>50.399984547340196</v>
      </c>
      <c r="BK5">
        <f t="shared" ref="BK5:BK36" si="36">(BF5+BG5*0+BH5+BI5*0+BE5*(1+RdsonTC*(Ta-25)))/(1-BE5*RdsonTC*ThetaJA)</f>
        <v>0.18673285063304526</v>
      </c>
      <c r="BL5" s="460">
        <f>BK5*1000</f>
        <v>186.73285063304527</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1.6666671776674784E-2</v>
      </c>
      <c r="BS5" s="528">
        <f>Rdcr_sec*BB5^2</f>
        <v>0.98333332822332553</v>
      </c>
      <c r="BT5" s="528">
        <f t="shared" ref="BT5:BT36" si="40">Rdcr_sec2*BC5^2</f>
        <v>9.9400469388191229E-5</v>
      </c>
      <c r="BU5" s="528">
        <f t="shared" ref="BU5:BU68" si="41">AI5^2.5*AM5^2.5*k_core</f>
        <v>5.0000000000000096E-3</v>
      </c>
      <c r="BV5" s="528">
        <f t="shared" ref="BV5:BV36" si="42">(BU5+(BR5+BS5+BT5)*(1+Ltc*(Ta-25)))/(1-(BR5+BS5+BT5)*Ltc*ThetaCa)</f>
        <v>1.3534065423061827</v>
      </c>
      <c r="BW5" s="625">
        <f t="shared" ref="BW5:BW36" si="43">0.5*Lleak*0.000000001*AI5^2*AM5*1000</f>
        <v>1.0000000000000002E-3</v>
      </c>
      <c r="BX5" s="460">
        <f>(BV5+BW5)*1000</f>
        <v>1354.4065423061827</v>
      </c>
      <c r="BY5" s="173">
        <f>SUM(BK5,BM5:BP5,BV5:BW5)</f>
        <v>1.5411393940042279</v>
      </c>
      <c r="BZ5" s="5">
        <f>MIN(H5+I5,O5+P5)</f>
        <v>2.3000000000000001E-8</v>
      </c>
      <c r="CA5" s="173">
        <f>BZ5/(BZ5+BY5)</f>
        <v>1.4924022931493748E-8</v>
      </c>
      <c r="CB5" s="5">
        <f>CA5*100</f>
        <v>1.4924022931493747E-6</v>
      </c>
      <c r="CC5">
        <v>0</v>
      </c>
      <c r="CE5" s="562">
        <f t="shared" ref="CE5:CE36" si="44">IF(ABS(F5-Ioutmax_Vinnom)&lt;Iout/200, AM5, -50)</f>
        <v>-50</v>
      </c>
      <c r="CF5">
        <f t="shared" ref="CF5:CF36" si="45">IF(ABS(F5-Ioutmax_Vinnom)&lt;Iout/200, (O5+P5)*CA5, -50)</f>
        <v>-50</v>
      </c>
      <c r="CG5" s="173">
        <f t="shared" ref="CG5:CG36" si="46">MIN(SQRT(2*DT5*1000*Ls1_*(CL5+CJ5*Vfwd1))/(CW5+Vfwd1), 1-DY5)</f>
        <v>3.947710169758614E-6</v>
      </c>
      <c r="CH5" s="173">
        <f t="shared" ref="CH5:CH36" si="47">MIN(SQRT(2*DT5*1000*Ls2_*(CM5+CK5*Vfwd22))/(Vout2+Vfwd22), 1-DY5)</f>
        <v>2.8768381632194177E-6</v>
      </c>
      <c r="CI5" s="170">
        <v>0.1</v>
      </c>
      <c r="CJ5" s="217">
        <v>1.0000000000000001E-9</v>
      </c>
      <c r="CK5" s="217">
        <v>1.0000000000000001E-9</v>
      </c>
      <c r="CL5" s="217">
        <f t="shared" ref="CL5:CL68" si="48">CJ5*Vout</f>
        <v>1.5000000000000002E-8</v>
      </c>
      <c r="CM5" s="217">
        <f>CK5*Vout2</f>
        <v>8.0000000000000005E-9</v>
      </c>
      <c r="CN5" s="541">
        <f>Vin</f>
        <v>72</v>
      </c>
      <c r="CO5" s="443">
        <f t="shared" ref="CO5:CO36" si="49">(CW5+Vfwd2)*Nps</f>
        <v>15.7</v>
      </c>
      <c r="CP5" s="443">
        <f t="shared" ref="CP5:CP36" si="50">(Vout+Vfwd2)*Nps+CN5</f>
        <v>87.7</v>
      </c>
      <c r="CQ5" s="443"/>
      <c r="CR5" s="217">
        <f>(Vout+Vfwd2)*Nps/((Vout+Vfwd2)*Nps+CN5)</f>
        <v>0.17901938426453817</v>
      </c>
      <c r="CS5" s="172">
        <f>CR5*CN5*Isw_max*0.5*Efficiency*(Pout/Pout_total)</f>
        <v>322.23489167616873</v>
      </c>
      <c r="CT5" s="172">
        <f t="shared" ref="CT5:CT68" si="51">CR5*CN5*Isw_max*0.5*Efficiency*(Pout2/Pout_total)</f>
        <v>4.2964652223489166</v>
      </c>
      <c r="CU5" s="217">
        <f t="shared" ref="CU5:CU68" si="52">CS5/Vout</f>
        <v>21.48232611174458</v>
      </c>
      <c r="CV5" s="217">
        <f t="shared" ref="CV5:CV68" si="53">CS5/Vout2</f>
        <v>40.279361459521091</v>
      </c>
      <c r="CW5" s="443">
        <f t="shared" ref="CW5:CW68" si="54">MIN(Vout,CS5/CJ5)</f>
        <v>15</v>
      </c>
      <c r="CX5" s="217">
        <f t="shared" ref="CX5:CX68" si="55">MIN(2*(Vout*CJ5+Vout2*CK5)/(Efficiency*CN5*CR5), Isw_max)</f>
        <v>3.5688251946213736E-9</v>
      </c>
      <c r="CY5" s="217">
        <f t="shared" ref="CY5:CY68" si="56">L*CX5/CN5*1000000</f>
        <v>5.9480419910356229E-10</v>
      </c>
      <c r="CZ5" s="217">
        <f t="shared" ref="CZ5:CZ68" si="57">L*CX5/CO5*1000000</f>
        <v>2.727764479965381E-9</v>
      </c>
      <c r="DA5" s="197">
        <f t="shared" ref="DA5:DA68" si="58">IF(1/((350000*L)*(1/CN5+1/CO5))&gt;Isw_min, 350, 0.001/((Isw_min*L)*(1/CN5+1/CO5)))</f>
        <v>107.41163055872293</v>
      </c>
      <c r="DB5" s="443">
        <f>MIN(1/(CY5+CZ5)*1000, 350)</f>
        <v>350</v>
      </c>
      <c r="DD5" s="217">
        <f t="shared" ref="DD5:DD68" si="59">1/((DA5*1000*L)*(1/CN5+1/CO5))</f>
        <v>10</v>
      </c>
      <c r="DE5" s="173">
        <f t="shared" ref="DE5:DE68" si="60">L*DD5/CO5*1000000</f>
        <v>7.6433121019108281</v>
      </c>
      <c r="DF5" s="173">
        <f t="shared" ref="DF5:DF68" si="61">0.5*DE5*DD5*Nps*DA5/1000*(Pout/Pout_total)</f>
        <v>4.1049030786773102</v>
      </c>
      <c r="DG5" s="173"/>
      <c r="DH5" s="173">
        <f t="shared" ref="DH5:DH68" si="62">L*Isw_min/CO5*1000000</f>
        <v>7.6433121019108281</v>
      </c>
      <c r="DI5" s="545">
        <f t="shared" ref="DI5:DI68" si="63">MAX(10, CJ5/(0.5*DH5/1000000*Isw_min*Nps)/1000*Pout_total/Pout)</f>
        <v>10</v>
      </c>
      <c r="DJ5" s="528">
        <f t="shared" ref="DJ5:DJ68" si="64">0.5*DH5/1000000*Isw_min*Nps*DA5*1000*(Pout/Pout_total)</f>
        <v>4.1049030786773093</v>
      </c>
      <c r="DL5" s="173">
        <f t="shared" ref="DL5:DL68" si="65">SQRT((CL5+CM5)/(0.5*L*Fsw_DCM))</f>
        <v>1.0465362369445672E-4</v>
      </c>
      <c r="DM5" s="173">
        <f t="shared" ref="DM5:DM68" si="66">MAX(IF(CJ5&gt;DF5,CX5,DL5),Isw_min)</f>
        <v>10</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1.6666666666666667</v>
      </c>
      <c r="DX5" s="5">
        <f>DV5-DW5</f>
        <v>98.333333333333329</v>
      </c>
      <c r="DY5" s="173">
        <f>DW5/DV5</f>
        <v>1.6666666666666666E-2</v>
      </c>
      <c r="EA5" s="5">
        <f t="shared" ref="EA5:EA68" si="72">CJ5*DW5/Vout_ripple*1000</f>
        <v>1.1111111111111112E-8</v>
      </c>
      <c r="EB5" s="5">
        <f t="shared" ref="EB5:EB68" si="73">CK5*DW5/Vout_ripple2*1000</f>
        <v>2.0833333333333335E-8</v>
      </c>
      <c r="EC5" s="5">
        <f t="shared" ref="EC5:EC68" si="74">CL5/Efficiency/CN5*DX5/Vinripple1</f>
        <v>5.6905864197530871E-9</v>
      </c>
      <c r="ED5" s="5"/>
      <c r="EE5" s="173">
        <f>DM5*SQRT(DY5/3)</f>
        <v>0.7453559924999299</v>
      </c>
      <c r="EF5" s="173">
        <f t="shared" ref="EF5:EF68" si="75">DM5*Npri_sec1*SQRT((1-DY5)/3)*(Pout/Pout_total)</f>
        <v>5.7251880124392232</v>
      </c>
      <c r="EG5" s="173">
        <f t="shared" ref="EG5:EG68" si="76">DM5*Npri_sec2*SQRT((1-DY5)/3)*(Pout2/Pout_total)</f>
        <v>0.14099678712987579</v>
      </c>
      <c r="EH5" s="173"/>
      <c r="EI5" s="528">
        <f t="shared" ref="EI5:EI68" si="77">Rdson*EE5^2</f>
        <v>1.1111111111111112E-2</v>
      </c>
      <c r="EJ5" s="528">
        <f t="shared" ref="EJ5:EJ68" si="78">0.5*CP5*DM5*DQ5*1000*Trise</f>
        <v>0.1754</v>
      </c>
      <c r="EK5" s="528">
        <f t="shared" ref="EK5:EK68" si="79">Qg*Vdd*DQ5*1000</f>
        <v>1.2499999999999998E-3</v>
      </c>
      <c r="EL5" s="528">
        <f t="shared" ref="EL5:EL68" si="80">0.5*(Coss+Csw)*CP5^2*DQ5*1000</f>
        <v>7.6912900000000017E-3</v>
      </c>
      <c r="EM5">
        <f t="shared" ref="EM5:EM68" si="81">CN5*IQ</f>
        <v>3.2399999999999998E-2</v>
      </c>
      <c r="EN5" s="460">
        <f>(EK5+EM5)*1000</f>
        <v>33.65</v>
      </c>
      <c r="EO5">
        <f t="shared" ref="EO5:EO68" si="82">(EJ5+EK5+EL5+EM5+EI5*(1+RdsonTC*(Ta-25)))/(1-EI5*RdsonTC*ThetaJA)</f>
        <v>0.23146346465780768</v>
      </c>
      <c r="EP5" s="460">
        <f>EO5*1000</f>
        <v>231.46346465780769</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1.6666666666666666E-2</v>
      </c>
      <c r="EW5" s="528">
        <f>Rdcr_sec*EF5^2</f>
        <v>0.9833333333333335</v>
      </c>
      <c r="EX5" s="528">
        <f t="shared" ref="EX5:EX68" si="86">Rdcr_sec2*EG5^2</f>
        <v>9.9400469904737534E-5</v>
      </c>
      <c r="EY5" s="528">
        <f t="shared" ref="EY5:EY68" si="87">DM5^2.5*DQ5^2.5*k_core</f>
        <v>5.0000000000000096E-3</v>
      </c>
      <c r="EZ5" s="528">
        <f t="shared" ref="EZ5:EZ68" si="88">(EY5+(EV5+EW5+EX5)*(1+Ltc*(Ta-25)))/(1-(EV5+EW5+EX5)*Ltc*ThetaCa)</f>
        <v>1.3534065423069395</v>
      </c>
      <c r="FA5" s="625">
        <f t="shared" ref="FA5:FA68" si="89">0.5*Lleak*0.000000001*DM5^2*DQ5*1000</f>
        <v>1.0000000000000002E-3</v>
      </c>
      <c r="FB5" s="460">
        <f>(EZ5+FA5)*1000</f>
        <v>1354.4065423069394</v>
      </c>
      <c r="FC5" s="173">
        <f>SUM(EO5,EQ5:ET5,EZ5:FA5)</f>
        <v>1.585870008029747</v>
      </c>
      <c r="FD5" s="5">
        <f>MIN(CL5+CM5,CS5+CT5)</f>
        <v>2.3000000000000001E-8</v>
      </c>
      <c r="FE5" s="173">
        <f>FD5/(FD5+FC5)</f>
        <v>1.4503080044375073E-8</v>
      </c>
      <c r="FF5" s="5">
        <f>FE5*100</f>
        <v>1.4503080044375073E-6</v>
      </c>
      <c r="FG5">
        <v>0</v>
      </c>
      <c r="FI5" s="562">
        <f t="shared" ref="FI5:FI68" si="90">IF(ABS(CJ5-Ioutmax_Vinnom)&lt;Iout/200, DQ5, -50)</f>
        <v>-50</v>
      </c>
      <c r="FJ5">
        <f t="shared" ref="FJ5:FJ68" si="91">IF(ABS(CJ5-Ioutmax_Vinnom)&lt;Iout/200, (CS5+CT5)*FE5, -50)</f>
        <v>-50</v>
      </c>
      <c r="FL5">
        <f t="shared" ref="FL5:FL68" si="92">MIN(SQRT(2*DQ5*1000*L*CJ5*(Vout+Vfwd1))/(Nps*(Vout+Vfwd1)),1-DY5)</f>
        <v>3.947710169758614E-6</v>
      </c>
      <c r="FM5">
        <f>MIN(,)</f>
        <v>0</v>
      </c>
    </row>
    <row r="6" spans="2:169">
      <c r="E6" s="170">
        <v>1</v>
      </c>
      <c r="F6" s="217">
        <f>IF(PLOT_TYPE=1, E6/100*Iout, min_I*EXP(O6*rr/100))</f>
        <v>0.1</v>
      </c>
      <c r="G6" s="217">
        <f t="shared" ref="G6:G37" si="93">IF(PLOT_TYPE=1, E6/100*Iout2, min_I*EXP(Q6*rr/100))</f>
        <v>2.5000000000000001E-3</v>
      </c>
      <c r="H6" s="217">
        <f t="shared" si="0"/>
        <v>1.5</v>
      </c>
      <c r="I6" s="217">
        <f>G6*Vout2</f>
        <v>0.02</v>
      </c>
      <c r="J6" s="541">
        <f t="shared" si="1"/>
        <v>71.858466322827454</v>
      </c>
      <c r="K6" s="443">
        <f t="shared" si="2"/>
        <v>15.775993420767852</v>
      </c>
      <c r="L6" s="172">
        <f t="shared" si="3"/>
        <v>87.634459743595301</v>
      </c>
      <c r="M6" s="443"/>
      <c r="N6" s="217">
        <f t="shared" si="4"/>
        <v>0.18002043336520746</v>
      </c>
      <c r="O6" s="172">
        <f t="shared" ref="O6:O37" si="94">N6*J6*Isw_max*0.5*Efficiency*Pout/(Pout+Pout2)</f>
        <v>319.14454560183958</v>
      </c>
      <c r="P6" s="172">
        <f t="shared" si="5"/>
        <v>4.311997416131522</v>
      </c>
      <c r="Q6" s="217">
        <f t="shared" si="6"/>
        <v>21.276303040122638</v>
      </c>
      <c r="R6" s="217">
        <f t="shared" si="7"/>
        <v>39.893068200229948</v>
      </c>
      <c r="S6" s="443">
        <f t="shared" si="8"/>
        <v>15</v>
      </c>
      <c r="T6" s="217">
        <f t="shared" si="9"/>
        <v>0.23500323296632175</v>
      </c>
      <c r="U6" s="217">
        <f t="shared" si="10"/>
        <v>3.9244349899240923E-2</v>
      </c>
      <c r="V6" s="217">
        <f t="shared" si="11"/>
        <v>0.17875506919795631</v>
      </c>
      <c r="W6" s="197">
        <f t="shared" si="12"/>
        <v>107.79993540328802</v>
      </c>
      <c r="X6" s="443">
        <f t="shared" ref="X6:X69" si="95">MIN(1/(U6+V6+0.2)*1000, 350)</f>
        <v>350</v>
      </c>
      <c r="Z6" s="217">
        <f t="shared" si="13"/>
        <v>9.9999999999999982</v>
      </c>
      <c r="AA6" s="173">
        <f t="shared" si="14"/>
        <v>7.6064940444276194</v>
      </c>
      <c r="AB6" s="173">
        <f t="shared" si="15"/>
        <v>4.0998978331739613</v>
      </c>
      <c r="AC6" s="173"/>
      <c r="AD6" s="173">
        <f t="shared" si="16"/>
        <v>7.6064940444276212</v>
      </c>
      <c r="AE6" s="545">
        <f t="shared" si="17"/>
        <v>10</v>
      </c>
      <c r="AF6" s="528">
        <f t="shared" si="18"/>
        <v>4.0998978331739631</v>
      </c>
      <c r="AH6" s="173">
        <f t="shared" si="19"/>
        <v>0.85076995939532551</v>
      </c>
      <c r="AI6" s="173">
        <f t="shared" si="20"/>
        <v>10</v>
      </c>
      <c r="AJ6" s="173">
        <f t="shared" si="21"/>
        <v>1.0057142857142858</v>
      </c>
      <c r="AL6" s="545">
        <f t="shared" si="22"/>
        <v>100</v>
      </c>
      <c r="AM6" s="460">
        <f t="shared" si="23"/>
        <v>10</v>
      </c>
      <c r="AO6">
        <f t="shared" ref="AO6:AO69" si="96">IF(H6&gt;O6, "",AL6)</f>
        <v>100</v>
      </c>
      <c r="AP6" s="460">
        <f t="shared" si="24"/>
        <v>10</v>
      </c>
      <c r="AQ6" s="460"/>
      <c r="AR6" s="5">
        <f t="shared" ref="AR6:AR69" si="97">1/AM6*1000</f>
        <v>100</v>
      </c>
      <c r="AS6" s="5">
        <f t="shared" si="25"/>
        <v>1.6699493621377126</v>
      </c>
      <c r="AT6" s="5">
        <f t="shared" ref="AT6:AT69" si="98">AR6-AS6</f>
        <v>98.330050637862286</v>
      </c>
      <c r="AU6" s="173">
        <f t="shared" ref="AU6:AU69" si="99">AS6/AR6</f>
        <v>1.6699493621377126E-2</v>
      </c>
      <c r="AW6" s="5">
        <f t="shared" si="26"/>
        <v>1.1132995747584751</v>
      </c>
      <c r="AX6" s="5">
        <f t="shared" si="27"/>
        <v>5.2185917566803519E-2</v>
      </c>
      <c r="AY6" s="5">
        <f t="shared" si="28"/>
        <v>0.57016043521412196</v>
      </c>
      <c r="AZ6" s="5"/>
      <c r="BA6" s="173">
        <f t="shared" ref="BA6:BA69" si="100">AI6*SQRT(AU6/3)</f>
        <v>0.7460896644366799</v>
      </c>
      <c r="BB6" s="173">
        <f t="shared" si="29"/>
        <v>5.7250924486818633</v>
      </c>
      <c r="BC6" s="173">
        <f t="shared" si="30"/>
        <v>0.14099443363812592</v>
      </c>
      <c r="BD6" s="173"/>
      <c r="BE6" s="528">
        <f t="shared" si="31"/>
        <v>1.1132995747584752E-2</v>
      </c>
      <c r="BF6" s="528">
        <f t="shared" si="32"/>
        <v>0.16431461201924119</v>
      </c>
      <c r="BG6" s="528">
        <f t="shared" si="33"/>
        <v>1.7964616580706864E-2</v>
      </c>
      <c r="BH6" s="528">
        <f t="shared" si="34"/>
        <v>7.6797985345518254E-3</v>
      </c>
      <c r="BI6">
        <f t="shared" si="35"/>
        <v>3.2336309845272353E-2</v>
      </c>
      <c r="BJ6" s="460">
        <f t="shared" ref="BJ6:BJ69" si="101">(BG6+BI6)*1000</f>
        <v>50.30092642597922</v>
      </c>
      <c r="BK6">
        <f t="shared" si="36"/>
        <v>0.18662698080358589</v>
      </c>
      <c r="BL6" s="460">
        <f t="shared" ref="BL6:BL69" si="102">BK6*1000</f>
        <v>186.62698080358589</v>
      </c>
      <c r="BM6" s="173">
        <f t="shared" si="37"/>
        <v>6.2124999999999993E-2</v>
      </c>
      <c r="BN6" s="173">
        <f t="shared" si="38"/>
        <v>1.1093749999999999E-3</v>
      </c>
      <c r="BO6" s="528"/>
      <c r="BQ6" s="460">
        <f t="shared" ref="BQ6:BQ69" si="103">SUM(BM6:BP6)*1000</f>
        <v>63.234374999999993</v>
      </c>
      <c r="BR6" s="528">
        <f t="shared" si="39"/>
        <v>1.669949362137713E-2</v>
      </c>
      <c r="BS6" s="528">
        <f t="shared" ref="BS6:BS68" si="104">Rdcr_sec*BB6^2</f>
        <v>0.98330050637862276</v>
      </c>
      <c r="BT6" s="528">
        <f t="shared" si="40"/>
        <v>9.9397151584679471E-5</v>
      </c>
      <c r="BU6" s="528">
        <f t="shared" si="41"/>
        <v>5.0000000000000096E-3</v>
      </c>
      <c r="BV6" s="528">
        <f t="shared" si="42"/>
        <v>1.353406537443854</v>
      </c>
      <c r="BW6" s="625">
        <f t="shared" si="43"/>
        <v>1.0000000000000002E-3</v>
      </c>
      <c r="BX6" s="460">
        <f t="shared" ref="BX6:BX69" si="105">(BV6+BW6)*1000</f>
        <v>1354.4065374438539</v>
      </c>
      <c r="BY6" s="173">
        <f t="shared" ref="BY6:BY69" si="106">SUM(BK6,BM6:BP6,BV6:BW6)</f>
        <v>1.6042678932474397</v>
      </c>
      <c r="BZ6" s="5">
        <f t="shared" ref="BZ6:BZ69" si="107">MIN(H6+I6,O6+P6)</f>
        <v>1.52</v>
      </c>
      <c r="CA6" s="173">
        <f t="shared" ref="CA6:CA69" si="108">BZ6/(BZ6+BY6)</f>
        <v>0.48651397765384174</v>
      </c>
      <c r="CB6" s="5">
        <f t="shared" ref="CB6:CB69" si="109">CA6*100</f>
        <v>48.651397765384175</v>
      </c>
      <c r="CC6">
        <f t="shared" ref="CC6:CC37" si="110">F6/Iout*100</f>
        <v>1</v>
      </c>
      <c r="CE6" s="562">
        <f t="shared" si="44"/>
        <v>-50</v>
      </c>
      <c r="CF6">
        <f t="shared" si="45"/>
        <v>-50</v>
      </c>
      <c r="CG6" s="173">
        <f t="shared" si="46"/>
        <v>3.9477101697586142E-2</v>
      </c>
      <c r="CH6" s="173">
        <f t="shared" si="47"/>
        <v>4.5486805277342992E-3</v>
      </c>
      <c r="CI6" s="170">
        <v>1</v>
      </c>
      <c r="CJ6" s="217">
        <f>IF(PLOT_TYPE=1, CI6/100*Iout, min_I*EXP(CS6*rr/100))</f>
        <v>0.1</v>
      </c>
      <c r="CK6" s="217">
        <f t="shared" ref="CK6:CK69" si="111">IF(PLOT_TYPE=1, CI6/100*Iout2, min_I*EXP(CU6*rr/100))</f>
        <v>2.5000000000000001E-3</v>
      </c>
      <c r="CL6" s="217">
        <f t="shared" si="48"/>
        <v>1.5</v>
      </c>
      <c r="CM6" s="217">
        <f>CK6*Vout2</f>
        <v>0.02</v>
      </c>
      <c r="CN6" s="541">
        <f t="shared" ref="CN6:CN69" si="112">Vin</f>
        <v>72</v>
      </c>
      <c r="CO6" s="443">
        <f t="shared" si="49"/>
        <v>15.7</v>
      </c>
      <c r="CP6" s="443">
        <f t="shared" si="50"/>
        <v>87.7</v>
      </c>
      <c r="CQ6" s="443"/>
      <c r="CR6" s="217">
        <f t="shared" ref="CR6:CR68" si="113">(Vout+Vfwd1)*Nps/((Vout+Vfwd1)*Nps+CN6)</f>
        <v>0.17620137299771166</v>
      </c>
      <c r="CS6" s="172">
        <f t="shared" ref="CS6:CS69" si="114">CR6*CN6*Isw_max*0.5*Efficiency*Pout/(Pout+Pout2)</f>
        <v>312.98928098277725</v>
      </c>
      <c r="CT6" s="172">
        <f t="shared" si="51"/>
        <v>4.2288329519450798</v>
      </c>
      <c r="CU6" s="217">
        <f t="shared" si="52"/>
        <v>20.865952065518481</v>
      </c>
      <c r="CV6" s="217">
        <f t="shared" si="53"/>
        <v>39.123660122847156</v>
      </c>
      <c r="CW6" s="443">
        <f t="shared" si="54"/>
        <v>15</v>
      </c>
      <c r="CX6" s="217">
        <f t="shared" si="55"/>
        <v>0.23962481962481966</v>
      </c>
      <c r="CY6" s="217">
        <f t="shared" si="56"/>
        <v>3.9937469937469945E-2</v>
      </c>
      <c r="CZ6" s="217">
        <f t="shared" si="57"/>
        <v>0.18315272837565835</v>
      </c>
      <c r="DA6" s="197">
        <f t="shared" si="58"/>
        <v>107.41163055872293</v>
      </c>
      <c r="DB6" s="443">
        <f t="shared" ref="DB6:DB69" si="115">MIN(1/(CY6+CZ6)*1000, 350)</f>
        <v>350</v>
      </c>
      <c r="DD6" s="217">
        <f t="shared" si="59"/>
        <v>10</v>
      </c>
      <c r="DE6" s="173">
        <f t="shared" si="60"/>
        <v>7.6433121019108281</v>
      </c>
      <c r="DF6" s="173">
        <f t="shared" si="61"/>
        <v>4.1049030786773102</v>
      </c>
      <c r="DG6" s="173"/>
      <c r="DH6" s="173">
        <f t="shared" si="62"/>
        <v>7.6433121019108281</v>
      </c>
      <c r="DI6" s="545">
        <f t="shared" si="63"/>
        <v>10</v>
      </c>
      <c r="DJ6" s="528">
        <f t="shared" si="64"/>
        <v>4.1049030786773093</v>
      </c>
      <c r="DL6" s="173">
        <f t="shared" si="65"/>
        <v>0.85076995939532551</v>
      </c>
      <c r="DM6" s="173">
        <f t="shared" si="66"/>
        <v>10</v>
      </c>
      <c r="DN6" s="173">
        <f t="shared" si="67"/>
        <v>1.0057142857142858</v>
      </c>
      <c r="DP6" s="545">
        <f t="shared" si="68"/>
        <v>100</v>
      </c>
      <c r="DQ6" s="460">
        <f t="shared" si="69"/>
        <v>10</v>
      </c>
      <c r="DS6">
        <f t="shared" ref="DS6:DS69" si="116">IF(CL6&gt;CS6, "",DP6)</f>
        <v>100</v>
      </c>
      <c r="DT6" s="460">
        <f t="shared" si="70"/>
        <v>10</v>
      </c>
      <c r="DU6" s="460"/>
      <c r="DV6" s="5">
        <f t="shared" ref="DV6:DV69" si="117">1/DQ6*1000</f>
        <v>100</v>
      </c>
      <c r="DW6" s="5">
        <f t="shared" si="71"/>
        <v>1.6666666666666667</v>
      </c>
      <c r="DX6" s="5">
        <f t="shared" ref="DX6:DX69" si="118">DV6-DW6</f>
        <v>98.333333333333329</v>
      </c>
      <c r="DY6" s="173">
        <f t="shared" ref="DY6:DY69" si="119">DW6/DV6</f>
        <v>1.6666666666666666E-2</v>
      </c>
      <c r="EA6" s="5">
        <f t="shared" si="72"/>
        <v>1.1111111111111114</v>
      </c>
      <c r="EB6" s="5">
        <f t="shared" si="73"/>
        <v>5.2083333333333329E-2</v>
      </c>
      <c r="EC6" s="5">
        <f t="shared" si="74"/>
        <v>0.56905864197530853</v>
      </c>
      <c r="ED6" s="5"/>
      <c r="EE6" s="173">
        <f t="shared" ref="EE6:EE69" si="120">DM6*SQRT(DY6/3)</f>
        <v>0.7453559924999299</v>
      </c>
      <c r="EF6" s="173">
        <f t="shared" si="75"/>
        <v>5.7251880124392232</v>
      </c>
      <c r="EG6" s="173">
        <f t="shared" si="76"/>
        <v>0.14099678712987579</v>
      </c>
      <c r="EH6" s="173"/>
      <c r="EI6" s="528">
        <f t="shared" si="77"/>
        <v>1.1111111111111112E-2</v>
      </c>
      <c r="EJ6" s="528">
        <f t="shared" si="78"/>
        <v>0.1754</v>
      </c>
      <c r="EK6" s="528">
        <f t="shared" si="79"/>
        <v>1.2499999999999998E-3</v>
      </c>
      <c r="EL6" s="528">
        <f t="shared" si="80"/>
        <v>7.6912900000000017E-3</v>
      </c>
      <c r="EM6">
        <f t="shared" si="81"/>
        <v>3.2399999999999998E-2</v>
      </c>
      <c r="EN6" s="460">
        <f t="shared" ref="EN6:EN69" si="121">(EK6+EM6)*1000</f>
        <v>33.65</v>
      </c>
      <c r="EO6">
        <f t="shared" si="82"/>
        <v>0.23146346465780768</v>
      </c>
      <c r="EP6" s="460">
        <f t="shared" ref="EP6:EP69" si="122">EO6*1000</f>
        <v>231.46346465780769</v>
      </c>
      <c r="EQ6" s="173">
        <f t="shared" si="83"/>
        <v>6.2124999999999993E-2</v>
      </c>
      <c r="ER6" s="173">
        <f t="shared" si="84"/>
        <v>1.1093749999999999E-3</v>
      </c>
      <c r="ES6" s="528"/>
      <c r="EU6" s="460">
        <f t="shared" ref="EU6:EU69" si="123">SUM(EQ6:ET6)*1000</f>
        <v>63.234374999999993</v>
      </c>
      <c r="EV6" s="528">
        <f t="shared" si="85"/>
        <v>1.6666666666666666E-2</v>
      </c>
      <c r="EW6" s="528">
        <f t="shared" ref="EW6:EW69" si="124">Rdcr_sec*EF6^2</f>
        <v>0.9833333333333335</v>
      </c>
      <c r="EX6" s="528">
        <f t="shared" si="86"/>
        <v>9.9400469904737534E-5</v>
      </c>
      <c r="EY6" s="528">
        <f t="shared" si="87"/>
        <v>5.0000000000000096E-3</v>
      </c>
      <c r="EZ6" s="528">
        <f t="shared" si="88"/>
        <v>1.3534065423069395</v>
      </c>
      <c r="FA6" s="625">
        <f t="shared" si="89"/>
        <v>1.0000000000000002E-3</v>
      </c>
      <c r="FB6" s="460">
        <f t="shared" ref="FB6:FB69" si="125">(EZ6+FA6)*1000</f>
        <v>1354.4065423069394</v>
      </c>
      <c r="FC6" s="173">
        <f t="shared" ref="FC6:FC69" si="126">SUM(EO6,EQ6:ET6,EZ6:FA6)</f>
        <v>1.6491043819647471</v>
      </c>
      <c r="FD6" s="5">
        <f t="shared" ref="FD6:FD69" si="127">MIN(CL6+CM6,CS6+CT6)</f>
        <v>1.52</v>
      </c>
      <c r="FE6" s="173">
        <f t="shared" ref="FE6:FE69" si="128">FD6/(FD6+FC6)</f>
        <v>0.47963077791008163</v>
      </c>
      <c r="FF6" s="5">
        <f t="shared" ref="FF6:FF69" si="129">FE6*100</f>
        <v>47.96307779100816</v>
      </c>
      <c r="FG6">
        <f t="shared" ref="FG6:FG69" si="130">CJ6/Iout*100</f>
        <v>1</v>
      </c>
      <c r="FI6" s="562">
        <f t="shared" si="90"/>
        <v>-50</v>
      </c>
      <c r="FJ6">
        <f t="shared" si="91"/>
        <v>-50</v>
      </c>
      <c r="FL6">
        <f t="shared" si="92"/>
        <v>3.9477101697586142E-2</v>
      </c>
    </row>
    <row r="7" spans="2:169">
      <c r="E7" s="170">
        <v>2</v>
      </c>
      <c r="F7" s="217">
        <f>IF(PLOT_TYPE=1, E7/100*Iout, min_I*EXP(O7*rr/100))</f>
        <v>0.2</v>
      </c>
      <c r="G7" s="217">
        <f t="shared" si="93"/>
        <v>5.0000000000000001E-3</v>
      </c>
      <c r="H7" s="217">
        <f t="shared" si="0"/>
        <v>3</v>
      </c>
      <c r="I7" s="217">
        <f>G7*Vout2</f>
        <v>0.04</v>
      </c>
      <c r="J7" s="541">
        <f t="shared" si="1"/>
        <v>71.799841154210043</v>
      </c>
      <c r="K7" s="443">
        <f t="shared" si="2"/>
        <v>15.807470926301022</v>
      </c>
      <c r="L7" s="172">
        <f t="shared" si="3"/>
        <v>87.607312080511065</v>
      </c>
      <c r="M7" s="443"/>
      <c r="N7" s="217">
        <f t="shared" si="4"/>
        <v>0.18043552017409192</v>
      </c>
      <c r="O7" s="172">
        <f t="shared" si="94"/>
        <v>319.61944951670381</v>
      </c>
      <c r="P7" s="172">
        <f t="shared" si="5"/>
        <v>4.3184138956923546</v>
      </c>
      <c r="Q7" s="217">
        <f t="shared" si="6"/>
        <v>21.307963301113588</v>
      </c>
      <c r="R7" s="217">
        <f t="shared" si="7"/>
        <v>39.952431189587976</v>
      </c>
      <c r="S7" s="443">
        <f t="shared" si="8"/>
        <v>15</v>
      </c>
      <c r="T7" s="217">
        <f t="shared" si="9"/>
        <v>0.46930811071358397</v>
      </c>
      <c r="U7" s="217">
        <f t="shared" si="10"/>
        <v>7.843606946800033E-2</v>
      </c>
      <c r="V7" s="217">
        <f t="shared" si="11"/>
        <v>0.35626808075875016</v>
      </c>
      <c r="W7" s="197">
        <f t="shared" si="12"/>
        <v>107.96034739230885</v>
      </c>
      <c r="X7" s="443">
        <f t="shared" si="95"/>
        <v>350</v>
      </c>
      <c r="Z7" s="217">
        <f t="shared" si="13"/>
        <v>10</v>
      </c>
      <c r="AA7" s="173">
        <f t="shared" si="14"/>
        <v>7.59134719016562</v>
      </c>
      <c r="AB7" s="173">
        <f t="shared" si="15"/>
        <v>4.0978223991295399</v>
      </c>
      <c r="AC7" s="173"/>
      <c r="AD7" s="173">
        <f t="shared" si="16"/>
        <v>7.59134719016562</v>
      </c>
      <c r="AE7" s="545">
        <f t="shared" si="17"/>
        <v>10</v>
      </c>
      <c r="AF7" s="528">
        <f t="shared" si="18"/>
        <v>4.0978223991295391</v>
      </c>
      <c r="AH7" s="173">
        <f t="shared" si="19"/>
        <v>1.2031704150364766</v>
      </c>
      <c r="AI7" s="173">
        <f t="shared" si="20"/>
        <v>10</v>
      </c>
      <c r="AJ7" s="173">
        <f t="shared" si="21"/>
        <v>1.0057142857142858</v>
      </c>
      <c r="AL7" s="545">
        <f t="shared" si="22"/>
        <v>200</v>
      </c>
      <c r="AM7" s="460">
        <f t="shared" si="23"/>
        <v>10</v>
      </c>
      <c r="AO7">
        <f t="shared" si="96"/>
        <v>200</v>
      </c>
      <c r="AP7" s="460">
        <f t="shared" si="24"/>
        <v>10</v>
      </c>
      <c r="AQ7" s="460"/>
      <c r="AR7" s="5">
        <f t="shared" si="97"/>
        <v>100</v>
      </c>
      <c r="AS7" s="5">
        <f t="shared" si="25"/>
        <v>1.6713128897077469</v>
      </c>
      <c r="AT7" s="5">
        <f t="shared" si="98"/>
        <v>98.32868711029225</v>
      </c>
      <c r="AU7" s="173">
        <f t="shared" si="99"/>
        <v>1.6713128897077469E-2</v>
      </c>
      <c r="AW7" s="5">
        <f t="shared" si="26"/>
        <v>2.2284171862769959</v>
      </c>
      <c r="AX7" s="5">
        <f t="shared" si="27"/>
        <v>0.10445705560673417</v>
      </c>
      <c r="AY7" s="5">
        <f t="shared" si="28"/>
        <v>1.1412361263574407</v>
      </c>
      <c r="AZ7" s="5"/>
      <c r="BA7" s="173">
        <f t="shared" si="100"/>
        <v>0.74639419650024674</v>
      </c>
      <c r="BB7" s="173">
        <f t="shared" si="29"/>
        <v>5.725052754059484</v>
      </c>
      <c r="BC7" s="173">
        <f t="shared" si="30"/>
        <v>0.14099345606075908</v>
      </c>
      <c r="BD7" s="173"/>
      <c r="BE7" s="528">
        <f t="shared" si="31"/>
        <v>1.1142085931384979E-2</v>
      </c>
      <c r="BF7" s="528">
        <f t="shared" si="32"/>
        <v>0.16426371015095825</v>
      </c>
      <c r="BG7" s="528">
        <f t="shared" si="33"/>
        <v>1.7949960288552509E-2</v>
      </c>
      <c r="BH7" s="528">
        <f t="shared" si="34"/>
        <v>7.6750411299720597E-3</v>
      </c>
      <c r="BI7">
        <f t="shared" si="35"/>
        <v>3.2309928519394515E-2</v>
      </c>
      <c r="BJ7" s="460">
        <f t="shared" si="101"/>
        <v>50.259888807947021</v>
      </c>
      <c r="BK7">
        <f t="shared" si="36"/>
        <v>0.18658315311862345</v>
      </c>
      <c r="BL7" s="460">
        <f t="shared" si="102"/>
        <v>186.58315311862344</v>
      </c>
      <c r="BM7" s="173">
        <f t="shared" si="37"/>
        <v>0.12424999999999999</v>
      </c>
      <c r="BN7" s="173">
        <f t="shared" si="38"/>
        <v>2.2187499999999998E-3</v>
      </c>
      <c r="BO7" s="528"/>
      <c r="BQ7" s="460">
        <f t="shared" si="103"/>
        <v>126.46874999999999</v>
      </c>
      <c r="BR7" s="528">
        <f t="shared" si="39"/>
        <v>1.6713128897077469E-2</v>
      </c>
      <c r="BS7" s="528">
        <f t="shared" si="104"/>
        <v>0.98328687110292257</v>
      </c>
      <c r="BT7" s="528">
        <f t="shared" si="40"/>
        <v>9.9395773259786015E-5</v>
      </c>
      <c r="BU7" s="528">
        <f t="shared" si="41"/>
        <v>5.0000000000000096E-3</v>
      </c>
      <c r="BV7" s="528">
        <f t="shared" si="42"/>
        <v>1.3534065354238829</v>
      </c>
      <c r="BW7" s="625">
        <f t="shared" si="43"/>
        <v>1.0000000000000002E-3</v>
      </c>
      <c r="BX7" s="460">
        <f t="shared" si="105"/>
        <v>1354.4065354238828</v>
      </c>
      <c r="BY7" s="173">
        <f t="shared" si="106"/>
        <v>1.6674584385425062</v>
      </c>
      <c r="BZ7" s="5">
        <f t="shared" si="107"/>
        <v>3.04</v>
      </c>
      <c r="CA7" s="173">
        <f t="shared" si="108"/>
        <v>0.64578371528676226</v>
      </c>
      <c r="CB7" s="5">
        <f t="shared" si="109"/>
        <v>64.578371528676229</v>
      </c>
      <c r="CC7">
        <f t="shared" si="110"/>
        <v>2</v>
      </c>
      <c r="CE7" s="562">
        <f t="shared" si="44"/>
        <v>-50</v>
      </c>
      <c r="CF7">
        <f t="shared" si="45"/>
        <v>-50</v>
      </c>
      <c r="CG7" s="173">
        <f t="shared" si="46"/>
        <v>5.5829052623908255E-2</v>
      </c>
      <c r="CH7" s="173">
        <f t="shared" si="47"/>
        <v>6.4328056932242538E-3</v>
      </c>
      <c r="CI7" s="170">
        <v>2</v>
      </c>
      <c r="CJ7" s="217">
        <f>IF(PLOT_TYPE=1, CI7/100*Iout, min_I*EXP(CS7*rr/100))</f>
        <v>0.2</v>
      </c>
      <c r="CK7" s="217">
        <f t="shared" si="111"/>
        <v>5.0000000000000001E-3</v>
      </c>
      <c r="CL7" s="217">
        <f t="shared" si="48"/>
        <v>3</v>
      </c>
      <c r="CM7" s="217">
        <f>CK7*Vout2</f>
        <v>0.04</v>
      </c>
      <c r="CN7" s="541">
        <f t="shared" si="112"/>
        <v>72</v>
      </c>
      <c r="CO7" s="443">
        <f t="shared" si="49"/>
        <v>15.7</v>
      </c>
      <c r="CP7" s="443">
        <f t="shared" si="50"/>
        <v>87.7</v>
      </c>
      <c r="CQ7" s="443"/>
      <c r="CR7" s="217">
        <f t="shared" si="113"/>
        <v>0.17620137299771166</v>
      </c>
      <c r="CS7" s="172">
        <f t="shared" si="114"/>
        <v>312.98928098277725</v>
      </c>
      <c r="CT7" s="172">
        <f t="shared" si="51"/>
        <v>4.2288329519450798</v>
      </c>
      <c r="CU7" s="217">
        <f t="shared" si="52"/>
        <v>20.865952065518481</v>
      </c>
      <c r="CV7" s="217">
        <f t="shared" si="53"/>
        <v>39.123660122847156</v>
      </c>
      <c r="CW7" s="443">
        <f t="shared" si="54"/>
        <v>15</v>
      </c>
      <c r="CX7" s="217">
        <f t="shared" si="55"/>
        <v>0.47924963924963931</v>
      </c>
      <c r="CY7" s="217">
        <f t="shared" si="56"/>
        <v>7.987493987493989E-2</v>
      </c>
      <c r="CZ7" s="217">
        <f t="shared" si="57"/>
        <v>0.3663054567513167</v>
      </c>
      <c r="DA7" s="197">
        <f t="shared" si="58"/>
        <v>107.41163055872293</v>
      </c>
      <c r="DB7" s="443">
        <f t="shared" si="115"/>
        <v>350</v>
      </c>
      <c r="DD7" s="217">
        <f t="shared" si="59"/>
        <v>10</v>
      </c>
      <c r="DE7" s="173">
        <f t="shared" si="60"/>
        <v>7.6433121019108281</v>
      </c>
      <c r="DF7" s="173">
        <f t="shared" si="61"/>
        <v>4.1049030786773102</v>
      </c>
      <c r="DG7" s="173"/>
      <c r="DH7" s="173">
        <f t="shared" si="62"/>
        <v>7.6433121019108281</v>
      </c>
      <c r="DI7" s="545">
        <f t="shared" si="63"/>
        <v>10</v>
      </c>
      <c r="DJ7" s="528">
        <f t="shared" si="64"/>
        <v>4.1049030786773093</v>
      </c>
      <c r="DL7" s="173">
        <f t="shared" si="65"/>
        <v>1.2031704150364766</v>
      </c>
      <c r="DM7" s="173">
        <f t="shared" si="66"/>
        <v>10</v>
      </c>
      <c r="DN7" s="173">
        <f t="shared" si="67"/>
        <v>1.0057142857142858</v>
      </c>
      <c r="DP7" s="545">
        <f t="shared" si="68"/>
        <v>200</v>
      </c>
      <c r="DQ7" s="460">
        <f t="shared" si="69"/>
        <v>10</v>
      </c>
      <c r="DS7">
        <f t="shared" si="116"/>
        <v>200</v>
      </c>
      <c r="DT7" s="460">
        <f t="shared" si="70"/>
        <v>10</v>
      </c>
      <c r="DU7" s="460"/>
      <c r="DV7" s="5">
        <f t="shared" si="117"/>
        <v>100</v>
      </c>
      <c r="DW7" s="5">
        <f t="shared" si="71"/>
        <v>1.6666666666666667</v>
      </c>
      <c r="DX7" s="5">
        <f t="shared" si="118"/>
        <v>98.333333333333329</v>
      </c>
      <c r="DY7" s="173">
        <f t="shared" si="119"/>
        <v>1.6666666666666666E-2</v>
      </c>
      <c r="EA7" s="5">
        <f t="shared" si="72"/>
        <v>2.2222222222222228</v>
      </c>
      <c r="EB7" s="5">
        <f t="shared" si="73"/>
        <v>0.10416666666666666</v>
      </c>
      <c r="EC7" s="5">
        <f t="shared" si="74"/>
        <v>1.1381172839506171</v>
      </c>
      <c r="ED7" s="5"/>
      <c r="EE7" s="173">
        <f t="shared" si="120"/>
        <v>0.7453559924999299</v>
      </c>
      <c r="EF7" s="173">
        <f t="shared" si="75"/>
        <v>5.7251880124392232</v>
      </c>
      <c r="EG7" s="173">
        <f t="shared" si="76"/>
        <v>0.14099678712987579</v>
      </c>
      <c r="EH7" s="173"/>
      <c r="EI7" s="528">
        <f t="shared" si="77"/>
        <v>1.1111111111111112E-2</v>
      </c>
      <c r="EJ7" s="528">
        <f t="shared" si="78"/>
        <v>0.1754</v>
      </c>
      <c r="EK7" s="528">
        <f t="shared" si="79"/>
        <v>1.2499999999999998E-3</v>
      </c>
      <c r="EL7" s="528">
        <f t="shared" si="80"/>
        <v>7.6912900000000017E-3</v>
      </c>
      <c r="EM7">
        <f t="shared" si="81"/>
        <v>3.2399999999999998E-2</v>
      </c>
      <c r="EN7" s="460">
        <f t="shared" si="121"/>
        <v>33.65</v>
      </c>
      <c r="EO7">
        <f t="shared" si="82"/>
        <v>0.23146346465780768</v>
      </c>
      <c r="EP7" s="460">
        <f t="shared" si="122"/>
        <v>231.46346465780769</v>
      </c>
      <c r="EQ7" s="173">
        <f t="shared" si="83"/>
        <v>0.12424999999999999</v>
      </c>
      <c r="ER7" s="173">
        <f t="shared" si="84"/>
        <v>2.2187499999999998E-3</v>
      </c>
      <c r="ES7" s="528"/>
      <c r="EU7" s="460">
        <f t="shared" si="123"/>
        <v>126.46874999999999</v>
      </c>
      <c r="EV7" s="528">
        <f t="shared" si="85"/>
        <v>1.6666666666666666E-2</v>
      </c>
      <c r="EW7" s="528">
        <f t="shared" si="124"/>
        <v>0.9833333333333335</v>
      </c>
      <c r="EX7" s="528">
        <f t="shared" si="86"/>
        <v>9.9400469904737534E-5</v>
      </c>
      <c r="EY7" s="528">
        <f t="shared" si="87"/>
        <v>5.0000000000000096E-3</v>
      </c>
      <c r="EZ7" s="528">
        <f t="shared" si="88"/>
        <v>1.3534065423069395</v>
      </c>
      <c r="FA7" s="625">
        <f t="shared" si="89"/>
        <v>1.0000000000000002E-3</v>
      </c>
      <c r="FB7" s="460">
        <f t="shared" si="125"/>
        <v>1354.4065423069394</v>
      </c>
      <c r="FC7" s="173">
        <f t="shared" si="126"/>
        <v>1.712338756964747</v>
      </c>
      <c r="FD7" s="5">
        <f t="shared" si="127"/>
        <v>3.04</v>
      </c>
      <c r="FE7" s="173">
        <f t="shared" si="128"/>
        <v>0.63968503834975055</v>
      </c>
      <c r="FF7" s="5">
        <f t="shared" si="129"/>
        <v>63.968503834975053</v>
      </c>
      <c r="FG7">
        <f t="shared" si="130"/>
        <v>2</v>
      </c>
      <c r="FI7" s="562">
        <f t="shared" si="90"/>
        <v>-50</v>
      </c>
      <c r="FJ7">
        <f t="shared" si="91"/>
        <v>-50</v>
      </c>
      <c r="FL7">
        <f t="shared" si="92"/>
        <v>5.5829052623908255E-2</v>
      </c>
    </row>
    <row r="8" spans="2:169">
      <c r="E8" s="170">
        <v>3</v>
      </c>
      <c r="F8" s="217">
        <f t="shared" ref="F8:F39" si="131">IF(PLOT_TYPE=1, E8/100*Iout_max, min_I*EXP(O8*rr/100))</f>
        <v>0.3</v>
      </c>
      <c r="G8" s="217">
        <f t="shared" si="93"/>
        <v>7.4999999999999997E-3</v>
      </c>
      <c r="H8" s="217">
        <f t="shared" si="0"/>
        <v>4.5</v>
      </c>
      <c r="I8" s="217">
        <f t="shared" ref="I8:I39" si="132">Vout2*G8</f>
        <v>0.06</v>
      </c>
      <c r="J8" s="541">
        <f t="shared" si="1"/>
        <v>71.754856480155084</v>
      </c>
      <c r="K8" s="443">
        <f t="shared" si="2"/>
        <v>15.831624465810881</v>
      </c>
      <c r="L8" s="172">
        <f t="shared" si="3"/>
        <v>87.58648094596596</v>
      </c>
      <c r="M8" s="443"/>
      <c r="N8" s="217">
        <f t="shared" si="4"/>
        <v>0.18075420195929279</v>
      </c>
      <c r="O8" s="172">
        <f t="shared" si="94"/>
        <v>319.98335081679323</v>
      </c>
      <c r="P8" s="172">
        <f t="shared" si="5"/>
        <v>4.3233306065913402</v>
      </c>
      <c r="Q8" s="217">
        <f t="shared" si="6"/>
        <v>21.332223387786215</v>
      </c>
      <c r="R8" s="217">
        <f t="shared" si="7"/>
        <v>39.997918852099154</v>
      </c>
      <c r="S8" s="443">
        <f t="shared" si="8"/>
        <v>15</v>
      </c>
      <c r="T8" s="217">
        <f t="shared" si="9"/>
        <v>0.70316158458139244</v>
      </c>
      <c r="U8" s="217">
        <f t="shared" si="10"/>
        <v>0.11759397800914495</v>
      </c>
      <c r="V8" s="217">
        <f t="shared" si="11"/>
        <v>0.53297998782113776</v>
      </c>
      <c r="W8" s="197">
        <f t="shared" si="12"/>
        <v>108.0832651647835</v>
      </c>
      <c r="X8" s="443">
        <f t="shared" si="95"/>
        <v>350</v>
      </c>
      <c r="Z8" s="217">
        <f t="shared" si="13"/>
        <v>10</v>
      </c>
      <c r="AA8" s="173">
        <f t="shared" si="14"/>
        <v>7.5797654409467272</v>
      </c>
      <c r="AB8" s="173">
        <f t="shared" si="15"/>
        <v>4.096228990203536</v>
      </c>
      <c r="AC8" s="173"/>
      <c r="AD8" s="173">
        <f t="shared" si="16"/>
        <v>7.5797654409467272</v>
      </c>
      <c r="AE8" s="545">
        <f t="shared" si="17"/>
        <v>10</v>
      </c>
      <c r="AF8" s="528">
        <f t="shared" si="18"/>
        <v>4.096228990203536</v>
      </c>
      <c r="AH8" s="173">
        <f t="shared" si="19"/>
        <v>1.4735767952260144</v>
      </c>
      <c r="AI8" s="173">
        <f t="shared" si="20"/>
        <v>10</v>
      </c>
      <c r="AJ8" s="173">
        <f t="shared" si="21"/>
        <v>1.0057142857142858</v>
      </c>
      <c r="AL8" s="545">
        <f t="shared" si="22"/>
        <v>300</v>
      </c>
      <c r="AM8" s="460">
        <f t="shared" si="23"/>
        <v>10</v>
      </c>
      <c r="AO8">
        <f t="shared" si="96"/>
        <v>300</v>
      </c>
      <c r="AP8" s="460">
        <f t="shared" si="24"/>
        <v>10</v>
      </c>
      <c r="AQ8" s="460"/>
      <c r="AR8" s="5">
        <f t="shared" si="97"/>
        <v>100</v>
      </c>
      <c r="AS8" s="5">
        <f t="shared" si="25"/>
        <v>1.672360671966334</v>
      </c>
      <c r="AT8" s="5">
        <f t="shared" si="98"/>
        <v>98.327639328033669</v>
      </c>
      <c r="AU8" s="173">
        <f t="shared" si="99"/>
        <v>1.6723606719663341E-2</v>
      </c>
      <c r="AW8" s="5">
        <f t="shared" si="26"/>
        <v>3.3447213439326675</v>
      </c>
      <c r="AX8" s="5">
        <f t="shared" si="27"/>
        <v>0.1567838129968438</v>
      </c>
      <c r="AY8" s="5">
        <f t="shared" si="28"/>
        <v>1.7129091352030592</v>
      </c>
      <c r="AZ8" s="5"/>
      <c r="BA8" s="173">
        <f t="shared" si="100"/>
        <v>0.74662812518824351</v>
      </c>
      <c r="BB8" s="173">
        <f t="shared" si="29"/>
        <v>5.725022251136779</v>
      </c>
      <c r="BC8" s="173">
        <f t="shared" si="30"/>
        <v>0.1409927048515254</v>
      </c>
      <c r="BD8" s="173"/>
      <c r="BE8" s="528">
        <f t="shared" si="31"/>
        <v>1.1149071146442228E-2</v>
      </c>
      <c r="BF8" s="528">
        <f t="shared" si="32"/>
        <v>0.16422465177368617</v>
      </c>
      <c r="BG8" s="528">
        <f t="shared" si="33"/>
        <v>1.7938714120038772E-2</v>
      </c>
      <c r="BH8" s="528">
        <f t="shared" si="34"/>
        <v>7.6713916444980587E-3</v>
      </c>
      <c r="BI8">
        <f t="shared" si="35"/>
        <v>3.2289685416069788E-2</v>
      </c>
      <c r="BJ8" s="460">
        <f t="shared" si="101"/>
        <v>50.228399536108562</v>
      </c>
      <c r="BK8">
        <f t="shared" si="36"/>
        <v>0.18654953709916744</v>
      </c>
      <c r="BL8" s="460">
        <f t="shared" si="102"/>
        <v>186.54953709916745</v>
      </c>
      <c r="BM8" s="173">
        <f t="shared" si="37"/>
        <v>0.18637499999999999</v>
      </c>
      <c r="BN8" s="173">
        <f t="shared" si="38"/>
        <v>3.3281249999999999E-3</v>
      </c>
      <c r="BO8" s="528"/>
      <c r="BQ8" s="460">
        <f t="shared" si="103"/>
        <v>189.70312499999997</v>
      </c>
      <c r="BR8" s="528">
        <f t="shared" si="39"/>
        <v>1.6723606719663341E-2</v>
      </c>
      <c r="BS8" s="528">
        <f t="shared" si="104"/>
        <v>0.98327639328033689</v>
      </c>
      <c r="BT8" s="528">
        <f t="shared" si="40"/>
        <v>9.9394714106746762E-5</v>
      </c>
      <c r="BU8" s="528">
        <f t="shared" si="41"/>
        <v>5.0000000000000096E-3</v>
      </c>
      <c r="BV8" s="528">
        <f t="shared" si="42"/>
        <v>1.3534065338716668</v>
      </c>
      <c r="BW8" s="625">
        <f t="shared" si="43"/>
        <v>1.0000000000000002E-3</v>
      </c>
      <c r="BX8" s="460">
        <f t="shared" si="105"/>
        <v>1354.4065338716666</v>
      </c>
      <c r="BY8" s="173">
        <f t="shared" si="106"/>
        <v>1.730659195970834</v>
      </c>
      <c r="BZ8" s="5">
        <f t="shared" si="107"/>
        <v>4.5599999999999996</v>
      </c>
      <c r="CA8" s="173">
        <f t="shared" si="108"/>
        <v>0.72488428604122745</v>
      </c>
      <c r="CB8" s="5">
        <f t="shared" si="109"/>
        <v>72.488428604122745</v>
      </c>
      <c r="CC8">
        <f t="shared" si="110"/>
        <v>3</v>
      </c>
      <c r="CE8" s="562">
        <f t="shared" si="44"/>
        <v>-50</v>
      </c>
      <c r="CF8">
        <f t="shared" si="45"/>
        <v>-50</v>
      </c>
      <c r="CG8" s="173">
        <f t="shared" si="46"/>
        <v>6.8376345875782771E-2</v>
      </c>
      <c r="CH8" s="173">
        <f t="shared" si="47"/>
        <v>7.8785457814350198E-3</v>
      </c>
      <c r="CI8" s="170">
        <v>3</v>
      </c>
      <c r="CJ8" s="217">
        <f t="shared" ref="CJ8:CJ71" si="133">IF(PLOT_TYPE=1, CI8/100*Iout_max, min_I*EXP(CS8*rr/100))</f>
        <v>0.3</v>
      </c>
      <c r="CK8" s="217">
        <f t="shared" si="111"/>
        <v>7.4999999999999997E-3</v>
      </c>
      <c r="CL8" s="217">
        <f t="shared" si="48"/>
        <v>4.5</v>
      </c>
      <c r="CM8" s="217">
        <f t="shared" ref="CM8:CM71" si="134">Vout2*CK8</f>
        <v>0.06</v>
      </c>
      <c r="CN8" s="541">
        <f t="shared" si="112"/>
        <v>72</v>
      </c>
      <c r="CO8" s="443">
        <f t="shared" si="49"/>
        <v>15.7</v>
      </c>
      <c r="CP8" s="443">
        <f t="shared" si="50"/>
        <v>87.7</v>
      </c>
      <c r="CQ8" s="443"/>
      <c r="CR8" s="217">
        <f t="shared" si="113"/>
        <v>0.17620137299771166</v>
      </c>
      <c r="CS8" s="172">
        <f t="shared" si="114"/>
        <v>312.98928098277725</v>
      </c>
      <c r="CT8" s="172">
        <f t="shared" si="51"/>
        <v>4.2288329519450798</v>
      </c>
      <c r="CU8" s="217">
        <f t="shared" si="52"/>
        <v>20.865952065518481</v>
      </c>
      <c r="CV8" s="217">
        <f t="shared" si="53"/>
        <v>39.123660122847156</v>
      </c>
      <c r="CW8" s="443">
        <f t="shared" si="54"/>
        <v>15</v>
      </c>
      <c r="CX8" s="217">
        <f t="shared" si="55"/>
        <v>0.71887445887445889</v>
      </c>
      <c r="CY8" s="217">
        <f t="shared" si="56"/>
        <v>0.11981240981240983</v>
      </c>
      <c r="CZ8" s="217">
        <f t="shared" si="57"/>
        <v>0.54945818512697508</v>
      </c>
      <c r="DA8" s="197">
        <f t="shared" si="58"/>
        <v>107.41163055872293</v>
      </c>
      <c r="DB8" s="443">
        <f t="shared" si="115"/>
        <v>350</v>
      </c>
      <c r="DD8" s="217">
        <f t="shared" si="59"/>
        <v>10</v>
      </c>
      <c r="DE8" s="173">
        <f t="shared" si="60"/>
        <v>7.6433121019108281</v>
      </c>
      <c r="DF8" s="173">
        <f t="shared" si="61"/>
        <v>4.1049030786773102</v>
      </c>
      <c r="DG8" s="173"/>
      <c r="DH8" s="173">
        <f t="shared" si="62"/>
        <v>7.6433121019108281</v>
      </c>
      <c r="DI8" s="545">
        <f t="shared" si="63"/>
        <v>10</v>
      </c>
      <c r="DJ8" s="528">
        <f t="shared" si="64"/>
        <v>4.1049030786773093</v>
      </c>
      <c r="DL8" s="173">
        <f t="shared" si="65"/>
        <v>1.4735767952260144</v>
      </c>
      <c r="DM8" s="173">
        <f t="shared" si="66"/>
        <v>10</v>
      </c>
      <c r="DN8" s="173">
        <f t="shared" si="67"/>
        <v>1.0057142857142858</v>
      </c>
      <c r="DP8" s="545">
        <f t="shared" si="68"/>
        <v>300</v>
      </c>
      <c r="DQ8" s="460">
        <f t="shared" si="69"/>
        <v>10</v>
      </c>
      <c r="DS8">
        <f t="shared" si="116"/>
        <v>300</v>
      </c>
      <c r="DT8" s="460">
        <f t="shared" si="70"/>
        <v>10</v>
      </c>
      <c r="DU8" s="460"/>
      <c r="DV8" s="5">
        <f t="shared" si="117"/>
        <v>100</v>
      </c>
      <c r="DW8" s="5">
        <f t="shared" si="71"/>
        <v>1.6666666666666667</v>
      </c>
      <c r="DX8" s="5">
        <f t="shared" si="118"/>
        <v>98.333333333333329</v>
      </c>
      <c r="DY8" s="173">
        <f t="shared" si="119"/>
        <v>1.6666666666666666E-2</v>
      </c>
      <c r="EA8" s="5">
        <f t="shared" si="72"/>
        <v>3.3333333333333335</v>
      </c>
      <c r="EB8" s="5">
        <f t="shared" si="73"/>
        <v>0.15625</v>
      </c>
      <c r="EC8" s="5">
        <f t="shared" si="74"/>
        <v>1.7071759259259258</v>
      </c>
      <c r="ED8" s="5"/>
      <c r="EE8" s="173">
        <f t="shared" si="120"/>
        <v>0.7453559924999299</v>
      </c>
      <c r="EF8" s="173">
        <f t="shared" si="75"/>
        <v>5.7251880124392232</v>
      </c>
      <c r="EG8" s="173">
        <f t="shared" si="76"/>
        <v>0.14099678712987579</v>
      </c>
      <c r="EH8" s="173"/>
      <c r="EI8" s="528">
        <f t="shared" si="77"/>
        <v>1.1111111111111112E-2</v>
      </c>
      <c r="EJ8" s="528">
        <f t="shared" si="78"/>
        <v>0.1754</v>
      </c>
      <c r="EK8" s="528">
        <f t="shared" si="79"/>
        <v>1.2499999999999998E-3</v>
      </c>
      <c r="EL8" s="528">
        <f t="shared" si="80"/>
        <v>7.6912900000000017E-3</v>
      </c>
      <c r="EM8">
        <f t="shared" si="81"/>
        <v>3.2399999999999998E-2</v>
      </c>
      <c r="EN8" s="460">
        <f t="shared" si="121"/>
        <v>33.65</v>
      </c>
      <c r="EO8">
        <f t="shared" si="82"/>
        <v>0.23146346465780768</v>
      </c>
      <c r="EP8" s="460">
        <f t="shared" si="122"/>
        <v>231.46346465780769</v>
      </c>
      <c r="EQ8" s="173">
        <f t="shared" si="83"/>
        <v>0.18637499999999999</v>
      </c>
      <c r="ER8" s="173">
        <f t="shared" si="84"/>
        <v>3.3281249999999999E-3</v>
      </c>
      <c r="ES8" s="528"/>
      <c r="EU8" s="460">
        <f t="shared" si="123"/>
        <v>189.70312499999997</v>
      </c>
      <c r="EV8" s="528">
        <f t="shared" si="85"/>
        <v>1.6666666666666666E-2</v>
      </c>
      <c r="EW8" s="528">
        <f t="shared" si="124"/>
        <v>0.9833333333333335</v>
      </c>
      <c r="EX8" s="528">
        <f t="shared" si="86"/>
        <v>9.9400469904737534E-5</v>
      </c>
      <c r="EY8" s="528">
        <f t="shared" si="87"/>
        <v>5.0000000000000096E-3</v>
      </c>
      <c r="EZ8" s="528">
        <f t="shared" si="88"/>
        <v>1.3534065423069395</v>
      </c>
      <c r="FA8" s="625">
        <f t="shared" si="89"/>
        <v>1.0000000000000002E-3</v>
      </c>
      <c r="FB8" s="460">
        <f t="shared" si="125"/>
        <v>1354.4065423069394</v>
      </c>
      <c r="FC8" s="173">
        <f t="shared" si="126"/>
        <v>1.775573131964747</v>
      </c>
      <c r="FD8" s="5">
        <f t="shared" si="127"/>
        <v>4.5599999999999996</v>
      </c>
      <c r="FE8" s="173">
        <f t="shared" si="128"/>
        <v>0.71974546027943676</v>
      </c>
      <c r="FF8" s="5">
        <f t="shared" si="129"/>
        <v>71.974546027943674</v>
      </c>
      <c r="FG8">
        <f t="shared" si="130"/>
        <v>3</v>
      </c>
      <c r="FI8" s="562">
        <f t="shared" si="90"/>
        <v>-50</v>
      </c>
      <c r="FJ8">
        <f t="shared" si="91"/>
        <v>-50</v>
      </c>
      <c r="FL8">
        <f t="shared" si="92"/>
        <v>6.8376345875782785E-2</v>
      </c>
    </row>
    <row r="9" spans="2:169">
      <c r="E9" s="170">
        <v>4</v>
      </c>
      <c r="F9" s="217">
        <f t="shared" si="131"/>
        <v>0.4</v>
      </c>
      <c r="G9" s="217">
        <f t="shared" si="93"/>
        <v>0.01</v>
      </c>
      <c r="H9" s="217">
        <f t="shared" si="0"/>
        <v>6</v>
      </c>
      <c r="I9" s="217">
        <f t="shared" si="132"/>
        <v>0.08</v>
      </c>
      <c r="J9" s="541">
        <f t="shared" si="1"/>
        <v>71.723315016620049</v>
      </c>
      <c r="K9" s="443">
        <f t="shared" si="2"/>
        <v>15.848559966660831</v>
      </c>
      <c r="L9" s="172">
        <f t="shared" si="3"/>
        <v>87.571874983280878</v>
      </c>
      <c r="M9" s="443"/>
      <c r="N9" s="217">
        <f t="shared" si="4"/>
        <v>0.18097773936765224</v>
      </c>
      <c r="O9" s="172">
        <f t="shared" si="94"/>
        <v>320.23824206402668</v>
      </c>
      <c r="P9" s="172">
        <f t="shared" si="5"/>
        <v>4.3267744705539606</v>
      </c>
      <c r="Q9" s="217">
        <f t="shared" si="6"/>
        <v>21.349216137601779</v>
      </c>
      <c r="R9" s="217">
        <f t="shared" si="7"/>
        <v>40.029780258003335</v>
      </c>
      <c r="S9" s="443">
        <f t="shared" si="8"/>
        <v>15</v>
      </c>
      <c r="T9" s="217">
        <f t="shared" si="9"/>
        <v>0.93680254446319267</v>
      </c>
      <c r="U9" s="217">
        <f t="shared" si="10"/>
        <v>0.15673607014613519</v>
      </c>
      <c r="V9" s="217">
        <f t="shared" si="11"/>
        <v>0.70931558180719922</v>
      </c>
      <c r="W9" s="197">
        <f t="shared" si="12"/>
        <v>108.16936176384901</v>
      </c>
      <c r="X9" s="443">
        <f t="shared" si="95"/>
        <v>350</v>
      </c>
      <c r="Z9" s="217">
        <f t="shared" si="13"/>
        <v>10</v>
      </c>
      <c r="AA9" s="173">
        <f t="shared" si="14"/>
        <v>7.5716658328853255</v>
      </c>
      <c r="AB9" s="173">
        <f t="shared" si="15"/>
        <v>4.0951113031617394</v>
      </c>
      <c r="AC9" s="173"/>
      <c r="AD9" s="173">
        <f t="shared" si="16"/>
        <v>7.5716658328853255</v>
      </c>
      <c r="AE9" s="545">
        <f t="shared" si="17"/>
        <v>10.565706644440553</v>
      </c>
      <c r="AF9" s="528">
        <f t="shared" si="18"/>
        <v>4.0951113031617394</v>
      </c>
      <c r="AH9" s="173">
        <f t="shared" si="19"/>
        <v>1.701539918790651</v>
      </c>
      <c r="AI9" s="173">
        <f t="shared" si="20"/>
        <v>10</v>
      </c>
      <c r="AJ9" s="173">
        <f t="shared" si="21"/>
        <v>1.0060375466539659</v>
      </c>
      <c r="AL9" s="545">
        <f t="shared" si="22"/>
        <v>400</v>
      </c>
      <c r="AM9" s="460">
        <f t="shared" si="23"/>
        <v>10.565706644440553</v>
      </c>
      <c r="AO9">
        <f t="shared" si="96"/>
        <v>400</v>
      </c>
      <c r="AP9" s="460">
        <f t="shared" si="24"/>
        <v>10.565706644440553</v>
      </c>
      <c r="AQ9" s="460"/>
      <c r="AR9" s="5">
        <f t="shared" si="97"/>
        <v>94.645822911066574</v>
      </c>
      <c r="AS9" s="5">
        <f t="shared" si="25"/>
        <v>1.673096119054077</v>
      </c>
      <c r="AT9" s="5">
        <f t="shared" si="98"/>
        <v>92.972726792012494</v>
      </c>
      <c r="AU9" s="173">
        <f t="shared" si="99"/>
        <v>1.7677442781877363E-2</v>
      </c>
      <c r="AW9" s="5">
        <f t="shared" si="26"/>
        <v>4.4615896508108728</v>
      </c>
      <c r="AX9" s="5">
        <f t="shared" si="27"/>
        <v>0.20913701488175962</v>
      </c>
      <c r="AY9" s="5">
        <f t="shared" si="28"/>
        <v>2.1604487274109876</v>
      </c>
      <c r="AZ9" s="5"/>
      <c r="BA9" s="173">
        <f t="shared" si="100"/>
        <v>0.76762496880263431</v>
      </c>
      <c r="BB9" s="173">
        <f t="shared" si="29"/>
        <v>5.7222447728670334</v>
      </c>
      <c r="BC9" s="173">
        <f t="shared" si="30"/>
        <v>0.14092430264158815</v>
      </c>
      <c r="BD9" s="173"/>
      <c r="BE9" s="528">
        <f t="shared" si="31"/>
        <v>1.1784961854584906E-2</v>
      </c>
      <c r="BF9" s="528">
        <f t="shared" si="32"/>
        <v>0.1734860140081815</v>
      </c>
      <c r="BG9" s="528">
        <f t="shared" si="33"/>
        <v>1.8945187650810134E-2</v>
      </c>
      <c r="BH9" s="528">
        <f t="shared" si="34"/>
        <v>8.1026642827051673E-3</v>
      </c>
      <c r="BI9">
        <f t="shared" si="35"/>
        <v>3.227549175747902E-2</v>
      </c>
      <c r="BJ9" s="460">
        <f t="shared" si="101"/>
        <v>51.220679408289158</v>
      </c>
      <c r="BK9">
        <f t="shared" si="36"/>
        <v>0.19710750192962828</v>
      </c>
      <c r="BL9" s="460">
        <f t="shared" si="102"/>
        <v>197.10750192962828</v>
      </c>
      <c r="BM9" s="173">
        <f t="shared" si="37"/>
        <v>0.24849999999999997</v>
      </c>
      <c r="BN9" s="173">
        <f t="shared" si="38"/>
        <v>4.4374999999999996E-3</v>
      </c>
      <c r="BO9" s="528"/>
      <c r="BQ9" s="460">
        <f t="shared" si="103"/>
        <v>252.93749999999997</v>
      </c>
      <c r="BR9" s="528">
        <f t="shared" si="39"/>
        <v>1.7677442781877356E-2</v>
      </c>
      <c r="BS9" s="528">
        <f t="shared" si="104"/>
        <v>0.98232255721812256</v>
      </c>
      <c r="BT9" s="528">
        <f t="shared" si="40"/>
        <v>9.9298295375089646E-5</v>
      </c>
      <c r="BU9" s="528">
        <f t="shared" si="41"/>
        <v>5.7374164636718877E-3</v>
      </c>
      <c r="BV9" s="528">
        <f t="shared" si="42"/>
        <v>1.3542079391229693</v>
      </c>
      <c r="BW9" s="625">
        <f t="shared" si="43"/>
        <v>1.0565706644440555E-3</v>
      </c>
      <c r="BX9" s="460">
        <f t="shared" si="105"/>
        <v>1355.2645097874133</v>
      </c>
      <c r="BY9" s="173">
        <f t="shared" si="106"/>
        <v>1.8053095117170417</v>
      </c>
      <c r="BZ9" s="5">
        <f t="shared" si="107"/>
        <v>6.08</v>
      </c>
      <c r="CA9" s="173">
        <f t="shared" si="108"/>
        <v>0.77105407098675427</v>
      </c>
      <c r="CB9" s="5">
        <f t="shared" si="109"/>
        <v>77.105407098675428</v>
      </c>
      <c r="CC9">
        <f t="shared" si="110"/>
        <v>4</v>
      </c>
      <c r="CE9" s="562">
        <f t="shared" si="44"/>
        <v>-50</v>
      </c>
      <c r="CF9">
        <f t="shared" si="45"/>
        <v>-50</v>
      </c>
      <c r="CG9" s="173">
        <f t="shared" si="46"/>
        <v>8.0775462392209965E-2</v>
      </c>
      <c r="CH9" s="173">
        <f t="shared" si="47"/>
        <v>9.3072124624753293E-3</v>
      </c>
      <c r="CI9" s="170">
        <v>4</v>
      </c>
      <c r="CJ9" s="217">
        <f t="shared" si="133"/>
        <v>0.4</v>
      </c>
      <c r="CK9" s="217">
        <f t="shared" si="111"/>
        <v>0.01</v>
      </c>
      <c r="CL9" s="217">
        <f t="shared" si="48"/>
        <v>6</v>
      </c>
      <c r="CM9" s="217">
        <f t="shared" si="134"/>
        <v>0.08</v>
      </c>
      <c r="CN9" s="541">
        <f t="shared" si="112"/>
        <v>72</v>
      </c>
      <c r="CO9" s="443">
        <f t="shared" si="49"/>
        <v>15.7</v>
      </c>
      <c r="CP9" s="443">
        <f t="shared" si="50"/>
        <v>87.7</v>
      </c>
      <c r="CQ9" s="443"/>
      <c r="CR9" s="217">
        <f t="shared" si="113"/>
        <v>0.17620137299771166</v>
      </c>
      <c r="CS9" s="172">
        <f t="shared" si="114"/>
        <v>312.98928098277725</v>
      </c>
      <c r="CT9" s="172">
        <f t="shared" si="51"/>
        <v>4.2288329519450798</v>
      </c>
      <c r="CU9" s="217">
        <f t="shared" si="52"/>
        <v>20.865952065518481</v>
      </c>
      <c r="CV9" s="217">
        <f t="shared" si="53"/>
        <v>39.123660122847156</v>
      </c>
      <c r="CW9" s="443">
        <f t="shared" si="54"/>
        <v>15</v>
      </c>
      <c r="CX9" s="217">
        <f t="shared" si="55"/>
        <v>0.95849927849927863</v>
      </c>
      <c r="CY9" s="217">
        <f t="shared" si="56"/>
        <v>0.15974987974987978</v>
      </c>
      <c r="CZ9" s="217">
        <f t="shared" si="57"/>
        <v>0.73261091350263341</v>
      </c>
      <c r="DA9" s="197">
        <f t="shared" si="58"/>
        <v>107.41163055872293</v>
      </c>
      <c r="DB9" s="443">
        <f t="shared" si="115"/>
        <v>350</v>
      </c>
      <c r="DD9" s="217">
        <f t="shared" si="59"/>
        <v>10</v>
      </c>
      <c r="DE9" s="173">
        <f t="shared" si="60"/>
        <v>7.6433121019108281</v>
      </c>
      <c r="DF9" s="173">
        <f t="shared" si="61"/>
        <v>4.1049030786773102</v>
      </c>
      <c r="DG9" s="173"/>
      <c r="DH9" s="173">
        <f t="shared" si="62"/>
        <v>7.6433121019108281</v>
      </c>
      <c r="DI9" s="545">
        <f t="shared" si="63"/>
        <v>10.466666666666669</v>
      </c>
      <c r="DJ9" s="528">
        <f t="shared" si="64"/>
        <v>4.1049030786773093</v>
      </c>
      <c r="DL9" s="173">
        <f t="shared" si="65"/>
        <v>1.701539918790651</v>
      </c>
      <c r="DM9" s="173">
        <f t="shared" si="66"/>
        <v>10</v>
      </c>
      <c r="DN9" s="173">
        <f t="shared" si="67"/>
        <v>1.0059809523809524</v>
      </c>
      <c r="DP9" s="545">
        <f t="shared" si="68"/>
        <v>400</v>
      </c>
      <c r="DQ9" s="460">
        <f t="shared" si="69"/>
        <v>10.466666666666669</v>
      </c>
      <c r="DS9">
        <f t="shared" si="116"/>
        <v>400</v>
      </c>
      <c r="DT9" s="460">
        <f t="shared" si="70"/>
        <v>10.466666666666669</v>
      </c>
      <c r="DU9" s="460"/>
      <c r="DV9" s="5">
        <f t="shared" si="117"/>
        <v>95.541401273885327</v>
      </c>
      <c r="DW9" s="5">
        <f t="shared" si="71"/>
        <v>1.6666666666666667</v>
      </c>
      <c r="DX9" s="5">
        <f t="shared" si="118"/>
        <v>93.874734607218656</v>
      </c>
      <c r="DY9" s="173">
        <f t="shared" si="119"/>
        <v>1.744444444444445E-2</v>
      </c>
      <c r="EA9" s="5">
        <f t="shared" si="72"/>
        <v>4.4444444444444455</v>
      </c>
      <c r="EB9" s="5">
        <f t="shared" si="73"/>
        <v>0.20833333333333331</v>
      </c>
      <c r="EC9" s="5">
        <f t="shared" si="74"/>
        <v>2.1730262640559874</v>
      </c>
      <c r="ED9" s="5"/>
      <c r="EE9" s="173">
        <f t="shared" si="120"/>
        <v>0.76254933052326646</v>
      </c>
      <c r="EF9" s="173">
        <f t="shared" si="75"/>
        <v>5.7229233658901855</v>
      </c>
      <c r="EG9" s="173">
        <f t="shared" si="76"/>
        <v>0.14094101465800146</v>
      </c>
      <c r="EH9" s="173"/>
      <c r="EI9" s="528">
        <f t="shared" si="77"/>
        <v>1.1629629629629637E-2</v>
      </c>
      <c r="EJ9" s="528">
        <f t="shared" si="78"/>
        <v>0.18358533333333335</v>
      </c>
      <c r="EK9" s="528">
        <f t="shared" si="79"/>
        <v>1.3083333333333334E-3</v>
      </c>
      <c r="EL9" s="528">
        <f t="shared" si="80"/>
        <v>8.0502168666666696E-3</v>
      </c>
      <c r="EM9">
        <f t="shared" si="81"/>
        <v>3.2399999999999998E-2</v>
      </c>
      <c r="EN9" s="460">
        <f t="shared" si="121"/>
        <v>33.708333333333336</v>
      </c>
      <c r="EO9">
        <f t="shared" si="82"/>
        <v>0.2407788332349578</v>
      </c>
      <c r="EP9" s="460">
        <f t="shared" si="122"/>
        <v>240.7788332349578</v>
      </c>
      <c r="EQ9" s="173">
        <f t="shared" si="83"/>
        <v>0.24849999999999997</v>
      </c>
      <c r="ER9" s="173">
        <f t="shared" si="84"/>
        <v>4.4374999999999996E-3</v>
      </c>
      <c r="ES9" s="528"/>
      <c r="EU9" s="460">
        <f t="shared" si="123"/>
        <v>252.93749999999997</v>
      </c>
      <c r="EV9" s="528">
        <f t="shared" si="85"/>
        <v>1.7444444444444453E-2</v>
      </c>
      <c r="EW9" s="528">
        <f t="shared" si="124"/>
        <v>0.9825555555555554</v>
      </c>
      <c r="EX9" s="528">
        <f t="shared" si="86"/>
        <v>9.9321848064134915E-5</v>
      </c>
      <c r="EY9" s="528">
        <f t="shared" si="87"/>
        <v>5.6039078827065068E-3</v>
      </c>
      <c r="EZ9" s="528">
        <f t="shared" si="88"/>
        <v>1.3540628543655577</v>
      </c>
      <c r="FA9" s="625">
        <f t="shared" si="89"/>
        <v>1.0466666666666669E-3</v>
      </c>
      <c r="FB9" s="460">
        <f t="shared" si="125"/>
        <v>1355.1095210322244</v>
      </c>
      <c r="FC9" s="173">
        <f t="shared" si="126"/>
        <v>1.8488258542671823</v>
      </c>
      <c r="FD9" s="5">
        <f t="shared" si="127"/>
        <v>6.08</v>
      </c>
      <c r="FE9" s="173">
        <f t="shared" si="128"/>
        <v>0.76682223973021557</v>
      </c>
      <c r="FF9" s="5">
        <f t="shared" si="129"/>
        <v>76.682223973021564</v>
      </c>
      <c r="FG9">
        <f t="shared" si="130"/>
        <v>4</v>
      </c>
      <c r="FI9" s="562">
        <f t="shared" si="90"/>
        <v>-50</v>
      </c>
      <c r="FJ9">
        <f t="shared" si="91"/>
        <v>-50</v>
      </c>
      <c r="FL9">
        <f t="shared" si="92"/>
        <v>8.0775462392209965E-2</v>
      </c>
    </row>
    <row r="10" spans="2:169">
      <c r="E10" s="170">
        <v>5</v>
      </c>
      <c r="F10" s="217">
        <f t="shared" si="131"/>
        <v>0.5</v>
      </c>
      <c r="G10" s="217">
        <f t="shared" si="93"/>
        <v>1.2500000000000001E-2</v>
      </c>
      <c r="H10" s="217">
        <f t="shared" si="0"/>
        <v>7.5</v>
      </c>
      <c r="I10" s="217">
        <f t="shared" si="132"/>
        <v>0.1</v>
      </c>
      <c r="J10" s="541">
        <f t="shared" si="1"/>
        <v>71.723315016620049</v>
      </c>
      <c r="K10" s="443">
        <f t="shared" si="2"/>
        <v>15.848559966660831</v>
      </c>
      <c r="L10" s="172">
        <f t="shared" si="3"/>
        <v>87.571874983280878</v>
      </c>
      <c r="M10" s="443"/>
      <c r="N10" s="217">
        <f t="shared" si="4"/>
        <v>0.18097773936765224</v>
      </c>
      <c r="O10" s="172">
        <f t="shared" si="94"/>
        <v>320.23824206402668</v>
      </c>
      <c r="P10" s="172">
        <f t="shared" si="5"/>
        <v>4.3267744705539606</v>
      </c>
      <c r="Q10" s="217">
        <f t="shared" si="6"/>
        <v>21.349216137601779</v>
      </c>
      <c r="R10" s="217">
        <f t="shared" si="7"/>
        <v>40.029780258003335</v>
      </c>
      <c r="S10" s="443">
        <f t="shared" si="8"/>
        <v>15</v>
      </c>
      <c r="T10" s="217">
        <f t="shared" si="9"/>
        <v>1.1710031805789907</v>
      </c>
      <c r="U10" s="217">
        <f t="shared" si="10"/>
        <v>0.19592008768266894</v>
      </c>
      <c r="V10" s="217">
        <f t="shared" si="11"/>
        <v>0.88664447725899875</v>
      </c>
      <c r="W10" s="197">
        <f t="shared" si="12"/>
        <v>108.16936176384901</v>
      </c>
      <c r="X10" s="443">
        <f t="shared" si="95"/>
        <v>350</v>
      </c>
      <c r="Z10" s="217">
        <f t="shared" si="13"/>
        <v>10</v>
      </c>
      <c r="AA10" s="173">
        <f t="shared" si="14"/>
        <v>7.5716658328853255</v>
      </c>
      <c r="AB10" s="173">
        <f t="shared" si="15"/>
        <v>4.0951113031617394</v>
      </c>
      <c r="AC10" s="173"/>
      <c r="AD10" s="173">
        <f t="shared" si="16"/>
        <v>7.5716658328853255</v>
      </c>
      <c r="AE10" s="545">
        <f t="shared" si="17"/>
        <v>13.207133305550691</v>
      </c>
      <c r="AF10" s="528">
        <f t="shared" si="18"/>
        <v>4.0951113031617394</v>
      </c>
      <c r="AH10" s="173">
        <f t="shared" si="19"/>
        <v>1.9023794624226835</v>
      </c>
      <c r="AI10" s="173">
        <f t="shared" si="20"/>
        <v>10</v>
      </c>
      <c r="AJ10" s="173">
        <f t="shared" si="21"/>
        <v>1.0075469333174576</v>
      </c>
      <c r="AL10" s="545">
        <f t="shared" si="22"/>
        <v>500</v>
      </c>
      <c r="AM10" s="460">
        <f t="shared" si="23"/>
        <v>13.207133305550691</v>
      </c>
      <c r="AO10">
        <f t="shared" si="96"/>
        <v>500</v>
      </c>
      <c r="AP10" s="460">
        <f t="shared" si="24"/>
        <v>13.207133305550691</v>
      </c>
      <c r="AQ10" s="460"/>
      <c r="AR10" s="5">
        <f t="shared" si="97"/>
        <v>75.716658328853256</v>
      </c>
      <c r="AS10" s="5">
        <f t="shared" si="25"/>
        <v>1.673096119054077</v>
      </c>
      <c r="AT10" s="5">
        <f t="shared" si="98"/>
        <v>74.043562209799177</v>
      </c>
      <c r="AU10" s="173">
        <f t="shared" si="99"/>
        <v>2.2096803477346705E-2</v>
      </c>
      <c r="AW10" s="5">
        <f t="shared" si="26"/>
        <v>5.5769870635135899</v>
      </c>
      <c r="AX10" s="5">
        <f t="shared" si="27"/>
        <v>0.26142126860219961</v>
      </c>
      <c r="AY10" s="5">
        <f t="shared" si="28"/>
        <v>2.1507291071901755</v>
      </c>
      <c r="AZ10" s="5"/>
      <c r="BA10" s="173">
        <f t="shared" si="100"/>
        <v>0.8582308057344229</v>
      </c>
      <c r="BB10" s="173">
        <f t="shared" si="29"/>
        <v>5.7093583892957511</v>
      </c>
      <c r="BC10" s="173">
        <f t="shared" si="30"/>
        <v>0.14060694386187186</v>
      </c>
      <c r="BD10" s="173"/>
      <c r="BE10" s="528">
        <f t="shared" si="31"/>
        <v>1.4731202318231135E-2</v>
      </c>
      <c r="BF10" s="528">
        <f t="shared" si="32"/>
        <v>0.21685751751022686</v>
      </c>
      <c r="BG10" s="528">
        <f t="shared" si="33"/>
        <v>2.3681484563512666E-2</v>
      </c>
      <c r="BH10" s="528">
        <f t="shared" si="34"/>
        <v>1.0128330353381459E-2</v>
      </c>
      <c r="BI10">
        <f t="shared" si="35"/>
        <v>3.227549175747902E-2</v>
      </c>
      <c r="BJ10" s="460">
        <f t="shared" si="101"/>
        <v>55.956976320991686</v>
      </c>
      <c r="BK10">
        <f t="shared" si="36"/>
        <v>0.24655745887134722</v>
      </c>
      <c r="BL10" s="460">
        <f t="shared" si="102"/>
        <v>246.55745887134722</v>
      </c>
      <c r="BM10" s="173">
        <f t="shared" si="37"/>
        <v>0.31062499999999998</v>
      </c>
      <c r="BN10" s="173">
        <f t="shared" si="38"/>
        <v>5.5468749999999997E-3</v>
      </c>
      <c r="BO10" s="528"/>
      <c r="BQ10" s="460">
        <f t="shared" si="103"/>
        <v>316.171875</v>
      </c>
      <c r="BR10" s="528">
        <f t="shared" si="39"/>
        <v>2.2096803477346699E-2</v>
      </c>
      <c r="BS10" s="528">
        <f t="shared" si="104"/>
        <v>0.97790319652265312</v>
      </c>
      <c r="BT10" s="528">
        <f t="shared" si="40"/>
        <v>9.885156331087793E-5</v>
      </c>
      <c r="BU10" s="528">
        <f t="shared" si="41"/>
        <v>1.0022854084372489E-2</v>
      </c>
      <c r="BV10" s="528">
        <f t="shared" si="42"/>
        <v>1.3588654088048662</v>
      </c>
      <c r="BW10" s="625">
        <f t="shared" si="43"/>
        <v>1.320713330555069E-3</v>
      </c>
      <c r="BX10" s="460">
        <f t="shared" si="105"/>
        <v>1360.1861221354213</v>
      </c>
      <c r="BY10" s="173">
        <f t="shared" si="106"/>
        <v>1.9229154560067683</v>
      </c>
      <c r="BZ10" s="5">
        <f t="shared" si="107"/>
        <v>7.6</v>
      </c>
      <c r="CA10" s="173">
        <f t="shared" si="108"/>
        <v>0.79807492097455812</v>
      </c>
      <c r="CB10" s="5">
        <f t="shared" si="109"/>
        <v>79.807492097455807</v>
      </c>
      <c r="CC10">
        <f t="shared" si="110"/>
        <v>5</v>
      </c>
      <c r="CE10" s="562">
        <f t="shared" si="44"/>
        <v>-50</v>
      </c>
      <c r="CF10">
        <f t="shared" si="45"/>
        <v>-50</v>
      </c>
      <c r="CG10" s="173">
        <f t="shared" si="46"/>
        <v>0.10096932799026244</v>
      </c>
      <c r="CH10" s="173">
        <f t="shared" si="47"/>
        <v>1.163401557809416E-2</v>
      </c>
      <c r="CI10" s="170">
        <v>5</v>
      </c>
      <c r="CJ10" s="217">
        <f t="shared" si="133"/>
        <v>0.5</v>
      </c>
      <c r="CK10" s="217">
        <f t="shared" si="111"/>
        <v>1.2500000000000001E-2</v>
      </c>
      <c r="CL10" s="217">
        <f t="shared" si="48"/>
        <v>7.5</v>
      </c>
      <c r="CM10" s="217">
        <f t="shared" si="134"/>
        <v>0.1</v>
      </c>
      <c r="CN10" s="541">
        <f t="shared" si="112"/>
        <v>72</v>
      </c>
      <c r="CO10" s="443">
        <f t="shared" si="49"/>
        <v>15.7</v>
      </c>
      <c r="CP10" s="443">
        <f t="shared" si="50"/>
        <v>87.7</v>
      </c>
      <c r="CQ10" s="443"/>
      <c r="CR10" s="217">
        <f t="shared" si="113"/>
        <v>0.17620137299771166</v>
      </c>
      <c r="CS10" s="172">
        <f t="shared" si="114"/>
        <v>312.98928098277725</v>
      </c>
      <c r="CT10" s="172">
        <f t="shared" si="51"/>
        <v>4.2288329519450798</v>
      </c>
      <c r="CU10" s="217">
        <f t="shared" si="52"/>
        <v>20.865952065518481</v>
      </c>
      <c r="CV10" s="217">
        <f t="shared" si="53"/>
        <v>39.123660122847156</v>
      </c>
      <c r="CW10" s="443">
        <f t="shared" si="54"/>
        <v>15</v>
      </c>
      <c r="CX10" s="217">
        <f t="shared" si="55"/>
        <v>1.1981240981240981</v>
      </c>
      <c r="CY10" s="217">
        <f t="shared" si="56"/>
        <v>0.19968734968734969</v>
      </c>
      <c r="CZ10" s="217">
        <f t="shared" si="57"/>
        <v>0.91576364187829162</v>
      </c>
      <c r="DA10" s="197">
        <f t="shared" si="58"/>
        <v>107.41163055872293</v>
      </c>
      <c r="DB10" s="443">
        <f t="shared" si="115"/>
        <v>350</v>
      </c>
      <c r="DD10" s="217">
        <f t="shared" si="59"/>
        <v>10</v>
      </c>
      <c r="DE10" s="173">
        <f t="shared" si="60"/>
        <v>7.6433121019108281</v>
      </c>
      <c r="DF10" s="173">
        <f t="shared" si="61"/>
        <v>4.1049030786773102</v>
      </c>
      <c r="DG10" s="173"/>
      <c r="DH10" s="173">
        <f t="shared" si="62"/>
        <v>7.6433121019108281</v>
      </c>
      <c r="DI10" s="545">
        <f t="shared" si="63"/>
        <v>13.083333333333334</v>
      </c>
      <c r="DJ10" s="528">
        <f t="shared" si="64"/>
        <v>4.1049030786773093</v>
      </c>
      <c r="DL10" s="173">
        <f t="shared" si="65"/>
        <v>1.9023794624226835</v>
      </c>
      <c r="DM10" s="173">
        <f t="shared" si="66"/>
        <v>10</v>
      </c>
      <c r="DN10" s="173">
        <f t="shared" si="67"/>
        <v>1.0074761904761904</v>
      </c>
      <c r="DP10" s="545">
        <f t="shared" si="68"/>
        <v>500</v>
      </c>
      <c r="DQ10" s="460">
        <f t="shared" si="69"/>
        <v>13.083333333333334</v>
      </c>
      <c r="DS10">
        <f t="shared" si="116"/>
        <v>500</v>
      </c>
      <c r="DT10" s="460">
        <f t="shared" si="70"/>
        <v>13.083333333333334</v>
      </c>
      <c r="DU10" s="460"/>
      <c r="DV10" s="5">
        <f t="shared" si="117"/>
        <v>76.43312101910827</v>
      </c>
      <c r="DW10" s="5">
        <f t="shared" si="71"/>
        <v>1.6666666666666667</v>
      </c>
      <c r="DX10" s="5">
        <f t="shared" si="118"/>
        <v>74.766454352441599</v>
      </c>
      <c r="DY10" s="173">
        <f t="shared" si="119"/>
        <v>2.1805555555555561E-2</v>
      </c>
      <c r="EA10" s="5">
        <f t="shared" si="72"/>
        <v>5.5555555555555554</v>
      </c>
      <c r="EB10" s="5">
        <f t="shared" si="73"/>
        <v>0.26041666666666674</v>
      </c>
      <c r="EC10" s="5">
        <f t="shared" si="74"/>
        <v>2.1633812023275927</v>
      </c>
      <c r="ED10" s="5"/>
      <c r="EE10" s="173">
        <f t="shared" si="120"/>
        <v>0.85255606962348929</v>
      </c>
      <c r="EF10" s="173">
        <f t="shared" si="75"/>
        <v>5.710208532223799</v>
      </c>
      <c r="EG10" s="173">
        <f t="shared" si="76"/>
        <v>0.14062788071515869</v>
      </c>
      <c r="EH10" s="173"/>
      <c r="EI10" s="528">
        <f t="shared" si="77"/>
        <v>1.4537037037037038E-2</v>
      </c>
      <c r="EJ10" s="528">
        <f t="shared" si="78"/>
        <v>0.22948166666666669</v>
      </c>
      <c r="EK10" s="528">
        <f t="shared" si="79"/>
        <v>1.6354166666666667E-3</v>
      </c>
      <c r="EL10" s="528">
        <f t="shared" si="80"/>
        <v>1.0062771083333337E-2</v>
      </c>
      <c r="EM10">
        <f t="shared" si="81"/>
        <v>3.2399999999999998E-2</v>
      </c>
      <c r="EN10" s="460">
        <f t="shared" si="121"/>
        <v>34.035416666666663</v>
      </c>
      <c r="EO10">
        <f t="shared" si="82"/>
        <v>0.29305410031619589</v>
      </c>
      <c r="EP10" s="460">
        <f t="shared" si="122"/>
        <v>293.0541003161959</v>
      </c>
      <c r="EQ10" s="173">
        <f t="shared" si="83"/>
        <v>0.31062499999999998</v>
      </c>
      <c r="ER10" s="173">
        <f t="shared" si="84"/>
        <v>5.5468749999999997E-3</v>
      </c>
      <c r="ES10" s="528"/>
      <c r="EU10" s="460">
        <f t="shared" si="123"/>
        <v>316.171875</v>
      </c>
      <c r="EV10" s="528">
        <f t="shared" si="85"/>
        <v>2.1805555555555554E-2</v>
      </c>
      <c r="EW10" s="528">
        <f t="shared" si="124"/>
        <v>0.97819444444444414</v>
      </c>
      <c r="EX10" s="528">
        <f t="shared" si="86"/>
        <v>9.8881004172184507E-5</v>
      </c>
      <c r="EY10" s="528">
        <f t="shared" si="87"/>
        <v>9.7896241917020885E-3</v>
      </c>
      <c r="EZ10" s="528">
        <f t="shared" si="88"/>
        <v>1.3586119390325</v>
      </c>
      <c r="FA10" s="625">
        <f t="shared" si="89"/>
        <v>1.3083333333333334E-3</v>
      </c>
      <c r="FB10" s="460">
        <f t="shared" si="125"/>
        <v>1359.9202723658332</v>
      </c>
      <c r="FC10" s="173">
        <f t="shared" si="126"/>
        <v>1.9691462476820289</v>
      </c>
      <c r="FD10" s="5">
        <f t="shared" si="127"/>
        <v>7.6</v>
      </c>
      <c r="FE10" s="173">
        <f t="shared" si="128"/>
        <v>0.79421923370028735</v>
      </c>
      <c r="FF10" s="5">
        <f t="shared" si="129"/>
        <v>79.421923370028736</v>
      </c>
      <c r="FG10">
        <f t="shared" si="130"/>
        <v>5</v>
      </c>
      <c r="FI10" s="562">
        <f t="shared" si="90"/>
        <v>-50</v>
      </c>
      <c r="FJ10">
        <f t="shared" si="91"/>
        <v>-50</v>
      </c>
      <c r="FL10">
        <f t="shared" si="92"/>
        <v>0.10096932799026244</v>
      </c>
    </row>
    <row r="11" spans="2:169">
      <c r="E11" s="170">
        <v>6</v>
      </c>
      <c r="F11" s="217">
        <f t="shared" si="131"/>
        <v>0.6</v>
      </c>
      <c r="G11" s="217">
        <f t="shared" si="93"/>
        <v>1.4999999999999999E-2</v>
      </c>
      <c r="H11" s="217">
        <f t="shared" si="0"/>
        <v>9</v>
      </c>
      <c r="I11" s="217">
        <f t="shared" si="132"/>
        <v>0.12</v>
      </c>
      <c r="J11" s="541">
        <f t="shared" si="1"/>
        <v>71.723315016620049</v>
      </c>
      <c r="K11" s="443">
        <f t="shared" si="2"/>
        <v>15.848559966660831</v>
      </c>
      <c r="L11" s="172">
        <f t="shared" si="3"/>
        <v>87.571874983280878</v>
      </c>
      <c r="M11" s="443"/>
      <c r="N11" s="217">
        <f t="shared" si="4"/>
        <v>0.18097773936765224</v>
      </c>
      <c r="O11" s="172">
        <f t="shared" si="94"/>
        <v>320.23824206402668</v>
      </c>
      <c r="P11" s="172">
        <f t="shared" si="5"/>
        <v>4.3267744705539606</v>
      </c>
      <c r="Q11" s="217">
        <f t="shared" si="6"/>
        <v>21.349216137601779</v>
      </c>
      <c r="R11" s="217">
        <f t="shared" si="7"/>
        <v>40.029780258003335</v>
      </c>
      <c r="S11" s="443">
        <f t="shared" si="8"/>
        <v>15</v>
      </c>
      <c r="T11" s="217">
        <f t="shared" si="9"/>
        <v>1.4052038166947889</v>
      </c>
      <c r="U11" s="217">
        <f t="shared" si="10"/>
        <v>0.23510410521920277</v>
      </c>
      <c r="V11" s="217">
        <f t="shared" si="11"/>
        <v>1.0639733727107985</v>
      </c>
      <c r="W11" s="197">
        <f t="shared" si="12"/>
        <v>108.16936176384901</v>
      </c>
      <c r="X11" s="443">
        <f t="shared" si="95"/>
        <v>350</v>
      </c>
      <c r="Z11" s="217">
        <f t="shared" si="13"/>
        <v>10</v>
      </c>
      <c r="AA11" s="173">
        <f t="shared" si="14"/>
        <v>7.5716658328853255</v>
      </c>
      <c r="AB11" s="173">
        <f t="shared" si="15"/>
        <v>4.0951113031617394</v>
      </c>
      <c r="AC11" s="173"/>
      <c r="AD11" s="173">
        <f t="shared" si="16"/>
        <v>7.5716658328853255</v>
      </c>
      <c r="AE11" s="545">
        <f t="shared" si="17"/>
        <v>15.848559966660829</v>
      </c>
      <c r="AF11" s="528">
        <f t="shared" si="18"/>
        <v>4.0951113031617394</v>
      </c>
      <c r="AH11" s="173">
        <f t="shared" si="19"/>
        <v>2.0839522890069109</v>
      </c>
      <c r="AI11" s="173">
        <f t="shared" si="20"/>
        <v>10</v>
      </c>
      <c r="AJ11" s="173">
        <f t="shared" si="21"/>
        <v>1.009056319980949</v>
      </c>
      <c r="AL11" s="545">
        <f t="shared" si="22"/>
        <v>600</v>
      </c>
      <c r="AM11" s="460">
        <f t="shared" si="23"/>
        <v>15.848559966660829</v>
      </c>
      <c r="AO11">
        <f t="shared" si="96"/>
        <v>600</v>
      </c>
      <c r="AP11" s="460">
        <f t="shared" si="24"/>
        <v>15.848559966660829</v>
      </c>
      <c r="AQ11" s="460"/>
      <c r="AR11" s="5">
        <f t="shared" si="97"/>
        <v>63.09721527404438</v>
      </c>
      <c r="AS11" s="5">
        <f t="shared" si="25"/>
        <v>1.673096119054077</v>
      </c>
      <c r="AT11" s="5">
        <f t="shared" si="98"/>
        <v>61.424119154990301</v>
      </c>
      <c r="AU11" s="173">
        <f t="shared" si="99"/>
        <v>2.6516164172816045E-2</v>
      </c>
      <c r="AW11" s="5">
        <f t="shared" si="26"/>
        <v>6.6923844762163069</v>
      </c>
      <c r="AX11" s="5">
        <f t="shared" si="27"/>
        <v>0.31370552232263943</v>
      </c>
      <c r="AY11" s="5">
        <f t="shared" si="28"/>
        <v>2.1410094869693634</v>
      </c>
      <c r="AZ11" s="5"/>
      <c r="BA11" s="173">
        <f t="shared" si="100"/>
        <v>0.94014474369315493</v>
      </c>
      <c r="BB11" s="173">
        <f t="shared" si="29"/>
        <v>5.6964428544697485</v>
      </c>
      <c r="BC11" s="173">
        <f t="shared" si="30"/>
        <v>0.14028886716105893</v>
      </c>
      <c r="BD11" s="173"/>
      <c r="BE11" s="528">
        <f t="shared" si="31"/>
        <v>1.767744278187736E-2</v>
      </c>
      <c r="BF11" s="528">
        <f t="shared" si="32"/>
        <v>0.26022902101227224</v>
      </c>
      <c r="BG11" s="528">
        <f t="shared" si="33"/>
        <v>2.8417781476215195E-2</v>
      </c>
      <c r="BH11" s="528">
        <f t="shared" si="34"/>
        <v>1.2153996424057751E-2</v>
      </c>
      <c r="BI11">
        <f t="shared" si="35"/>
        <v>3.227549175747902E-2</v>
      </c>
      <c r="BJ11" s="460">
        <f t="shared" si="101"/>
        <v>60.693273233694214</v>
      </c>
      <c r="BK11">
        <f t="shared" si="36"/>
        <v>0.29607694041125543</v>
      </c>
      <c r="BL11" s="460">
        <f t="shared" si="102"/>
        <v>296.07694041125541</v>
      </c>
      <c r="BM11" s="173">
        <f t="shared" si="37"/>
        <v>0.37274999999999997</v>
      </c>
      <c r="BN11" s="173">
        <f t="shared" si="38"/>
        <v>6.6562499999999998E-3</v>
      </c>
      <c r="BO11" s="528"/>
      <c r="BQ11" s="460">
        <f t="shared" si="103"/>
        <v>379.40624999999994</v>
      </c>
      <c r="BR11" s="528">
        <f t="shared" si="39"/>
        <v>2.6516164172816038E-2</v>
      </c>
      <c r="BS11" s="528">
        <f t="shared" si="104"/>
        <v>0.97348383582718356</v>
      </c>
      <c r="BT11" s="528">
        <f t="shared" si="40"/>
        <v>9.8404831246666201E-5</v>
      </c>
      <c r="BU11" s="528">
        <f t="shared" si="41"/>
        <v>1.5810460625069578E-2</v>
      </c>
      <c r="BV11" s="528">
        <f t="shared" si="42"/>
        <v>1.3651556844010813</v>
      </c>
      <c r="BW11" s="625">
        <f t="shared" si="43"/>
        <v>1.584855996666083E-3</v>
      </c>
      <c r="BX11" s="460">
        <f t="shared" si="105"/>
        <v>1366.7405403977473</v>
      </c>
      <c r="BY11" s="173">
        <f t="shared" si="106"/>
        <v>2.042223730809003</v>
      </c>
      <c r="BZ11" s="5">
        <f t="shared" si="107"/>
        <v>9.1199999999999992</v>
      </c>
      <c r="CA11" s="173">
        <f t="shared" si="108"/>
        <v>0.8170414981763684</v>
      </c>
      <c r="CB11" s="5">
        <f t="shared" si="109"/>
        <v>81.704149817636846</v>
      </c>
      <c r="CC11">
        <f t="shared" si="110"/>
        <v>6</v>
      </c>
      <c r="CE11" s="562">
        <f t="shared" si="44"/>
        <v>-50</v>
      </c>
      <c r="CF11">
        <f t="shared" si="45"/>
        <v>-50</v>
      </c>
      <c r="CG11" s="173">
        <f t="shared" si="46"/>
        <v>0.12116319358831493</v>
      </c>
      <c r="CH11" s="173">
        <f t="shared" si="47"/>
        <v>1.3960818693712991E-2</v>
      </c>
      <c r="CI11" s="170">
        <v>6</v>
      </c>
      <c r="CJ11" s="217">
        <f t="shared" si="133"/>
        <v>0.6</v>
      </c>
      <c r="CK11" s="217">
        <f t="shared" si="111"/>
        <v>1.4999999999999999E-2</v>
      </c>
      <c r="CL11" s="217">
        <f t="shared" si="48"/>
        <v>9</v>
      </c>
      <c r="CM11" s="217">
        <f t="shared" si="134"/>
        <v>0.12</v>
      </c>
      <c r="CN11" s="541">
        <f t="shared" si="112"/>
        <v>72</v>
      </c>
      <c r="CO11" s="443">
        <f t="shared" si="49"/>
        <v>15.7</v>
      </c>
      <c r="CP11" s="443">
        <f t="shared" si="50"/>
        <v>87.7</v>
      </c>
      <c r="CQ11" s="443"/>
      <c r="CR11" s="217">
        <f t="shared" si="113"/>
        <v>0.17620137299771166</v>
      </c>
      <c r="CS11" s="172">
        <f t="shared" si="114"/>
        <v>312.98928098277725</v>
      </c>
      <c r="CT11" s="172">
        <f t="shared" si="51"/>
        <v>4.2288329519450798</v>
      </c>
      <c r="CU11" s="217">
        <f t="shared" si="52"/>
        <v>20.865952065518481</v>
      </c>
      <c r="CV11" s="217">
        <f t="shared" si="53"/>
        <v>39.123660122847156</v>
      </c>
      <c r="CW11" s="443">
        <f t="shared" si="54"/>
        <v>15</v>
      </c>
      <c r="CX11" s="217">
        <f t="shared" si="55"/>
        <v>1.4377489177489178</v>
      </c>
      <c r="CY11" s="217">
        <f t="shared" si="56"/>
        <v>0.23962481962481966</v>
      </c>
      <c r="CZ11" s="217">
        <f t="shared" si="57"/>
        <v>1.0989163702539502</v>
      </c>
      <c r="DA11" s="197">
        <f t="shared" si="58"/>
        <v>107.41163055872293</v>
      </c>
      <c r="DB11" s="443">
        <f t="shared" si="115"/>
        <v>350</v>
      </c>
      <c r="DD11" s="217">
        <f t="shared" si="59"/>
        <v>10</v>
      </c>
      <c r="DE11" s="173">
        <f t="shared" si="60"/>
        <v>7.6433121019108281</v>
      </c>
      <c r="DF11" s="173">
        <f t="shared" si="61"/>
        <v>4.1049030786773102</v>
      </c>
      <c r="DG11" s="173"/>
      <c r="DH11" s="173">
        <f t="shared" si="62"/>
        <v>7.6433121019108281</v>
      </c>
      <c r="DI11" s="545">
        <f t="shared" si="63"/>
        <v>15.7</v>
      </c>
      <c r="DJ11" s="528">
        <f t="shared" si="64"/>
        <v>4.1049030786773093</v>
      </c>
      <c r="DL11" s="173">
        <f t="shared" si="65"/>
        <v>2.0839522890069109</v>
      </c>
      <c r="DM11" s="173">
        <f t="shared" si="66"/>
        <v>10</v>
      </c>
      <c r="DN11" s="173">
        <f t="shared" si="67"/>
        <v>1.0089714285714286</v>
      </c>
      <c r="DP11" s="545">
        <f t="shared" si="68"/>
        <v>600</v>
      </c>
      <c r="DQ11" s="460">
        <f t="shared" si="69"/>
        <v>15.7</v>
      </c>
      <c r="DS11">
        <f t="shared" si="116"/>
        <v>600</v>
      </c>
      <c r="DT11" s="460">
        <f t="shared" si="70"/>
        <v>15.7</v>
      </c>
      <c r="DU11" s="460"/>
      <c r="DV11" s="5">
        <f t="shared" si="117"/>
        <v>63.694267515923563</v>
      </c>
      <c r="DW11" s="5">
        <f t="shared" si="71"/>
        <v>1.6666666666666667</v>
      </c>
      <c r="DX11" s="5">
        <f t="shared" si="118"/>
        <v>62.027600849256899</v>
      </c>
      <c r="DY11" s="173">
        <f t="shared" si="119"/>
        <v>2.6166666666666668E-2</v>
      </c>
      <c r="EA11" s="5">
        <f t="shared" si="72"/>
        <v>6.666666666666667</v>
      </c>
      <c r="EB11" s="5">
        <f t="shared" si="73"/>
        <v>0.3125</v>
      </c>
      <c r="EC11" s="5">
        <f t="shared" si="74"/>
        <v>2.1537361405991979</v>
      </c>
      <c r="ED11" s="5"/>
      <c r="EE11" s="173">
        <f t="shared" si="120"/>
        <v>0.93392838174146009</v>
      </c>
      <c r="EF11" s="173">
        <f t="shared" si="75"/>
        <v>5.6974653233794337</v>
      </c>
      <c r="EG11" s="173">
        <f t="shared" si="76"/>
        <v>0.14031404796401117</v>
      </c>
      <c r="EH11" s="173"/>
      <c r="EI11" s="528">
        <f t="shared" si="77"/>
        <v>1.744444444444445E-2</v>
      </c>
      <c r="EJ11" s="528">
        <f t="shared" si="78"/>
        <v>0.27537800000000001</v>
      </c>
      <c r="EK11" s="528">
        <f t="shared" si="79"/>
        <v>1.9624999999999998E-3</v>
      </c>
      <c r="EL11" s="528">
        <f t="shared" si="80"/>
        <v>1.20753253E-2</v>
      </c>
      <c r="EM11">
        <f t="shared" si="81"/>
        <v>3.2399999999999998E-2</v>
      </c>
      <c r="EN11" s="460">
        <f t="shared" si="121"/>
        <v>34.362499999999997</v>
      </c>
      <c r="EO11">
        <f t="shared" si="82"/>
        <v>0.34540189150435169</v>
      </c>
      <c r="EP11" s="460">
        <f t="shared" si="122"/>
        <v>345.40189150435168</v>
      </c>
      <c r="EQ11" s="173">
        <f t="shared" si="83"/>
        <v>0.37274999999999997</v>
      </c>
      <c r="ER11" s="173">
        <f t="shared" si="84"/>
        <v>6.6562499999999998E-3</v>
      </c>
      <c r="ES11" s="528"/>
      <c r="EU11" s="460">
        <f t="shared" si="123"/>
        <v>379.40624999999994</v>
      </c>
      <c r="EV11" s="528">
        <f t="shared" si="85"/>
        <v>2.6166666666666671E-2</v>
      </c>
      <c r="EW11" s="528">
        <f t="shared" si="124"/>
        <v>0.97383333333333344</v>
      </c>
      <c r="EX11" s="528">
        <f t="shared" si="86"/>
        <v>9.8440160280234139E-5</v>
      </c>
      <c r="EY11" s="528">
        <f t="shared" si="87"/>
        <v>1.544255423796531E-2</v>
      </c>
      <c r="EZ11" s="528">
        <f t="shared" si="88"/>
        <v>1.3647558345427828</v>
      </c>
      <c r="FA11" s="625">
        <f t="shared" si="89"/>
        <v>1.57E-3</v>
      </c>
      <c r="FB11" s="460">
        <f t="shared" si="125"/>
        <v>1366.3258345427828</v>
      </c>
      <c r="FC11" s="173">
        <f t="shared" si="126"/>
        <v>2.0911339760471348</v>
      </c>
      <c r="FD11" s="5">
        <f t="shared" si="127"/>
        <v>9.1199999999999992</v>
      </c>
      <c r="FE11" s="173">
        <f t="shared" si="128"/>
        <v>0.81347703269670191</v>
      </c>
      <c r="FF11" s="5">
        <f t="shared" si="129"/>
        <v>81.347703269670191</v>
      </c>
      <c r="FG11">
        <f t="shared" si="130"/>
        <v>6</v>
      </c>
      <c r="FI11" s="562">
        <f t="shared" si="90"/>
        <v>-50</v>
      </c>
      <c r="FJ11">
        <f t="shared" si="91"/>
        <v>-50</v>
      </c>
      <c r="FL11">
        <f t="shared" si="92"/>
        <v>0.12116319358831493</v>
      </c>
    </row>
    <row r="12" spans="2:169">
      <c r="E12" s="170">
        <v>7</v>
      </c>
      <c r="F12" s="217">
        <f t="shared" si="131"/>
        <v>0.70000000000000007</v>
      </c>
      <c r="G12" s="217">
        <f t="shared" si="93"/>
        <v>1.7500000000000002E-2</v>
      </c>
      <c r="H12" s="217">
        <f t="shared" si="0"/>
        <v>10.500000000000002</v>
      </c>
      <c r="I12" s="217">
        <f t="shared" si="132"/>
        <v>0.14000000000000001</v>
      </c>
      <c r="J12" s="541">
        <f t="shared" si="1"/>
        <v>71.723315016620049</v>
      </c>
      <c r="K12" s="443">
        <f t="shared" si="2"/>
        <v>15.848559966660831</v>
      </c>
      <c r="L12" s="172">
        <f t="shared" si="3"/>
        <v>87.571874983280878</v>
      </c>
      <c r="M12" s="443"/>
      <c r="N12" s="217">
        <f t="shared" si="4"/>
        <v>0.18097773936765224</v>
      </c>
      <c r="O12" s="172">
        <f t="shared" si="94"/>
        <v>320.23824206402668</v>
      </c>
      <c r="P12" s="172">
        <f t="shared" si="5"/>
        <v>4.3267744705539606</v>
      </c>
      <c r="Q12" s="217">
        <f t="shared" si="6"/>
        <v>21.349216137601779</v>
      </c>
      <c r="R12" s="217">
        <f t="shared" si="7"/>
        <v>40.029780258003335</v>
      </c>
      <c r="S12" s="443">
        <f t="shared" si="8"/>
        <v>15</v>
      </c>
      <c r="T12" s="217">
        <f t="shared" si="9"/>
        <v>1.6394044528105873</v>
      </c>
      <c r="U12" s="217">
        <f t="shared" si="10"/>
        <v>0.27428812275573661</v>
      </c>
      <c r="V12" s="217">
        <f t="shared" si="11"/>
        <v>1.2413022681625989</v>
      </c>
      <c r="W12" s="197">
        <f t="shared" si="12"/>
        <v>108.16936176384901</v>
      </c>
      <c r="X12" s="443">
        <f t="shared" si="95"/>
        <v>350</v>
      </c>
      <c r="Z12" s="217">
        <f t="shared" si="13"/>
        <v>10</v>
      </c>
      <c r="AA12" s="173">
        <f t="shared" si="14"/>
        <v>7.5716658328853255</v>
      </c>
      <c r="AB12" s="173">
        <f t="shared" si="15"/>
        <v>4.0951113031617394</v>
      </c>
      <c r="AC12" s="173"/>
      <c r="AD12" s="173">
        <f t="shared" si="16"/>
        <v>7.5716658328853255</v>
      </c>
      <c r="AE12" s="545">
        <f t="shared" si="17"/>
        <v>18.489986627770971</v>
      </c>
      <c r="AF12" s="528">
        <f t="shared" si="18"/>
        <v>4.0951113031617394</v>
      </c>
      <c r="AH12" s="173">
        <f t="shared" si="19"/>
        <v>2.2509257354845511</v>
      </c>
      <c r="AI12" s="173">
        <f t="shared" si="20"/>
        <v>10</v>
      </c>
      <c r="AJ12" s="173">
        <f t="shared" si="21"/>
        <v>1.0105657066444405</v>
      </c>
      <c r="AL12" s="545">
        <f t="shared" si="22"/>
        <v>700.00000000000011</v>
      </c>
      <c r="AM12" s="460">
        <f t="shared" si="23"/>
        <v>18.489986627770971</v>
      </c>
      <c r="AO12">
        <f t="shared" si="96"/>
        <v>700.00000000000011</v>
      </c>
      <c r="AP12" s="460">
        <f t="shared" si="24"/>
        <v>18.489986627770971</v>
      </c>
      <c r="AQ12" s="460"/>
      <c r="AR12" s="5">
        <f t="shared" si="97"/>
        <v>54.083327377752319</v>
      </c>
      <c r="AS12" s="5">
        <f t="shared" si="25"/>
        <v>1.673096119054077</v>
      </c>
      <c r="AT12" s="5">
        <f t="shared" si="98"/>
        <v>52.410231258698239</v>
      </c>
      <c r="AU12" s="173">
        <f t="shared" si="99"/>
        <v>3.093552486828539E-2</v>
      </c>
      <c r="AW12" s="5">
        <f t="shared" si="26"/>
        <v>7.8077818889190258</v>
      </c>
      <c r="AX12" s="5">
        <f t="shared" si="27"/>
        <v>0.36598977604307936</v>
      </c>
      <c r="AY12" s="5">
        <f t="shared" si="28"/>
        <v>2.1312898667485523</v>
      </c>
      <c r="AZ12" s="5"/>
      <c r="BA12" s="173">
        <f t="shared" si="100"/>
        <v>1.0154723838077429</v>
      </c>
      <c r="BB12" s="173">
        <f t="shared" si="29"/>
        <v>5.683497969653649</v>
      </c>
      <c r="BC12" s="173">
        <f t="shared" si="30"/>
        <v>0.1399700676448036</v>
      </c>
      <c r="BD12" s="173"/>
      <c r="BE12" s="528">
        <f t="shared" si="31"/>
        <v>2.0623683245523595E-2</v>
      </c>
      <c r="BF12" s="528">
        <f t="shared" si="32"/>
        <v>0.30360052451431768</v>
      </c>
      <c r="BG12" s="528">
        <f t="shared" si="33"/>
        <v>3.3154078388917735E-2</v>
      </c>
      <c r="BH12" s="528">
        <f t="shared" si="34"/>
        <v>1.4179662494734045E-2</v>
      </c>
      <c r="BI12">
        <f t="shared" si="35"/>
        <v>3.227549175747902E-2</v>
      </c>
      <c r="BJ12" s="460">
        <f t="shared" si="101"/>
        <v>65.429570146396742</v>
      </c>
      <c r="BK12">
        <f t="shared" si="36"/>
        <v>0.34566609327557124</v>
      </c>
      <c r="BL12" s="460">
        <f t="shared" si="102"/>
        <v>345.66609327557126</v>
      </c>
      <c r="BM12" s="173">
        <f t="shared" si="37"/>
        <v>0.43487499999999996</v>
      </c>
      <c r="BN12" s="173">
        <f t="shared" si="38"/>
        <v>7.765625E-3</v>
      </c>
      <c r="BO12" s="528"/>
      <c r="BQ12" s="460">
        <f t="shared" si="103"/>
        <v>442.64062499999994</v>
      </c>
      <c r="BR12" s="528">
        <f t="shared" si="39"/>
        <v>3.093552486828539E-2</v>
      </c>
      <c r="BS12" s="528">
        <f t="shared" si="104"/>
        <v>0.96906447513171456</v>
      </c>
      <c r="BT12" s="528">
        <f t="shared" si="40"/>
        <v>9.7958099182454472E-5</v>
      </c>
      <c r="BU12" s="528">
        <f t="shared" si="41"/>
        <v>2.3244033731665323E-2</v>
      </c>
      <c r="BV12" s="528">
        <f t="shared" si="42"/>
        <v>1.3732350688417581</v>
      </c>
      <c r="BW12" s="625">
        <f t="shared" si="43"/>
        <v>1.8489986627770972E-3</v>
      </c>
      <c r="BX12" s="460">
        <f t="shared" si="105"/>
        <v>1375.0840675045351</v>
      </c>
      <c r="BY12" s="173">
        <f t="shared" si="106"/>
        <v>2.1633907857801065</v>
      </c>
      <c r="BZ12" s="5">
        <f t="shared" si="107"/>
        <v>10.640000000000002</v>
      </c>
      <c r="CA12" s="173">
        <f t="shared" si="108"/>
        <v>0.83102985592044532</v>
      </c>
      <c r="CB12" s="5">
        <f t="shared" si="109"/>
        <v>83.102985592044533</v>
      </c>
      <c r="CC12">
        <f t="shared" si="110"/>
        <v>7.0000000000000009</v>
      </c>
      <c r="CE12" s="562">
        <f t="shared" si="44"/>
        <v>-50</v>
      </c>
      <c r="CF12">
        <f t="shared" si="45"/>
        <v>-50</v>
      </c>
      <c r="CG12" s="173">
        <f t="shared" si="46"/>
        <v>0.14135705918636746</v>
      </c>
      <c r="CH12" s="173">
        <f t="shared" si="47"/>
        <v>1.6287621809331826E-2</v>
      </c>
      <c r="CI12" s="170">
        <v>7</v>
      </c>
      <c r="CJ12" s="217">
        <f t="shared" si="133"/>
        <v>0.70000000000000007</v>
      </c>
      <c r="CK12" s="217">
        <f t="shared" si="111"/>
        <v>1.7500000000000002E-2</v>
      </c>
      <c r="CL12" s="217">
        <f t="shared" si="48"/>
        <v>10.500000000000002</v>
      </c>
      <c r="CM12" s="217">
        <f t="shared" si="134"/>
        <v>0.14000000000000001</v>
      </c>
      <c r="CN12" s="541">
        <f t="shared" si="112"/>
        <v>72</v>
      </c>
      <c r="CO12" s="443">
        <f t="shared" si="49"/>
        <v>15.7</v>
      </c>
      <c r="CP12" s="443">
        <f t="shared" si="50"/>
        <v>87.7</v>
      </c>
      <c r="CQ12" s="443"/>
      <c r="CR12" s="217">
        <f t="shared" si="113"/>
        <v>0.17620137299771166</v>
      </c>
      <c r="CS12" s="172">
        <f t="shared" si="114"/>
        <v>312.98928098277725</v>
      </c>
      <c r="CT12" s="172">
        <f t="shared" si="51"/>
        <v>4.2288329519450798</v>
      </c>
      <c r="CU12" s="217">
        <f t="shared" si="52"/>
        <v>20.865952065518481</v>
      </c>
      <c r="CV12" s="217">
        <f t="shared" si="53"/>
        <v>39.123660122847156</v>
      </c>
      <c r="CW12" s="443">
        <f t="shared" si="54"/>
        <v>15</v>
      </c>
      <c r="CX12" s="217">
        <f t="shared" si="55"/>
        <v>1.6773737373737378</v>
      </c>
      <c r="CY12" s="217">
        <f t="shared" si="56"/>
        <v>0.27956228956228962</v>
      </c>
      <c r="CZ12" s="217">
        <f t="shared" si="57"/>
        <v>1.2820690986296086</v>
      </c>
      <c r="DA12" s="197">
        <f t="shared" si="58"/>
        <v>107.41163055872293</v>
      </c>
      <c r="DB12" s="443">
        <f t="shared" si="115"/>
        <v>350</v>
      </c>
      <c r="DD12" s="217">
        <f t="shared" si="59"/>
        <v>10</v>
      </c>
      <c r="DE12" s="173">
        <f t="shared" si="60"/>
        <v>7.6433121019108281</v>
      </c>
      <c r="DF12" s="173">
        <f t="shared" si="61"/>
        <v>4.1049030786773102</v>
      </c>
      <c r="DG12" s="173"/>
      <c r="DH12" s="173">
        <f t="shared" si="62"/>
        <v>7.6433121019108281</v>
      </c>
      <c r="DI12" s="545">
        <f t="shared" si="63"/>
        <v>18.31666666666667</v>
      </c>
      <c r="DJ12" s="528">
        <f t="shared" si="64"/>
        <v>4.1049030786773093</v>
      </c>
      <c r="DL12" s="173">
        <f t="shared" si="65"/>
        <v>2.2509257354845511</v>
      </c>
      <c r="DM12" s="173">
        <f t="shared" si="66"/>
        <v>10</v>
      </c>
      <c r="DN12" s="173">
        <f t="shared" si="67"/>
        <v>1.0104666666666666</v>
      </c>
      <c r="DP12" s="545">
        <f t="shared" si="68"/>
        <v>700.00000000000011</v>
      </c>
      <c r="DQ12" s="460">
        <f t="shared" si="69"/>
        <v>18.31666666666667</v>
      </c>
      <c r="DS12">
        <f t="shared" si="116"/>
        <v>700.00000000000011</v>
      </c>
      <c r="DT12" s="460">
        <f t="shared" si="70"/>
        <v>18.31666666666667</v>
      </c>
      <c r="DU12" s="460"/>
      <c r="DV12" s="5">
        <f t="shared" si="117"/>
        <v>54.595086442220193</v>
      </c>
      <c r="DW12" s="5">
        <f t="shared" si="71"/>
        <v>1.6666666666666667</v>
      </c>
      <c r="DX12" s="5">
        <f t="shared" si="118"/>
        <v>52.928419775553529</v>
      </c>
      <c r="DY12" s="173">
        <f t="shared" si="119"/>
        <v>3.0527777777777782E-2</v>
      </c>
      <c r="EA12" s="5">
        <f t="shared" si="72"/>
        <v>7.7777777777777786</v>
      </c>
      <c r="EB12" s="5">
        <f t="shared" si="73"/>
        <v>0.36458333333333343</v>
      </c>
      <c r="EC12" s="5">
        <f t="shared" si="74"/>
        <v>2.1440910788708032</v>
      </c>
      <c r="ED12" s="5"/>
      <c r="EE12" s="173">
        <f t="shared" si="120"/>
        <v>1.0087579454916786</v>
      </c>
      <c r="EF12" s="173">
        <f t="shared" si="75"/>
        <v>5.6846935485337058</v>
      </c>
      <c r="EG12" s="173">
        <f t="shared" si="76"/>
        <v>0.13999951170506539</v>
      </c>
      <c r="EH12" s="173"/>
      <c r="EI12" s="528">
        <f t="shared" si="77"/>
        <v>2.0351851851851847E-2</v>
      </c>
      <c r="EJ12" s="528">
        <f t="shared" si="78"/>
        <v>0.32127433333333338</v>
      </c>
      <c r="EK12" s="528">
        <f t="shared" si="79"/>
        <v>2.2895833333333336E-3</v>
      </c>
      <c r="EL12" s="528">
        <f t="shared" si="80"/>
        <v>1.4087879516666671E-2</v>
      </c>
      <c r="EM12">
        <f t="shared" si="81"/>
        <v>3.2399999999999998E-2</v>
      </c>
      <c r="EN12" s="460">
        <f t="shared" si="121"/>
        <v>34.689583333333331</v>
      </c>
      <c r="EO12">
        <f t="shared" si="82"/>
        <v>0.39782235782870173</v>
      </c>
      <c r="EP12" s="460">
        <f t="shared" si="122"/>
        <v>397.82235782870174</v>
      </c>
      <c r="EQ12" s="173">
        <f t="shared" si="83"/>
        <v>0.43487499999999996</v>
      </c>
      <c r="ER12" s="173">
        <f t="shared" si="84"/>
        <v>7.765625E-3</v>
      </c>
      <c r="ES12" s="528"/>
      <c r="EU12" s="460">
        <f t="shared" si="123"/>
        <v>442.64062499999994</v>
      </c>
      <c r="EV12" s="528">
        <f t="shared" si="85"/>
        <v>3.0527777777777772E-2</v>
      </c>
      <c r="EW12" s="528">
        <f t="shared" si="124"/>
        <v>0.96947222222222207</v>
      </c>
      <c r="EX12" s="528">
        <f t="shared" si="86"/>
        <v>9.7999316388283704E-5</v>
      </c>
      <c r="EY12" s="528">
        <f t="shared" si="87"/>
        <v>2.2703149523751295E-2</v>
      </c>
      <c r="EZ12" s="528">
        <f t="shared" si="88"/>
        <v>1.3726472066903308</v>
      </c>
      <c r="FA12" s="625">
        <f t="shared" si="89"/>
        <v>1.8316666666666672E-3</v>
      </c>
      <c r="FB12" s="460">
        <f t="shared" si="125"/>
        <v>1374.4788733569974</v>
      </c>
      <c r="FC12" s="173">
        <f t="shared" si="126"/>
        <v>2.2149418561856988</v>
      </c>
      <c r="FD12" s="5">
        <f t="shared" si="127"/>
        <v>10.640000000000002</v>
      </c>
      <c r="FE12" s="173">
        <f t="shared" si="128"/>
        <v>0.82769724818942803</v>
      </c>
      <c r="FF12" s="5">
        <f t="shared" si="129"/>
        <v>82.769724818942805</v>
      </c>
      <c r="FG12">
        <f t="shared" si="130"/>
        <v>7.0000000000000009</v>
      </c>
      <c r="FI12" s="562">
        <f t="shared" si="90"/>
        <v>-50</v>
      </c>
      <c r="FJ12">
        <f t="shared" si="91"/>
        <v>-50</v>
      </c>
      <c r="FL12">
        <f t="shared" si="92"/>
        <v>0.14135705918636746</v>
      </c>
    </row>
    <row r="13" spans="2:169" s="76" customFormat="1">
      <c r="E13" s="189">
        <v>8</v>
      </c>
      <c r="F13" s="217">
        <f t="shared" si="131"/>
        <v>0.8</v>
      </c>
      <c r="G13" s="217">
        <f t="shared" si="93"/>
        <v>0.02</v>
      </c>
      <c r="H13" s="217">
        <f t="shared" si="0"/>
        <v>12</v>
      </c>
      <c r="I13" s="217">
        <f t="shared" si="132"/>
        <v>0.16</v>
      </c>
      <c r="J13" s="541">
        <f t="shared" si="1"/>
        <v>71.723315016620049</v>
      </c>
      <c r="K13" s="443">
        <f t="shared" si="2"/>
        <v>15.848559966660831</v>
      </c>
      <c r="L13" s="172">
        <f t="shared" si="3"/>
        <v>87.571874983280878</v>
      </c>
      <c r="M13" s="443"/>
      <c r="N13" s="217">
        <f t="shared" si="4"/>
        <v>0.18097773936765224</v>
      </c>
      <c r="O13" s="172">
        <f t="shared" si="94"/>
        <v>320.23824206402668</v>
      </c>
      <c r="P13" s="172">
        <f t="shared" si="5"/>
        <v>4.3267744705539606</v>
      </c>
      <c r="Q13" s="329">
        <f t="shared" si="6"/>
        <v>21.349216137601779</v>
      </c>
      <c r="R13" s="217">
        <f t="shared" si="7"/>
        <v>40.029780258003335</v>
      </c>
      <c r="S13" s="443">
        <f t="shared" si="8"/>
        <v>15</v>
      </c>
      <c r="T13" s="217">
        <f t="shared" si="9"/>
        <v>1.8736050889263853</v>
      </c>
      <c r="U13" s="329">
        <f t="shared" si="10"/>
        <v>0.31347214029227038</v>
      </c>
      <c r="V13" s="217">
        <f t="shared" si="11"/>
        <v>1.4186311636143984</v>
      </c>
      <c r="W13" s="537">
        <f t="shared" si="12"/>
        <v>108.16936176384901</v>
      </c>
      <c r="X13" s="443">
        <f t="shared" si="95"/>
        <v>350</v>
      </c>
      <c r="Z13" s="329">
        <f t="shared" si="13"/>
        <v>10</v>
      </c>
      <c r="AA13" s="173">
        <f t="shared" si="14"/>
        <v>7.5716658328853255</v>
      </c>
      <c r="AB13" s="173">
        <f t="shared" si="15"/>
        <v>4.0951113031617394</v>
      </c>
      <c r="AC13" s="538"/>
      <c r="AD13" s="173">
        <f t="shared" si="16"/>
        <v>7.5716658328853255</v>
      </c>
      <c r="AE13" s="545">
        <f t="shared" si="17"/>
        <v>21.131413288881106</v>
      </c>
      <c r="AF13" s="528">
        <f t="shared" si="18"/>
        <v>4.0951113031617394</v>
      </c>
      <c r="AG13"/>
      <c r="AH13" s="173">
        <f t="shared" si="19"/>
        <v>2.4063408300729532</v>
      </c>
      <c r="AI13" s="173">
        <f t="shared" si="20"/>
        <v>10</v>
      </c>
      <c r="AJ13" s="173">
        <f t="shared" si="21"/>
        <v>1.0120750933079321</v>
      </c>
      <c r="AL13" s="545">
        <f t="shared" si="22"/>
        <v>800</v>
      </c>
      <c r="AM13" s="460">
        <f t="shared" si="23"/>
        <v>21.131413288881106</v>
      </c>
      <c r="AO13">
        <f t="shared" si="96"/>
        <v>800</v>
      </c>
      <c r="AP13" s="460">
        <f t="shared" si="24"/>
        <v>21.131413288881106</v>
      </c>
      <c r="AQ13" s="460"/>
      <c r="AR13" s="5">
        <f t="shared" si="97"/>
        <v>47.322911455533287</v>
      </c>
      <c r="AS13" s="5">
        <f t="shared" si="25"/>
        <v>1.673096119054077</v>
      </c>
      <c r="AT13" s="5">
        <f t="shared" si="98"/>
        <v>45.649815336479207</v>
      </c>
      <c r="AU13" s="173">
        <f t="shared" si="99"/>
        <v>3.5354885563754726E-2</v>
      </c>
      <c r="AW13" s="5">
        <f t="shared" si="26"/>
        <v>8.9231793016217456</v>
      </c>
      <c r="AX13" s="5">
        <f t="shared" si="27"/>
        <v>0.41827402976351924</v>
      </c>
      <c r="AY13" s="5">
        <f t="shared" si="28"/>
        <v>2.1215702465277397</v>
      </c>
      <c r="AZ13" s="5"/>
      <c r="BA13" s="173">
        <f t="shared" si="100"/>
        <v>1.0855856416969094</v>
      </c>
      <c r="BB13" s="173">
        <f t="shared" si="29"/>
        <v>5.6705235338436646</v>
      </c>
      <c r="BC13" s="173">
        <f t="shared" si="30"/>
        <v>0.13965054036289498</v>
      </c>
      <c r="BD13" s="173"/>
      <c r="BE13" s="528">
        <f t="shared" si="31"/>
        <v>2.3569923709169813E-2</v>
      </c>
      <c r="BF13" s="528">
        <f t="shared" si="32"/>
        <v>0.34697202801636301</v>
      </c>
      <c r="BG13" s="528">
        <f t="shared" si="33"/>
        <v>3.7890375301620267E-2</v>
      </c>
      <c r="BH13" s="528">
        <f t="shared" si="34"/>
        <v>1.6205328565410335E-2</v>
      </c>
      <c r="BI13">
        <f t="shared" si="35"/>
        <v>3.227549175747902E-2</v>
      </c>
      <c r="BJ13" s="460">
        <f t="shared" si="101"/>
        <v>70.165867059099284</v>
      </c>
      <c r="BK13">
        <f t="shared" si="36"/>
        <v>0.39532506460367522</v>
      </c>
      <c r="BL13" s="460">
        <f t="shared" si="102"/>
        <v>395.32506460367523</v>
      </c>
      <c r="BM13" s="173">
        <f t="shared" si="37"/>
        <v>0.49699999999999994</v>
      </c>
      <c r="BN13" s="173">
        <f t="shared" si="38"/>
        <v>8.8749999999999992E-3</v>
      </c>
      <c r="BO13" s="528"/>
      <c r="BQ13" s="460">
        <f t="shared" si="103"/>
        <v>505.87499999999994</v>
      </c>
      <c r="BR13" s="528">
        <f t="shared" si="39"/>
        <v>3.5354885563754712E-2</v>
      </c>
      <c r="BS13" s="528">
        <f t="shared" si="104"/>
        <v>0.96464511443624523</v>
      </c>
      <c r="BT13" s="528">
        <f t="shared" si="40"/>
        <v>9.751136711824281E-5</v>
      </c>
      <c r="BU13" s="528">
        <f t="shared" si="41"/>
        <v>3.2455728703629873E-2</v>
      </c>
      <c r="BV13" s="528">
        <f t="shared" si="42"/>
        <v>1.3832472102010638</v>
      </c>
      <c r="BW13" s="625">
        <f t="shared" si="43"/>
        <v>2.113141328888111E-3</v>
      </c>
      <c r="BX13" s="460">
        <f t="shared" si="105"/>
        <v>1385.3603515299519</v>
      </c>
      <c r="BY13" s="173">
        <f t="shared" si="106"/>
        <v>2.2865604161336273</v>
      </c>
      <c r="BZ13" s="5">
        <f t="shared" si="107"/>
        <v>12.16</v>
      </c>
      <c r="CA13" s="173">
        <f t="shared" si="108"/>
        <v>0.84172284957324217</v>
      </c>
      <c r="CB13" s="5">
        <f t="shared" si="109"/>
        <v>84.172284957324223</v>
      </c>
      <c r="CC13">
        <f t="shared" si="110"/>
        <v>8</v>
      </c>
      <c r="CE13" s="562">
        <f t="shared" si="44"/>
        <v>-50</v>
      </c>
      <c r="CF13">
        <f t="shared" si="45"/>
        <v>-50</v>
      </c>
      <c r="CG13" s="173">
        <f t="shared" si="46"/>
        <v>0.16155092478441993</v>
      </c>
      <c r="CH13" s="173">
        <f t="shared" si="47"/>
        <v>1.8614424924950659E-2</v>
      </c>
      <c r="CI13" s="189">
        <v>8</v>
      </c>
      <c r="CJ13" s="217">
        <f t="shared" si="133"/>
        <v>0.8</v>
      </c>
      <c r="CK13" s="217">
        <f t="shared" si="111"/>
        <v>0.02</v>
      </c>
      <c r="CL13" s="217">
        <f t="shared" si="48"/>
        <v>12</v>
      </c>
      <c r="CM13" s="217">
        <f t="shared" si="134"/>
        <v>0.16</v>
      </c>
      <c r="CN13" s="541">
        <f t="shared" si="112"/>
        <v>72</v>
      </c>
      <c r="CO13" s="443">
        <f t="shared" si="49"/>
        <v>15.7</v>
      </c>
      <c r="CP13" s="443">
        <f t="shared" si="50"/>
        <v>87.7</v>
      </c>
      <c r="CQ13" s="535"/>
      <c r="CR13" s="329">
        <f t="shared" si="113"/>
        <v>0.17620137299771166</v>
      </c>
      <c r="CS13" s="172">
        <f t="shared" si="114"/>
        <v>312.98928098277725</v>
      </c>
      <c r="CT13" s="172">
        <f t="shared" si="51"/>
        <v>4.2288329519450798</v>
      </c>
      <c r="CU13" s="329">
        <f t="shared" si="52"/>
        <v>20.865952065518481</v>
      </c>
      <c r="CV13" s="217">
        <f t="shared" si="53"/>
        <v>39.123660122847156</v>
      </c>
      <c r="CW13" s="443">
        <f t="shared" si="54"/>
        <v>15</v>
      </c>
      <c r="CX13" s="217">
        <f t="shared" si="55"/>
        <v>1.9169985569985573</v>
      </c>
      <c r="CY13" s="329">
        <f t="shared" si="56"/>
        <v>0.31949975949975956</v>
      </c>
      <c r="CZ13" s="217">
        <f t="shared" si="57"/>
        <v>1.4652218270052668</v>
      </c>
      <c r="DA13" s="537">
        <f t="shared" si="58"/>
        <v>107.41163055872293</v>
      </c>
      <c r="DB13" s="535">
        <f t="shared" si="115"/>
        <v>350</v>
      </c>
      <c r="DD13" s="329">
        <f t="shared" si="59"/>
        <v>10</v>
      </c>
      <c r="DE13" s="173">
        <f t="shared" si="60"/>
        <v>7.6433121019108281</v>
      </c>
      <c r="DF13" s="173">
        <f t="shared" si="61"/>
        <v>4.1049030786773102</v>
      </c>
      <c r="DG13" s="538"/>
      <c r="DH13" s="173">
        <f t="shared" si="62"/>
        <v>7.6433121019108281</v>
      </c>
      <c r="DI13" s="545">
        <f t="shared" si="63"/>
        <v>20.933333333333337</v>
      </c>
      <c r="DJ13" s="528">
        <f t="shared" si="64"/>
        <v>4.1049030786773093</v>
      </c>
      <c r="DK13"/>
      <c r="DL13" s="173">
        <f t="shared" si="65"/>
        <v>2.4063408300729532</v>
      </c>
      <c r="DM13" s="173">
        <f t="shared" si="66"/>
        <v>10</v>
      </c>
      <c r="DN13" s="173">
        <f t="shared" si="67"/>
        <v>1.0119619047619048</v>
      </c>
      <c r="DP13" s="545">
        <f t="shared" si="68"/>
        <v>800</v>
      </c>
      <c r="DQ13" s="460">
        <f t="shared" si="69"/>
        <v>20.933333333333337</v>
      </c>
      <c r="DS13">
        <f t="shared" si="116"/>
        <v>800</v>
      </c>
      <c r="DT13" s="460">
        <f t="shared" si="70"/>
        <v>20.933333333333337</v>
      </c>
      <c r="DU13" s="460"/>
      <c r="DV13" s="5">
        <f t="shared" si="117"/>
        <v>47.770700636942664</v>
      </c>
      <c r="DW13" s="5">
        <f t="shared" si="71"/>
        <v>1.6666666666666667</v>
      </c>
      <c r="DX13" s="5">
        <f t="shared" si="118"/>
        <v>46.104033970275999</v>
      </c>
      <c r="DY13" s="173">
        <f t="shared" si="119"/>
        <v>3.48888888888889E-2</v>
      </c>
      <c r="EA13" s="5">
        <f t="shared" si="72"/>
        <v>8.8888888888888911</v>
      </c>
      <c r="EB13" s="5">
        <f t="shared" si="73"/>
        <v>0.41666666666666663</v>
      </c>
      <c r="EC13" s="5">
        <f t="shared" si="74"/>
        <v>2.1344460171424071</v>
      </c>
      <c r="ED13" s="5"/>
      <c r="EE13" s="173">
        <f t="shared" si="120"/>
        <v>1.0784076052045273</v>
      </c>
      <c r="EF13" s="173">
        <f t="shared" si="75"/>
        <v>5.6718930147147848</v>
      </c>
      <c r="EG13" s="173">
        <f t="shared" si="76"/>
        <v>0.13968426718591709</v>
      </c>
      <c r="EH13" s="173"/>
      <c r="EI13" s="528">
        <f t="shared" si="77"/>
        <v>2.3259259259259275E-2</v>
      </c>
      <c r="EJ13" s="528">
        <f t="shared" si="78"/>
        <v>0.3671706666666667</v>
      </c>
      <c r="EK13" s="528">
        <f t="shared" si="79"/>
        <v>2.6166666666666669E-3</v>
      </c>
      <c r="EL13" s="528">
        <f t="shared" si="80"/>
        <v>1.6100433733333339E-2</v>
      </c>
      <c r="EM13">
        <f t="shared" si="81"/>
        <v>3.2399999999999998E-2</v>
      </c>
      <c r="EN13" s="460">
        <f t="shared" si="121"/>
        <v>35.016666666666666</v>
      </c>
      <c r="EO13">
        <f t="shared" si="82"/>
        <v>0.45031565073816537</v>
      </c>
      <c r="EP13" s="460">
        <f t="shared" si="122"/>
        <v>450.31565073816535</v>
      </c>
      <c r="EQ13" s="173">
        <f t="shared" si="83"/>
        <v>0.49699999999999994</v>
      </c>
      <c r="ER13" s="173">
        <f t="shared" si="84"/>
        <v>8.8749999999999992E-3</v>
      </c>
      <c r="ES13" s="528"/>
      <c r="EU13" s="460">
        <f t="shared" si="123"/>
        <v>505.87499999999994</v>
      </c>
      <c r="EV13" s="528">
        <f t="shared" si="85"/>
        <v>3.4888888888888907E-2</v>
      </c>
      <c r="EW13" s="528">
        <f t="shared" si="124"/>
        <v>0.96511111111111114</v>
      </c>
      <c r="EX13" s="528">
        <f t="shared" si="86"/>
        <v>9.7558472496333363E-5</v>
      </c>
      <c r="EY13" s="528">
        <f t="shared" si="87"/>
        <v>3.1700490120052188E-2</v>
      </c>
      <c r="EZ13" s="528">
        <f t="shared" si="88"/>
        <v>1.3824263608894303</v>
      </c>
      <c r="FA13" s="625">
        <f t="shared" si="89"/>
        <v>2.0933333333333338E-3</v>
      </c>
      <c r="FB13" s="460">
        <f t="shared" si="125"/>
        <v>1384.5196942227635</v>
      </c>
      <c r="FC13" s="173">
        <f t="shared" si="126"/>
        <v>2.3407103449609288</v>
      </c>
      <c r="FD13" s="5">
        <f t="shared" si="127"/>
        <v>12.16</v>
      </c>
      <c r="FE13" s="173">
        <f t="shared" si="128"/>
        <v>0.83857960822075606</v>
      </c>
      <c r="FF13" s="5">
        <f t="shared" si="129"/>
        <v>83.857960822075611</v>
      </c>
      <c r="FG13">
        <f t="shared" si="130"/>
        <v>8</v>
      </c>
      <c r="FI13" s="562">
        <f t="shared" si="90"/>
        <v>-50</v>
      </c>
      <c r="FJ13">
        <f t="shared" si="91"/>
        <v>-50</v>
      </c>
      <c r="FL13">
        <f t="shared" si="92"/>
        <v>0.16155092478441993</v>
      </c>
    </row>
    <row r="14" spans="2:169">
      <c r="E14" s="170">
        <v>9</v>
      </c>
      <c r="F14" s="217">
        <f t="shared" si="131"/>
        <v>0.89999999999999991</v>
      </c>
      <c r="G14" s="217">
        <f t="shared" si="93"/>
        <v>2.2499999999999999E-2</v>
      </c>
      <c r="H14" s="217">
        <f t="shared" si="0"/>
        <v>13.499999999999998</v>
      </c>
      <c r="I14" s="217">
        <f t="shared" si="132"/>
        <v>0.18</v>
      </c>
      <c r="J14" s="541">
        <f t="shared" si="1"/>
        <v>71.723315016620049</v>
      </c>
      <c r="K14" s="443">
        <f t="shared" si="2"/>
        <v>15.848559966660831</v>
      </c>
      <c r="L14" s="172">
        <f t="shared" si="3"/>
        <v>87.571874983280878</v>
      </c>
      <c r="M14" s="443"/>
      <c r="N14" s="217">
        <f t="shared" si="4"/>
        <v>0.18097773936765224</v>
      </c>
      <c r="O14" s="172">
        <f t="shared" si="94"/>
        <v>320.23824206402668</v>
      </c>
      <c r="P14" s="172">
        <f t="shared" si="5"/>
        <v>4.3267744705539606</v>
      </c>
      <c r="Q14" s="217">
        <f t="shared" si="6"/>
        <v>21.349216137601779</v>
      </c>
      <c r="R14" s="217">
        <f t="shared" si="7"/>
        <v>40.029780258003335</v>
      </c>
      <c r="S14" s="443">
        <f t="shared" si="8"/>
        <v>15</v>
      </c>
      <c r="T14" s="217">
        <f t="shared" si="9"/>
        <v>2.1078057250421831</v>
      </c>
      <c r="U14" s="217">
        <f t="shared" si="10"/>
        <v>0.35265615782880411</v>
      </c>
      <c r="V14" s="217">
        <f t="shared" si="11"/>
        <v>1.5959600590661978</v>
      </c>
      <c r="W14" s="197">
        <f t="shared" si="12"/>
        <v>108.16936176384901</v>
      </c>
      <c r="X14" s="443">
        <f t="shared" si="95"/>
        <v>350</v>
      </c>
      <c r="Z14" s="217">
        <f t="shared" si="13"/>
        <v>10</v>
      </c>
      <c r="AA14" s="173">
        <f t="shared" si="14"/>
        <v>7.5716658328853255</v>
      </c>
      <c r="AB14" s="173">
        <f t="shared" si="15"/>
        <v>4.0951113031617394</v>
      </c>
      <c r="AC14" s="173"/>
      <c r="AD14" s="173">
        <f t="shared" si="16"/>
        <v>7.5716658328853255</v>
      </c>
      <c r="AE14" s="545">
        <f t="shared" si="17"/>
        <v>23.772839949991241</v>
      </c>
      <c r="AF14" s="528">
        <f t="shared" si="18"/>
        <v>4.0951113031617394</v>
      </c>
      <c r="AH14" s="173">
        <f t="shared" si="19"/>
        <v>2.5523098781859765</v>
      </c>
      <c r="AI14" s="173">
        <f t="shared" si="20"/>
        <v>10</v>
      </c>
      <c r="AJ14" s="173">
        <f t="shared" si="21"/>
        <v>1.0135844799714235</v>
      </c>
      <c r="AL14" s="545">
        <f t="shared" si="22"/>
        <v>899.99999999999989</v>
      </c>
      <c r="AM14" s="460">
        <f t="shared" si="23"/>
        <v>23.772839949991241</v>
      </c>
      <c r="AO14">
        <f t="shared" si="96"/>
        <v>899.99999999999989</v>
      </c>
      <c r="AP14" s="460">
        <f t="shared" si="24"/>
        <v>23.772839949991241</v>
      </c>
      <c r="AQ14" s="460"/>
      <c r="AR14" s="5">
        <f t="shared" si="97"/>
        <v>42.064810182696263</v>
      </c>
      <c r="AS14" s="5">
        <f t="shared" si="25"/>
        <v>1.673096119054077</v>
      </c>
      <c r="AT14" s="5">
        <f t="shared" si="98"/>
        <v>40.391714063642183</v>
      </c>
      <c r="AU14" s="173">
        <f t="shared" si="99"/>
        <v>3.9774246259224058E-2</v>
      </c>
      <c r="AW14" s="5">
        <f t="shared" si="26"/>
        <v>10.038576714324462</v>
      </c>
      <c r="AX14" s="5">
        <f t="shared" si="27"/>
        <v>0.47055828348395912</v>
      </c>
      <c r="AY14" s="5">
        <f t="shared" si="28"/>
        <v>2.1118506263069281</v>
      </c>
      <c r="AZ14" s="5"/>
      <c r="BA14" s="173">
        <f t="shared" si="100"/>
        <v>1.1514374532039515</v>
      </c>
      <c r="BB14" s="173">
        <f t="shared" si="29"/>
        <v>5.6575193437311846</v>
      </c>
      <c r="BC14" s="173">
        <f t="shared" si="30"/>
        <v>0.13933028030836017</v>
      </c>
      <c r="BD14" s="173"/>
      <c r="BE14" s="528">
        <f t="shared" si="31"/>
        <v>2.6516164172816041E-2</v>
      </c>
      <c r="BF14" s="528">
        <f t="shared" si="32"/>
        <v>0.39034353151840834</v>
      </c>
      <c r="BG14" s="528">
        <f t="shared" si="33"/>
        <v>4.2626672214322786E-2</v>
      </c>
      <c r="BH14" s="528">
        <f t="shared" si="34"/>
        <v>1.8230994636086625E-2</v>
      </c>
      <c r="BI14">
        <f t="shared" si="35"/>
        <v>3.227549175747902E-2</v>
      </c>
      <c r="BJ14" s="460">
        <f t="shared" si="101"/>
        <v>74.902163971801798</v>
      </c>
      <c r="BK14">
        <f t="shared" si="36"/>
        <v>0.44505400194956701</v>
      </c>
      <c r="BL14" s="460">
        <f t="shared" si="102"/>
        <v>445.05400194956701</v>
      </c>
      <c r="BM14" s="173">
        <f t="shared" si="37"/>
        <v>0.55912499999999987</v>
      </c>
      <c r="BN14" s="173">
        <f t="shared" si="38"/>
        <v>9.9843749999999985E-3</v>
      </c>
      <c r="BO14" s="528"/>
      <c r="BQ14" s="460">
        <f t="shared" si="103"/>
        <v>569.10937499999989</v>
      </c>
      <c r="BR14" s="528">
        <f t="shared" si="39"/>
        <v>3.9774246259224058E-2</v>
      </c>
      <c r="BS14" s="528">
        <f t="shared" si="104"/>
        <v>0.96022575374077601</v>
      </c>
      <c r="BT14" s="528">
        <f t="shared" si="40"/>
        <v>9.7064635054031081E-5</v>
      </c>
      <c r="BU14" s="528">
        <f t="shared" si="41"/>
        <v>4.3568506271008368E-2</v>
      </c>
      <c r="BV14" s="528">
        <f t="shared" si="42"/>
        <v>1.3953257623492907</v>
      </c>
      <c r="BW14" s="625">
        <f t="shared" si="43"/>
        <v>2.3772839949991243E-3</v>
      </c>
      <c r="BX14" s="460">
        <f t="shared" si="105"/>
        <v>1397.70304634429</v>
      </c>
      <c r="BY14" s="173">
        <f t="shared" si="106"/>
        <v>2.4118664232938567</v>
      </c>
      <c r="BZ14" s="5">
        <f t="shared" si="107"/>
        <v>13.679999999999998</v>
      </c>
      <c r="CA14" s="173">
        <f t="shared" si="108"/>
        <v>0.85011891350262836</v>
      </c>
      <c r="CB14" s="5">
        <f t="shared" si="109"/>
        <v>85.011891350262829</v>
      </c>
      <c r="CC14">
        <f t="shared" si="110"/>
        <v>9</v>
      </c>
      <c r="CE14" s="562">
        <f t="shared" si="44"/>
        <v>-50</v>
      </c>
      <c r="CF14">
        <f t="shared" si="45"/>
        <v>-50</v>
      </c>
      <c r="CG14" s="173">
        <f t="shared" si="46"/>
        <v>0.18174479038247238</v>
      </c>
      <c r="CH14" s="173">
        <f t="shared" si="47"/>
        <v>2.0941228040569488E-2</v>
      </c>
      <c r="CI14" s="170">
        <v>9</v>
      </c>
      <c r="CJ14" s="217">
        <f t="shared" si="133"/>
        <v>0.89999999999999991</v>
      </c>
      <c r="CK14" s="217">
        <f t="shared" si="111"/>
        <v>2.2499999999999999E-2</v>
      </c>
      <c r="CL14" s="217">
        <f t="shared" si="48"/>
        <v>13.499999999999998</v>
      </c>
      <c r="CM14" s="217">
        <f t="shared" si="134"/>
        <v>0.18</v>
      </c>
      <c r="CN14" s="541">
        <f t="shared" si="112"/>
        <v>72</v>
      </c>
      <c r="CO14" s="443">
        <f t="shared" si="49"/>
        <v>15.7</v>
      </c>
      <c r="CP14" s="443">
        <f t="shared" si="50"/>
        <v>87.7</v>
      </c>
      <c r="CQ14" s="443"/>
      <c r="CR14" s="217">
        <f t="shared" si="113"/>
        <v>0.17620137299771166</v>
      </c>
      <c r="CS14" s="172">
        <f t="shared" si="114"/>
        <v>312.98928098277725</v>
      </c>
      <c r="CT14" s="172">
        <f t="shared" si="51"/>
        <v>4.2288329519450798</v>
      </c>
      <c r="CU14" s="217">
        <f t="shared" si="52"/>
        <v>20.865952065518481</v>
      </c>
      <c r="CV14" s="217">
        <f t="shared" si="53"/>
        <v>39.123660122847156</v>
      </c>
      <c r="CW14" s="443">
        <f t="shared" si="54"/>
        <v>15</v>
      </c>
      <c r="CX14" s="217">
        <f t="shared" si="55"/>
        <v>2.1566233766233767</v>
      </c>
      <c r="CY14" s="217">
        <f t="shared" si="56"/>
        <v>0.35943722943722944</v>
      </c>
      <c r="CZ14" s="217">
        <f t="shared" si="57"/>
        <v>1.6483745553809248</v>
      </c>
      <c r="DA14" s="197">
        <f t="shared" si="58"/>
        <v>107.41163055872293</v>
      </c>
      <c r="DB14" s="443">
        <f t="shared" si="115"/>
        <v>350</v>
      </c>
      <c r="DD14" s="217">
        <f t="shared" si="59"/>
        <v>10</v>
      </c>
      <c r="DE14" s="173">
        <f t="shared" si="60"/>
        <v>7.6433121019108281</v>
      </c>
      <c r="DF14" s="173">
        <f t="shared" si="61"/>
        <v>4.1049030786773102</v>
      </c>
      <c r="DG14" s="173"/>
      <c r="DH14" s="173">
        <f t="shared" si="62"/>
        <v>7.6433121019108281</v>
      </c>
      <c r="DI14" s="545">
        <f t="shared" si="63"/>
        <v>23.55</v>
      </c>
      <c r="DJ14" s="528">
        <f t="shared" si="64"/>
        <v>4.1049030786773093</v>
      </c>
      <c r="DL14" s="173">
        <f t="shared" si="65"/>
        <v>2.5523098781859765</v>
      </c>
      <c r="DM14" s="173">
        <f t="shared" si="66"/>
        <v>10</v>
      </c>
      <c r="DN14" s="173">
        <f t="shared" si="67"/>
        <v>1.0134571428571428</v>
      </c>
      <c r="DP14" s="545">
        <f t="shared" si="68"/>
        <v>899.99999999999989</v>
      </c>
      <c r="DQ14" s="460">
        <f t="shared" si="69"/>
        <v>23.55</v>
      </c>
      <c r="DS14">
        <f t="shared" si="116"/>
        <v>899.99999999999989</v>
      </c>
      <c r="DT14" s="460">
        <f t="shared" si="70"/>
        <v>23.55</v>
      </c>
      <c r="DU14" s="460"/>
      <c r="DV14" s="5">
        <f t="shared" si="117"/>
        <v>42.462845010615709</v>
      </c>
      <c r="DW14" s="5">
        <f t="shared" si="71"/>
        <v>1.6666666666666667</v>
      </c>
      <c r="DX14" s="5">
        <f t="shared" si="118"/>
        <v>40.796178343949045</v>
      </c>
      <c r="DY14" s="173">
        <f t="shared" si="119"/>
        <v>3.9250000000000007E-2</v>
      </c>
      <c r="EA14" s="5">
        <f t="shared" si="72"/>
        <v>10</v>
      </c>
      <c r="EB14" s="5">
        <f t="shared" si="73"/>
        <v>0.46875</v>
      </c>
      <c r="EC14" s="5">
        <f t="shared" si="74"/>
        <v>2.1248009554140124</v>
      </c>
      <c r="ED14" s="5"/>
      <c r="EE14" s="173">
        <f t="shared" si="120"/>
        <v>1.1438239957848995</v>
      </c>
      <c r="EF14" s="173">
        <f t="shared" si="75"/>
        <v>5.6590635267683638</v>
      </c>
      <c r="EG14" s="173">
        <f t="shared" si="76"/>
        <v>0.13936830960041308</v>
      </c>
      <c r="EH14" s="173"/>
      <c r="EI14" s="528">
        <f t="shared" si="77"/>
        <v>2.6166666666666675E-2</v>
      </c>
      <c r="EJ14" s="528">
        <f t="shared" si="78"/>
        <v>0.41306700000000007</v>
      </c>
      <c r="EK14" s="528">
        <f t="shared" si="79"/>
        <v>2.9437500000000002E-3</v>
      </c>
      <c r="EL14" s="528">
        <f t="shared" si="80"/>
        <v>1.8112987950000003E-2</v>
      </c>
      <c r="EM14">
        <f t="shared" si="81"/>
        <v>3.2399999999999998E-2</v>
      </c>
      <c r="EN14" s="460">
        <f t="shared" si="121"/>
        <v>35.34375</v>
      </c>
      <c r="EO14">
        <f t="shared" si="82"/>
        <v>0.50288192210276406</v>
      </c>
      <c r="EP14" s="460">
        <f t="shared" si="122"/>
        <v>502.88192210276407</v>
      </c>
      <c r="EQ14" s="173">
        <f t="shared" si="83"/>
        <v>0.55912499999999987</v>
      </c>
      <c r="ER14" s="173">
        <f t="shared" si="84"/>
        <v>9.9843749999999985E-3</v>
      </c>
      <c r="ES14" s="528"/>
      <c r="EU14" s="460">
        <f t="shared" si="123"/>
        <v>569.10937499999989</v>
      </c>
      <c r="EV14" s="528">
        <f t="shared" si="85"/>
        <v>3.9250000000000014E-2</v>
      </c>
      <c r="EW14" s="528">
        <f t="shared" si="124"/>
        <v>0.96074999999999966</v>
      </c>
      <c r="EX14" s="528">
        <f t="shared" si="86"/>
        <v>9.7117628604382955E-5</v>
      </c>
      <c r="EY14" s="528">
        <f t="shared" si="87"/>
        <v>4.255467548430255E-2</v>
      </c>
      <c r="EZ14" s="528">
        <f t="shared" si="88"/>
        <v>1.3942238409139405</v>
      </c>
      <c r="FA14" s="625">
        <f t="shared" si="89"/>
        <v>2.3550000000000003E-3</v>
      </c>
      <c r="FB14" s="460">
        <f t="shared" si="125"/>
        <v>1396.5788409139407</v>
      </c>
      <c r="FC14" s="173">
        <f t="shared" si="126"/>
        <v>2.4685701380167044</v>
      </c>
      <c r="FD14" s="5">
        <f t="shared" si="127"/>
        <v>13.679999999999998</v>
      </c>
      <c r="FE14" s="173">
        <f t="shared" si="128"/>
        <v>0.84713382566266748</v>
      </c>
      <c r="FF14" s="5">
        <f t="shared" si="129"/>
        <v>84.713382566266745</v>
      </c>
      <c r="FG14">
        <f t="shared" si="130"/>
        <v>9</v>
      </c>
      <c r="FI14" s="562">
        <f t="shared" si="90"/>
        <v>-50</v>
      </c>
      <c r="FJ14">
        <f t="shared" si="91"/>
        <v>-50</v>
      </c>
      <c r="FL14">
        <f t="shared" si="92"/>
        <v>0.1817447903824724</v>
      </c>
    </row>
    <row r="15" spans="2:169">
      <c r="E15" s="170">
        <v>10</v>
      </c>
      <c r="F15" s="217">
        <f t="shared" si="131"/>
        <v>1</v>
      </c>
      <c r="G15" s="217">
        <f t="shared" si="93"/>
        <v>2.5000000000000001E-2</v>
      </c>
      <c r="H15" s="217">
        <f t="shared" si="0"/>
        <v>15</v>
      </c>
      <c r="I15" s="217">
        <f t="shared" si="132"/>
        <v>0.2</v>
      </c>
      <c r="J15" s="541">
        <f t="shared" si="1"/>
        <v>71.723315016620049</v>
      </c>
      <c r="K15" s="443">
        <f t="shared" si="2"/>
        <v>15.848559966660831</v>
      </c>
      <c r="L15" s="172">
        <f t="shared" si="3"/>
        <v>87.571874983280878</v>
      </c>
      <c r="M15" s="443"/>
      <c r="N15" s="217">
        <f t="shared" si="4"/>
        <v>0.18097773936765224</v>
      </c>
      <c r="O15" s="172">
        <f t="shared" si="94"/>
        <v>320.23824206402668</v>
      </c>
      <c r="P15" s="172">
        <f t="shared" si="5"/>
        <v>4.3267744705539606</v>
      </c>
      <c r="Q15" s="217">
        <f t="shared" si="6"/>
        <v>21.349216137601779</v>
      </c>
      <c r="R15" s="217">
        <f t="shared" si="7"/>
        <v>40.029780258003335</v>
      </c>
      <c r="S15" s="443">
        <f t="shared" si="8"/>
        <v>15</v>
      </c>
      <c r="T15" s="217">
        <f t="shared" si="9"/>
        <v>2.3420063611579813</v>
      </c>
      <c r="U15" s="217">
        <f t="shared" si="10"/>
        <v>0.39184017536533788</v>
      </c>
      <c r="V15" s="217">
        <f t="shared" si="11"/>
        <v>1.7732889545179975</v>
      </c>
      <c r="W15" s="197">
        <f t="shared" si="12"/>
        <v>108.16936176384901</v>
      </c>
      <c r="X15" s="443">
        <f t="shared" si="95"/>
        <v>350</v>
      </c>
      <c r="Z15" s="217">
        <f t="shared" si="13"/>
        <v>10</v>
      </c>
      <c r="AA15" s="173">
        <f t="shared" si="14"/>
        <v>7.5716658328853255</v>
      </c>
      <c r="AB15" s="173">
        <f t="shared" si="15"/>
        <v>4.0951113031617394</v>
      </c>
      <c r="AC15" s="173"/>
      <c r="AD15" s="173">
        <f t="shared" si="16"/>
        <v>7.5716658328853255</v>
      </c>
      <c r="AE15" s="545">
        <f t="shared" si="17"/>
        <v>26.414266611101382</v>
      </c>
      <c r="AF15" s="528">
        <f t="shared" si="18"/>
        <v>4.0951113031617394</v>
      </c>
      <c r="AH15" s="173">
        <f t="shared" si="19"/>
        <v>2.6903708365381971</v>
      </c>
      <c r="AI15" s="173">
        <f t="shared" si="20"/>
        <v>10</v>
      </c>
      <c r="AJ15" s="173">
        <f t="shared" si="21"/>
        <v>1.0150938666349152</v>
      </c>
      <c r="AL15" s="545">
        <f t="shared" si="22"/>
        <v>1000</v>
      </c>
      <c r="AM15" s="460">
        <f t="shared" si="23"/>
        <v>26.414266611101382</v>
      </c>
      <c r="AO15">
        <f t="shared" si="96"/>
        <v>1000</v>
      </c>
      <c r="AP15" s="460">
        <f t="shared" si="24"/>
        <v>26.414266611101382</v>
      </c>
      <c r="AQ15" s="460"/>
      <c r="AR15" s="5">
        <f t="shared" si="97"/>
        <v>37.858329164426628</v>
      </c>
      <c r="AS15" s="5">
        <f t="shared" si="25"/>
        <v>1.673096119054077</v>
      </c>
      <c r="AT15" s="5">
        <f t="shared" si="98"/>
        <v>36.185233045372549</v>
      </c>
      <c r="AU15" s="173">
        <f t="shared" si="99"/>
        <v>4.4193606954693411E-2</v>
      </c>
      <c r="AW15" s="5">
        <f t="shared" si="26"/>
        <v>11.15397412702718</v>
      </c>
      <c r="AX15" s="5">
        <f t="shared" si="27"/>
        <v>0.52284253720439922</v>
      </c>
      <c r="AY15" s="5">
        <f t="shared" si="28"/>
        <v>2.102131006086116</v>
      </c>
      <c r="AZ15" s="5"/>
      <c r="BA15" s="173">
        <f t="shared" si="100"/>
        <v>1.21372164511601</v>
      </c>
      <c r="BB15" s="173">
        <f t="shared" si="29"/>
        <v>5.6444851936656022</v>
      </c>
      <c r="BC15" s="173">
        <f t="shared" si="30"/>
        <v>0.139009282416549</v>
      </c>
      <c r="BD15" s="173"/>
      <c r="BE15" s="528">
        <f t="shared" si="31"/>
        <v>2.9462404636462276E-2</v>
      </c>
      <c r="BF15" s="528">
        <f t="shared" si="32"/>
        <v>0.43371503502045372</v>
      </c>
      <c r="BG15" s="528">
        <f t="shared" si="33"/>
        <v>4.7362969127025333E-2</v>
      </c>
      <c r="BH15" s="528">
        <f t="shared" si="34"/>
        <v>2.0256660706762918E-2</v>
      </c>
      <c r="BI15">
        <f t="shared" si="35"/>
        <v>3.227549175747902E-2</v>
      </c>
      <c r="BJ15" s="460">
        <f t="shared" si="101"/>
        <v>79.638460884504354</v>
      </c>
      <c r="BK15">
        <f t="shared" si="36"/>
        <v>0.49485305328332557</v>
      </c>
      <c r="BL15" s="460">
        <f t="shared" si="102"/>
        <v>494.85305328332555</v>
      </c>
      <c r="BM15" s="173">
        <f t="shared" si="37"/>
        <v>0.62124999999999997</v>
      </c>
      <c r="BN15" s="173">
        <f t="shared" si="38"/>
        <v>1.1093749999999999E-2</v>
      </c>
      <c r="BO15" s="528"/>
      <c r="BQ15" s="460">
        <f t="shared" si="103"/>
        <v>632.34375</v>
      </c>
      <c r="BR15" s="528">
        <f t="shared" si="39"/>
        <v>4.4193606954693411E-2</v>
      </c>
      <c r="BS15" s="528">
        <f t="shared" si="104"/>
        <v>0.95580639304530635</v>
      </c>
      <c r="BT15" s="528">
        <f t="shared" si="40"/>
        <v>9.6617902989819406E-5</v>
      </c>
      <c r="BU15" s="528">
        <f t="shared" si="41"/>
        <v>5.669782471922459E-2</v>
      </c>
      <c r="BV15" s="528">
        <f t="shared" si="42"/>
        <v>1.4095962242363387</v>
      </c>
      <c r="BW15" s="625">
        <f t="shared" si="43"/>
        <v>2.6414266611101381E-3</v>
      </c>
      <c r="BX15" s="460">
        <f t="shared" si="105"/>
        <v>1412.2376508974487</v>
      </c>
      <c r="BY15" s="173">
        <f t="shared" si="106"/>
        <v>2.5394344541807743</v>
      </c>
      <c r="BZ15" s="5">
        <f t="shared" si="107"/>
        <v>15.2</v>
      </c>
      <c r="CA15" s="173">
        <f t="shared" si="108"/>
        <v>0.85684806013743642</v>
      </c>
      <c r="CB15" s="5">
        <f t="shared" si="109"/>
        <v>85.684806013743639</v>
      </c>
      <c r="CC15">
        <f t="shared" si="110"/>
        <v>10</v>
      </c>
      <c r="CE15" s="562">
        <f t="shared" si="44"/>
        <v>-50</v>
      </c>
      <c r="CF15">
        <f t="shared" si="45"/>
        <v>-50</v>
      </c>
      <c r="CG15" s="173">
        <f t="shared" si="46"/>
        <v>0.20193865598052488</v>
      </c>
      <c r="CH15" s="173">
        <f t="shared" si="47"/>
        <v>2.3268031156188321E-2</v>
      </c>
      <c r="CI15" s="170">
        <v>10</v>
      </c>
      <c r="CJ15" s="217">
        <f t="shared" si="133"/>
        <v>1</v>
      </c>
      <c r="CK15" s="217">
        <f t="shared" si="111"/>
        <v>2.5000000000000001E-2</v>
      </c>
      <c r="CL15" s="217">
        <f t="shared" si="48"/>
        <v>15</v>
      </c>
      <c r="CM15" s="217">
        <f t="shared" si="134"/>
        <v>0.2</v>
      </c>
      <c r="CN15" s="541">
        <f t="shared" si="112"/>
        <v>72</v>
      </c>
      <c r="CO15" s="443">
        <f t="shared" si="49"/>
        <v>15.7</v>
      </c>
      <c r="CP15" s="443">
        <f t="shared" si="50"/>
        <v>87.7</v>
      </c>
      <c r="CQ15" s="443"/>
      <c r="CR15" s="217">
        <f t="shared" si="113"/>
        <v>0.17620137299771166</v>
      </c>
      <c r="CS15" s="172">
        <f t="shared" si="114"/>
        <v>312.98928098277725</v>
      </c>
      <c r="CT15" s="172">
        <f t="shared" si="51"/>
        <v>4.2288329519450798</v>
      </c>
      <c r="CU15" s="217">
        <f t="shared" si="52"/>
        <v>20.865952065518481</v>
      </c>
      <c r="CV15" s="217">
        <f t="shared" si="53"/>
        <v>39.123660122847156</v>
      </c>
      <c r="CW15" s="443">
        <f t="shared" si="54"/>
        <v>15</v>
      </c>
      <c r="CX15" s="217">
        <f t="shared" si="55"/>
        <v>2.3962481962481963</v>
      </c>
      <c r="CY15" s="217">
        <f t="shared" si="56"/>
        <v>0.39937469937469938</v>
      </c>
      <c r="CZ15" s="217">
        <f t="shared" si="57"/>
        <v>1.8315272837565832</v>
      </c>
      <c r="DA15" s="197">
        <f t="shared" si="58"/>
        <v>107.41163055872293</v>
      </c>
      <c r="DB15" s="443">
        <f t="shared" si="115"/>
        <v>350</v>
      </c>
      <c r="DD15" s="217">
        <f t="shared" si="59"/>
        <v>10</v>
      </c>
      <c r="DE15" s="173">
        <f t="shared" si="60"/>
        <v>7.6433121019108281</v>
      </c>
      <c r="DF15" s="173">
        <f t="shared" si="61"/>
        <v>4.1049030786773102</v>
      </c>
      <c r="DG15" s="173"/>
      <c r="DH15" s="173">
        <f t="shared" si="62"/>
        <v>7.6433121019108281</v>
      </c>
      <c r="DI15" s="545">
        <f t="shared" si="63"/>
        <v>26.166666666666668</v>
      </c>
      <c r="DJ15" s="528">
        <f t="shared" si="64"/>
        <v>4.1049030786773093</v>
      </c>
      <c r="DL15" s="173">
        <f t="shared" si="65"/>
        <v>2.6903708365381971</v>
      </c>
      <c r="DM15" s="173">
        <f t="shared" si="66"/>
        <v>10</v>
      </c>
      <c r="DN15" s="173">
        <f t="shared" si="67"/>
        <v>1.0149523809523811</v>
      </c>
      <c r="DP15" s="545">
        <f t="shared" si="68"/>
        <v>1000</v>
      </c>
      <c r="DQ15" s="460">
        <f t="shared" si="69"/>
        <v>26.166666666666668</v>
      </c>
      <c r="DS15">
        <f t="shared" si="116"/>
        <v>1000</v>
      </c>
      <c r="DT15" s="460">
        <f t="shared" si="70"/>
        <v>26.166666666666668</v>
      </c>
      <c r="DU15" s="460"/>
      <c r="DV15" s="5">
        <f t="shared" si="117"/>
        <v>38.216560509554135</v>
      </c>
      <c r="DW15" s="5">
        <f t="shared" si="71"/>
        <v>1.6666666666666667</v>
      </c>
      <c r="DX15" s="5">
        <f t="shared" si="118"/>
        <v>36.549893842887471</v>
      </c>
      <c r="DY15" s="173">
        <f t="shared" si="119"/>
        <v>4.3611111111111121E-2</v>
      </c>
      <c r="EA15" s="5">
        <f t="shared" si="72"/>
        <v>11.111111111111111</v>
      </c>
      <c r="EB15" s="5">
        <f t="shared" si="73"/>
        <v>0.52083333333333348</v>
      </c>
      <c r="EC15" s="5">
        <f t="shared" si="74"/>
        <v>2.1151558936856176</v>
      </c>
      <c r="ED15" s="5"/>
      <c r="EE15" s="173">
        <f t="shared" si="120"/>
        <v>1.2056963563450394</v>
      </c>
      <c r="EF15" s="173">
        <f t="shared" si="75"/>
        <v>5.6462048873229556</v>
      </c>
      <c r="EG15" s="173">
        <f t="shared" si="76"/>
        <v>0.13905163408779672</v>
      </c>
      <c r="EH15" s="173"/>
      <c r="EI15" s="528">
        <f t="shared" si="77"/>
        <v>2.9074074074074086E-2</v>
      </c>
      <c r="EJ15" s="528">
        <f t="shared" si="78"/>
        <v>0.45896333333333339</v>
      </c>
      <c r="EK15" s="528">
        <f t="shared" si="79"/>
        <v>3.2708333333333335E-3</v>
      </c>
      <c r="EL15" s="528">
        <f t="shared" si="80"/>
        <v>2.0125542166666673E-2</v>
      </c>
      <c r="EM15">
        <f t="shared" si="81"/>
        <v>3.2399999999999998E-2</v>
      </c>
      <c r="EN15" s="460">
        <f t="shared" si="121"/>
        <v>35.670833333333334</v>
      </c>
      <c r="EO15">
        <f t="shared" si="82"/>
        <v>0.55552132421508527</v>
      </c>
      <c r="EP15" s="460">
        <f t="shared" si="122"/>
        <v>555.52132421508531</v>
      </c>
      <c r="EQ15" s="173">
        <f t="shared" si="83"/>
        <v>0.62124999999999997</v>
      </c>
      <c r="ER15" s="173">
        <f t="shared" si="84"/>
        <v>1.1093749999999999E-2</v>
      </c>
      <c r="ES15" s="528"/>
      <c r="EU15" s="460">
        <f t="shared" si="123"/>
        <v>632.34375</v>
      </c>
      <c r="EV15" s="528">
        <f t="shared" si="85"/>
        <v>4.3611111111111121E-2</v>
      </c>
      <c r="EW15" s="528">
        <f t="shared" si="124"/>
        <v>0.95638888888888884</v>
      </c>
      <c r="EX15" s="528">
        <f t="shared" si="86"/>
        <v>9.667678471243256E-5</v>
      </c>
      <c r="EY15" s="528">
        <f t="shared" si="87"/>
        <v>5.5378477209763376E-2</v>
      </c>
      <c r="EZ15" s="528">
        <f t="shared" si="88"/>
        <v>1.40816222538099</v>
      </c>
      <c r="FA15" s="625">
        <f t="shared" si="89"/>
        <v>2.6166666666666669E-3</v>
      </c>
      <c r="FB15" s="460">
        <f t="shared" si="125"/>
        <v>1410.7788920476567</v>
      </c>
      <c r="FC15" s="173">
        <f t="shared" si="126"/>
        <v>2.5986439662627419</v>
      </c>
      <c r="FD15" s="5">
        <f t="shared" si="127"/>
        <v>15.2</v>
      </c>
      <c r="FE15" s="173">
        <f t="shared" si="128"/>
        <v>0.85399764323684091</v>
      </c>
      <c r="FF15" s="5">
        <f t="shared" si="129"/>
        <v>85.399764323684096</v>
      </c>
      <c r="FG15">
        <f t="shared" si="130"/>
        <v>10</v>
      </c>
      <c r="FI15" s="562">
        <f t="shared" si="90"/>
        <v>-50</v>
      </c>
      <c r="FJ15">
        <f t="shared" si="91"/>
        <v>-50</v>
      </c>
      <c r="FL15">
        <f t="shared" si="92"/>
        <v>0.20193865598052488</v>
      </c>
    </row>
    <row r="16" spans="2:169">
      <c r="E16" s="170">
        <v>11</v>
      </c>
      <c r="F16" s="217">
        <f t="shared" si="131"/>
        <v>1.1000000000000001</v>
      </c>
      <c r="G16" s="217">
        <f t="shared" si="93"/>
        <v>2.75E-2</v>
      </c>
      <c r="H16" s="217">
        <f t="shared" si="0"/>
        <v>16.5</v>
      </c>
      <c r="I16" s="217">
        <f t="shared" si="132"/>
        <v>0.22</v>
      </c>
      <c r="J16" s="541">
        <f t="shared" si="1"/>
        <v>71.723315016620049</v>
      </c>
      <c r="K16" s="443">
        <f t="shared" si="2"/>
        <v>15.848559966660831</v>
      </c>
      <c r="L16" s="172">
        <f t="shared" si="3"/>
        <v>87.571874983280878</v>
      </c>
      <c r="M16" s="443"/>
      <c r="N16" s="217">
        <f t="shared" si="4"/>
        <v>0.18097773936765224</v>
      </c>
      <c r="O16" s="172">
        <f t="shared" si="94"/>
        <v>320.23824206402668</v>
      </c>
      <c r="P16" s="172">
        <f t="shared" si="5"/>
        <v>4.3267744705539606</v>
      </c>
      <c r="Q16" s="217">
        <f t="shared" si="6"/>
        <v>21.349216137601779</v>
      </c>
      <c r="R16" s="217">
        <f t="shared" si="7"/>
        <v>40.029780258003335</v>
      </c>
      <c r="S16" s="443">
        <f t="shared" si="8"/>
        <v>15</v>
      </c>
      <c r="T16" s="217">
        <f t="shared" si="9"/>
        <v>2.5762069972737796</v>
      </c>
      <c r="U16" s="217">
        <f t="shared" si="10"/>
        <v>0.43102419290187177</v>
      </c>
      <c r="V16" s="217">
        <f t="shared" si="11"/>
        <v>1.9506178499697975</v>
      </c>
      <c r="W16" s="197">
        <f t="shared" si="12"/>
        <v>108.16936176384901</v>
      </c>
      <c r="X16" s="443">
        <f t="shared" si="95"/>
        <v>350</v>
      </c>
      <c r="Z16" s="217">
        <f t="shared" si="13"/>
        <v>10</v>
      </c>
      <c r="AA16" s="173">
        <f t="shared" si="14"/>
        <v>7.5716658328853255</v>
      </c>
      <c r="AB16" s="173">
        <f t="shared" si="15"/>
        <v>4.0951113031617394</v>
      </c>
      <c r="AC16" s="173"/>
      <c r="AD16" s="173">
        <f t="shared" si="16"/>
        <v>7.5716658328853255</v>
      </c>
      <c r="AE16" s="545">
        <f t="shared" si="17"/>
        <v>29.055693272211524</v>
      </c>
      <c r="AF16" s="528">
        <f t="shared" si="18"/>
        <v>4.0951113031617394</v>
      </c>
      <c r="AH16" s="173">
        <f t="shared" si="19"/>
        <v>2.8216847382201933</v>
      </c>
      <c r="AI16" s="173">
        <f t="shared" si="20"/>
        <v>10</v>
      </c>
      <c r="AJ16" s="173">
        <f t="shared" si="21"/>
        <v>1.0166032532984066</v>
      </c>
      <c r="AL16" s="545">
        <f t="shared" si="22"/>
        <v>1100</v>
      </c>
      <c r="AM16" s="460">
        <f t="shared" si="23"/>
        <v>29.055693272211524</v>
      </c>
      <c r="AO16">
        <f t="shared" si="96"/>
        <v>1100</v>
      </c>
      <c r="AP16" s="460">
        <f t="shared" si="24"/>
        <v>29.055693272211524</v>
      </c>
      <c r="AQ16" s="460"/>
      <c r="AR16" s="5">
        <f t="shared" si="97"/>
        <v>34.416662876751481</v>
      </c>
      <c r="AS16" s="5">
        <f t="shared" si="25"/>
        <v>1.673096119054077</v>
      </c>
      <c r="AT16" s="5">
        <f t="shared" si="98"/>
        <v>32.743566757697401</v>
      </c>
      <c r="AU16" s="173">
        <f t="shared" si="99"/>
        <v>4.861296765016275E-2</v>
      </c>
      <c r="AW16" s="5">
        <f t="shared" si="26"/>
        <v>12.269371539729899</v>
      </c>
      <c r="AX16" s="5">
        <f t="shared" si="27"/>
        <v>0.57512679092483887</v>
      </c>
      <c r="AY16" s="5">
        <f t="shared" si="28"/>
        <v>2.0924113858653044</v>
      </c>
      <c r="AZ16" s="5"/>
      <c r="BA16" s="173">
        <f t="shared" si="100"/>
        <v>1.2729620006133038</v>
      </c>
      <c r="BB16" s="173">
        <f t="shared" si="29"/>
        <v>5.6314208756163762</v>
      </c>
      <c r="BC16" s="173">
        <f t="shared" si="30"/>
        <v>0.13868754156419941</v>
      </c>
      <c r="BD16" s="173"/>
      <c r="BE16" s="528">
        <f t="shared" si="31"/>
        <v>3.2408645100108498E-2</v>
      </c>
      <c r="BF16" s="528">
        <f t="shared" si="32"/>
        <v>0.47708653852249922</v>
      </c>
      <c r="BG16" s="528">
        <f t="shared" si="33"/>
        <v>5.2099266039727872E-2</v>
      </c>
      <c r="BH16" s="528">
        <f t="shared" si="34"/>
        <v>2.2282326777439212E-2</v>
      </c>
      <c r="BI16">
        <f t="shared" si="35"/>
        <v>3.227549175747902E-2</v>
      </c>
      <c r="BJ16" s="460">
        <f t="shared" si="101"/>
        <v>84.374757797206897</v>
      </c>
      <c r="BK16">
        <f t="shared" si="36"/>
        <v>0.54472236699257703</v>
      </c>
      <c r="BL16" s="460">
        <f t="shared" si="102"/>
        <v>544.72236699257701</v>
      </c>
      <c r="BM16" s="173">
        <f t="shared" si="37"/>
        <v>0.68337499999999995</v>
      </c>
      <c r="BN16" s="173">
        <f t="shared" si="38"/>
        <v>1.2203124999999999E-2</v>
      </c>
      <c r="BO16" s="528"/>
      <c r="BQ16" s="460">
        <f t="shared" si="103"/>
        <v>695.57812499999989</v>
      </c>
      <c r="BR16" s="528">
        <f t="shared" si="39"/>
        <v>4.8612967650162743E-2</v>
      </c>
      <c r="BS16" s="528">
        <f t="shared" si="104"/>
        <v>0.95138703234983735</v>
      </c>
      <c r="BT16" s="528">
        <f t="shared" si="40"/>
        <v>9.6171170925607691E-5</v>
      </c>
      <c r="BU16" s="528">
        <f t="shared" si="41"/>
        <v>7.1952868087402963E-2</v>
      </c>
      <c r="BV16" s="528">
        <f t="shared" si="42"/>
        <v>1.4261772749026398</v>
      </c>
      <c r="BW16" s="625">
        <f t="shared" si="43"/>
        <v>2.9055693272211527E-3</v>
      </c>
      <c r="BX16" s="460">
        <f t="shared" si="105"/>
        <v>1429.0828442298609</v>
      </c>
      <c r="BY16" s="173">
        <f t="shared" si="106"/>
        <v>2.6693833362224382</v>
      </c>
      <c r="BZ16" s="5">
        <f t="shared" si="107"/>
        <v>16.72</v>
      </c>
      <c r="CA16" s="173">
        <f t="shared" si="108"/>
        <v>0.86232757948337591</v>
      </c>
      <c r="CB16" s="5">
        <f t="shared" si="109"/>
        <v>86.232757948337593</v>
      </c>
      <c r="CC16">
        <f t="shared" si="110"/>
        <v>11.000000000000002</v>
      </c>
      <c r="CE16" s="562">
        <f t="shared" si="44"/>
        <v>-50</v>
      </c>
      <c r="CF16">
        <f t="shared" si="45"/>
        <v>-50</v>
      </c>
      <c r="CG16" s="173">
        <f t="shared" si="46"/>
        <v>0.22213252157857741</v>
      </c>
      <c r="CH16" s="173">
        <f t="shared" si="47"/>
        <v>2.5594834271807154E-2</v>
      </c>
      <c r="CI16" s="170">
        <v>11</v>
      </c>
      <c r="CJ16" s="217">
        <f t="shared" si="133"/>
        <v>1.1000000000000001</v>
      </c>
      <c r="CK16" s="217">
        <f t="shared" si="111"/>
        <v>2.75E-2</v>
      </c>
      <c r="CL16" s="217">
        <f t="shared" si="48"/>
        <v>16.5</v>
      </c>
      <c r="CM16" s="217">
        <f t="shared" si="134"/>
        <v>0.22</v>
      </c>
      <c r="CN16" s="541">
        <f t="shared" si="112"/>
        <v>72</v>
      </c>
      <c r="CO16" s="443">
        <f t="shared" si="49"/>
        <v>15.7</v>
      </c>
      <c r="CP16" s="443">
        <f t="shared" si="50"/>
        <v>87.7</v>
      </c>
      <c r="CQ16" s="443"/>
      <c r="CR16" s="217">
        <f t="shared" si="113"/>
        <v>0.17620137299771166</v>
      </c>
      <c r="CS16" s="172">
        <f t="shared" si="114"/>
        <v>312.98928098277725</v>
      </c>
      <c r="CT16" s="172">
        <f t="shared" si="51"/>
        <v>4.2288329519450798</v>
      </c>
      <c r="CU16" s="217">
        <f t="shared" si="52"/>
        <v>20.865952065518481</v>
      </c>
      <c r="CV16" s="217">
        <f t="shared" si="53"/>
        <v>39.123660122847156</v>
      </c>
      <c r="CW16" s="443">
        <f t="shared" si="54"/>
        <v>15</v>
      </c>
      <c r="CX16" s="217">
        <f t="shared" si="55"/>
        <v>2.6358730158730159</v>
      </c>
      <c r="CY16" s="217">
        <f t="shared" si="56"/>
        <v>0.43931216931216932</v>
      </c>
      <c r="CZ16" s="217">
        <f t="shared" si="57"/>
        <v>2.0146800121322417</v>
      </c>
      <c r="DA16" s="197">
        <f t="shared" si="58"/>
        <v>107.41163055872293</v>
      </c>
      <c r="DB16" s="443">
        <f t="shared" si="115"/>
        <v>350</v>
      </c>
      <c r="DD16" s="217">
        <f t="shared" si="59"/>
        <v>10</v>
      </c>
      <c r="DE16" s="173">
        <f t="shared" si="60"/>
        <v>7.6433121019108281</v>
      </c>
      <c r="DF16" s="173">
        <f t="shared" si="61"/>
        <v>4.1049030786773102</v>
      </c>
      <c r="DG16" s="173"/>
      <c r="DH16" s="173">
        <f t="shared" si="62"/>
        <v>7.6433121019108281</v>
      </c>
      <c r="DI16" s="545">
        <f t="shared" si="63"/>
        <v>28.783333333333339</v>
      </c>
      <c r="DJ16" s="528">
        <f t="shared" si="64"/>
        <v>4.1049030786773093</v>
      </c>
      <c r="DL16" s="173">
        <f t="shared" si="65"/>
        <v>2.8216847382201933</v>
      </c>
      <c r="DM16" s="173">
        <f t="shared" si="66"/>
        <v>10</v>
      </c>
      <c r="DN16" s="173">
        <f t="shared" si="67"/>
        <v>1.016447619047619</v>
      </c>
      <c r="DP16" s="545">
        <f t="shared" si="68"/>
        <v>1100</v>
      </c>
      <c r="DQ16" s="460">
        <f t="shared" si="69"/>
        <v>28.783333333333339</v>
      </c>
      <c r="DS16">
        <f t="shared" si="116"/>
        <v>1100</v>
      </c>
      <c r="DT16" s="460">
        <f t="shared" si="70"/>
        <v>28.783333333333339</v>
      </c>
      <c r="DU16" s="460"/>
      <c r="DV16" s="5">
        <f t="shared" si="117"/>
        <v>34.742327735958305</v>
      </c>
      <c r="DW16" s="5">
        <f t="shared" si="71"/>
        <v>1.6666666666666667</v>
      </c>
      <c r="DX16" s="5">
        <f t="shared" si="118"/>
        <v>33.075661069291641</v>
      </c>
      <c r="DY16" s="173">
        <f t="shared" si="119"/>
        <v>4.7972222222222229E-2</v>
      </c>
      <c r="EA16" s="5">
        <f t="shared" si="72"/>
        <v>12.222222222222223</v>
      </c>
      <c r="EB16" s="5">
        <f t="shared" si="73"/>
        <v>0.57291666666666663</v>
      </c>
      <c r="EC16" s="5">
        <f t="shared" si="74"/>
        <v>2.1055108319572224</v>
      </c>
      <c r="ED16" s="5"/>
      <c r="EE16" s="173">
        <f t="shared" si="120"/>
        <v>1.2645450067411892</v>
      </c>
      <c r="EF16" s="173">
        <f t="shared" si="75"/>
        <v>5.6333168967544562</v>
      </c>
      <c r="EG16" s="173">
        <f t="shared" si="76"/>
        <v>0.13873423573183527</v>
      </c>
      <c r="EH16" s="173"/>
      <c r="EI16" s="528">
        <f t="shared" si="77"/>
        <v>3.1981481481481486E-2</v>
      </c>
      <c r="EJ16" s="528">
        <f t="shared" si="78"/>
        <v>0.50485966666666671</v>
      </c>
      <c r="EK16" s="528">
        <f t="shared" si="79"/>
        <v>3.5979166666666672E-3</v>
      </c>
      <c r="EL16" s="528">
        <f t="shared" si="80"/>
        <v>2.2138096383333344E-2</v>
      </c>
      <c r="EM16">
        <f t="shared" si="81"/>
        <v>3.2399999999999998E-2</v>
      </c>
      <c r="EN16" s="460">
        <f t="shared" si="121"/>
        <v>35.997916666666661</v>
      </c>
      <c r="EO16">
        <f t="shared" si="82"/>
        <v>0.60823400979175368</v>
      </c>
      <c r="EP16" s="460">
        <f t="shared" si="122"/>
        <v>608.23400979175369</v>
      </c>
      <c r="EQ16" s="173">
        <f t="shared" si="83"/>
        <v>0.68337499999999995</v>
      </c>
      <c r="ER16" s="173">
        <f t="shared" si="84"/>
        <v>1.2203124999999999E-2</v>
      </c>
      <c r="ES16" s="528"/>
      <c r="EU16" s="460">
        <f t="shared" si="123"/>
        <v>695.57812499999989</v>
      </c>
      <c r="EV16" s="528">
        <f t="shared" si="85"/>
        <v>4.7972222222222229E-2</v>
      </c>
      <c r="EW16" s="528">
        <f t="shared" si="124"/>
        <v>0.9520277777777777</v>
      </c>
      <c r="EX16" s="528">
        <f t="shared" si="86"/>
        <v>9.6235940820482206E-5</v>
      </c>
      <c r="EY16" s="528">
        <f t="shared" si="87"/>
        <v>7.0278538643904612E-2</v>
      </c>
      <c r="EZ16" s="528">
        <f t="shared" si="88"/>
        <v>1.4243574316964369</v>
      </c>
      <c r="FA16" s="625">
        <f t="shared" si="89"/>
        <v>2.8783333333333343E-3</v>
      </c>
      <c r="FB16" s="460">
        <f t="shared" si="125"/>
        <v>1427.2357650297702</v>
      </c>
      <c r="FC16" s="173">
        <f t="shared" si="126"/>
        <v>2.7310478998215242</v>
      </c>
      <c r="FD16" s="5">
        <f t="shared" si="127"/>
        <v>16.72</v>
      </c>
      <c r="FE16" s="173">
        <f t="shared" si="128"/>
        <v>0.85959379083907428</v>
      </c>
      <c r="FF16" s="5">
        <f t="shared" si="129"/>
        <v>85.959379083907422</v>
      </c>
      <c r="FG16">
        <f t="shared" si="130"/>
        <v>11.000000000000002</v>
      </c>
      <c r="FI16" s="562">
        <f t="shared" si="90"/>
        <v>-50</v>
      </c>
      <c r="FJ16">
        <f t="shared" si="91"/>
        <v>-50</v>
      </c>
      <c r="FL16">
        <f t="shared" si="92"/>
        <v>0.22213252157857741</v>
      </c>
    </row>
    <row r="17" spans="5:168">
      <c r="E17" s="170">
        <v>12</v>
      </c>
      <c r="F17" s="217">
        <f t="shared" si="131"/>
        <v>1.2</v>
      </c>
      <c r="G17" s="217">
        <f t="shared" si="93"/>
        <v>0.03</v>
      </c>
      <c r="H17" s="217">
        <f t="shared" si="0"/>
        <v>18</v>
      </c>
      <c r="I17" s="217">
        <f t="shared" si="132"/>
        <v>0.24</v>
      </c>
      <c r="J17" s="541">
        <f t="shared" si="1"/>
        <v>71.723315016620049</v>
      </c>
      <c r="K17" s="443">
        <f t="shared" si="2"/>
        <v>15.848559966660831</v>
      </c>
      <c r="L17" s="172">
        <f t="shared" si="3"/>
        <v>87.571874983280878</v>
      </c>
      <c r="M17" s="443"/>
      <c r="N17" s="217">
        <f t="shared" si="4"/>
        <v>0.18097773936765224</v>
      </c>
      <c r="O17" s="172">
        <f t="shared" si="94"/>
        <v>320.23824206402668</v>
      </c>
      <c r="P17" s="172">
        <f t="shared" si="5"/>
        <v>4.3267744705539606</v>
      </c>
      <c r="Q17" s="217">
        <f t="shared" si="6"/>
        <v>21.349216137601779</v>
      </c>
      <c r="R17" s="217">
        <f t="shared" si="7"/>
        <v>40.029780258003335</v>
      </c>
      <c r="S17" s="443">
        <f t="shared" si="8"/>
        <v>15</v>
      </c>
      <c r="T17" s="217">
        <f t="shared" si="9"/>
        <v>2.8104076333895778</v>
      </c>
      <c r="U17" s="217">
        <f t="shared" si="10"/>
        <v>0.47020821043840555</v>
      </c>
      <c r="V17" s="217">
        <f t="shared" si="11"/>
        <v>2.127946745421597</v>
      </c>
      <c r="W17" s="197">
        <f t="shared" si="12"/>
        <v>108.16936176384901</v>
      </c>
      <c r="X17" s="443">
        <f t="shared" si="95"/>
        <v>350</v>
      </c>
      <c r="Z17" s="217">
        <f t="shared" si="13"/>
        <v>10</v>
      </c>
      <c r="AA17" s="173">
        <f t="shared" si="14"/>
        <v>7.5716658328853255</v>
      </c>
      <c r="AB17" s="173">
        <f t="shared" si="15"/>
        <v>4.0951113031617394</v>
      </c>
      <c r="AC17" s="173"/>
      <c r="AD17" s="173">
        <f t="shared" si="16"/>
        <v>7.5716658328853255</v>
      </c>
      <c r="AE17" s="545">
        <f t="shared" si="17"/>
        <v>31.697119933321659</v>
      </c>
      <c r="AF17" s="528">
        <f t="shared" si="18"/>
        <v>4.0951113031617394</v>
      </c>
      <c r="AH17" s="173">
        <f t="shared" si="19"/>
        <v>2.9471535904520287</v>
      </c>
      <c r="AI17" s="173">
        <f t="shared" si="20"/>
        <v>10</v>
      </c>
      <c r="AJ17" s="173">
        <f t="shared" si="21"/>
        <v>1.018112639961898</v>
      </c>
      <c r="AL17" s="545">
        <f t="shared" si="22"/>
        <v>1200</v>
      </c>
      <c r="AM17" s="460">
        <f t="shared" si="23"/>
        <v>31.697119933321659</v>
      </c>
      <c r="AO17">
        <f t="shared" si="96"/>
        <v>1200</v>
      </c>
      <c r="AP17" s="460">
        <f t="shared" si="24"/>
        <v>31.697119933321659</v>
      </c>
      <c r="AQ17" s="460"/>
      <c r="AR17" s="5">
        <f t="shared" si="97"/>
        <v>31.54860763702219</v>
      </c>
      <c r="AS17" s="5">
        <f t="shared" si="25"/>
        <v>1.673096119054077</v>
      </c>
      <c r="AT17" s="5">
        <f t="shared" si="98"/>
        <v>29.875511517968114</v>
      </c>
      <c r="AU17" s="173">
        <f t="shared" si="99"/>
        <v>5.3032328345632089E-2</v>
      </c>
      <c r="AW17" s="5">
        <f t="shared" si="26"/>
        <v>13.384768952432614</v>
      </c>
      <c r="AX17" s="5">
        <f t="shared" si="27"/>
        <v>0.62741104464527886</v>
      </c>
      <c r="AY17" s="5">
        <f t="shared" si="28"/>
        <v>2.0826917656444928</v>
      </c>
      <c r="AZ17" s="5"/>
      <c r="BA17" s="173">
        <f t="shared" si="100"/>
        <v>1.329565447124637</v>
      </c>
      <c r="BB17" s="173">
        <f t="shared" si="29"/>
        <v>5.6183261791342796</v>
      </c>
      <c r="BC17" s="173">
        <f t="shared" si="30"/>
        <v>0.13836505256848347</v>
      </c>
      <c r="BD17" s="173"/>
      <c r="BE17" s="528">
        <f t="shared" si="31"/>
        <v>3.5354885563754719E-2</v>
      </c>
      <c r="BF17" s="528">
        <f t="shared" si="32"/>
        <v>0.52045804202454449</v>
      </c>
      <c r="BG17" s="528">
        <f t="shared" si="33"/>
        <v>5.6835562952430391E-2</v>
      </c>
      <c r="BH17" s="528">
        <f t="shared" si="34"/>
        <v>2.4307992848115502E-2</v>
      </c>
      <c r="BI17">
        <f t="shared" si="35"/>
        <v>3.227549175747902E-2</v>
      </c>
      <c r="BJ17" s="460">
        <f t="shared" si="101"/>
        <v>89.111054709909411</v>
      </c>
      <c r="BK17">
        <f t="shared" si="36"/>
        <v>0.59466209188396868</v>
      </c>
      <c r="BL17" s="460">
        <f t="shared" si="102"/>
        <v>594.66209188396863</v>
      </c>
      <c r="BM17" s="173">
        <f t="shared" si="37"/>
        <v>0.74549999999999994</v>
      </c>
      <c r="BN17" s="173">
        <f t="shared" si="38"/>
        <v>1.33125E-2</v>
      </c>
      <c r="BO17" s="528"/>
      <c r="BQ17" s="460">
        <f t="shared" si="103"/>
        <v>758.81249999999989</v>
      </c>
      <c r="BR17" s="528">
        <f t="shared" si="39"/>
        <v>5.3032328345632075E-2</v>
      </c>
      <c r="BS17" s="528">
        <f t="shared" si="104"/>
        <v>0.94696767165436779</v>
      </c>
      <c r="BT17" s="528">
        <f t="shared" si="40"/>
        <v>9.5724438861395975E-5</v>
      </c>
      <c r="BU17" s="528">
        <f t="shared" si="41"/>
        <v>8.9437471373356683E-2</v>
      </c>
      <c r="BV17" s="528">
        <f t="shared" si="42"/>
        <v>1.4451817791464496</v>
      </c>
      <c r="BW17" s="625">
        <f t="shared" si="43"/>
        <v>3.1697119933321661E-3</v>
      </c>
      <c r="BX17" s="460">
        <f t="shared" si="105"/>
        <v>1448.351491139782</v>
      </c>
      <c r="BY17" s="173">
        <f t="shared" si="106"/>
        <v>2.8018260830237502</v>
      </c>
      <c r="BZ17" s="5">
        <f t="shared" si="107"/>
        <v>18.239999999999998</v>
      </c>
      <c r="CA17" s="173">
        <f t="shared" si="108"/>
        <v>0.86684491773818884</v>
      </c>
      <c r="CB17" s="5">
        <f t="shared" si="109"/>
        <v>86.684491773818877</v>
      </c>
      <c r="CC17">
        <f t="shared" si="110"/>
        <v>12</v>
      </c>
      <c r="CE17" s="562">
        <f t="shared" si="44"/>
        <v>-50</v>
      </c>
      <c r="CF17">
        <f t="shared" si="45"/>
        <v>-50</v>
      </c>
      <c r="CG17" s="173">
        <f t="shared" si="46"/>
        <v>0.24232638717662985</v>
      </c>
      <c r="CH17" s="173">
        <f t="shared" si="47"/>
        <v>2.7921637387425983E-2</v>
      </c>
      <c r="CI17" s="170">
        <v>12</v>
      </c>
      <c r="CJ17" s="217">
        <f t="shared" si="133"/>
        <v>1.2</v>
      </c>
      <c r="CK17" s="217">
        <f t="shared" si="111"/>
        <v>0.03</v>
      </c>
      <c r="CL17" s="217">
        <f t="shared" si="48"/>
        <v>18</v>
      </c>
      <c r="CM17" s="217">
        <f t="shared" si="134"/>
        <v>0.24</v>
      </c>
      <c r="CN17" s="541">
        <f t="shared" si="112"/>
        <v>72</v>
      </c>
      <c r="CO17" s="443">
        <f t="shared" si="49"/>
        <v>15.7</v>
      </c>
      <c r="CP17" s="443">
        <f t="shared" si="50"/>
        <v>87.7</v>
      </c>
      <c r="CQ17" s="443"/>
      <c r="CR17" s="217">
        <f t="shared" si="113"/>
        <v>0.17620137299771166</v>
      </c>
      <c r="CS17" s="172">
        <f t="shared" si="114"/>
        <v>312.98928098277725</v>
      </c>
      <c r="CT17" s="172">
        <f t="shared" si="51"/>
        <v>4.2288329519450798</v>
      </c>
      <c r="CU17" s="217">
        <f t="shared" si="52"/>
        <v>20.865952065518481</v>
      </c>
      <c r="CV17" s="217">
        <f t="shared" si="53"/>
        <v>39.123660122847156</v>
      </c>
      <c r="CW17" s="443">
        <f t="shared" si="54"/>
        <v>15</v>
      </c>
      <c r="CX17" s="217">
        <f t="shared" si="55"/>
        <v>2.8754978354978356</v>
      </c>
      <c r="CY17" s="217">
        <f t="shared" si="56"/>
        <v>0.47924963924963931</v>
      </c>
      <c r="CZ17" s="217">
        <f t="shared" si="57"/>
        <v>2.1978327405079003</v>
      </c>
      <c r="DA17" s="197">
        <f t="shared" si="58"/>
        <v>107.41163055872293</v>
      </c>
      <c r="DB17" s="443">
        <f t="shared" si="115"/>
        <v>350</v>
      </c>
      <c r="DD17" s="217">
        <f t="shared" si="59"/>
        <v>10</v>
      </c>
      <c r="DE17" s="173">
        <f t="shared" si="60"/>
        <v>7.6433121019108281</v>
      </c>
      <c r="DF17" s="173">
        <f t="shared" si="61"/>
        <v>4.1049030786773102</v>
      </c>
      <c r="DG17" s="173"/>
      <c r="DH17" s="173">
        <f t="shared" si="62"/>
        <v>7.6433121019108281</v>
      </c>
      <c r="DI17" s="545">
        <f t="shared" si="63"/>
        <v>31.4</v>
      </c>
      <c r="DJ17" s="528">
        <f t="shared" si="64"/>
        <v>4.1049030786773093</v>
      </c>
      <c r="DL17" s="173">
        <f t="shared" si="65"/>
        <v>2.9471535904520287</v>
      </c>
      <c r="DM17" s="173">
        <f t="shared" si="66"/>
        <v>10</v>
      </c>
      <c r="DN17" s="173">
        <f t="shared" si="67"/>
        <v>1.017942857142857</v>
      </c>
      <c r="DP17" s="545">
        <f t="shared" si="68"/>
        <v>1200</v>
      </c>
      <c r="DQ17" s="460">
        <f t="shared" si="69"/>
        <v>31.4</v>
      </c>
      <c r="DS17">
        <f t="shared" si="116"/>
        <v>1200</v>
      </c>
      <c r="DT17" s="460">
        <f t="shared" si="70"/>
        <v>31.4</v>
      </c>
      <c r="DU17" s="460"/>
      <c r="DV17" s="5">
        <f t="shared" si="117"/>
        <v>31.847133757961782</v>
      </c>
      <c r="DW17" s="5">
        <f t="shared" si="71"/>
        <v>1.6666666666666667</v>
      </c>
      <c r="DX17" s="5">
        <f t="shared" si="118"/>
        <v>30.180467091295114</v>
      </c>
      <c r="DY17" s="173">
        <f t="shared" si="119"/>
        <v>5.2333333333333336E-2</v>
      </c>
      <c r="EA17" s="5">
        <f t="shared" si="72"/>
        <v>13.333333333333334</v>
      </c>
      <c r="EB17" s="5">
        <f t="shared" si="73"/>
        <v>0.625</v>
      </c>
      <c r="EC17" s="5">
        <f t="shared" si="74"/>
        <v>2.0958657702288273</v>
      </c>
      <c r="ED17" s="5"/>
      <c r="EE17" s="173">
        <f t="shared" si="120"/>
        <v>1.32077418374393</v>
      </c>
      <c r="EF17" s="173">
        <f t="shared" si="75"/>
        <v>5.6203993531499954</v>
      </c>
      <c r="EG17" s="173">
        <f t="shared" si="76"/>
        <v>0.13841610955992933</v>
      </c>
      <c r="EH17" s="173"/>
      <c r="EI17" s="528">
        <f t="shared" si="77"/>
        <v>3.4888888888888893E-2</v>
      </c>
      <c r="EJ17" s="528">
        <f t="shared" si="78"/>
        <v>0.55075600000000002</v>
      </c>
      <c r="EK17" s="528">
        <f t="shared" si="79"/>
        <v>3.9249999999999997E-3</v>
      </c>
      <c r="EL17" s="528">
        <f t="shared" si="80"/>
        <v>2.41506506E-2</v>
      </c>
      <c r="EM17">
        <f t="shared" si="81"/>
        <v>3.2399999999999998E-2</v>
      </c>
      <c r="EN17" s="460">
        <f t="shared" si="121"/>
        <v>36.324999999999996</v>
      </c>
      <c r="EO17">
        <f t="shared" si="82"/>
        <v>0.66102013197490816</v>
      </c>
      <c r="EP17" s="460">
        <f t="shared" si="122"/>
        <v>661.02013197490817</v>
      </c>
      <c r="EQ17" s="173">
        <f t="shared" si="83"/>
        <v>0.74549999999999994</v>
      </c>
      <c r="ER17" s="173">
        <f t="shared" si="84"/>
        <v>1.33125E-2</v>
      </c>
      <c r="ES17" s="528"/>
      <c r="EU17" s="460">
        <f t="shared" si="123"/>
        <v>758.81249999999989</v>
      </c>
      <c r="EV17" s="528">
        <f t="shared" si="85"/>
        <v>5.2333333333333329E-2</v>
      </c>
      <c r="EW17" s="528">
        <f t="shared" si="124"/>
        <v>0.94766666666666655</v>
      </c>
      <c r="EX17" s="528">
        <f t="shared" si="86"/>
        <v>9.5795096928531811E-5</v>
      </c>
      <c r="EY17" s="528">
        <f t="shared" si="87"/>
        <v>8.7356278564050566E-2</v>
      </c>
      <c r="EZ17" s="528">
        <f t="shared" si="88"/>
        <v>1.442919698320468</v>
      </c>
      <c r="FA17" s="625">
        <f t="shared" si="89"/>
        <v>3.14E-3</v>
      </c>
      <c r="FB17" s="460">
        <f t="shared" si="125"/>
        <v>1446.059698320468</v>
      </c>
      <c r="FC17" s="173">
        <f t="shared" si="126"/>
        <v>2.8658923302953765</v>
      </c>
      <c r="FD17" s="5">
        <f t="shared" si="127"/>
        <v>18.239999999999998</v>
      </c>
      <c r="FE17" s="173">
        <f t="shared" si="128"/>
        <v>0.8642136382842398</v>
      </c>
      <c r="FF17" s="5">
        <f t="shared" si="129"/>
        <v>86.421363828423978</v>
      </c>
      <c r="FG17">
        <f t="shared" si="130"/>
        <v>12</v>
      </c>
      <c r="FI17" s="562">
        <f t="shared" si="90"/>
        <v>-50</v>
      </c>
      <c r="FJ17">
        <f t="shared" si="91"/>
        <v>-50</v>
      </c>
      <c r="FL17">
        <f t="shared" si="92"/>
        <v>0.24232638717662985</v>
      </c>
    </row>
    <row r="18" spans="5:168">
      <c r="E18" s="170">
        <v>13</v>
      </c>
      <c r="F18" s="217">
        <f t="shared" si="131"/>
        <v>1.3</v>
      </c>
      <c r="G18" s="217">
        <f t="shared" si="93"/>
        <v>3.2500000000000001E-2</v>
      </c>
      <c r="H18" s="217">
        <f t="shared" si="0"/>
        <v>19.5</v>
      </c>
      <c r="I18" s="217">
        <f t="shared" si="132"/>
        <v>0.26</v>
      </c>
      <c r="J18" s="541">
        <f t="shared" si="1"/>
        <v>71.723315016620049</v>
      </c>
      <c r="K18" s="443">
        <f t="shared" si="2"/>
        <v>15.848559966660831</v>
      </c>
      <c r="L18" s="172">
        <f t="shared" si="3"/>
        <v>87.571874983280878</v>
      </c>
      <c r="M18" s="443"/>
      <c r="N18" s="217">
        <f t="shared" si="4"/>
        <v>0.18097773936765224</v>
      </c>
      <c r="O18" s="172">
        <f t="shared" si="94"/>
        <v>320.23824206402668</v>
      </c>
      <c r="P18" s="172">
        <f t="shared" si="5"/>
        <v>4.3267744705539606</v>
      </c>
      <c r="Q18" s="217">
        <f t="shared" si="6"/>
        <v>21.349216137601779</v>
      </c>
      <c r="R18" s="217">
        <f t="shared" si="7"/>
        <v>40.029780258003335</v>
      </c>
      <c r="S18" s="443">
        <f t="shared" si="8"/>
        <v>15</v>
      </c>
      <c r="T18" s="217">
        <f t="shared" si="9"/>
        <v>3.0446082695053764</v>
      </c>
      <c r="U18" s="217">
        <f t="shared" si="10"/>
        <v>0.50939222797493944</v>
      </c>
      <c r="V18" s="217">
        <f t="shared" si="11"/>
        <v>2.305275640873397</v>
      </c>
      <c r="W18" s="197">
        <f t="shared" si="12"/>
        <v>108.16936176384901</v>
      </c>
      <c r="X18" s="443">
        <f t="shared" si="95"/>
        <v>331.71149974209931</v>
      </c>
      <c r="Z18" s="217">
        <f t="shared" si="13"/>
        <v>10</v>
      </c>
      <c r="AA18" s="173">
        <f t="shared" si="14"/>
        <v>7.5716658328853255</v>
      </c>
      <c r="AB18" s="173">
        <f t="shared" si="15"/>
        <v>4.0951113031617394</v>
      </c>
      <c r="AC18" s="173"/>
      <c r="AD18" s="173">
        <f t="shared" si="16"/>
        <v>7.5716658328853255</v>
      </c>
      <c r="AE18" s="545">
        <f t="shared" si="17"/>
        <v>34.338546594431797</v>
      </c>
      <c r="AF18" s="528">
        <f t="shared" si="18"/>
        <v>4.0951113031617394</v>
      </c>
      <c r="AH18" s="173">
        <f t="shared" si="19"/>
        <v>3.0674947122242622</v>
      </c>
      <c r="AI18" s="173">
        <f t="shared" si="20"/>
        <v>10</v>
      </c>
      <c r="AJ18" s="173">
        <f t="shared" si="21"/>
        <v>1.0196220266253897</v>
      </c>
      <c r="AL18" s="545">
        <f t="shared" si="22"/>
        <v>1300</v>
      </c>
      <c r="AM18" s="460">
        <f t="shared" si="23"/>
        <v>34.338546594431797</v>
      </c>
      <c r="AO18">
        <f t="shared" si="96"/>
        <v>1300</v>
      </c>
      <c r="AP18" s="460">
        <f t="shared" si="24"/>
        <v>34.338546594431797</v>
      </c>
      <c r="AQ18" s="460"/>
      <c r="AR18" s="5">
        <f t="shared" si="97"/>
        <v>29.121791664943558</v>
      </c>
      <c r="AS18" s="5">
        <f t="shared" si="25"/>
        <v>1.673096119054077</v>
      </c>
      <c r="AT18" s="5">
        <f t="shared" si="98"/>
        <v>27.448695545889482</v>
      </c>
      <c r="AU18" s="173">
        <f t="shared" si="99"/>
        <v>5.7451689041101435E-2</v>
      </c>
      <c r="AW18" s="5">
        <f t="shared" si="26"/>
        <v>14.500166365135335</v>
      </c>
      <c r="AX18" s="5">
        <f t="shared" si="27"/>
        <v>0.67969529836571874</v>
      </c>
      <c r="AY18" s="5">
        <f t="shared" si="28"/>
        <v>2.0729721454236807</v>
      </c>
      <c r="AZ18" s="5"/>
      <c r="BA18" s="173">
        <f t="shared" si="100"/>
        <v>1.3838555926721718</v>
      </c>
      <c r="BB18" s="173">
        <f t="shared" si="29"/>
        <v>5.6052008913118616</v>
      </c>
      <c r="BC18" s="173">
        <f t="shared" si="30"/>
        <v>0.13804181018603331</v>
      </c>
      <c r="BD18" s="173"/>
      <c r="BE18" s="528">
        <f t="shared" si="31"/>
        <v>3.8301126027400961E-2</v>
      </c>
      <c r="BF18" s="528">
        <f t="shared" si="32"/>
        <v>0.56382954552658993</v>
      </c>
      <c r="BG18" s="528">
        <f t="shared" si="33"/>
        <v>6.1571859865132923E-2</v>
      </c>
      <c r="BH18" s="528">
        <f t="shared" si="34"/>
        <v>2.6333658918791792E-2</v>
      </c>
      <c r="BI18">
        <f t="shared" si="35"/>
        <v>3.227549175747902E-2</v>
      </c>
      <c r="BJ18" s="460">
        <f t="shared" si="101"/>
        <v>93.847351622611939</v>
      </c>
      <c r="BK18">
        <f t="shared" si="36"/>
        <v>0.64467237718464909</v>
      </c>
      <c r="BL18" s="460">
        <f t="shared" si="102"/>
        <v>644.67237718464912</v>
      </c>
      <c r="BM18" s="173">
        <f t="shared" si="37"/>
        <v>0.80762499999999993</v>
      </c>
      <c r="BN18" s="173">
        <f t="shared" si="38"/>
        <v>1.4421874999999999E-2</v>
      </c>
      <c r="BO18" s="528"/>
      <c r="BQ18" s="460">
        <f t="shared" si="103"/>
        <v>822.046875</v>
      </c>
      <c r="BR18" s="528">
        <f t="shared" si="39"/>
        <v>5.7451689041101435E-2</v>
      </c>
      <c r="BS18" s="528">
        <f t="shared" si="104"/>
        <v>0.94254831095889857</v>
      </c>
      <c r="BT18" s="528">
        <f t="shared" si="40"/>
        <v>9.5277706797184259E-5</v>
      </c>
      <c r="BU18" s="528">
        <f t="shared" si="41"/>
        <v>0.10925083821843092</v>
      </c>
      <c r="BV18" s="528">
        <f t="shared" si="42"/>
        <v>1.4667175676236615</v>
      </c>
      <c r="BW18" s="625">
        <f t="shared" si="43"/>
        <v>3.4338546594431803E-3</v>
      </c>
      <c r="BX18" s="460">
        <f t="shared" si="105"/>
        <v>1470.1514222831047</v>
      </c>
      <c r="BY18" s="173">
        <f t="shared" si="106"/>
        <v>2.9368706744677535</v>
      </c>
      <c r="BZ18" s="5">
        <f t="shared" si="107"/>
        <v>19.760000000000002</v>
      </c>
      <c r="CA18" s="173">
        <f t="shared" si="108"/>
        <v>0.87060459934807188</v>
      </c>
      <c r="CB18" s="5">
        <f t="shared" si="109"/>
        <v>87.060459934807184</v>
      </c>
      <c r="CC18">
        <f t="shared" si="110"/>
        <v>13</v>
      </c>
      <c r="CE18" s="562">
        <f t="shared" si="44"/>
        <v>-50</v>
      </c>
      <c r="CF18">
        <f t="shared" si="45"/>
        <v>-50</v>
      </c>
      <c r="CG18" s="173">
        <f t="shared" si="46"/>
        <v>0.26252025277468233</v>
      </c>
      <c r="CH18" s="173">
        <f t="shared" si="47"/>
        <v>3.0248440503044819E-2</v>
      </c>
      <c r="CI18" s="170">
        <v>13</v>
      </c>
      <c r="CJ18" s="217">
        <f t="shared" si="133"/>
        <v>1.3</v>
      </c>
      <c r="CK18" s="217">
        <f t="shared" si="111"/>
        <v>3.2500000000000001E-2</v>
      </c>
      <c r="CL18" s="217">
        <f t="shared" si="48"/>
        <v>19.5</v>
      </c>
      <c r="CM18" s="217">
        <f t="shared" si="134"/>
        <v>0.26</v>
      </c>
      <c r="CN18" s="541">
        <f t="shared" si="112"/>
        <v>72</v>
      </c>
      <c r="CO18" s="443">
        <f t="shared" si="49"/>
        <v>15.7</v>
      </c>
      <c r="CP18" s="443">
        <f t="shared" si="50"/>
        <v>87.7</v>
      </c>
      <c r="CQ18" s="443"/>
      <c r="CR18" s="217">
        <f t="shared" si="113"/>
        <v>0.17620137299771166</v>
      </c>
      <c r="CS18" s="172">
        <f t="shared" si="114"/>
        <v>312.98928098277725</v>
      </c>
      <c r="CT18" s="172">
        <f t="shared" si="51"/>
        <v>4.2288329519450798</v>
      </c>
      <c r="CU18" s="217">
        <f t="shared" si="52"/>
        <v>20.865952065518481</v>
      </c>
      <c r="CV18" s="217">
        <f t="shared" si="53"/>
        <v>39.123660122847156</v>
      </c>
      <c r="CW18" s="443">
        <f t="shared" si="54"/>
        <v>15</v>
      </c>
      <c r="CX18" s="217">
        <f t="shared" si="55"/>
        <v>3.1151226551226556</v>
      </c>
      <c r="CY18" s="217">
        <f t="shared" si="56"/>
        <v>0.5191871091871092</v>
      </c>
      <c r="CZ18" s="217">
        <f t="shared" si="57"/>
        <v>2.3809854688835581</v>
      </c>
      <c r="DA18" s="197">
        <f t="shared" si="58"/>
        <v>107.41163055872293</v>
      </c>
      <c r="DB18" s="443">
        <f t="shared" si="115"/>
        <v>344.80706684884512</v>
      </c>
      <c r="DD18" s="217">
        <f t="shared" si="59"/>
        <v>10</v>
      </c>
      <c r="DE18" s="173">
        <f t="shared" si="60"/>
        <v>7.6433121019108281</v>
      </c>
      <c r="DF18" s="173">
        <f t="shared" si="61"/>
        <v>4.1049030786773102</v>
      </c>
      <c r="DG18" s="173"/>
      <c r="DH18" s="173">
        <f t="shared" si="62"/>
        <v>7.6433121019108281</v>
      </c>
      <c r="DI18" s="545">
        <f t="shared" si="63"/>
        <v>34.016666666666673</v>
      </c>
      <c r="DJ18" s="528">
        <f t="shared" si="64"/>
        <v>4.1049030786773093</v>
      </c>
      <c r="DL18" s="173">
        <f t="shared" si="65"/>
        <v>3.0674947122242622</v>
      </c>
      <c r="DM18" s="173">
        <f t="shared" si="66"/>
        <v>10</v>
      </c>
      <c r="DN18" s="173">
        <f t="shared" si="67"/>
        <v>1.0194380952380953</v>
      </c>
      <c r="DP18" s="545">
        <f t="shared" si="68"/>
        <v>1300</v>
      </c>
      <c r="DQ18" s="460">
        <f t="shared" si="69"/>
        <v>34.016666666666673</v>
      </c>
      <c r="DS18">
        <f t="shared" si="116"/>
        <v>1300</v>
      </c>
      <c r="DT18" s="460">
        <f t="shared" si="70"/>
        <v>34.016666666666673</v>
      </c>
      <c r="DU18" s="460"/>
      <c r="DV18" s="5">
        <f t="shared" si="117"/>
        <v>29.397354238118563</v>
      </c>
      <c r="DW18" s="5">
        <f t="shared" si="71"/>
        <v>1.6666666666666667</v>
      </c>
      <c r="DX18" s="5">
        <f t="shared" si="118"/>
        <v>27.730687571451895</v>
      </c>
      <c r="DY18" s="173">
        <f t="shared" si="119"/>
        <v>5.6694444444444457E-2</v>
      </c>
      <c r="EA18" s="5">
        <f t="shared" si="72"/>
        <v>14.444444444444446</v>
      </c>
      <c r="EB18" s="5">
        <f t="shared" si="73"/>
        <v>0.67708333333333337</v>
      </c>
      <c r="EC18" s="5">
        <f t="shared" si="74"/>
        <v>2.0862207085004316</v>
      </c>
      <c r="ED18" s="5"/>
      <c r="EE18" s="173">
        <f t="shared" si="120"/>
        <v>1.3747053556361872</v>
      </c>
      <c r="EF18" s="173">
        <f t="shared" si="75"/>
        <v>5.6074520522710234</v>
      </c>
      <c r="EG18" s="173">
        <f t="shared" si="76"/>
        <v>0.13809725054220406</v>
      </c>
      <c r="EH18" s="173"/>
      <c r="EI18" s="528">
        <f t="shared" si="77"/>
        <v>3.7796296296296321E-2</v>
      </c>
      <c r="EJ18" s="528">
        <f t="shared" si="78"/>
        <v>0.59665233333333345</v>
      </c>
      <c r="EK18" s="528">
        <f t="shared" si="79"/>
        <v>4.2520833333333334E-3</v>
      </c>
      <c r="EL18" s="528">
        <f t="shared" si="80"/>
        <v>2.6163204816666674E-2</v>
      </c>
      <c r="EM18">
        <f t="shared" si="81"/>
        <v>3.2399999999999998E-2</v>
      </c>
      <c r="EN18" s="460">
        <f t="shared" si="121"/>
        <v>36.652083333333337</v>
      </c>
      <c r="EO18">
        <f t="shared" si="82"/>
        <v>0.71387984433368401</v>
      </c>
      <c r="EP18" s="460">
        <f t="shared" si="122"/>
        <v>713.87984433368399</v>
      </c>
      <c r="EQ18" s="173">
        <f t="shared" si="83"/>
        <v>0.80762499999999993</v>
      </c>
      <c r="ER18" s="173">
        <f t="shared" si="84"/>
        <v>1.4421874999999999E-2</v>
      </c>
      <c r="ES18" s="528"/>
      <c r="EU18" s="460">
        <f t="shared" si="123"/>
        <v>822.046875</v>
      </c>
      <c r="EV18" s="528">
        <f t="shared" si="85"/>
        <v>5.6694444444444478E-2</v>
      </c>
      <c r="EW18" s="528">
        <f t="shared" si="124"/>
        <v>0.9433055555555554</v>
      </c>
      <c r="EX18" s="528">
        <f t="shared" si="86"/>
        <v>9.5354253036581402E-5</v>
      </c>
      <c r="EY18" s="528">
        <f t="shared" si="87"/>
        <v>0.1067085921618344</v>
      </c>
      <c r="EZ18" s="528">
        <f t="shared" si="88"/>
        <v>1.4639543467146265</v>
      </c>
      <c r="FA18" s="625">
        <f t="shared" si="89"/>
        <v>3.4016666666666674E-3</v>
      </c>
      <c r="FB18" s="460">
        <f t="shared" si="125"/>
        <v>1467.3560133812932</v>
      </c>
      <c r="FC18" s="173">
        <f t="shared" si="126"/>
        <v>3.0032827327149771</v>
      </c>
      <c r="FD18" s="5">
        <f t="shared" si="127"/>
        <v>19.760000000000002</v>
      </c>
      <c r="FE18" s="173">
        <f t="shared" si="128"/>
        <v>0.86806460351174608</v>
      </c>
      <c r="FF18" s="5">
        <f t="shared" si="129"/>
        <v>86.806460351174607</v>
      </c>
      <c r="FG18">
        <f t="shared" si="130"/>
        <v>13</v>
      </c>
      <c r="FI18" s="562">
        <f t="shared" si="90"/>
        <v>-50</v>
      </c>
      <c r="FJ18">
        <f t="shared" si="91"/>
        <v>-50</v>
      </c>
      <c r="FL18">
        <f t="shared" si="92"/>
        <v>0.26252025277468238</v>
      </c>
    </row>
    <row r="19" spans="5:168">
      <c r="E19" s="170">
        <v>14</v>
      </c>
      <c r="F19" s="217">
        <f t="shared" si="131"/>
        <v>1.4000000000000001</v>
      </c>
      <c r="G19" s="217">
        <f t="shared" si="93"/>
        <v>3.5000000000000003E-2</v>
      </c>
      <c r="H19" s="217">
        <f t="shared" si="0"/>
        <v>21.000000000000004</v>
      </c>
      <c r="I19" s="217">
        <f t="shared" si="132"/>
        <v>0.28000000000000003</v>
      </c>
      <c r="J19" s="541">
        <f t="shared" si="1"/>
        <v>71.723315016620049</v>
      </c>
      <c r="K19" s="443">
        <f t="shared" si="2"/>
        <v>15.848559966660831</v>
      </c>
      <c r="L19" s="172">
        <f t="shared" si="3"/>
        <v>87.571874983280878</v>
      </c>
      <c r="M19" s="443"/>
      <c r="N19" s="217">
        <f t="shared" si="4"/>
        <v>0.18097773936765224</v>
      </c>
      <c r="O19" s="172">
        <f t="shared" si="94"/>
        <v>320.23824206402668</v>
      </c>
      <c r="P19" s="172">
        <f t="shared" si="5"/>
        <v>4.3267744705539606</v>
      </c>
      <c r="Q19" s="217">
        <f t="shared" si="6"/>
        <v>21.349216137601779</v>
      </c>
      <c r="R19" s="217">
        <f t="shared" si="7"/>
        <v>40.029780258003335</v>
      </c>
      <c r="S19" s="443">
        <f t="shared" si="8"/>
        <v>15</v>
      </c>
      <c r="T19" s="217">
        <f t="shared" si="9"/>
        <v>3.2788089056211747</v>
      </c>
      <c r="U19" s="217">
        <f t="shared" si="10"/>
        <v>0.54857624551147322</v>
      </c>
      <c r="V19" s="217">
        <f t="shared" si="11"/>
        <v>2.4826045363251978</v>
      </c>
      <c r="W19" s="197">
        <f t="shared" si="12"/>
        <v>108.16936176384901</v>
      </c>
      <c r="X19" s="443">
        <f t="shared" si="95"/>
        <v>309.48438590043202</v>
      </c>
      <c r="Z19" s="217">
        <f t="shared" si="13"/>
        <v>10</v>
      </c>
      <c r="AA19" s="173">
        <f t="shared" si="14"/>
        <v>7.5716658328853255</v>
      </c>
      <c r="AB19" s="173">
        <f t="shared" si="15"/>
        <v>4.0951113031617394</v>
      </c>
      <c r="AC19" s="173"/>
      <c r="AD19" s="173">
        <f t="shared" si="16"/>
        <v>7.5716658328853255</v>
      </c>
      <c r="AE19" s="545">
        <f t="shared" si="17"/>
        <v>36.979973255541942</v>
      </c>
      <c r="AF19" s="528">
        <f t="shared" si="18"/>
        <v>4.0951113031617394</v>
      </c>
      <c r="AH19" s="173">
        <f t="shared" si="19"/>
        <v>3.1832897030168859</v>
      </c>
      <c r="AI19" s="173">
        <f t="shared" si="20"/>
        <v>10</v>
      </c>
      <c r="AJ19" s="173">
        <f t="shared" si="21"/>
        <v>1.0211314132888811</v>
      </c>
      <c r="AL19" s="545">
        <f t="shared" si="22"/>
        <v>1400.0000000000002</v>
      </c>
      <c r="AM19" s="460">
        <f t="shared" si="23"/>
        <v>36.979973255541942</v>
      </c>
      <c r="AO19">
        <f t="shared" si="96"/>
        <v>1400.0000000000002</v>
      </c>
      <c r="AP19" s="460">
        <f t="shared" si="24"/>
        <v>36.979973255541942</v>
      </c>
      <c r="AQ19" s="460"/>
      <c r="AR19" s="5">
        <f t="shared" si="97"/>
        <v>27.041663688876159</v>
      </c>
      <c r="AS19" s="5">
        <f t="shared" si="25"/>
        <v>1.673096119054077</v>
      </c>
      <c r="AT19" s="5">
        <f t="shared" si="98"/>
        <v>25.368567569822083</v>
      </c>
      <c r="AU19" s="173">
        <f t="shared" si="99"/>
        <v>6.1871049736570781E-2</v>
      </c>
      <c r="AW19" s="5">
        <f t="shared" si="26"/>
        <v>15.615563777838052</v>
      </c>
      <c r="AX19" s="5">
        <f t="shared" si="27"/>
        <v>0.73197955208615872</v>
      </c>
      <c r="AY19" s="5">
        <f t="shared" si="28"/>
        <v>2.0632525252028691</v>
      </c>
      <c r="AZ19" s="5"/>
      <c r="BA19" s="173">
        <f t="shared" si="100"/>
        <v>1.4360948173962469</v>
      </c>
      <c r="BB19" s="173">
        <f t="shared" si="29"/>
        <v>5.5920447967430462</v>
      </c>
      <c r="BC19" s="173">
        <f t="shared" si="30"/>
        <v>0.13771780911194642</v>
      </c>
      <c r="BD19" s="173"/>
      <c r="BE19" s="528">
        <f t="shared" si="31"/>
        <v>4.1247366491047197E-2</v>
      </c>
      <c r="BF19" s="528">
        <f t="shared" si="32"/>
        <v>0.60720104902863536</v>
      </c>
      <c r="BG19" s="528">
        <f t="shared" si="33"/>
        <v>6.630815677783547E-2</v>
      </c>
      <c r="BH19" s="528">
        <f t="shared" si="34"/>
        <v>2.8359324989468089E-2</v>
      </c>
      <c r="BI19">
        <f t="shared" si="35"/>
        <v>3.227549175747902E-2</v>
      </c>
      <c r="BJ19" s="460">
        <f t="shared" si="101"/>
        <v>98.583648535314481</v>
      </c>
      <c r="BK19">
        <f t="shared" si="36"/>
        <v>0.69475337254375458</v>
      </c>
      <c r="BL19" s="460">
        <f t="shared" si="102"/>
        <v>694.75337254375461</v>
      </c>
      <c r="BM19" s="173">
        <f t="shared" si="37"/>
        <v>0.86974999999999991</v>
      </c>
      <c r="BN19" s="173">
        <f t="shared" si="38"/>
        <v>1.553125E-2</v>
      </c>
      <c r="BO19" s="528"/>
      <c r="BQ19" s="460">
        <f t="shared" si="103"/>
        <v>885.28124999999989</v>
      </c>
      <c r="BR19" s="528">
        <f t="shared" si="39"/>
        <v>6.1871049736570795E-2</v>
      </c>
      <c r="BS19" s="528">
        <f t="shared" si="104"/>
        <v>0.93812895026342924</v>
      </c>
      <c r="BT19" s="528">
        <f t="shared" si="40"/>
        <v>9.4830974732972571E-5</v>
      </c>
      <c r="BU19" s="528">
        <f t="shared" si="41"/>
        <v>0.13148811099031502</v>
      </c>
      <c r="BV19" s="528">
        <f t="shared" si="42"/>
        <v>1.4908880565091231</v>
      </c>
      <c r="BW19" s="625">
        <f t="shared" si="43"/>
        <v>3.6979973255541945E-3</v>
      </c>
      <c r="BX19" s="460">
        <f t="shared" si="105"/>
        <v>1494.5860538346774</v>
      </c>
      <c r="BY19" s="173">
        <f t="shared" si="106"/>
        <v>3.0746206763784314</v>
      </c>
      <c r="BZ19" s="5">
        <f t="shared" si="107"/>
        <v>21.280000000000005</v>
      </c>
      <c r="CA19" s="173">
        <f t="shared" si="108"/>
        <v>0.87375616655115851</v>
      </c>
      <c r="CB19" s="5">
        <f t="shared" si="109"/>
        <v>87.375616655115849</v>
      </c>
      <c r="CC19">
        <f t="shared" si="110"/>
        <v>14.000000000000002</v>
      </c>
      <c r="CE19" s="562">
        <f t="shared" si="44"/>
        <v>-50</v>
      </c>
      <c r="CF19">
        <f t="shared" si="45"/>
        <v>-50</v>
      </c>
      <c r="CG19" s="173">
        <f t="shared" si="46"/>
        <v>0.28271411837273491</v>
      </c>
      <c r="CH19" s="173">
        <f t="shared" si="47"/>
        <v>3.2575243618663652E-2</v>
      </c>
      <c r="CI19" s="170">
        <v>14</v>
      </c>
      <c r="CJ19" s="217">
        <f t="shared" si="133"/>
        <v>1.4000000000000001</v>
      </c>
      <c r="CK19" s="217">
        <f t="shared" si="111"/>
        <v>3.5000000000000003E-2</v>
      </c>
      <c r="CL19" s="217">
        <f t="shared" si="48"/>
        <v>21.000000000000004</v>
      </c>
      <c r="CM19" s="217">
        <f t="shared" si="134"/>
        <v>0.28000000000000003</v>
      </c>
      <c r="CN19" s="541">
        <f t="shared" si="112"/>
        <v>72</v>
      </c>
      <c r="CO19" s="443">
        <f t="shared" si="49"/>
        <v>15.7</v>
      </c>
      <c r="CP19" s="443">
        <f t="shared" si="50"/>
        <v>87.7</v>
      </c>
      <c r="CQ19" s="443"/>
      <c r="CR19" s="217">
        <f t="shared" si="113"/>
        <v>0.17620137299771166</v>
      </c>
      <c r="CS19" s="172">
        <f t="shared" si="114"/>
        <v>312.98928098277725</v>
      </c>
      <c r="CT19" s="172">
        <f t="shared" si="51"/>
        <v>4.2288329519450798</v>
      </c>
      <c r="CU19" s="217">
        <f t="shared" si="52"/>
        <v>20.865952065518481</v>
      </c>
      <c r="CV19" s="217">
        <f t="shared" si="53"/>
        <v>39.123660122847156</v>
      </c>
      <c r="CW19" s="443">
        <f t="shared" si="54"/>
        <v>15</v>
      </c>
      <c r="CX19" s="217">
        <f t="shared" si="55"/>
        <v>3.3547474747474757</v>
      </c>
      <c r="CY19" s="217">
        <f t="shared" si="56"/>
        <v>0.55912457912457925</v>
      </c>
      <c r="CZ19" s="217">
        <f t="shared" si="57"/>
        <v>2.5641381972592172</v>
      </c>
      <c r="DA19" s="197">
        <f t="shared" si="58"/>
        <v>107.41163055872293</v>
      </c>
      <c r="DB19" s="443">
        <f t="shared" si="115"/>
        <v>320.17799064535609</v>
      </c>
      <c r="DD19" s="217">
        <f t="shared" si="59"/>
        <v>10</v>
      </c>
      <c r="DE19" s="173">
        <f t="shared" si="60"/>
        <v>7.6433121019108281</v>
      </c>
      <c r="DF19" s="173">
        <f t="shared" si="61"/>
        <v>4.1049030786773102</v>
      </c>
      <c r="DG19" s="173"/>
      <c r="DH19" s="173">
        <f t="shared" si="62"/>
        <v>7.6433121019108281</v>
      </c>
      <c r="DI19" s="545">
        <f t="shared" si="63"/>
        <v>36.63333333333334</v>
      </c>
      <c r="DJ19" s="528">
        <f t="shared" si="64"/>
        <v>4.1049030786773093</v>
      </c>
      <c r="DL19" s="173">
        <f t="shared" si="65"/>
        <v>3.1832897030168859</v>
      </c>
      <c r="DM19" s="173">
        <f t="shared" si="66"/>
        <v>10</v>
      </c>
      <c r="DN19" s="173">
        <f t="shared" si="67"/>
        <v>1.0209333333333332</v>
      </c>
      <c r="DP19" s="545">
        <f t="shared" si="68"/>
        <v>1400.0000000000002</v>
      </c>
      <c r="DQ19" s="460">
        <f t="shared" si="69"/>
        <v>36.63333333333334</v>
      </c>
      <c r="DS19">
        <f t="shared" si="116"/>
        <v>1400.0000000000002</v>
      </c>
      <c r="DT19" s="460">
        <f t="shared" si="70"/>
        <v>36.63333333333334</v>
      </c>
      <c r="DU19" s="460"/>
      <c r="DV19" s="5">
        <f t="shared" si="117"/>
        <v>27.297543221110097</v>
      </c>
      <c r="DW19" s="5">
        <f t="shared" si="71"/>
        <v>1.6666666666666667</v>
      </c>
      <c r="DX19" s="5">
        <f t="shared" si="118"/>
        <v>25.630876554443429</v>
      </c>
      <c r="DY19" s="173">
        <f t="shared" si="119"/>
        <v>6.1055555555555564E-2</v>
      </c>
      <c r="EA19" s="5">
        <f t="shared" si="72"/>
        <v>15.555555555555557</v>
      </c>
      <c r="EB19" s="5">
        <f t="shared" si="73"/>
        <v>0.72916666666666685</v>
      </c>
      <c r="EC19" s="5">
        <f t="shared" si="74"/>
        <v>2.0765756467720378</v>
      </c>
      <c r="ED19" s="5"/>
      <c r="EE19" s="173">
        <f t="shared" si="120"/>
        <v>1.4265991676659515</v>
      </c>
      <c r="EF19" s="173">
        <f t="shared" si="75"/>
        <v>5.5944747875156384</v>
      </c>
      <c r="EG19" s="173">
        <f t="shared" si="76"/>
        <v>0.13777765359058122</v>
      </c>
      <c r="EH19" s="173"/>
      <c r="EI19" s="528">
        <f t="shared" si="77"/>
        <v>4.0703703703703714E-2</v>
      </c>
      <c r="EJ19" s="528">
        <f t="shared" si="78"/>
        <v>0.64254866666666677</v>
      </c>
      <c r="EK19" s="528">
        <f t="shared" si="79"/>
        <v>4.5791666666666671E-3</v>
      </c>
      <c r="EL19" s="528">
        <f t="shared" si="80"/>
        <v>2.8175759033333341E-2</v>
      </c>
      <c r="EM19">
        <f t="shared" si="81"/>
        <v>3.2399999999999998E-2</v>
      </c>
      <c r="EN19" s="460">
        <f t="shared" si="121"/>
        <v>36.979166666666664</v>
      </c>
      <c r="EO19">
        <f t="shared" si="82"/>
        <v>0.76681330086570287</v>
      </c>
      <c r="EP19" s="460">
        <f t="shared" si="122"/>
        <v>766.8133008657029</v>
      </c>
      <c r="EQ19" s="173">
        <f t="shared" si="83"/>
        <v>0.86974999999999991</v>
      </c>
      <c r="ER19" s="173">
        <f t="shared" si="84"/>
        <v>1.553125E-2</v>
      </c>
      <c r="ES19" s="528"/>
      <c r="EU19" s="460">
        <f t="shared" si="123"/>
        <v>885.28124999999989</v>
      </c>
      <c r="EV19" s="528">
        <f t="shared" si="85"/>
        <v>6.1055555555555564E-2</v>
      </c>
      <c r="EW19" s="528">
        <f t="shared" si="124"/>
        <v>0.93894444444444436</v>
      </c>
      <c r="EX19" s="528">
        <f t="shared" si="86"/>
        <v>9.4913409144631007E-5</v>
      </c>
      <c r="EY19" s="528">
        <f t="shared" si="87"/>
        <v>0.12842840786029333</v>
      </c>
      <c r="EZ19" s="528">
        <f t="shared" si="88"/>
        <v>1.4875623865837244</v>
      </c>
      <c r="FA19" s="625">
        <f t="shared" si="89"/>
        <v>3.6633333333333344E-3</v>
      </c>
      <c r="FB19" s="460">
        <f t="shared" si="125"/>
        <v>1491.2257199170579</v>
      </c>
      <c r="FC19" s="173">
        <f t="shared" si="126"/>
        <v>3.1433202707827603</v>
      </c>
      <c r="FD19" s="5">
        <f t="shared" si="127"/>
        <v>21.280000000000005</v>
      </c>
      <c r="FE19" s="173">
        <f t="shared" si="128"/>
        <v>0.87129840513359424</v>
      </c>
      <c r="FF19" s="5">
        <f t="shared" si="129"/>
        <v>87.129840513359426</v>
      </c>
      <c r="FG19">
        <f t="shared" si="130"/>
        <v>14.000000000000002</v>
      </c>
      <c r="FI19" s="562">
        <f t="shared" si="90"/>
        <v>-50</v>
      </c>
      <c r="FJ19">
        <f t="shared" si="91"/>
        <v>-50</v>
      </c>
      <c r="FL19">
        <f t="shared" si="92"/>
        <v>0.28271411837273491</v>
      </c>
    </row>
    <row r="20" spans="5:168">
      <c r="E20" s="170">
        <v>15</v>
      </c>
      <c r="F20" s="217">
        <f t="shared" si="131"/>
        <v>1.5</v>
      </c>
      <c r="G20" s="217">
        <f t="shared" si="93"/>
        <v>3.7499999999999999E-2</v>
      </c>
      <c r="H20" s="217">
        <f t="shared" si="0"/>
        <v>22.5</v>
      </c>
      <c r="I20" s="217">
        <f t="shared" si="132"/>
        <v>0.3</v>
      </c>
      <c r="J20" s="541">
        <f t="shared" si="1"/>
        <v>71.723315016620049</v>
      </c>
      <c r="K20" s="443">
        <f t="shared" si="2"/>
        <v>15.848559966660831</v>
      </c>
      <c r="L20" s="172">
        <f t="shared" si="3"/>
        <v>87.571874983280878</v>
      </c>
      <c r="M20" s="443"/>
      <c r="N20" s="217">
        <f t="shared" si="4"/>
        <v>0.18097773936765224</v>
      </c>
      <c r="O20" s="172">
        <f t="shared" si="94"/>
        <v>320.23824206402668</v>
      </c>
      <c r="P20" s="172">
        <f t="shared" si="5"/>
        <v>4.3267744705539606</v>
      </c>
      <c r="Q20" s="217">
        <f t="shared" si="6"/>
        <v>21.349216137601779</v>
      </c>
      <c r="R20" s="217">
        <f t="shared" si="7"/>
        <v>40.029780258003335</v>
      </c>
      <c r="S20" s="443">
        <f t="shared" si="8"/>
        <v>15</v>
      </c>
      <c r="T20" s="217">
        <f t="shared" si="9"/>
        <v>3.5130095417369724</v>
      </c>
      <c r="U20" s="217">
        <f t="shared" si="10"/>
        <v>0.58776026304800688</v>
      </c>
      <c r="V20" s="217">
        <f t="shared" si="11"/>
        <v>2.6599334317769969</v>
      </c>
      <c r="W20" s="197">
        <f t="shared" si="12"/>
        <v>108.16936176384901</v>
      </c>
      <c r="X20" s="443">
        <f t="shared" si="95"/>
        <v>290.04896853250114</v>
      </c>
      <c r="Z20" s="217">
        <f t="shared" si="13"/>
        <v>10</v>
      </c>
      <c r="AA20" s="173">
        <f t="shared" si="14"/>
        <v>7.5716658328853255</v>
      </c>
      <c r="AB20" s="173">
        <f t="shared" si="15"/>
        <v>4.0951113031617394</v>
      </c>
      <c r="AC20" s="173"/>
      <c r="AD20" s="173">
        <f t="shared" si="16"/>
        <v>7.5716658328853255</v>
      </c>
      <c r="AE20" s="545">
        <f t="shared" si="17"/>
        <v>39.621399916652074</v>
      </c>
      <c r="AF20" s="528">
        <f t="shared" si="18"/>
        <v>4.0951113031617394</v>
      </c>
      <c r="AH20" s="173">
        <f t="shared" si="19"/>
        <v>3.295017884191656</v>
      </c>
      <c r="AI20" s="173">
        <f t="shared" si="20"/>
        <v>10</v>
      </c>
      <c r="AJ20" s="173">
        <f t="shared" si="21"/>
        <v>1.0226407999523726</v>
      </c>
      <c r="AL20" s="545">
        <f t="shared" si="22"/>
        <v>1500</v>
      </c>
      <c r="AM20" s="460">
        <f t="shared" si="23"/>
        <v>39.621399916652074</v>
      </c>
      <c r="AO20">
        <f t="shared" si="96"/>
        <v>1500</v>
      </c>
      <c r="AP20" s="460">
        <f t="shared" si="24"/>
        <v>39.621399916652074</v>
      </c>
      <c r="AQ20" s="460"/>
      <c r="AR20" s="5">
        <f t="shared" si="97"/>
        <v>25.238886109617752</v>
      </c>
      <c r="AS20" s="5">
        <f t="shared" si="25"/>
        <v>1.673096119054077</v>
      </c>
      <c r="AT20" s="5">
        <f t="shared" si="98"/>
        <v>23.565789990563676</v>
      </c>
      <c r="AU20" s="173">
        <f t="shared" si="99"/>
        <v>6.629041043204012E-2</v>
      </c>
      <c r="AW20" s="5">
        <f t="shared" si="26"/>
        <v>16.730961190540771</v>
      </c>
      <c r="AX20" s="5">
        <f t="shared" si="27"/>
        <v>0.78426380580659849</v>
      </c>
      <c r="AY20" s="5">
        <f t="shared" si="28"/>
        <v>2.0535329049820574</v>
      </c>
      <c r="AZ20" s="5"/>
      <c r="BA20" s="173">
        <f t="shared" si="100"/>
        <v>1.4864993601527956</v>
      </c>
      <c r="BB20" s="173">
        <f t="shared" si="29"/>
        <v>5.578857677481893</v>
      </c>
      <c r="BC20" s="173">
        <f t="shared" si="30"/>
        <v>0.13739304397876978</v>
      </c>
      <c r="BD20" s="173"/>
      <c r="BE20" s="528">
        <f t="shared" si="31"/>
        <v>4.4193606954693418E-2</v>
      </c>
      <c r="BF20" s="528">
        <f t="shared" si="32"/>
        <v>0.65057255253068058</v>
      </c>
      <c r="BG20" s="528">
        <f t="shared" si="33"/>
        <v>7.1044453690537995E-2</v>
      </c>
      <c r="BH20" s="528">
        <f t="shared" si="34"/>
        <v>3.0384991060144376E-2</v>
      </c>
      <c r="BI20">
        <f t="shared" si="35"/>
        <v>3.227549175747902E-2</v>
      </c>
      <c r="BJ20" s="460">
        <f t="shared" si="101"/>
        <v>103.31994544801701</v>
      </c>
      <c r="BK20">
        <f t="shared" si="36"/>
        <v>0.74490522803390091</v>
      </c>
      <c r="BL20" s="460">
        <f t="shared" si="102"/>
        <v>744.90522803390093</v>
      </c>
      <c r="BM20" s="173">
        <f t="shared" si="37"/>
        <v>0.93187499999999979</v>
      </c>
      <c r="BN20" s="173">
        <f t="shared" si="38"/>
        <v>1.6640624999999999E-2</v>
      </c>
      <c r="BO20" s="528"/>
      <c r="BQ20" s="460">
        <f t="shared" si="103"/>
        <v>948.51562499999977</v>
      </c>
      <c r="BR20" s="528">
        <f t="shared" si="39"/>
        <v>6.629041043204012E-2</v>
      </c>
      <c r="BS20" s="528">
        <f t="shared" si="104"/>
        <v>0.9337095895679598</v>
      </c>
      <c r="BT20" s="528">
        <f t="shared" si="40"/>
        <v>9.4384242668760828E-5</v>
      </c>
      <c r="BU20" s="528">
        <f t="shared" si="41"/>
        <v>0.15624083259884158</v>
      </c>
      <c r="BV20" s="528">
        <f t="shared" si="42"/>
        <v>1.5177927494753105</v>
      </c>
      <c r="BW20" s="625">
        <f t="shared" si="43"/>
        <v>3.9621399916652074E-3</v>
      </c>
      <c r="BX20" s="460">
        <f t="shared" si="105"/>
        <v>1521.7548894669758</v>
      </c>
      <c r="BY20" s="173">
        <f t="shared" si="106"/>
        <v>3.2151757425008767</v>
      </c>
      <c r="BZ20" s="5">
        <f t="shared" si="107"/>
        <v>22.8</v>
      </c>
      <c r="CA20" s="173">
        <f t="shared" si="108"/>
        <v>0.87641153093391344</v>
      </c>
      <c r="CB20" s="5">
        <f t="shared" si="109"/>
        <v>87.641153093391338</v>
      </c>
      <c r="CC20">
        <f t="shared" si="110"/>
        <v>15</v>
      </c>
      <c r="CE20" s="562">
        <f t="shared" si="44"/>
        <v>-50</v>
      </c>
      <c r="CF20">
        <f t="shared" si="45"/>
        <v>-50</v>
      </c>
      <c r="CG20" s="173">
        <f t="shared" si="46"/>
        <v>0.30290798397078739</v>
      </c>
      <c r="CH20" s="173">
        <f t="shared" si="47"/>
        <v>3.4902046734282481E-2</v>
      </c>
      <c r="CI20" s="170">
        <v>15</v>
      </c>
      <c r="CJ20" s="217">
        <f t="shared" si="133"/>
        <v>1.5</v>
      </c>
      <c r="CK20" s="217">
        <f t="shared" si="111"/>
        <v>3.7499999999999999E-2</v>
      </c>
      <c r="CL20" s="217">
        <f t="shared" si="48"/>
        <v>22.5</v>
      </c>
      <c r="CM20" s="217">
        <f t="shared" si="134"/>
        <v>0.3</v>
      </c>
      <c r="CN20" s="541">
        <f t="shared" si="112"/>
        <v>72</v>
      </c>
      <c r="CO20" s="443">
        <f t="shared" si="49"/>
        <v>15.7</v>
      </c>
      <c r="CP20" s="443">
        <f t="shared" si="50"/>
        <v>87.7</v>
      </c>
      <c r="CQ20" s="443"/>
      <c r="CR20" s="217">
        <f t="shared" si="113"/>
        <v>0.17620137299771166</v>
      </c>
      <c r="CS20" s="172">
        <f t="shared" si="114"/>
        <v>312.98928098277725</v>
      </c>
      <c r="CT20" s="172">
        <f t="shared" si="51"/>
        <v>4.2288329519450798</v>
      </c>
      <c r="CU20" s="217">
        <f t="shared" si="52"/>
        <v>20.865952065518481</v>
      </c>
      <c r="CV20" s="217">
        <f t="shared" si="53"/>
        <v>39.123660122847156</v>
      </c>
      <c r="CW20" s="443">
        <f t="shared" si="54"/>
        <v>15</v>
      </c>
      <c r="CX20" s="217">
        <f t="shared" si="55"/>
        <v>3.5943722943722949</v>
      </c>
      <c r="CY20" s="217">
        <f t="shared" si="56"/>
        <v>0.59906204906204918</v>
      </c>
      <c r="CZ20" s="217">
        <f t="shared" si="57"/>
        <v>2.7472909256348754</v>
      </c>
      <c r="DA20" s="197">
        <f t="shared" si="58"/>
        <v>107.41163055872293</v>
      </c>
      <c r="DB20" s="443">
        <f t="shared" si="115"/>
        <v>298.83279126899902</v>
      </c>
      <c r="DD20" s="217">
        <f t="shared" si="59"/>
        <v>10</v>
      </c>
      <c r="DE20" s="173">
        <f t="shared" si="60"/>
        <v>7.6433121019108281</v>
      </c>
      <c r="DF20" s="173">
        <f t="shared" si="61"/>
        <v>4.1049030786773102</v>
      </c>
      <c r="DG20" s="173"/>
      <c r="DH20" s="173">
        <f t="shared" si="62"/>
        <v>7.6433121019108281</v>
      </c>
      <c r="DI20" s="545">
        <f t="shared" si="63"/>
        <v>39.250000000000007</v>
      </c>
      <c r="DJ20" s="528">
        <f t="shared" si="64"/>
        <v>4.1049030786773093</v>
      </c>
      <c r="DL20" s="173">
        <f t="shared" si="65"/>
        <v>3.295017884191656</v>
      </c>
      <c r="DM20" s="173">
        <f t="shared" si="66"/>
        <v>10</v>
      </c>
      <c r="DN20" s="173">
        <f t="shared" si="67"/>
        <v>1.0224285714285715</v>
      </c>
      <c r="DP20" s="545">
        <f t="shared" si="68"/>
        <v>1500</v>
      </c>
      <c r="DQ20" s="460">
        <f t="shared" si="69"/>
        <v>39.250000000000007</v>
      </c>
      <c r="DS20">
        <f t="shared" si="116"/>
        <v>1500</v>
      </c>
      <c r="DT20" s="460">
        <f t="shared" si="70"/>
        <v>39.250000000000007</v>
      </c>
      <c r="DU20" s="460"/>
      <c r="DV20" s="5">
        <f t="shared" si="117"/>
        <v>25.477707006369421</v>
      </c>
      <c r="DW20" s="5">
        <f t="shared" si="71"/>
        <v>1.6666666666666667</v>
      </c>
      <c r="DX20" s="5">
        <f t="shared" si="118"/>
        <v>23.811040339702753</v>
      </c>
      <c r="DY20" s="173">
        <f t="shared" si="119"/>
        <v>6.5416666666666679E-2</v>
      </c>
      <c r="EA20" s="5">
        <f t="shared" si="72"/>
        <v>16.666666666666668</v>
      </c>
      <c r="EB20" s="5">
        <f t="shared" si="73"/>
        <v>0.78125</v>
      </c>
      <c r="EC20" s="5">
        <f t="shared" si="74"/>
        <v>2.0669305850436417</v>
      </c>
      <c r="ED20" s="5"/>
      <c r="EE20" s="173">
        <f t="shared" si="120"/>
        <v>1.4766704288891128</v>
      </c>
      <c r="EF20" s="173">
        <f t="shared" si="75"/>
        <v>5.5814673498801168</v>
      </c>
      <c r="EG20" s="173">
        <f t="shared" si="76"/>
        <v>0.13745731355783194</v>
      </c>
      <c r="EH20" s="173"/>
      <c r="EI20" s="528">
        <f t="shared" si="77"/>
        <v>4.3611111111111128E-2</v>
      </c>
      <c r="EJ20" s="528">
        <f t="shared" si="78"/>
        <v>0.6884450000000002</v>
      </c>
      <c r="EK20" s="528">
        <f t="shared" si="79"/>
        <v>4.9062500000000009E-3</v>
      </c>
      <c r="EL20" s="528">
        <f t="shared" si="80"/>
        <v>3.0188313250000012E-2</v>
      </c>
      <c r="EM20">
        <f t="shared" si="81"/>
        <v>3.2399999999999998E-2</v>
      </c>
      <c r="EN20" s="460">
        <f t="shared" si="121"/>
        <v>37.306249999999999</v>
      </c>
      <c r="EO20">
        <f t="shared" si="82"/>
        <v>0.81982065599856846</v>
      </c>
      <c r="EP20" s="460">
        <f t="shared" si="122"/>
        <v>819.82065599856844</v>
      </c>
      <c r="EQ20" s="173">
        <f t="shared" si="83"/>
        <v>0.93187499999999979</v>
      </c>
      <c r="ER20" s="173">
        <f t="shared" si="84"/>
        <v>1.6640624999999999E-2</v>
      </c>
      <c r="ES20" s="528"/>
      <c r="EU20" s="460">
        <f t="shared" si="123"/>
        <v>948.51562499999977</v>
      </c>
      <c r="EV20" s="528">
        <f t="shared" si="85"/>
        <v>6.5416666666666679E-2</v>
      </c>
      <c r="EW20" s="528">
        <f t="shared" si="124"/>
        <v>0.93458333333333321</v>
      </c>
      <c r="EX20" s="528">
        <f t="shared" si="86"/>
        <v>9.4472565252680653E-5</v>
      </c>
      <c r="EY20" s="528">
        <f t="shared" si="87"/>
        <v>0.15260513838330084</v>
      </c>
      <c r="EZ20" s="528">
        <f t="shared" si="88"/>
        <v>1.5138410061735577</v>
      </c>
      <c r="FA20" s="625">
        <f t="shared" si="89"/>
        <v>3.9250000000000014E-3</v>
      </c>
      <c r="FB20" s="460">
        <f t="shared" si="125"/>
        <v>1517.7660061735576</v>
      </c>
      <c r="FC20" s="173">
        <f t="shared" si="126"/>
        <v>3.2861022871721262</v>
      </c>
      <c r="FD20" s="5">
        <f t="shared" si="127"/>
        <v>22.8</v>
      </c>
      <c r="FE20" s="173">
        <f t="shared" si="128"/>
        <v>0.87402862064264497</v>
      </c>
      <c r="FF20" s="5">
        <f t="shared" si="129"/>
        <v>87.402862064264497</v>
      </c>
      <c r="FG20">
        <f t="shared" si="130"/>
        <v>15</v>
      </c>
      <c r="FI20" s="562">
        <f t="shared" si="90"/>
        <v>-50</v>
      </c>
      <c r="FJ20">
        <f t="shared" si="91"/>
        <v>-50</v>
      </c>
      <c r="FL20">
        <f t="shared" si="92"/>
        <v>0.30290798397078739</v>
      </c>
    </row>
    <row r="21" spans="5:168" s="76" customFormat="1">
      <c r="E21" s="189">
        <v>16</v>
      </c>
      <c r="F21" s="329">
        <f t="shared" si="131"/>
        <v>1.6</v>
      </c>
      <c r="G21" s="217">
        <f t="shared" si="93"/>
        <v>0.04</v>
      </c>
      <c r="H21" s="217">
        <f t="shared" si="0"/>
        <v>24</v>
      </c>
      <c r="I21" s="217">
        <f t="shared" si="132"/>
        <v>0.32</v>
      </c>
      <c r="J21" s="541">
        <f t="shared" si="1"/>
        <v>71.723315016620049</v>
      </c>
      <c r="K21" s="443">
        <f t="shared" si="2"/>
        <v>15.848559966660831</v>
      </c>
      <c r="L21" s="172">
        <f t="shared" si="3"/>
        <v>87.571874983280878</v>
      </c>
      <c r="M21" s="443"/>
      <c r="N21" s="217">
        <f t="shared" si="4"/>
        <v>0.18097773936765224</v>
      </c>
      <c r="O21" s="172">
        <f t="shared" si="94"/>
        <v>320.23824206402668</v>
      </c>
      <c r="P21" s="172">
        <f t="shared" si="5"/>
        <v>4.3267744705539606</v>
      </c>
      <c r="Q21" s="329">
        <f t="shared" si="6"/>
        <v>21.349216137601779</v>
      </c>
      <c r="R21" s="217">
        <f t="shared" si="7"/>
        <v>40.029780258003335</v>
      </c>
      <c r="S21" s="443">
        <f t="shared" si="8"/>
        <v>15</v>
      </c>
      <c r="T21" s="217">
        <f t="shared" si="9"/>
        <v>3.7472101778527707</v>
      </c>
      <c r="U21" s="329">
        <f t="shared" si="10"/>
        <v>0.62694428058454077</v>
      </c>
      <c r="V21" s="217">
        <f t="shared" si="11"/>
        <v>2.8372623272287969</v>
      </c>
      <c r="W21" s="537">
        <f t="shared" si="12"/>
        <v>108.16936176384901</v>
      </c>
      <c r="X21" s="443">
        <f t="shared" si="95"/>
        <v>272.91037515942992</v>
      </c>
      <c r="Z21" s="329">
        <f t="shared" si="13"/>
        <v>10</v>
      </c>
      <c r="AA21" s="173">
        <f t="shared" si="14"/>
        <v>7.5716658328853255</v>
      </c>
      <c r="AB21" s="173">
        <f t="shared" si="15"/>
        <v>4.0951113031617394</v>
      </c>
      <c r="AC21" s="538"/>
      <c r="AD21" s="173">
        <f t="shared" si="16"/>
        <v>7.5716658328853255</v>
      </c>
      <c r="AE21" s="545">
        <f t="shared" si="17"/>
        <v>42.262826577762212</v>
      </c>
      <c r="AF21" s="528">
        <f t="shared" si="18"/>
        <v>4.0951113031617394</v>
      </c>
      <c r="AG21"/>
      <c r="AH21" s="173">
        <f t="shared" si="19"/>
        <v>3.4030798375813021</v>
      </c>
      <c r="AI21" s="173">
        <f t="shared" si="20"/>
        <v>10</v>
      </c>
      <c r="AJ21" s="173">
        <f t="shared" si="21"/>
        <v>1.0241501866158642</v>
      </c>
      <c r="AL21" s="545">
        <f t="shared" si="22"/>
        <v>1600</v>
      </c>
      <c r="AM21" s="460">
        <f t="shared" si="23"/>
        <v>42.262826577762212</v>
      </c>
      <c r="AO21">
        <f t="shared" si="96"/>
        <v>1600</v>
      </c>
      <c r="AP21" s="460">
        <f t="shared" si="24"/>
        <v>42.262826577762212</v>
      </c>
      <c r="AQ21" s="460"/>
      <c r="AR21" s="5">
        <f t="shared" si="97"/>
        <v>23.661455727766644</v>
      </c>
      <c r="AS21" s="5">
        <f t="shared" si="25"/>
        <v>1.673096119054077</v>
      </c>
      <c r="AT21" s="5">
        <f t="shared" si="98"/>
        <v>21.988359608712567</v>
      </c>
      <c r="AU21" s="173">
        <f t="shared" si="99"/>
        <v>7.0709771127509452E-2</v>
      </c>
      <c r="AW21" s="5">
        <f t="shared" si="26"/>
        <v>17.846358603243491</v>
      </c>
      <c r="AX21" s="5">
        <f t="shared" si="27"/>
        <v>0.83654805952703848</v>
      </c>
      <c r="AY21" s="5">
        <f t="shared" si="28"/>
        <v>2.0438132847612454</v>
      </c>
      <c r="AZ21" s="5"/>
      <c r="BA21" s="173">
        <f t="shared" si="100"/>
        <v>1.5352499376052686</v>
      </c>
      <c r="BB21" s="173">
        <f t="shared" si="29"/>
        <v>5.5656393130004709</v>
      </c>
      <c r="BC21" s="173">
        <f t="shared" si="30"/>
        <v>0.13706750935546261</v>
      </c>
      <c r="BD21" s="173"/>
      <c r="BE21" s="528">
        <f t="shared" si="31"/>
        <v>4.7139847418339625E-2</v>
      </c>
      <c r="BF21" s="528">
        <f t="shared" si="32"/>
        <v>0.69394405603272602</v>
      </c>
      <c r="BG21" s="528">
        <f t="shared" si="33"/>
        <v>7.5780750603240535E-2</v>
      </c>
      <c r="BH21" s="528">
        <f t="shared" si="34"/>
        <v>3.2410657130820669E-2</v>
      </c>
      <c r="BI21">
        <f t="shared" si="35"/>
        <v>3.227549175747902E-2</v>
      </c>
      <c r="BJ21" s="460">
        <f t="shared" si="101"/>
        <v>108.05624236071957</v>
      </c>
      <c r="BK21">
        <f t="shared" si="36"/>
        <v>0.79512809415268493</v>
      </c>
      <c r="BL21" s="460">
        <f t="shared" si="102"/>
        <v>795.12809415268498</v>
      </c>
      <c r="BM21" s="173">
        <f t="shared" si="37"/>
        <v>0.99399999999999988</v>
      </c>
      <c r="BN21" s="173">
        <f t="shared" si="38"/>
        <v>1.7749999999999998E-2</v>
      </c>
      <c r="BO21" s="528"/>
      <c r="BQ21" s="460">
        <f t="shared" si="103"/>
        <v>1011.7499999999999</v>
      </c>
      <c r="BR21" s="528">
        <f t="shared" si="39"/>
        <v>7.0709771127509424E-2</v>
      </c>
      <c r="BS21" s="528">
        <f t="shared" si="104"/>
        <v>0.92929022887249058</v>
      </c>
      <c r="BT21" s="528">
        <f t="shared" si="40"/>
        <v>9.393751060454914E-5</v>
      </c>
      <c r="BU21" s="528">
        <f t="shared" si="41"/>
        <v>0.18359732683750035</v>
      </c>
      <c r="BV21" s="528">
        <f t="shared" si="42"/>
        <v>1.5475276511111533</v>
      </c>
      <c r="BW21" s="625">
        <f t="shared" si="43"/>
        <v>4.226282657776222E-3</v>
      </c>
      <c r="BX21" s="460">
        <f t="shared" si="105"/>
        <v>1551.7539337689295</v>
      </c>
      <c r="BY21" s="173">
        <f t="shared" si="106"/>
        <v>3.3586320279216144</v>
      </c>
      <c r="BZ21" s="5">
        <f t="shared" si="107"/>
        <v>24.32</v>
      </c>
      <c r="CA21" s="173">
        <f t="shared" si="108"/>
        <v>0.87865614078999643</v>
      </c>
      <c r="CB21" s="5">
        <f t="shared" si="109"/>
        <v>87.865614078999641</v>
      </c>
      <c r="CC21">
        <f t="shared" si="110"/>
        <v>16</v>
      </c>
      <c r="CE21" s="562">
        <f t="shared" si="44"/>
        <v>-50</v>
      </c>
      <c r="CF21">
        <f t="shared" si="45"/>
        <v>-50</v>
      </c>
      <c r="CG21" s="173">
        <f t="shared" si="46"/>
        <v>0.32310184956883986</v>
      </c>
      <c r="CH21" s="173">
        <f t="shared" si="47"/>
        <v>3.7228849849901317E-2</v>
      </c>
      <c r="CI21" s="189">
        <v>16</v>
      </c>
      <c r="CJ21" s="329">
        <f t="shared" si="133"/>
        <v>1.6</v>
      </c>
      <c r="CK21" s="217">
        <f t="shared" si="111"/>
        <v>0.04</v>
      </c>
      <c r="CL21" s="217">
        <f t="shared" si="48"/>
        <v>24</v>
      </c>
      <c r="CM21" s="217">
        <f t="shared" si="134"/>
        <v>0.32</v>
      </c>
      <c r="CN21" s="541">
        <f t="shared" si="112"/>
        <v>72</v>
      </c>
      <c r="CO21" s="443">
        <f t="shared" si="49"/>
        <v>15.7</v>
      </c>
      <c r="CP21" s="443">
        <f t="shared" si="50"/>
        <v>87.7</v>
      </c>
      <c r="CQ21" s="535"/>
      <c r="CR21" s="329">
        <f t="shared" si="113"/>
        <v>0.17620137299771166</v>
      </c>
      <c r="CS21" s="172">
        <f t="shared" si="114"/>
        <v>312.98928098277725</v>
      </c>
      <c r="CT21" s="172">
        <f t="shared" si="51"/>
        <v>4.2288329519450798</v>
      </c>
      <c r="CU21" s="329">
        <f t="shared" si="52"/>
        <v>20.865952065518481</v>
      </c>
      <c r="CV21" s="217">
        <f t="shared" si="53"/>
        <v>39.123660122847156</v>
      </c>
      <c r="CW21" s="443">
        <f t="shared" si="54"/>
        <v>15</v>
      </c>
      <c r="CX21" s="217">
        <f t="shared" si="55"/>
        <v>3.8339971139971145</v>
      </c>
      <c r="CY21" s="329">
        <f t="shared" si="56"/>
        <v>0.63899951899951912</v>
      </c>
      <c r="CZ21" s="217">
        <f t="shared" si="57"/>
        <v>2.9304436540105336</v>
      </c>
      <c r="DA21" s="537">
        <f t="shared" si="58"/>
        <v>107.41163055872293</v>
      </c>
      <c r="DB21" s="535">
        <f t="shared" si="115"/>
        <v>280.15574181468662</v>
      </c>
      <c r="DD21" s="329">
        <f t="shared" si="59"/>
        <v>10</v>
      </c>
      <c r="DE21" s="173">
        <f t="shared" si="60"/>
        <v>7.6433121019108281</v>
      </c>
      <c r="DF21" s="173">
        <f t="shared" si="61"/>
        <v>4.1049030786773102</v>
      </c>
      <c r="DG21" s="538"/>
      <c r="DH21" s="173">
        <f t="shared" si="62"/>
        <v>7.6433121019108281</v>
      </c>
      <c r="DI21" s="545">
        <f t="shared" si="63"/>
        <v>41.866666666666674</v>
      </c>
      <c r="DJ21" s="528">
        <f t="shared" si="64"/>
        <v>4.1049030786773093</v>
      </c>
      <c r="DK21"/>
      <c r="DL21" s="173">
        <f t="shared" si="65"/>
        <v>3.4030798375813021</v>
      </c>
      <c r="DM21" s="173">
        <f t="shared" si="66"/>
        <v>10</v>
      </c>
      <c r="DN21" s="173">
        <f t="shared" si="67"/>
        <v>1.0239238095238095</v>
      </c>
      <c r="DP21" s="545">
        <f t="shared" si="68"/>
        <v>1600</v>
      </c>
      <c r="DQ21" s="460">
        <f t="shared" si="69"/>
        <v>41.866666666666674</v>
      </c>
      <c r="DS21">
        <f t="shared" si="116"/>
        <v>1600</v>
      </c>
      <c r="DT21" s="460">
        <f t="shared" si="70"/>
        <v>41.866666666666674</v>
      </c>
      <c r="DU21" s="460"/>
      <c r="DV21" s="5">
        <f t="shared" si="117"/>
        <v>23.885350318471332</v>
      </c>
      <c r="DW21" s="5">
        <f t="shared" si="71"/>
        <v>1.6666666666666667</v>
      </c>
      <c r="DX21" s="5">
        <f t="shared" si="118"/>
        <v>22.218683651804664</v>
      </c>
      <c r="DY21" s="173">
        <f t="shared" si="119"/>
        <v>6.97777777777778E-2</v>
      </c>
      <c r="EA21" s="5">
        <f t="shared" si="72"/>
        <v>17.777777777777782</v>
      </c>
      <c r="EB21" s="5">
        <f t="shared" si="73"/>
        <v>0.83333333333333326</v>
      </c>
      <c r="EC21" s="5">
        <f t="shared" si="74"/>
        <v>2.0572855233152465</v>
      </c>
      <c r="ED21" s="5"/>
      <c r="EE21" s="173">
        <f t="shared" si="120"/>
        <v>1.5250986610465329</v>
      </c>
      <c r="EF21" s="173">
        <f t="shared" si="75"/>
        <v>5.568429527919645</v>
      </c>
      <c r="EG21" s="173">
        <f t="shared" si="76"/>
        <v>0.13713622523660932</v>
      </c>
      <c r="EH21" s="173"/>
      <c r="EI21" s="528">
        <f t="shared" si="77"/>
        <v>4.6518518518518549E-2</v>
      </c>
      <c r="EJ21" s="528">
        <f t="shared" si="78"/>
        <v>0.7343413333333334</v>
      </c>
      <c r="EK21" s="528">
        <f t="shared" si="79"/>
        <v>5.2333333333333338E-3</v>
      </c>
      <c r="EL21" s="528">
        <f t="shared" si="80"/>
        <v>3.2200867466666679E-2</v>
      </c>
      <c r="EM21">
        <f t="shared" si="81"/>
        <v>3.2399999999999998E-2</v>
      </c>
      <c r="EN21" s="460">
        <f t="shared" si="121"/>
        <v>37.633333333333333</v>
      </c>
      <c r="EO21">
        <f t="shared" si="82"/>
        <v>0.87290206459136743</v>
      </c>
      <c r="EP21" s="460">
        <f t="shared" si="122"/>
        <v>872.90206459136743</v>
      </c>
      <c r="EQ21" s="173">
        <f t="shared" si="83"/>
        <v>0.99399999999999988</v>
      </c>
      <c r="ER21" s="173">
        <f t="shared" si="84"/>
        <v>1.7749999999999998E-2</v>
      </c>
      <c r="ES21" s="528"/>
      <c r="EU21" s="460">
        <f t="shared" si="123"/>
        <v>1011.7499999999999</v>
      </c>
      <c r="EV21" s="528">
        <f t="shared" si="85"/>
        <v>6.9777777777777814E-2</v>
      </c>
      <c r="EW21" s="528">
        <f t="shared" si="124"/>
        <v>0.93022222222222195</v>
      </c>
      <c r="EX21" s="528">
        <f t="shared" si="86"/>
        <v>9.4031721360730204E-5</v>
      </c>
      <c r="EY21" s="528">
        <f t="shared" si="87"/>
        <v>0.1793250522466083</v>
      </c>
      <c r="EZ21" s="528">
        <f t="shared" si="88"/>
        <v>1.5428839760695496</v>
      </c>
      <c r="FA21" s="625">
        <f t="shared" si="89"/>
        <v>4.1866666666666675E-3</v>
      </c>
      <c r="FB21" s="460">
        <f t="shared" si="125"/>
        <v>1547.0706427362161</v>
      </c>
      <c r="FC21" s="173">
        <f t="shared" si="126"/>
        <v>3.4317227073275838</v>
      </c>
      <c r="FD21" s="5">
        <f t="shared" si="127"/>
        <v>24.32</v>
      </c>
      <c r="FE21" s="173">
        <f t="shared" si="128"/>
        <v>0.87634199348563435</v>
      </c>
      <c r="FF21" s="5">
        <f t="shared" si="129"/>
        <v>87.634199348563442</v>
      </c>
      <c r="FG21">
        <f t="shared" si="130"/>
        <v>16</v>
      </c>
      <c r="FI21" s="562">
        <f t="shared" si="90"/>
        <v>-50</v>
      </c>
      <c r="FJ21">
        <f t="shared" si="91"/>
        <v>-50</v>
      </c>
      <c r="FL21">
        <f t="shared" si="92"/>
        <v>0.32310184956883986</v>
      </c>
    </row>
    <row r="22" spans="5:168">
      <c r="E22" s="170">
        <v>17</v>
      </c>
      <c r="F22" s="217">
        <f t="shared" si="131"/>
        <v>1.7000000000000002</v>
      </c>
      <c r="G22" s="217">
        <f t="shared" si="93"/>
        <v>4.2500000000000003E-2</v>
      </c>
      <c r="H22" s="217">
        <f t="shared" si="0"/>
        <v>25.500000000000004</v>
      </c>
      <c r="I22" s="217">
        <f t="shared" si="132"/>
        <v>0.34</v>
      </c>
      <c r="J22" s="541">
        <f t="shared" si="1"/>
        <v>71.723315016620049</v>
      </c>
      <c r="K22" s="443">
        <f t="shared" si="2"/>
        <v>15.848559966660831</v>
      </c>
      <c r="L22" s="172">
        <f t="shared" si="3"/>
        <v>87.571874983280878</v>
      </c>
      <c r="M22" s="443"/>
      <c r="N22" s="217">
        <f t="shared" si="4"/>
        <v>0.18097773936765224</v>
      </c>
      <c r="O22" s="172">
        <f t="shared" si="94"/>
        <v>320.23824206402668</v>
      </c>
      <c r="P22" s="172">
        <f t="shared" si="5"/>
        <v>4.3267744705539606</v>
      </c>
      <c r="Q22" s="217">
        <f t="shared" si="6"/>
        <v>21.349216137601779</v>
      </c>
      <c r="R22" s="217">
        <f t="shared" si="7"/>
        <v>40.029780258003335</v>
      </c>
      <c r="S22" s="443">
        <f t="shared" si="8"/>
        <v>15</v>
      </c>
      <c r="T22" s="217">
        <f t="shared" si="9"/>
        <v>3.9814108139685693</v>
      </c>
      <c r="U22" s="217">
        <f t="shared" si="10"/>
        <v>0.66612829812107466</v>
      </c>
      <c r="V22" s="217">
        <f t="shared" si="11"/>
        <v>3.0145912226805969</v>
      </c>
      <c r="W22" s="197">
        <f t="shared" si="12"/>
        <v>108.16936176384901</v>
      </c>
      <c r="X22" s="443">
        <f t="shared" si="95"/>
        <v>257.68417290652889</v>
      </c>
      <c r="Z22" s="217">
        <f t="shared" si="13"/>
        <v>10</v>
      </c>
      <c r="AA22" s="173">
        <f t="shared" si="14"/>
        <v>7.5716658328853255</v>
      </c>
      <c r="AB22" s="173">
        <f t="shared" si="15"/>
        <v>4.0951113031617394</v>
      </c>
      <c r="AC22" s="173"/>
      <c r="AD22" s="173">
        <f t="shared" si="16"/>
        <v>7.5716658328853255</v>
      </c>
      <c r="AE22" s="545">
        <f t="shared" si="17"/>
        <v>44.904253238872357</v>
      </c>
      <c r="AF22" s="528">
        <f t="shared" si="18"/>
        <v>4.0951113031617394</v>
      </c>
      <c r="AH22" s="173">
        <f t="shared" si="19"/>
        <v>3.5078144056893752</v>
      </c>
      <c r="AI22" s="173">
        <f t="shared" si="20"/>
        <v>10</v>
      </c>
      <c r="AJ22" s="173">
        <f t="shared" si="21"/>
        <v>1.0256595732793556</v>
      </c>
      <c r="AL22" s="545">
        <f t="shared" si="22"/>
        <v>1700.0000000000002</v>
      </c>
      <c r="AM22" s="460">
        <f t="shared" si="23"/>
        <v>44.904253238872357</v>
      </c>
      <c r="AO22">
        <f t="shared" si="96"/>
        <v>1700.0000000000002</v>
      </c>
      <c r="AP22" s="460">
        <f t="shared" si="24"/>
        <v>44.904253238872357</v>
      </c>
      <c r="AQ22" s="460"/>
      <c r="AR22" s="5">
        <f t="shared" si="97"/>
        <v>22.269605390839189</v>
      </c>
      <c r="AS22" s="5">
        <f t="shared" si="25"/>
        <v>1.673096119054077</v>
      </c>
      <c r="AT22" s="5">
        <f t="shared" si="98"/>
        <v>20.596509271785113</v>
      </c>
      <c r="AU22" s="173">
        <f t="shared" si="99"/>
        <v>7.5129131822978812E-2</v>
      </c>
      <c r="AW22" s="5">
        <f t="shared" si="26"/>
        <v>18.961756015946207</v>
      </c>
      <c r="AX22" s="5">
        <f t="shared" si="27"/>
        <v>0.88883231324747847</v>
      </c>
      <c r="AY22" s="5">
        <f t="shared" si="28"/>
        <v>2.0340936645404333</v>
      </c>
      <c r="AZ22" s="5"/>
      <c r="BA22" s="173">
        <f t="shared" si="100"/>
        <v>1.5824994136173618</v>
      </c>
      <c r="BB22" s="173">
        <f t="shared" si="29"/>
        <v>5.552389480145826</v>
      </c>
      <c r="BC22" s="173">
        <f t="shared" si="30"/>
        <v>0.13674119974633644</v>
      </c>
      <c r="BD22" s="173"/>
      <c r="BE22" s="528">
        <f t="shared" si="31"/>
        <v>5.0086087881985882E-2</v>
      </c>
      <c r="BF22" s="528">
        <f t="shared" si="32"/>
        <v>0.73731555953477157</v>
      </c>
      <c r="BG22" s="528">
        <f t="shared" si="33"/>
        <v>8.0517047515943074E-2</v>
      </c>
      <c r="BH22" s="528">
        <f t="shared" si="34"/>
        <v>3.4436323201496963E-2</v>
      </c>
      <c r="BI22">
        <f t="shared" si="35"/>
        <v>3.227549175747902E-2</v>
      </c>
      <c r="BJ22" s="460">
        <f t="shared" si="101"/>
        <v>112.79253927342209</v>
      </c>
      <c r="BK22">
        <f t="shared" si="36"/>
        <v>0.84542212182418663</v>
      </c>
      <c r="BL22" s="460">
        <f t="shared" si="102"/>
        <v>845.42212182418666</v>
      </c>
      <c r="BM22" s="173">
        <f t="shared" si="37"/>
        <v>1.056125</v>
      </c>
      <c r="BN22" s="173">
        <f t="shared" si="38"/>
        <v>1.8859375000000001E-2</v>
      </c>
      <c r="BO22" s="528"/>
      <c r="BQ22" s="460">
        <f t="shared" si="103"/>
        <v>1074.9843749999998</v>
      </c>
      <c r="BR22" s="528">
        <f t="shared" si="39"/>
        <v>7.5129131822978812E-2</v>
      </c>
      <c r="BS22" s="528">
        <f t="shared" si="104"/>
        <v>0.92487086817702102</v>
      </c>
      <c r="BT22" s="528">
        <f t="shared" si="40"/>
        <v>9.349077854033741E-5</v>
      </c>
      <c r="BU22" s="528">
        <f t="shared" si="41"/>
        <v>0.21364301607145122</v>
      </c>
      <c r="BV22" s="528">
        <f t="shared" si="42"/>
        <v>1.5801856122385773</v>
      </c>
      <c r="BW22" s="625">
        <f t="shared" si="43"/>
        <v>4.4904253238872366E-3</v>
      </c>
      <c r="BX22" s="460">
        <f t="shared" si="105"/>
        <v>1584.6760375624647</v>
      </c>
      <c r="BY22" s="173">
        <f t="shared" si="106"/>
        <v>3.5050825343866512</v>
      </c>
      <c r="BZ22" s="5">
        <f t="shared" si="107"/>
        <v>25.840000000000003</v>
      </c>
      <c r="CA22" s="173">
        <f t="shared" si="108"/>
        <v>0.88055639201970604</v>
      </c>
      <c r="CB22" s="5">
        <f t="shared" si="109"/>
        <v>88.055639201970607</v>
      </c>
      <c r="CC22">
        <f t="shared" si="110"/>
        <v>17</v>
      </c>
      <c r="CE22" s="562">
        <f t="shared" si="44"/>
        <v>-50</v>
      </c>
      <c r="CF22">
        <f t="shared" si="45"/>
        <v>-50</v>
      </c>
      <c r="CG22" s="173">
        <f t="shared" si="46"/>
        <v>0.34329571516689239</v>
      </c>
      <c r="CH22" s="173">
        <f t="shared" si="47"/>
        <v>3.9555652965520154E-2</v>
      </c>
      <c r="CI22" s="170">
        <v>17</v>
      </c>
      <c r="CJ22" s="217">
        <f t="shared" si="133"/>
        <v>1.7000000000000002</v>
      </c>
      <c r="CK22" s="217">
        <f t="shared" si="111"/>
        <v>4.2500000000000003E-2</v>
      </c>
      <c r="CL22" s="217">
        <f t="shared" si="48"/>
        <v>25.500000000000004</v>
      </c>
      <c r="CM22" s="217">
        <f t="shared" si="134"/>
        <v>0.34</v>
      </c>
      <c r="CN22" s="541">
        <f t="shared" si="112"/>
        <v>72</v>
      </c>
      <c r="CO22" s="443">
        <f t="shared" si="49"/>
        <v>15.7</v>
      </c>
      <c r="CP22" s="443">
        <f t="shared" si="50"/>
        <v>87.7</v>
      </c>
      <c r="CQ22" s="443"/>
      <c r="CR22" s="217">
        <f t="shared" si="113"/>
        <v>0.17620137299771166</v>
      </c>
      <c r="CS22" s="172">
        <f t="shared" si="114"/>
        <v>312.98928098277725</v>
      </c>
      <c r="CT22" s="172">
        <f t="shared" si="51"/>
        <v>4.2288329519450798</v>
      </c>
      <c r="CU22" s="217">
        <f t="shared" si="52"/>
        <v>20.865952065518481</v>
      </c>
      <c r="CV22" s="217">
        <f t="shared" si="53"/>
        <v>39.123660122847156</v>
      </c>
      <c r="CW22" s="443">
        <f t="shared" si="54"/>
        <v>15</v>
      </c>
      <c r="CX22" s="217">
        <f t="shared" si="55"/>
        <v>4.0736219336219346</v>
      </c>
      <c r="CY22" s="217">
        <f t="shared" si="56"/>
        <v>0.67893698893698906</v>
      </c>
      <c r="CZ22" s="217">
        <f t="shared" si="57"/>
        <v>3.1135963823861923</v>
      </c>
      <c r="DA22" s="197">
        <f t="shared" si="58"/>
        <v>107.41163055872293</v>
      </c>
      <c r="DB22" s="443">
        <f t="shared" si="115"/>
        <v>263.67599229617559</v>
      </c>
      <c r="DD22" s="217">
        <f t="shared" si="59"/>
        <v>10</v>
      </c>
      <c r="DE22" s="173">
        <f t="shared" si="60"/>
        <v>7.6433121019108281</v>
      </c>
      <c r="DF22" s="173">
        <f t="shared" si="61"/>
        <v>4.1049030786773102</v>
      </c>
      <c r="DG22" s="173"/>
      <c r="DH22" s="173">
        <f t="shared" si="62"/>
        <v>7.6433121019108281</v>
      </c>
      <c r="DI22" s="545">
        <f t="shared" si="63"/>
        <v>44.483333333333341</v>
      </c>
      <c r="DJ22" s="528">
        <f t="shared" si="64"/>
        <v>4.1049030786773093</v>
      </c>
      <c r="DL22" s="173">
        <f t="shared" si="65"/>
        <v>3.5078144056893752</v>
      </c>
      <c r="DM22" s="173">
        <f t="shared" si="66"/>
        <v>10</v>
      </c>
      <c r="DN22" s="173">
        <f t="shared" si="67"/>
        <v>1.0254190476190477</v>
      </c>
      <c r="DP22" s="545">
        <f t="shared" si="68"/>
        <v>1700.0000000000002</v>
      </c>
      <c r="DQ22" s="460">
        <f t="shared" si="69"/>
        <v>44.483333333333341</v>
      </c>
      <c r="DS22">
        <f t="shared" si="116"/>
        <v>1700.0000000000002</v>
      </c>
      <c r="DT22" s="460">
        <f t="shared" si="70"/>
        <v>44.483333333333341</v>
      </c>
      <c r="DU22" s="460"/>
      <c r="DV22" s="5">
        <f t="shared" si="117"/>
        <v>22.480329711502431</v>
      </c>
      <c r="DW22" s="5">
        <f t="shared" si="71"/>
        <v>1.6666666666666667</v>
      </c>
      <c r="DX22" s="5">
        <f t="shared" si="118"/>
        <v>20.813663044835764</v>
      </c>
      <c r="DY22" s="173">
        <f t="shared" si="119"/>
        <v>7.4138888888888907E-2</v>
      </c>
      <c r="EA22" s="5">
        <f t="shared" si="72"/>
        <v>18.888888888888893</v>
      </c>
      <c r="EB22" s="5">
        <f t="shared" si="73"/>
        <v>0.88541666666666685</v>
      </c>
      <c r="EC22" s="5">
        <f t="shared" si="74"/>
        <v>2.0476404615868522</v>
      </c>
      <c r="ED22" s="5"/>
      <c r="EE22" s="173">
        <f t="shared" si="120"/>
        <v>1.57203571724573</v>
      </c>
      <c r="EF22" s="173">
        <f t="shared" si="75"/>
        <v>5.5553611077082143</v>
      </c>
      <c r="EG22" s="173">
        <f t="shared" si="76"/>
        <v>0.13681438335846116</v>
      </c>
      <c r="EH22" s="173"/>
      <c r="EI22" s="528">
        <f t="shared" si="77"/>
        <v>4.9425925925925929E-2</v>
      </c>
      <c r="EJ22" s="528">
        <f t="shared" si="78"/>
        <v>0.78023766666666672</v>
      </c>
      <c r="EK22" s="528">
        <f t="shared" si="79"/>
        <v>5.5604166666666675E-3</v>
      </c>
      <c r="EL22" s="528">
        <f t="shared" si="80"/>
        <v>3.4213421683333342E-2</v>
      </c>
      <c r="EM22">
        <f t="shared" si="81"/>
        <v>3.2399999999999998E-2</v>
      </c>
      <c r="EN22" s="460">
        <f t="shared" si="121"/>
        <v>37.96041666666666</v>
      </c>
      <c r="EO22">
        <f t="shared" si="82"/>
        <v>0.92605768193617821</v>
      </c>
      <c r="EP22" s="460">
        <f t="shared" si="122"/>
        <v>926.05768193617826</v>
      </c>
      <c r="EQ22" s="173">
        <f t="shared" si="83"/>
        <v>1.056125</v>
      </c>
      <c r="ER22" s="173">
        <f t="shared" si="84"/>
        <v>1.8859375000000001E-2</v>
      </c>
      <c r="ES22" s="528"/>
      <c r="EU22" s="460">
        <f t="shared" si="123"/>
        <v>1074.9843749999998</v>
      </c>
      <c r="EV22" s="528">
        <f t="shared" si="85"/>
        <v>7.4138888888888893E-2</v>
      </c>
      <c r="EW22" s="528">
        <f t="shared" si="124"/>
        <v>0.92586111111111113</v>
      </c>
      <c r="EX22" s="528">
        <f t="shared" si="86"/>
        <v>9.3590877468779877E-5</v>
      </c>
      <c r="EY22" s="528">
        <f t="shared" si="87"/>
        <v>0.20867158405331809</v>
      </c>
      <c r="EZ22" s="528">
        <f t="shared" si="88"/>
        <v>1.5747819864778416</v>
      </c>
      <c r="FA22" s="625">
        <f t="shared" si="89"/>
        <v>4.4483333333333345E-3</v>
      </c>
      <c r="FB22" s="460">
        <f t="shared" si="125"/>
        <v>1579.2303198111749</v>
      </c>
      <c r="FC22" s="173">
        <f t="shared" si="126"/>
        <v>3.5802723767473532</v>
      </c>
      <c r="FD22" s="5">
        <f t="shared" si="127"/>
        <v>25.840000000000003</v>
      </c>
      <c r="FE22" s="173">
        <f t="shared" si="128"/>
        <v>0.87830594051273769</v>
      </c>
      <c r="FF22" s="5">
        <f t="shared" si="129"/>
        <v>87.830594051273764</v>
      </c>
      <c r="FG22">
        <f t="shared" si="130"/>
        <v>17</v>
      </c>
      <c r="FI22" s="562">
        <f t="shared" si="90"/>
        <v>-50</v>
      </c>
      <c r="FJ22">
        <f t="shared" si="91"/>
        <v>-50</v>
      </c>
      <c r="FL22">
        <f t="shared" si="92"/>
        <v>0.34329571516689239</v>
      </c>
    </row>
    <row r="23" spans="5:168">
      <c r="E23" s="170">
        <v>18</v>
      </c>
      <c r="F23" s="217">
        <f t="shared" si="131"/>
        <v>1.7999999999999998</v>
      </c>
      <c r="G23" s="217">
        <f t="shared" si="93"/>
        <v>4.4999999999999998E-2</v>
      </c>
      <c r="H23" s="217">
        <f t="shared" si="0"/>
        <v>26.999999999999996</v>
      </c>
      <c r="I23" s="217">
        <f t="shared" si="132"/>
        <v>0.36</v>
      </c>
      <c r="J23" s="541">
        <f t="shared" si="1"/>
        <v>71.723315016620049</v>
      </c>
      <c r="K23" s="443">
        <f t="shared" si="2"/>
        <v>15.848559966660831</v>
      </c>
      <c r="L23" s="172">
        <f t="shared" si="3"/>
        <v>87.571874983280878</v>
      </c>
      <c r="M23" s="443"/>
      <c r="N23" s="217">
        <f t="shared" si="4"/>
        <v>0.18097773936765224</v>
      </c>
      <c r="O23" s="172">
        <f t="shared" si="94"/>
        <v>320.23824206402668</v>
      </c>
      <c r="P23" s="172">
        <f t="shared" si="5"/>
        <v>4.3267744705539606</v>
      </c>
      <c r="Q23" s="217">
        <f t="shared" si="6"/>
        <v>21.349216137601779</v>
      </c>
      <c r="R23" s="217">
        <f t="shared" si="7"/>
        <v>40.029780258003335</v>
      </c>
      <c r="S23" s="443">
        <f t="shared" si="8"/>
        <v>15</v>
      </c>
      <c r="T23" s="217">
        <f t="shared" si="9"/>
        <v>4.2156114500843662</v>
      </c>
      <c r="U23" s="217">
        <f t="shared" si="10"/>
        <v>0.70531231565760821</v>
      </c>
      <c r="V23" s="217">
        <f t="shared" si="11"/>
        <v>3.1919201181323955</v>
      </c>
      <c r="W23" s="197">
        <f t="shared" si="12"/>
        <v>108.16936176384901</v>
      </c>
      <c r="X23" s="443">
        <f t="shared" si="95"/>
        <v>244.06718831789203</v>
      </c>
      <c r="Z23" s="217">
        <f t="shared" si="13"/>
        <v>10</v>
      </c>
      <c r="AA23" s="173">
        <f t="shared" si="14"/>
        <v>7.5716658328853255</v>
      </c>
      <c r="AB23" s="173">
        <f t="shared" si="15"/>
        <v>4.0951113031617394</v>
      </c>
      <c r="AC23" s="173"/>
      <c r="AD23" s="173">
        <f t="shared" si="16"/>
        <v>7.5716658328853255</v>
      </c>
      <c r="AE23" s="545">
        <f t="shared" si="17"/>
        <v>47.545679899982481</v>
      </c>
      <c r="AF23" s="528">
        <f t="shared" si="18"/>
        <v>4.0951113031617394</v>
      </c>
      <c r="AH23" s="173">
        <f t="shared" si="19"/>
        <v>3.60951124510943</v>
      </c>
      <c r="AI23" s="173">
        <f t="shared" si="20"/>
        <v>10</v>
      </c>
      <c r="AJ23" s="173">
        <f t="shared" si="21"/>
        <v>1.0271689599428471</v>
      </c>
      <c r="AL23" s="545">
        <f t="shared" si="22"/>
        <v>1799.9999999999998</v>
      </c>
      <c r="AM23" s="460">
        <f t="shared" si="23"/>
        <v>47.545679899982481</v>
      </c>
      <c r="AO23">
        <f t="shared" si="96"/>
        <v>1799.9999999999998</v>
      </c>
      <c r="AP23" s="460">
        <f t="shared" si="24"/>
        <v>47.545679899982481</v>
      </c>
      <c r="AQ23" s="460"/>
      <c r="AR23" s="5">
        <f t="shared" si="97"/>
        <v>21.032405091348132</v>
      </c>
      <c r="AS23" s="5">
        <f t="shared" si="25"/>
        <v>1.673096119054077</v>
      </c>
      <c r="AT23" s="5">
        <f t="shared" si="98"/>
        <v>19.359308972294055</v>
      </c>
      <c r="AU23" s="173">
        <f t="shared" si="99"/>
        <v>7.9548492518448116E-2</v>
      </c>
      <c r="AW23" s="5">
        <f t="shared" si="26"/>
        <v>20.077153428648923</v>
      </c>
      <c r="AX23" s="5">
        <f t="shared" si="27"/>
        <v>0.94111656696791823</v>
      </c>
      <c r="AY23" s="5">
        <f t="shared" si="28"/>
        <v>2.0243740443196221</v>
      </c>
      <c r="AZ23" s="5"/>
      <c r="BA23" s="173">
        <f t="shared" si="100"/>
        <v>1.6283784625453639</v>
      </c>
      <c r="BB23" s="173">
        <f t="shared" si="29"/>
        <v>5.5391079530960337</v>
      </c>
      <c r="BC23" s="173">
        <f t="shared" si="30"/>
        <v>0.13641410958997294</v>
      </c>
      <c r="BD23" s="173"/>
      <c r="BE23" s="528">
        <f t="shared" si="31"/>
        <v>5.3032328345632068E-2</v>
      </c>
      <c r="BF23" s="528">
        <f t="shared" si="32"/>
        <v>0.78068706303681668</v>
      </c>
      <c r="BG23" s="528">
        <f t="shared" si="33"/>
        <v>8.5253344428645572E-2</v>
      </c>
      <c r="BH23" s="528">
        <f t="shared" si="34"/>
        <v>3.6461989272173249E-2</v>
      </c>
      <c r="BI23">
        <f t="shared" si="35"/>
        <v>3.227549175747902E-2</v>
      </c>
      <c r="BJ23" s="460">
        <f t="shared" si="101"/>
        <v>117.52883618612458</v>
      </c>
      <c r="BK23">
        <f t="shared" si="36"/>
        <v>0.89578746240048279</v>
      </c>
      <c r="BL23" s="460">
        <f t="shared" si="102"/>
        <v>895.78746240048281</v>
      </c>
      <c r="BM23" s="173">
        <f t="shared" si="37"/>
        <v>1.1182499999999997</v>
      </c>
      <c r="BN23" s="173">
        <f t="shared" si="38"/>
        <v>1.9968749999999997E-2</v>
      </c>
      <c r="BO23" s="528"/>
      <c r="BQ23" s="460">
        <f t="shared" si="103"/>
        <v>1138.2187499999998</v>
      </c>
      <c r="BR23" s="528">
        <f t="shared" si="39"/>
        <v>7.9548492518448088E-2</v>
      </c>
      <c r="BS23" s="528">
        <f t="shared" si="104"/>
        <v>0.92045150748155191</v>
      </c>
      <c r="BT23" s="528">
        <f t="shared" si="40"/>
        <v>9.3044046476125735E-5</v>
      </c>
      <c r="BU23" s="528">
        <f t="shared" si="41"/>
        <v>0.24646068984318939</v>
      </c>
      <c r="BV23" s="528">
        <f t="shared" si="42"/>
        <v>1.6158566218781627</v>
      </c>
      <c r="BW23" s="625">
        <f t="shared" si="43"/>
        <v>4.7545679899982487E-3</v>
      </c>
      <c r="BX23" s="460">
        <f t="shared" si="105"/>
        <v>1620.6111898681611</v>
      </c>
      <c r="BY23" s="173">
        <f t="shared" si="106"/>
        <v>3.6546174022686433</v>
      </c>
      <c r="BZ23" s="5">
        <f t="shared" si="107"/>
        <v>27.359999999999996</v>
      </c>
      <c r="CA23" s="173">
        <f t="shared" si="108"/>
        <v>0.88216467883942629</v>
      </c>
      <c r="CB23" s="5">
        <f t="shared" si="109"/>
        <v>88.216467883942627</v>
      </c>
      <c r="CC23">
        <f t="shared" si="110"/>
        <v>18</v>
      </c>
      <c r="CE23" s="562">
        <f t="shared" si="44"/>
        <v>-50</v>
      </c>
      <c r="CF23">
        <f t="shared" si="45"/>
        <v>-50</v>
      </c>
      <c r="CG23" s="173">
        <f t="shared" si="46"/>
        <v>0.36348958076494475</v>
      </c>
      <c r="CH23" s="173">
        <f t="shared" si="47"/>
        <v>4.1882456081138976E-2</v>
      </c>
      <c r="CI23" s="170">
        <v>18</v>
      </c>
      <c r="CJ23" s="217">
        <f t="shared" si="133"/>
        <v>1.7999999999999998</v>
      </c>
      <c r="CK23" s="217">
        <f t="shared" si="111"/>
        <v>4.4999999999999998E-2</v>
      </c>
      <c r="CL23" s="217">
        <f t="shared" si="48"/>
        <v>26.999999999999996</v>
      </c>
      <c r="CM23" s="217">
        <f t="shared" si="134"/>
        <v>0.36</v>
      </c>
      <c r="CN23" s="541">
        <f t="shared" si="112"/>
        <v>72</v>
      </c>
      <c r="CO23" s="443">
        <f t="shared" si="49"/>
        <v>15.7</v>
      </c>
      <c r="CP23" s="443">
        <f t="shared" si="50"/>
        <v>87.7</v>
      </c>
      <c r="CQ23" s="443"/>
      <c r="CR23" s="217">
        <f t="shared" si="113"/>
        <v>0.17620137299771166</v>
      </c>
      <c r="CS23" s="172">
        <f t="shared" si="114"/>
        <v>312.98928098277725</v>
      </c>
      <c r="CT23" s="172">
        <f t="shared" si="51"/>
        <v>4.2288329519450798</v>
      </c>
      <c r="CU23" s="217">
        <f t="shared" si="52"/>
        <v>20.865952065518481</v>
      </c>
      <c r="CV23" s="217">
        <f t="shared" si="53"/>
        <v>39.123660122847156</v>
      </c>
      <c r="CW23" s="443">
        <f t="shared" si="54"/>
        <v>15</v>
      </c>
      <c r="CX23" s="217">
        <f t="shared" si="55"/>
        <v>4.3132467532467533</v>
      </c>
      <c r="CY23" s="217">
        <f t="shared" si="56"/>
        <v>0.71887445887445889</v>
      </c>
      <c r="CZ23" s="217">
        <f t="shared" si="57"/>
        <v>3.2967491107618496</v>
      </c>
      <c r="DA23" s="197">
        <f t="shared" si="58"/>
        <v>107.41163055872293</v>
      </c>
      <c r="DB23" s="443">
        <f t="shared" si="115"/>
        <v>249.02732605749924</v>
      </c>
      <c r="DD23" s="217">
        <f t="shared" si="59"/>
        <v>10</v>
      </c>
      <c r="DE23" s="173">
        <f t="shared" si="60"/>
        <v>7.6433121019108281</v>
      </c>
      <c r="DF23" s="173">
        <f t="shared" si="61"/>
        <v>4.1049030786773102</v>
      </c>
      <c r="DG23" s="173"/>
      <c r="DH23" s="173">
        <f t="shared" si="62"/>
        <v>7.6433121019108281</v>
      </c>
      <c r="DI23" s="545">
        <f t="shared" si="63"/>
        <v>47.1</v>
      </c>
      <c r="DJ23" s="528">
        <f t="shared" si="64"/>
        <v>4.1049030786773093</v>
      </c>
      <c r="DL23" s="173">
        <f t="shared" si="65"/>
        <v>3.60951124510943</v>
      </c>
      <c r="DM23" s="173">
        <f t="shared" si="66"/>
        <v>10</v>
      </c>
      <c r="DN23" s="173">
        <f t="shared" si="67"/>
        <v>1.0269142857142857</v>
      </c>
      <c r="DP23" s="545">
        <f t="shared" si="68"/>
        <v>1799.9999999999998</v>
      </c>
      <c r="DQ23" s="460">
        <f t="shared" si="69"/>
        <v>47.1</v>
      </c>
      <c r="DS23">
        <f t="shared" si="116"/>
        <v>1799.9999999999998</v>
      </c>
      <c r="DT23" s="460">
        <f t="shared" si="70"/>
        <v>47.1</v>
      </c>
      <c r="DU23" s="460"/>
      <c r="DV23" s="5">
        <f t="shared" si="117"/>
        <v>21.231422505307854</v>
      </c>
      <c r="DW23" s="5">
        <f t="shared" si="71"/>
        <v>1.6666666666666667</v>
      </c>
      <c r="DX23" s="5">
        <f t="shared" si="118"/>
        <v>19.564755838641187</v>
      </c>
      <c r="DY23" s="173">
        <f t="shared" si="119"/>
        <v>7.8500000000000014E-2</v>
      </c>
      <c r="EA23" s="5">
        <f t="shared" si="72"/>
        <v>20</v>
      </c>
      <c r="EB23" s="5">
        <f t="shared" si="73"/>
        <v>0.9375</v>
      </c>
      <c r="EC23" s="5">
        <f t="shared" si="74"/>
        <v>2.0379953998584566</v>
      </c>
      <c r="ED23" s="5"/>
      <c r="EE23" s="173">
        <f t="shared" si="120"/>
        <v>1.6176114078067907</v>
      </c>
      <c r="EF23" s="173">
        <f t="shared" si="75"/>
        <v>5.5422618727976634</v>
      </c>
      <c r="EG23" s="173">
        <f t="shared" si="76"/>
        <v>0.13649178259282091</v>
      </c>
      <c r="EH23" s="173"/>
      <c r="EI23" s="528">
        <f t="shared" si="77"/>
        <v>5.2333333333333343E-2</v>
      </c>
      <c r="EJ23" s="528">
        <f t="shared" si="78"/>
        <v>0.82613400000000015</v>
      </c>
      <c r="EK23" s="528">
        <f t="shared" si="79"/>
        <v>5.8875000000000004E-3</v>
      </c>
      <c r="EL23" s="528">
        <f t="shared" si="80"/>
        <v>3.6225975900000006E-2</v>
      </c>
      <c r="EM23">
        <f t="shared" si="81"/>
        <v>3.2399999999999998E-2</v>
      </c>
      <c r="EN23" s="460">
        <f t="shared" si="121"/>
        <v>38.287500000000001</v>
      </c>
      <c r="EO23">
        <f t="shared" si="82"/>
        <v>0.97928766375958565</v>
      </c>
      <c r="EP23" s="460">
        <f t="shared" si="122"/>
        <v>979.2876637595856</v>
      </c>
      <c r="EQ23" s="173">
        <f t="shared" si="83"/>
        <v>1.1182499999999997</v>
      </c>
      <c r="ER23" s="173">
        <f t="shared" si="84"/>
        <v>1.9968749999999997E-2</v>
      </c>
      <c r="ES23" s="528"/>
      <c r="EU23" s="460">
        <f t="shared" si="123"/>
        <v>1138.2187499999998</v>
      </c>
      <c r="EV23" s="528">
        <f t="shared" si="85"/>
        <v>7.8500000000000014E-2</v>
      </c>
      <c r="EW23" s="528">
        <f t="shared" si="124"/>
        <v>0.92149999999999976</v>
      </c>
      <c r="EX23" s="528">
        <f t="shared" si="86"/>
        <v>9.3150033576829442E-5</v>
      </c>
      <c r="EY23" s="528">
        <f t="shared" si="87"/>
        <v>0.24072559684914632</v>
      </c>
      <c r="EZ23" s="528">
        <f t="shared" si="88"/>
        <v>1.6096229323969533</v>
      </c>
      <c r="FA23" s="625">
        <f t="shared" si="89"/>
        <v>4.7100000000000006E-3</v>
      </c>
      <c r="FB23" s="460">
        <f t="shared" si="125"/>
        <v>1614.3329323969533</v>
      </c>
      <c r="FC23" s="173">
        <f t="shared" si="126"/>
        <v>3.7318393461565389</v>
      </c>
      <c r="FD23" s="5">
        <f t="shared" si="127"/>
        <v>27.359999999999996</v>
      </c>
      <c r="FE23" s="173">
        <f t="shared" si="128"/>
        <v>0.87997367075621868</v>
      </c>
      <c r="FF23" s="5">
        <f t="shared" si="129"/>
        <v>87.997367075621867</v>
      </c>
      <c r="FG23">
        <f t="shared" si="130"/>
        <v>18</v>
      </c>
      <c r="FI23" s="562">
        <f t="shared" si="90"/>
        <v>-50</v>
      </c>
      <c r="FJ23">
        <f t="shared" si="91"/>
        <v>-50</v>
      </c>
      <c r="FL23">
        <f t="shared" si="92"/>
        <v>0.36348958076494481</v>
      </c>
    </row>
    <row r="24" spans="5:168">
      <c r="E24" s="170">
        <v>19</v>
      </c>
      <c r="F24" s="217">
        <f t="shared" si="131"/>
        <v>1.9</v>
      </c>
      <c r="G24" s="217">
        <f t="shared" si="93"/>
        <v>4.7500000000000001E-2</v>
      </c>
      <c r="H24" s="217">
        <f t="shared" si="0"/>
        <v>28.5</v>
      </c>
      <c r="I24" s="217">
        <f t="shared" si="132"/>
        <v>0.38</v>
      </c>
      <c r="J24" s="541">
        <f t="shared" si="1"/>
        <v>71.723315016620049</v>
      </c>
      <c r="K24" s="443">
        <f t="shared" si="2"/>
        <v>15.848559966660831</v>
      </c>
      <c r="L24" s="172">
        <f t="shared" si="3"/>
        <v>87.571874983280878</v>
      </c>
      <c r="M24" s="443"/>
      <c r="N24" s="217">
        <f t="shared" si="4"/>
        <v>0.18097773936765224</v>
      </c>
      <c r="O24" s="172">
        <f t="shared" si="94"/>
        <v>320.23824206402668</v>
      </c>
      <c r="P24" s="172">
        <f t="shared" si="5"/>
        <v>4.3267744705539606</v>
      </c>
      <c r="Q24" s="217">
        <f t="shared" si="6"/>
        <v>21.349216137601779</v>
      </c>
      <c r="R24" s="217">
        <f t="shared" si="7"/>
        <v>40.029780258003335</v>
      </c>
      <c r="S24" s="443">
        <f t="shared" si="8"/>
        <v>15</v>
      </c>
      <c r="T24" s="217">
        <f t="shared" si="9"/>
        <v>4.4498120862001649</v>
      </c>
      <c r="U24" s="217">
        <f t="shared" si="10"/>
        <v>0.7444963331941421</v>
      </c>
      <c r="V24" s="217">
        <f t="shared" si="11"/>
        <v>3.3692490135841959</v>
      </c>
      <c r="W24" s="197">
        <f t="shared" si="12"/>
        <v>108.16936176384901</v>
      </c>
      <c r="X24" s="443">
        <f t="shared" si="95"/>
        <v>231.81711473692724</v>
      </c>
      <c r="Z24" s="217">
        <f t="shared" si="13"/>
        <v>10</v>
      </c>
      <c r="AA24" s="173">
        <f t="shared" si="14"/>
        <v>7.5716658328853255</v>
      </c>
      <c r="AB24" s="173">
        <f t="shared" si="15"/>
        <v>4.0951113031617394</v>
      </c>
      <c r="AC24" s="173"/>
      <c r="AD24" s="173">
        <f t="shared" si="16"/>
        <v>7.5716658328853255</v>
      </c>
      <c r="AE24" s="545">
        <f t="shared" si="17"/>
        <v>50.187106561092627</v>
      </c>
      <c r="AF24" s="528">
        <f t="shared" si="18"/>
        <v>4.0951113031617394</v>
      </c>
      <c r="AH24" s="173">
        <f t="shared" si="19"/>
        <v>3.7084202772044259</v>
      </c>
      <c r="AI24" s="173">
        <f t="shared" si="20"/>
        <v>10</v>
      </c>
      <c r="AJ24" s="173">
        <f t="shared" si="21"/>
        <v>1.0286783466063387</v>
      </c>
      <c r="AL24" s="545">
        <f t="shared" si="22"/>
        <v>1900</v>
      </c>
      <c r="AM24" s="460">
        <f t="shared" si="23"/>
        <v>50.187106561092627</v>
      </c>
      <c r="AO24">
        <f t="shared" si="96"/>
        <v>1900</v>
      </c>
      <c r="AP24" s="460">
        <f t="shared" si="24"/>
        <v>50.187106561092627</v>
      </c>
      <c r="AQ24" s="460"/>
      <c r="AR24" s="5">
        <f t="shared" si="97"/>
        <v>19.925436402329805</v>
      </c>
      <c r="AS24" s="5">
        <f t="shared" si="25"/>
        <v>1.673096119054077</v>
      </c>
      <c r="AT24" s="5">
        <f t="shared" si="98"/>
        <v>18.252340283275728</v>
      </c>
      <c r="AU24" s="173">
        <f t="shared" si="99"/>
        <v>8.3967853213917476E-2</v>
      </c>
      <c r="AW24" s="5">
        <f t="shared" si="26"/>
        <v>21.19255084135164</v>
      </c>
      <c r="AX24" s="5">
        <f t="shared" si="27"/>
        <v>0.99340082068835822</v>
      </c>
      <c r="AY24" s="5">
        <f t="shared" si="28"/>
        <v>2.0146544240988096</v>
      </c>
      <c r="AZ24" s="5"/>
      <c r="BA24" s="173">
        <f t="shared" si="100"/>
        <v>1.6729998327746229</v>
      </c>
      <c r="BB24" s="173">
        <f t="shared" si="29"/>
        <v>5.5257945033152858</v>
      </c>
      <c r="BC24" s="173">
        <f t="shared" si="30"/>
        <v>0.13608623325811764</v>
      </c>
      <c r="BD24" s="173"/>
      <c r="BE24" s="528">
        <f t="shared" si="31"/>
        <v>5.5978568809278331E-2</v>
      </c>
      <c r="BF24" s="528">
        <f t="shared" si="32"/>
        <v>0.82405856653886222</v>
      </c>
      <c r="BG24" s="528">
        <f t="shared" si="33"/>
        <v>8.9989641341348126E-2</v>
      </c>
      <c r="BH24" s="528">
        <f t="shared" si="34"/>
        <v>3.8487655342849543E-2</v>
      </c>
      <c r="BI24">
        <f t="shared" si="35"/>
        <v>3.227549175747902E-2</v>
      </c>
      <c r="BJ24" s="460">
        <f t="shared" si="101"/>
        <v>122.26513309882714</v>
      </c>
      <c r="BK24">
        <f t="shared" si="36"/>
        <v>0.94622426766316592</v>
      </c>
      <c r="BL24" s="460">
        <f t="shared" si="102"/>
        <v>946.22426766316596</v>
      </c>
      <c r="BM24" s="173">
        <f t="shared" si="37"/>
        <v>1.1803749999999997</v>
      </c>
      <c r="BN24" s="173">
        <f t="shared" si="38"/>
        <v>2.1078125E-2</v>
      </c>
      <c r="BO24" s="528"/>
      <c r="BQ24" s="460">
        <f t="shared" si="103"/>
        <v>1201.4531249999998</v>
      </c>
      <c r="BR24" s="528">
        <f t="shared" si="39"/>
        <v>8.396785321391749E-2</v>
      </c>
      <c r="BS24" s="528">
        <f t="shared" si="104"/>
        <v>0.91603214678608269</v>
      </c>
      <c r="BT24" s="528">
        <f t="shared" si="40"/>
        <v>9.259731441191402E-5</v>
      </c>
      <c r="BU24" s="528">
        <f t="shared" si="41"/>
        <v>0.28213073440427994</v>
      </c>
      <c r="BV24" s="528">
        <f t="shared" si="42"/>
        <v>1.654628056742721</v>
      </c>
      <c r="BW24" s="625">
        <f t="shared" si="43"/>
        <v>5.0187106561092633E-3</v>
      </c>
      <c r="BX24" s="460">
        <f t="shared" si="105"/>
        <v>1659.6467673988302</v>
      </c>
      <c r="BY24" s="173">
        <f t="shared" si="106"/>
        <v>3.8073241600619956</v>
      </c>
      <c r="BZ24" s="5">
        <f t="shared" si="107"/>
        <v>28.88</v>
      </c>
      <c r="CA24" s="173">
        <f t="shared" si="108"/>
        <v>0.88352291728076471</v>
      </c>
      <c r="CB24" s="5">
        <f t="shared" si="109"/>
        <v>88.352291728076466</v>
      </c>
      <c r="CC24">
        <f t="shared" si="110"/>
        <v>19</v>
      </c>
      <c r="CE24" s="562">
        <f t="shared" si="44"/>
        <v>-50</v>
      </c>
      <c r="CF24">
        <f t="shared" si="45"/>
        <v>-50</v>
      </c>
      <c r="CG24" s="173">
        <f t="shared" si="46"/>
        <v>0.38368344636299728</v>
      </c>
      <c r="CH24" s="173">
        <f t="shared" si="47"/>
        <v>4.4209259196757805E-2</v>
      </c>
      <c r="CI24" s="170">
        <v>19</v>
      </c>
      <c r="CJ24" s="217">
        <f t="shared" si="133"/>
        <v>1.9</v>
      </c>
      <c r="CK24" s="217">
        <f t="shared" si="111"/>
        <v>4.7500000000000001E-2</v>
      </c>
      <c r="CL24" s="217">
        <f t="shared" si="48"/>
        <v>28.5</v>
      </c>
      <c r="CM24" s="217">
        <f t="shared" si="134"/>
        <v>0.38</v>
      </c>
      <c r="CN24" s="541">
        <f t="shared" si="112"/>
        <v>72</v>
      </c>
      <c r="CO24" s="443">
        <f t="shared" si="49"/>
        <v>15.7</v>
      </c>
      <c r="CP24" s="443">
        <f t="shared" si="50"/>
        <v>87.7</v>
      </c>
      <c r="CQ24" s="443"/>
      <c r="CR24" s="217">
        <f t="shared" si="113"/>
        <v>0.17620137299771166</v>
      </c>
      <c r="CS24" s="172">
        <f t="shared" si="114"/>
        <v>312.98928098277725</v>
      </c>
      <c r="CT24" s="172">
        <f t="shared" si="51"/>
        <v>4.2288329519450798</v>
      </c>
      <c r="CU24" s="217">
        <f t="shared" si="52"/>
        <v>20.865952065518481</v>
      </c>
      <c r="CV24" s="217">
        <f t="shared" si="53"/>
        <v>39.123660122847156</v>
      </c>
      <c r="CW24" s="443">
        <f t="shared" si="54"/>
        <v>15</v>
      </c>
      <c r="CX24" s="217">
        <f t="shared" si="55"/>
        <v>4.552871572871573</v>
      </c>
      <c r="CY24" s="217">
        <f t="shared" si="56"/>
        <v>0.75881192881192883</v>
      </c>
      <c r="CZ24" s="217">
        <f t="shared" si="57"/>
        <v>3.4799018391375083</v>
      </c>
      <c r="DA24" s="197">
        <f t="shared" si="58"/>
        <v>107.41163055872293</v>
      </c>
      <c r="DB24" s="443">
        <f t="shared" si="115"/>
        <v>235.92062468605189</v>
      </c>
      <c r="DD24" s="217">
        <f t="shared" si="59"/>
        <v>10</v>
      </c>
      <c r="DE24" s="173">
        <f t="shared" si="60"/>
        <v>7.6433121019108281</v>
      </c>
      <c r="DF24" s="173">
        <f t="shared" si="61"/>
        <v>4.1049030786773102</v>
      </c>
      <c r="DG24" s="173"/>
      <c r="DH24" s="173">
        <f t="shared" si="62"/>
        <v>7.6433121019108281</v>
      </c>
      <c r="DI24" s="545">
        <f t="shared" si="63"/>
        <v>49.716666666666669</v>
      </c>
      <c r="DJ24" s="528">
        <f t="shared" si="64"/>
        <v>4.1049030786773093</v>
      </c>
      <c r="DL24" s="173">
        <f t="shared" si="65"/>
        <v>3.7084202772044259</v>
      </c>
      <c r="DM24" s="173">
        <f t="shared" si="66"/>
        <v>10</v>
      </c>
      <c r="DN24" s="173">
        <f t="shared" si="67"/>
        <v>1.0284095238095239</v>
      </c>
      <c r="DP24" s="545">
        <f t="shared" si="68"/>
        <v>1900</v>
      </c>
      <c r="DQ24" s="460">
        <f t="shared" si="69"/>
        <v>49.716666666666669</v>
      </c>
      <c r="DS24">
        <f t="shared" si="116"/>
        <v>1900</v>
      </c>
      <c r="DT24" s="460">
        <f t="shared" si="70"/>
        <v>49.716666666666669</v>
      </c>
      <c r="DU24" s="460"/>
      <c r="DV24" s="5">
        <f t="shared" si="117"/>
        <v>20.11397921555481</v>
      </c>
      <c r="DW24" s="5">
        <f t="shared" si="71"/>
        <v>1.6666666666666667</v>
      </c>
      <c r="DX24" s="5">
        <f t="shared" si="118"/>
        <v>18.447312548888142</v>
      </c>
      <c r="DY24" s="173">
        <f t="shared" si="119"/>
        <v>8.2861111111111121E-2</v>
      </c>
      <c r="EA24" s="5">
        <f t="shared" si="72"/>
        <v>21.111111111111111</v>
      </c>
      <c r="EB24" s="5">
        <f t="shared" si="73"/>
        <v>0.98958333333333337</v>
      </c>
      <c r="EC24" s="5">
        <f t="shared" si="74"/>
        <v>2.0283503381300618</v>
      </c>
      <c r="ED24" s="5"/>
      <c r="EE24" s="173">
        <f t="shared" si="120"/>
        <v>1.6619377356077567</v>
      </c>
      <c r="EF24" s="173">
        <f t="shared" si="75"/>
        <v>5.5291316041758574</v>
      </c>
      <c r="EG24" s="173">
        <f t="shared" si="76"/>
        <v>0.136168417545978</v>
      </c>
      <c r="EH24" s="173"/>
      <c r="EI24" s="528">
        <f t="shared" si="77"/>
        <v>5.5240740740740757E-2</v>
      </c>
      <c r="EJ24" s="528">
        <f t="shared" si="78"/>
        <v>0.87203033333333346</v>
      </c>
      <c r="EK24" s="528">
        <f t="shared" si="79"/>
        <v>6.2145833333333332E-3</v>
      </c>
      <c r="EL24" s="528">
        <f t="shared" si="80"/>
        <v>3.8238530116666676E-2</v>
      </c>
      <c r="EM24">
        <f t="shared" si="81"/>
        <v>3.2399999999999998E-2</v>
      </c>
      <c r="EN24" s="460">
        <f t="shared" si="121"/>
        <v>38.614583333333336</v>
      </c>
      <c r="EO24">
        <f t="shared" si="82"/>
        <v>1.0325921662242001</v>
      </c>
      <c r="EP24" s="460">
        <f t="shared" si="122"/>
        <v>1032.5921662242001</v>
      </c>
      <c r="EQ24" s="173">
        <f t="shared" si="83"/>
        <v>1.1803749999999997</v>
      </c>
      <c r="ER24" s="173">
        <f t="shared" si="84"/>
        <v>2.1078125E-2</v>
      </c>
      <c r="ES24" s="528"/>
      <c r="EU24" s="460">
        <f t="shared" si="123"/>
        <v>1201.4531249999998</v>
      </c>
      <c r="EV24" s="528">
        <f t="shared" si="85"/>
        <v>8.2861111111111135E-2</v>
      </c>
      <c r="EW24" s="528">
        <f t="shared" si="124"/>
        <v>0.91713888888888861</v>
      </c>
      <c r="EX24" s="528">
        <f t="shared" si="86"/>
        <v>9.2709189684879047E-5</v>
      </c>
      <c r="EY24" s="528">
        <f t="shared" si="87"/>
        <v>0.27556560631299815</v>
      </c>
      <c r="EZ24" s="528">
        <f t="shared" si="88"/>
        <v>1.647492157305696</v>
      </c>
      <c r="FA24" s="625">
        <f t="shared" si="89"/>
        <v>4.9716666666666676E-3</v>
      </c>
      <c r="FB24" s="460">
        <f t="shared" si="125"/>
        <v>1652.4638239723627</v>
      </c>
      <c r="FC24" s="173">
        <f t="shared" si="126"/>
        <v>3.8865091151965623</v>
      </c>
      <c r="FD24" s="5">
        <f t="shared" si="127"/>
        <v>28.88</v>
      </c>
      <c r="FE24" s="173">
        <f t="shared" si="128"/>
        <v>0.88138775780072143</v>
      </c>
      <c r="FF24" s="5">
        <f t="shared" si="129"/>
        <v>88.138775780072137</v>
      </c>
      <c r="FG24">
        <f t="shared" si="130"/>
        <v>19</v>
      </c>
      <c r="FI24" s="562">
        <f t="shared" si="90"/>
        <v>-50</v>
      </c>
      <c r="FJ24">
        <f t="shared" si="91"/>
        <v>-50</v>
      </c>
      <c r="FL24">
        <f t="shared" si="92"/>
        <v>0.38368344636299728</v>
      </c>
    </row>
    <row r="25" spans="5:168">
      <c r="E25" s="170">
        <v>20</v>
      </c>
      <c r="F25" s="217">
        <f t="shared" si="131"/>
        <v>2</v>
      </c>
      <c r="G25" s="217">
        <f t="shared" si="93"/>
        <v>0.05</v>
      </c>
      <c r="H25" s="217">
        <f t="shared" si="0"/>
        <v>30</v>
      </c>
      <c r="I25" s="217">
        <f t="shared" si="132"/>
        <v>0.4</v>
      </c>
      <c r="J25" s="541">
        <f t="shared" si="1"/>
        <v>71.723315016620049</v>
      </c>
      <c r="K25" s="443">
        <f t="shared" si="2"/>
        <v>15.848559966660831</v>
      </c>
      <c r="L25" s="172">
        <f t="shared" si="3"/>
        <v>87.571874983280878</v>
      </c>
      <c r="M25" s="443"/>
      <c r="N25" s="217">
        <f t="shared" si="4"/>
        <v>0.18097773936765224</v>
      </c>
      <c r="O25" s="172">
        <f t="shared" si="94"/>
        <v>320.23824206402668</v>
      </c>
      <c r="P25" s="172">
        <f t="shared" si="5"/>
        <v>4.3267744705539606</v>
      </c>
      <c r="Q25" s="217">
        <f t="shared" si="6"/>
        <v>21.349216137601779</v>
      </c>
      <c r="R25" s="217">
        <f t="shared" si="7"/>
        <v>40.029780258003335</v>
      </c>
      <c r="S25" s="443">
        <f t="shared" si="8"/>
        <v>15</v>
      </c>
      <c r="T25" s="217">
        <f t="shared" si="9"/>
        <v>4.6840127223159627</v>
      </c>
      <c r="U25" s="217">
        <f t="shared" si="10"/>
        <v>0.78368035073067577</v>
      </c>
      <c r="V25" s="217">
        <f t="shared" si="11"/>
        <v>3.546577909035995</v>
      </c>
      <c r="W25" s="197">
        <f t="shared" si="12"/>
        <v>108.16936176384901</v>
      </c>
      <c r="X25" s="443">
        <f t="shared" si="95"/>
        <v>220.73796738720685</v>
      </c>
      <c r="Z25" s="217">
        <f t="shared" si="13"/>
        <v>10</v>
      </c>
      <c r="AA25" s="173">
        <f t="shared" si="14"/>
        <v>7.5716658328853255</v>
      </c>
      <c r="AB25" s="173">
        <f t="shared" si="15"/>
        <v>4.0951113031617394</v>
      </c>
      <c r="AC25" s="173"/>
      <c r="AD25" s="173">
        <f t="shared" si="16"/>
        <v>7.5716658328853255</v>
      </c>
      <c r="AE25" s="545">
        <f t="shared" si="17"/>
        <v>52.828533222202765</v>
      </c>
      <c r="AF25" s="528">
        <f t="shared" si="18"/>
        <v>4.0951113031617394</v>
      </c>
      <c r="AH25" s="173">
        <f t="shared" si="19"/>
        <v>3.804758924845367</v>
      </c>
      <c r="AI25" s="173">
        <f t="shared" si="20"/>
        <v>10</v>
      </c>
      <c r="AJ25" s="173">
        <f t="shared" si="21"/>
        <v>1.0301877332698302</v>
      </c>
      <c r="AL25" s="545">
        <f t="shared" si="22"/>
        <v>2000</v>
      </c>
      <c r="AM25" s="460">
        <f t="shared" si="23"/>
        <v>52.828533222202765</v>
      </c>
      <c r="AO25">
        <f t="shared" si="96"/>
        <v>2000</v>
      </c>
      <c r="AP25" s="460">
        <f t="shared" si="24"/>
        <v>52.828533222202765</v>
      </c>
      <c r="AQ25" s="460"/>
      <c r="AR25" s="5">
        <f t="shared" si="97"/>
        <v>18.929164582213314</v>
      </c>
      <c r="AS25" s="5">
        <f t="shared" si="25"/>
        <v>1.673096119054077</v>
      </c>
      <c r="AT25" s="5">
        <f t="shared" si="98"/>
        <v>17.256068463159238</v>
      </c>
      <c r="AU25" s="173">
        <f t="shared" si="99"/>
        <v>8.8387213909386822E-2</v>
      </c>
      <c r="AW25" s="5">
        <f t="shared" si="26"/>
        <v>22.307948254054359</v>
      </c>
      <c r="AX25" s="5">
        <f t="shared" si="27"/>
        <v>1.0456850744087984</v>
      </c>
      <c r="AY25" s="5">
        <f t="shared" si="28"/>
        <v>2.0049348038779979</v>
      </c>
      <c r="AZ25" s="5"/>
      <c r="BA25" s="173">
        <f t="shared" si="100"/>
        <v>1.7164616114688458</v>
      </c>
      <c r="BB25" s="173">
        <f t="shared" si="29"/>
        <v>5.5124488995080139</v>
      </c>
      <c r="BC25" s="173">
        <f t="shared" si="30"/>
        <v>0.13575756505455031</v>
      </c>
      <c r="BD25" s="173"/>
      <c r="BE25" s="528">
        <f t="shared" si="31"/>
        <v>5.8924809272924539E-2</v>
      </c>
      <c r="BF25" s="528">
        <f t="shared" si="32"/>
        <v>0.86743007004090744</v>
      </c>
      <c r="BG25" s="528">
        <f t="shared" si="33"/>
        <v>9.4725938254050665E-2</v>
      </c>
      <c r="BH25" s="528">
        <f t="shared" si="34"/>
        <v>4.0513321413525837E-2</v>
      </c>
      <c r="BI25">
        <f t="shared" si="35"/>
        <v>3.227549175747902E-2</v>
      </c>
      <c r="BJ25" s="460">
        <f t="shared" si="101"/>
        <v>127.00143001152969</v>
      </c>
      <c r="BK25">
        <f t="shared" si="36"/>
        <v>0.9967326898248664</v>
      </c>
      <c r="BL25" s="460">
        <f t="shared" si="102"/>
        <v>996.73268982486638</v>
      </c>
      <c r="BM25" s="173">
        <f t="shared" si="37"/>
        <v>1.2424999999999999</v>
      </c>
      <c r="BN25" s="173">
        <f t="shared" si="38"/>
        <v>2.2187499999999999E-2</v>
      </c>
      <c r="BO25" s="528"/>
      <c r="BQ25" s="460">
        <f t="shared" si="103"/>
        <v>1264.6875</v>
      </c>
      <c r="BR25" s="528">
        <f t="shared" si="39"/>
        <v>8.8387213909386794E-2</v>
      </c>
      <c r="BS25" s="528">
        <f t="shared" si="104"/>
        <v>0.91161278609061336</v>
      </c>
      <c r="BT25" s="528">
        <f t="shared" si="40"/>
        <v>9.2150582347702291E-5</v>
      </c>
      <c r="BU25" s="528">
        <f t="shared" si="41"/>
        <v>0.3207313306999201</v>
      </c>
      <c r="BV25" s="528">
        <f t="shared" si="42"/>
        <v>1.6965848964401393</v>
      </c>
      <c r="BW25" s="625">
        <f t="shared" si="43"/>
        <v>5.2828533222202762E-3</v>
      </c>
      <c r="BX25" s="460">
        <f t="shared" si="105"/>
        <v>1701.8677497623596</v>
      </c>
      <c r="BY25" s="173">
        <f t="shared" si="106"/>
        <v>3.963287939587226</v>
      </c>
      <c r="BZ25" s="5">
        <f t="shared" si="107"/>
        <v>30.4</v>
      </c>
      <c r="CA25" s="173">
        <f t="shared" si="108"/>
        <v>0.88466505456186473</v>
      </c>
      <c r="CB25" s="5">
        <f t="shared" si="109"/>
        <v>88.466505456186468</v>
      </c>
      <c r="CC25">
        <f t="shared" si="110"/>
        <v>20</v>
      </c>
      <c r="CE25" s="562">
        <f t="shared" si="44"/>
        <v>-50</v>
      </c>
      <c r="CF25">
        <f t="shared" si="45"/>
        <v>-50</v>
      </c>
      <c r="CG25" s="173">
        <f t="shared" si="46"/>
        <v>0.40387731196104976</v>
      </c>
      <c r="CH25" s="173">
        <f t="shared" si="47"/>
        <v>4.6536062312376641E-2</v>
      </c>
      <c r="CI25" s="170">
        <v>20</v>
      </c>
      <c r="CJ25" s="217">
        <f t="shared" si="133"/>
        <v>2</v>
      </c>
      <c r="CK25" s="217">
        <f t="shared" si="111"/>
        <v>0.05</v>
      </c>
      <c r="CL25" s="217">
        <f t="shared" si="48"/>
        <v>30</v>
      </c>
      <c r="CM25" s="217">
        <f t="shared" si="134"/>
        <v>0.4</v>
      </c>
      <c r="CN25" s="541">
        <f t="shared" si="112"/>
        <v>72</v>
      </c>
      <c r="CO25" s="443">
        <f t="shared" si="49"/>
        <v>15.7</v>
      </c>
      <c r="CP25" s="443">
        <f t="shared" si="50"/>
        <v>87.7</v>
      </c>
      <c r="CQ25" s="443"/>
      <c r="CR25" s="217">
        <f t="shared" si="113"/>
        <v>0.17620137299771166</v>
      </c>
      <c r="CS25" s="172">
        <f t="shared" si="114"/>
        <v>312.98928098277725</v>
      </c>
      <c r="CT25" s="172">
        <f t="shared" si="51"/>
        <v>4.2288329519450798</v>
      </c>
      <c r="CU25" s="217">
        <f t="shared" si="52"/>
        <v>20.865952065518481</v>
      </c>
      <c r="CV25" s="217">
        <f t="shared" si="53"/>
        <v>39.123660122847156</v>
      </c>
      <c r="CW25" s="443">
        <f t="shared" si="54"/>
        <v>15</v>
      </c>
      <c r="CX25" s="217">
        <f t="shared" si="55"/>
        <v>4.7924963924963926</v>
      </c>
      <c r="CY25" s="217">
        <f t="shared" si="56"/>
        <v>0.79874939874939876</v>
      </c>
      <c r="CZ25" s="217">
        <f t="shared" si="57"/>
        <v>3.6630545675131665</v>
      </c>
      <c r="DA25" s="197">
        <f t="shared" si="58"/>
        <v>107.41163055872293</v>
      </c>
      <c r="DB25" s="443">
        <f t="shared" si="115"/>
        <v>224.12459345174932</v>
      </c>
      <c r="DD25" s="217">
        <f t="shared" si="59"/>
        <v>10</v>
      </c>
      <c r="DE25" s="173">
        <f t="shared" si="60"/>
        <v>7.6433121019108281</v>
      </c>
      <c r="DF25" s="173">
        <f t="shared" si="61"/>
        <v>4.1049030786773102</v>
      </c>
      <c r="DG25" s="173"/>
      <c r="DH25" s="173">
        <f t="shared" si="62"/>
        <v>7.6433121019108281</v>
      </c>
      <c r="DI25" s="545">
        <f t="shared" si="63"/>
        <v>52.333333333333336</v>
      </c>
      <c r="DJ25" s="528">
        <f t="shared" si="64"/>
        <v>4.1049030786773093</v>
      </c>
      <c r="DL25" s="173">
        <f t="shared" si="65"/>
        <v>3.804758924845367</v>
      </c>
      <c r="DM25" s="173">
        <f t="shared" si="66"/>
        <v>10</v>
      </c>
      <c r="DN25" s="173">
        <f t="shared" si="67"/>
        <v>1.0299047619047619</v>
      </c>
      <c r="DP25" s="545">
        <f t="shared" si="68"/>
        <v>2000</v>
      </c>
      <c r="DQ25" s="460">
        <f t="shared" si="69"/>
        <v>52.333333333333336</v>
      </c>
      <c r="DS25">
        <f t="shared" si="116"/>
        <v>2000</v>
      </c>
      <c r="DT25" s="460">
        <f t="shared" si="70"/>
        <v>52.333333333333336</v>
      </c>
      <c r="DU25" s="460"/>
      <c r="DV25" s="5">
        <f t="shared" si="117"/>
        <v>19.108280254777068</v>
      </c>
      <c r="DW25" s="5">
        <f t="shared" si="71"/>
        <v>1.6666666666666667</v>
      </c>
      <c r="DX25" s="5">
        <f t="shared" si="118"/>
        <v>17.4416135881104</v>
      </c>
      <c r="DY25" s="173">
        <f t="shared" si="119"/>
        <v>8.7222222222222243E-2</v>
      </c>
      <c r="EA25" s="5">
        <f t="shared" si="72"/>
        <v>22.222222222222221</v>
      </c>
      <c r="EB25" s="5">
        <f t="shared" si="73"/>
        <v>1.041666666666667</v>
      </c>
      <c r="EC25" s="5">
        <f t="shared" si="74"/>
        <v>2.0187052764016666</v>
      </c>
      <c r="ED25" s="5"/>
      <c r="EE25" s="173">
        <f t="shared" si="120"/>
        <v>1.7051121392469786</v>
      </c>
      <c r="EF25" s="173">
        <f t="shared" si="75"/>
        <v>5.5159700802239611</v>
      </c>
      <c r="EG25" s="173">
        <f t="shared" si="76"/>
        <v>0.13584428276002541</v>
      </c>
      <c r="EH25" s="173"/>
      <c r="EI25" s="528">
        <f t="shared" si="77"/>
        <v>5.814814814814815E-2</v>
      </c>
      <c r="EJ25" s="528">
        <f t="shared" si="78"/>
        <v>0.91792666666666678</v>
      </c>
      <c r="EK25" s="528">
        <f t="shared" si="79"/>
        <v>6.541666666666667E-3</v>
      </c>
      <c r="EL25" s="528">
        <f t="shared" si="80"/>
        <v>4.0251084333333347E-2</v>
      </c>
      <c r="EM25">
        <f t="shared" si="81"/>
        <v>3.2399999999999998E-2</v>
      </c>
      <c r="EN25" s="460">
        <f t="shared" si="121"/>
        <v>38.941666666666663</v>
      </c>
      <c r="EO25">
        <f t="shared" si="82"/>
        <v>1.0859713459301865</v>
      </c>
      <c r="EP25" s="460">
        <f t="shared" si="122"/>
        <v>1085.9713459301865</v>
      </c>
      <c r="EQ25" s="173">
        <f t="shared" si="83"/>
        <v>1.2424999999999999</v>
      </c>
      <c r="ER25" s="173">
        <f t="shared" si="84"/>
        <v>2.2187499999999999E-2</v>
      </c>
      <c r="ES25" s="528"/>
      <c r="EU25" s="460">
        <f t="shared" si="123"/>
        <v>1264.6875</v>
      </c>
      <c r="EV25" s="528">
        <f t="shared" si="85"/>
        <v>8.7222222222222215E-2</v>
      </c>
      <c r="EW25" s="528">
        <f t="shared" si="124"/>
        <v>0.91277777777777791</v>
      </c>
      <c r="EX25" s="528">
        <f t="shared" si="86"/>
        <v>9.2268345792928693E-5</v>
      </c>
      <c r="EY25" s="528">
        <f t="shared" si="87"/>
        <v>0.31326797413446666</v>
      </c>
      <c r="EZ25" s="528">
        <f t="shared" si="88"/>
        <v>1.6884726633582774</v>
      </c>
      <c r="FA25" s="625">
        <f t="shared" si="89"/>
        <v>5.2333333333333338E-3</v>
      </c>
      <c r="FB25" s="460">
        <f t="shared" si="125"/>
        <v>1693.7059966916108</v>
      </c>
      <c r="FC25" s="173">
        <f t="shared" si="126"/>
        <v>4.0443648426217962</v>
      </c>
      <c r="FD25" s="5">
        <f t="shared" si="127"/>
        <v>30.4</v>
      </c>
      <c r="FE25" s="173">
        <f t="shared" si="128"/>
        <v>0.88258268482810698</v>
      </c>
      <c r="FF25" s="5">
        <f t="shared" si="129"/>
        <v>88.258268482810692</v>
      </c>
      <c r="FG25">
        <f t="shared" si="130"/>
        <v>20</v>
      </c>
      <c r="FI25" s="562">
        <f t="shared" si="90"/>
        <v>-50</v>
      </c>
      <c r="FJ25">
        <f t="shared" si="91"/>
        <v>-50</v>
      </c>
      <c r="FL25">
        <f t="shared" si="92"/>
        <v>0.40387731196104976</v>
      </c>
    </row>
    <row r="26" spans="5:168">
      <c r="E26" s="170">
        <v>21</v>
      </c>
      <c r="F26" s="217">
        <f t="shared" si="131"/>
        <v>2.1</v>
      </c>
      <c r="G26" s="217">
        <f t="shared" si="93"/>
        <v>5.2499999999999998E-2</v>
      </c>
      <c r="H26" s="217">
        <f t="shared" si="0"/>
        <v>31.5</v>
      </c>
      <c r="I26" s="217">
        <f t="shared" si="132"/>
        <v>0.42</v>
      </c>
      <c r="J26" s="541">
        <f t="shared" si="1"/>
        <v>71.723315016620049</v>
      </c>
      <c r="K26" s="443">
        <f t="shared" si="2"/>
        <v>15.848559966660831</v>
      </c>
      <c r="L26" s="172">
        <f t="shared" si="3"/>
        <v>87.571874983280878</v>
      </c>
      <c r="M26" s="443"/>
      <c r="N26" s="217">
        <f t="shared" si="4"/>
        <v>0.18097773936765224</v>
      </c>
      <c r="O26" s="172">
        <f t="shared" si="94"/>
        <v>320.23824206402668</v>
      </c>
      <c r="P26" s="172">
        <f t="shared" si="5"/>
        <v>4.3267744705539606</v>
      </c>
      <c r="Q26" s="217">
        <f t="shared" si="6"/>
        <v>21.349216137601779</v>
      </c>
      <c r="R26" s="217">
        <f t="shared" si="7"/>
        <v>40.029780258003335</v>
      </c>
      <c r="S26" s="443">
        <f t="shared" si="8"/>
        <v>15</v>
      </c>
      <c r="T26" s="217">
        <f t="shared" si="9"/>
        <v>4.9182133584317613</v>
      </c>
      <c r="U26" s="217">
        <f t="shared" si="10"/>
        <v>0.82286436826720977</v>
      </c>
      <c r="V26" s="217">
        <f t="shared" si="11"/>
        <v>3.7239068044877954</v>
      </c>
      <c r="W26" s="197">
        <f t="shared" si="12"/>
        <v>108.16936176384901</v>
      </c>
      <c r="X26" s="443">
        <f t="shared" si="95"/>
        <v>210.66951904900955</v>
      </c>
      <c r="Z26" s="217">
        <f t="shared" si="13"/>
        <v>10</v>
      </c>
      <c r="AA26" s="173">
        <f t="shared" si="14"/>
        <v>7.5716658328853255</v>
      </c>
      <c r="AB26" s="173">
        <f t="shared" si="15"/>
        <v>4.0951113031617394</v>
      </c>
      <c r="AC26" s="173"/>
      <c r="AD26" s="173">
        <f t="shared" si="16"/>
        <v>7.5716658328853255</v>
      </c>
      <c r="AE26" s="545">
        <f t="shared" si="17"/>
        <v>55.469959883312903</v>
      </c>
      <c r="AF26" s="528">
        <f t="shared" si="18"/>
        <v>4.0951113031617394</v>
      </c>
      <c r="AH26" s="173">
        <f t="shared" si="19"/>
        <v>3.8987177379235853</v>
      </c>
      <c r="AI26" s="173">
        <f t="shared" si="20"/>
        <v>10</v>
      </c>
      <c r="AJ26" s="173">
        <f t="shared" si="21"/>
        <v>1.0316971199333216</v>
      </c>
      <c r="AL26" s="545">
        <f t="shared" si="22"/>
        <v>2100</v>
      </c>
      <c r="AM26" s="460">
        <f t="shared" si="23"/>
        <v>55.469959883312903</v>
      </c>
      <c r="AO26">
        <f t="shared" si="96"/>
        <v>2100</v>
      </c>
      <c r="AP26" s="460">
        <f t="shared" si="24"/>
        <v>55.469959883312903</v>
      </c>
      <c r="AQ26" s="460"/>
      <c r="AR26" s="5">
        <f t="shared" si="97"/>
        <v>18.027775792584109</v>
      </c>
      <c r="AS26" s="5">
        <f t="shared" si="25"/>
        <v>1.673096119054077</v>
      </c>
      <c r="AT26" s="5">
        <f t="shared" si="98"/>
        <v>16.354679673530033</v>
      </c>
      <c r="AU26" s="173">
        <f t="shared" si="99"/>
        <v>9.2806574604856154E-2</v>
      </c>
      <c r="AW26" s="5">
        <f t="shared" si="26"/>
        <v>23.423345666757079</v>
      </c>
      <c r="AX26" s="5">
        <f t="shared" si="27"/>
        <v>1.097969328129238</v>
      </c>
      <c r="AY26" s="5">
        <f t="shared" si="28"/>
        <v>1.9952151836571861</v>
      </c>
      <c r="AZ26" s="5"/>
      <c r="BA26" s="173">
        <f t="shared" si="100"/>
        <v>1.7588497624380937</v>
      </c>
      <c r="BB26" s="173">
        <f t="shared" si="29"/>
        <v>5.4990709075720048</v>
      </c>
      <c r="BC26" s="173">
        <f t="shared" si="30"/>
        <v>0.13542809921393018</v>
      </c>
      <c r="BD26" s="173"/>
      <c r="BE26" s="528">
        <f t="shared" si="31"/>
        <v>6.1871049736570774E-2</v>
      </c>
      <c r="BF26" s="528">
        <f t="shared" si="32"/>
        <v>0.91080157354295288</v>
      </c>
      <c r="BG26" s="528">
        <f t="shared" si="33"/>
        <v>9.9462235166753191E-2</v>
      </c>
      <c r="BH26" s="528">
        <f t="shared" si="34"/>
        <v>4.253898748420213E-2</v>
      </c>
      <c r="BI26">
        <f t="shared" si="35"/>
        <v>3.227549175747902E-2</v>
      </c>
      <c r="BJ26" s="460">
        <f t="shared" si="101"/>
        <v>131.73772692423222</v>
      </c>
      <c r="BK26">
        <f t="shared" si="36"/>
        <v>1.0473128815307871</v>
      </c>
      <c r="BL26" s="460">
        <f t="shared" si="102"/>
        <v>1047.3128815307871</v>
      </c>
      <c r="BM26" s="173">
        <f t="shared" si="37"/>
        <v>1.3046249999999999</v>
      </c>
      <c r="BN26" s="173">
        <f t="shared" si="38"/>
        <v>2.3296874999999998E-2</v>
      </c>
      <c r="BO26" s="528"/>
      <c r="BQ26" s="460">
        <f t="shared" si="103"/>
        <v>1327.921875</v>
      </c>
      <c r="BR26" s="528">
        <f t="shared" si="39"/>
        <v>9.2806574604856154E-2</v>
      </c>
      <c r="BS26" s="528">
        <f t="shared" si="104"/>
        <v>0.9071934253951438</v>
      </c>
      <c r="BT26" s="528">
        <f t="shared" si="40"/>
        <v>9.1703850283490575E-5</v>
      </c>
      <c r="BU26" s="528">
        <f t="shared" si="41"/>
        <v>0.36233862656480181</v>
      </c>
      <c r="BV26" s="528">
        <f t="shared" si="42"/>
        <v>1.7418099106447553</v>
      </c>
      <c r="BW26" s="625">
        <f t="shared" si="43"/>
        <v>5.5469959883312908E-3</v>
      </c>
      <c r="BX26" s="460">
        <f t="shared" si="105"/>
        <v>1747.3569066330865</v>
      </c>
      <c r="BY26" s="173">
        <f t="shared" si="106"/>
        <v>4.1225916631638739</v>
      </c>
      <c r="BZ26" s="5">
        <f t="shared" si="107"/>
        <v>31.92</v>
      </c>
      <c r="CA26" s="173">
        <f t="shared" si="108"/>
        <v>0.88561888940474742</v>
      </c>
      <c r="CB26" s="5">
        <f t="shared" si="109"/>
        <v>88.561888940474745</v>
      </c>
      <c r="CC26">
        <f t="shared" si="110"/>
        <v>21.000000000000004</v>
      </c>
      <c r="CE26" s="562">
        <f t="shared" si="44"/>
        <v>-50</v>
      </c>
      <c r="CF26">
        <f t="shared" si="45"/>
        <v>-50</v>
      </c>
      <c r="CG26" s="173">
        <f t="shared" si="46"/>
        <v>0.42407117755910229</v>
      </c>
      <c r="CH26" s="173">
        <f t="shared" si="47"/>
        <v>4.8862865427995478E-2</v>
      </c>
      <c r="CI26" s="170">
        <v>21</v>
      </c>
      <c r="CJ26" s="217">
        <f t="shared" si="133"/>
        <v>2.1</v>
      </c>
      <c r="CK26" s="217">
        <f t="shared" si="111"/>
        <v>5.2499999999999998E-2</v>
      </c>
      <c r="CL26" s="217">
        <f t="shared" si="48"/>
        <v>31.5</v>
      </c>
      <c r="CM26" s="217">
        <f t="shared" si="134"/>
        <v>0.42</v>
      </c>
      <c r="CN26" s="541">
        <f t="shared" si="112"/>
        <v>72</v>
      </c>
      <c r="CO26" s="443">
        <f t="shared" si="49"/>
        <v>15.7</v>
      </c>
      <c r="CP26" s="443">
        <f t="shared" si="50"/>
        <v>87.7</v>
      </c>
      <c r="CQ26" s="443"/>
      <c r="CR26" s="217">
        <f t="shared" si="113"/>
        <v>0.17620137299771166</v>
      </c>
      <c r="CS26" s="172">
        <f t="shared" si="114"/>
        <v>312.98928098277725</v>
      </c>
      <c r="CT26" s="172">
        <f t="shared" si="51"/>
        <v>4.2288329519450798</v>
      </c>
      <c r="CU26" s="217">
        <f t="shared" si="52"/>
        <v>20.865952065518481</v>
      </c>
      <c r="CV26" s="217">
        <f t="shared" si="53"/>
        <v>39.123660122847156</v>
      </c>
      <c r="CW26" s="443">
        <f t="shared" si="54"/>
        <v>15</v>
      </c>
      <c r="CX26" s="217">
        <f t="shared" si="55"/>
        <v>5.0321212121212131</v>
      </c>
      <c r="CY26" s="217">
        <f t="shared" si="56"/>
        <v>0.83868686868686892</v>
      </c>
      <c r="CZ26" s="217">
        <f t="shared" si="57"/>
        <v>3.8462072958888252</v>
      </c>
      <c r="DA26" s="197">
        <f t="shared" si="58"/>
        <v>107.41163055872293</v>
      </c>
      <c r="DB26" s="443">
        <f t="shared" si="115"/>
        <v>213.45199376357075</v>
      </c>
      <c r="DD26" s="217">
        <f t="shared" si="59"/>
        <v>10</v>
      </c>
      <c r="DE26" s="173">
        <f t="shared" si="60"/>
        <v>7.6433121019108281</v>
      </c>
      <c r="DF26" s="173">
        <f t="shared" si="61"/>
        <v>4.1049030786773102</v>
      </c>
      <c r="DG26" s="173"/>
      <c r="DH26" s="173">
        <f t="shared" si="62"/>
        <v>7.6433121019108281</v>
      </c>
      <c r="DI26" s="545">
        <f t="shared" si="63"/>
        <v>54.95000000000001</v>
      </c>
      <c r="DJ26" s="528">
        <f t="shared" si="64"/>
        <v>4.1049030786773093</v>
      </c>
      <c r="DL26" s="173">
        <f t="shared" si="65"/>
        <v>3.8987177379235853</v>
      </c>
      <c r="DM26" s="173">
        <f t="shared" si="66"/>
        <v>10</v>
      </c>
      <c r="DN26" s="173">
        <f t="shared" si="67"/>
        <v>1.0314000000000001</v>
      </c>
      <c r="DP26" s="545">
        <f t="shared" si="68"/>
        <v>2100</v>
      </c>
      <c r="DQ26" s="460">
        <f t="shared" si="69"/>
        <v>54.95000000000001</v>
      </c>
      <c r="DS26">
        <f t="shared" si="116"/>
        <v>2100</v>
      </c>
      <c r="DT26" s="460">
        <f t="shared" si="70"/>
        <v>54.95000000000001</v>
      </c>
      <c r="DU26" s="460"/>
      <c r="DV26" s="5">
        <f t="shared" si="117"/>
        <v>18.198362147406733</v>
      </c>
      <c r="DW26" s="5">
        <f t="shared" si="71"/>
        <v>1.6666666666666667</v>
      </c>
      <c r="DX26" s="5">
        <f t="shared" si="118"/>
        <v>16.531695480740066</v>
      </c>
      <c r="DY26" s="173">
        <f t="shared" si="119"/>
        <v>9.1583333333333336E-2</v>
      </c>
      <c r="EA26" s="5">
        <f t="shared" si="72"/>
        <v>23.333333333333339</v>
      </c>
      <c r="EB26" s="5">
        <f t="shared" si="73"/>
        <v>1.0937499999999998</v>
      </c>
      <c r="EC26" s="5">
        <f t="shared" si="74"/>
        <v>2.0090602146732719</v>
      </c>
      <c r="ED26" s="5"/>
      <c r="EE26" s="173">
        <f t="shared" si="120"/>
        <v>1.7472200141303837</v>
      </c>
      <c r="EF26" s="173">
        <f t="shared" si="75"/>
        <v>5.5027770766727908</v>
      </c>
      <c r="EG26" s="173">
        <f t="shared" si="76"/>
        <v>0.13551937271178485</v>
      </c>
      <c r="EH26" s="173"/>
      <c r="EI26" s="528">
        <f t="shared" si="77"/>
        <v>6.1055555555555571E-2</v>
      </c>
      <c r="EJ26" s="528">
        <f t="shared" si="78"/>
        <v>0.96382300000000021</v>
      </c>
      <c r="EK26" s="528">
        <f t="shared" si="79"/>
        <v>6.8687500000000007E-3</v>
      </c>
      <c r="EL26" s="528">
        <f t="shared" si="80"/>
        <v>4.2263638550000017E-2</v>
      </c>
      <c r="EM26">
        <f t="shared" si="81"/>
        <v>3.2399999999999998E-2</v>
      </c>
      <c r="EN26" s="460">
        <f t="shared" si="121"/>
        <v>39.268749999999997</v>
      </c>
      <c r="EO26">
        <f t="shared" si="82"/>
        <v>1.1394253599167967</v>
      </c>
      <c r="EP26" s="460">
        <f t="shared" si="122"/>
        <v>1139.4253599167967</v>
      </c>
      <c r="EQ26" s="173">
        <f t="shared" si="83"/>
        <v>1.3046249999999999</v>
      </c>
      <c r="ER26" s="173">
        <f t="shared" si="84"/>
        <v>2.3296874999999998E-2</v>
      </c>
      <c r="ES26" s="528"/>
      <c r="EU26" s="460">
        <f t="shared" si="123"/>
        <v>1327.921875</v>
      </c>
      <c r="EV26" s="528">
        <f t="shared" si="85"/>
        <v>9.158333333333335E-2</v>
      </c>
      <c r="EW26" s="528">
        <f t="shared" si="124"/>
        <v>0.90841666666666632</v>
      </c>
      <c r="EX26" s="528">
        <f t="shared" si="86"/>
        <v>9.1827501900978284E-5</v>
      </c>
      <c r="EY26" s="528">
        <f t="shared" si="87"/>
        <v>0.35390707620273343</v>
      </c>
      <c r="EZ26" s="528">
        <f t="shared" si="88"/>
        <v>1.7326452942002324</v>
      </c>
      <c r="FA26" s="625">
        <f t="shared" si="89"/>
        <v>5.4950000000000016E-3</v>
      </c>
      <c r="FB26" s="460">
        <f t="shared" si="125"/>
        <v>1738.1402942002323</v>
      </c>
      <c r="FC26" s="173">
        <f t="shared" si="126"/>
        <v>4.2054875291170291</v>
      </c>
      <c r="FD26" s="5">
        <f t="shared" si="127"/>
        <v>31.92</v>
      </c>
      <c r="FE26" s="173">
        <f t="shared" si="128"/>
        <v>0.88358669137053392</v>
      </c>
      <c r="FF26" s="5">
        <f t="shared" si="129"/>
        <v>88.358669137053397</v>
      </c>
      <c r="FG26">
        <f t="shared" si="130"/>
        <v>21.000000000000004</v>
      </c>
      <c r="FI26" s="562">
        <f t="shared" si="90"/>
        <v>-50</v>
      </c>
      <c r="FJ26">
        <f t="shared" si="91"/>
        <v>-50</v>
      </c>
      <c r="FL26">
        <f t="shared" si="92"/>
        <v>0.42407117755910229</v>
      </c>
    </row>
    <row r="27" spans="5:168">
      <c r="E27" s="170">
        <v>22</v>
      </c>
      <c r="F27" s="217">
        <f t="shared" si="131"/>
        <v>2.2000000000000002</v>
      </c>
      <c r="G27" s="217">
        <f t="shared" si="93"/>
        <v>5.5E-2</v>
      </c>
      <c r="H27" s="217">
        <f t="shared" si="0"/>
        <v>33</v>
      </c>
      <c r="I27" s="217">
        <f t="shared" si="132"/>
        <v>0.44</v>
      </c>
      <c r="J27" s="541">
        <f t="shared" si="1"/>
        <v>71.723315016620049</v>
      </c>
      <c r="K27" s="443">
        <f t="shared" si="2"/>
        <v>15.848559966660831</v>
      </c>
      <c r="L27" s="172">
        <f t="shared" si="3"/>
        <v>87.571874983280878</v>
      </c>
      <c r="M27" s="443"/>
      <c r="N27" s="217">
        <f t="shared" si="4"/>
        <v>0.18097773936765224</v>
      </c>
      <c r="O27" s="172">
        <f t="shared" si="94"/>
        <v>320.23824206402668</v>
      </c>
      <c r="P27" s="172">
        <f t="shared" si="5"/>
        <v>4.3267744705539606</v>
      </c>
      <c r="Q27" s="217">
        <f t="shared" si="6"/>
        <v>21.349216137601779</v>
      </c>
      <c r="R27" s="217">
        <f t="shared" si="7"/>
        <v>40.029780258003335</v>
      </c>
      <c r="S27" s="443">
        <f t="shared" si="8"/>
        <v>15</v>
      </c>
      <c r="T27" s="217">
        <f t="shared" si="9"/>
        <v>5.1524139945475591</v>
      </c>
      <c r="U27" s="217">
        <f t="shared" si="10"/>
        <v>0.86204838580374354</v>
      </c>
      <c r="V27" s="217">
        <f t="shared" si="11"/>
        <v>3.901235699939595</v>
      </c>
      <c r="W27" s="197">
        <f t="shared" si="12"/>
        <v>108.16936176384901</v>
      </c>
      <c r="X27" s="443">
        <f t="shared" si="95"/>
        <v>201.47950081528177</v>
      </c>
      <c r="Z27" s="217">
        <f t="shared" si="13"/>
        <v>10</v>
      </c>
      <c r="AA27" s="173">
        <f t="shared" si="14"/>
        <v>7.5716658328853255</v>
      </c>
      <c r="AB27" s="173">
        <f t="shared" si="15"/>
        <v>4.0951113031617394</v>
      </c>
      <c r="AC27" s="173"/>
      <c r="AD27" s="173">
        <f t="shared" si="16"/>
        <v>7.5716658328853255</v>
      </c>
      <c r="AE27" s="545">
        <f t="shared" si="17"/>
        <v>58.111386544423048</v>
      </c>
      <c r="AF27" s="528">
        <f t="shared" si="18"/>
        <v>4.0951113031617394</v>
      </c>
      <c r="AH27" s="173">
        <f t="shared" si="19"/>
        <v>3.990464825532174</v>
      </c>
      <c r="AI27" s="173">
        <f t="shared" si="20"/>
        <v>10</v>
      </c>
      <c r="AJ27" s="173">
        <f t="shared" si="21"/>
        <v>1.0332065065968132</v>
      </c>
      <c r="AL27" s="545">
        <f t="shared" si="22"/>
        <v>2200</v>
      </c>
      <c r="AM27" s="460">
        <f t="shared" si="23"/>
        <v>58.111386544423048</v>
      </c>
      <c r="AO27">
        <f t="shared" si="96"/>
        <v>2200</v>
      </c>
      <c r="AP27" s="460">
        <f t="shared" si="24"/>
        <v>58.111386544423048</v>
      </c>
      <c r="AQ27" s="460"/>
      <c r="AR27" s="5">
        <f t="shared" si="97"/>
        <v>17.20833143837574</v>
      </c>
      <c r="AS27" s="5">
        <f t="shared" si="25"/>
        <v>1.673096119054077</v>
      </c>
      <c r="AT27" s="5">
        <f t="shared" si="98"/>
        <v>15.535235319321664</v>
      </c>
      <c r="AU27" s="173">
        <f t="shared" si="99"/>
        <v>9.72259353003255E-2</v>
      </c>
      <c r="AW27" s="5">
        <f t="shared" si="26"/>
        <v>24.538743079459799</v>
      </c>
      <c r="AX27" s="5">
        <f t="shared" si="27"/>
        <v>1.1502535818496777</v>
      </c>
      <c r="AY27" s="5">
        <f t="shared" si="28"/>
        <v>1.9854955634363742</v>
      </c>
      <c r="AZ27" s="5"/>
      <c r="BA27" s="173">
        <f t="shared" si="100"/>
        <v>1.8002401256529224</v>
      </c>
      <c r="BB27" s="173">
        <f t="shared" si="29"/>
        <v>5.4856602905504896</v>
      </c>
      <c r="BC27" s="173">
        <f t="shared" si="30"/>
        <v>0.13509782990061597</v>
      </c>
      <c r="BD27" s="173"/>
      <c r="BE27" s="528">
        <f t="shared" si="31"/>
        <v>6.4817290200216995E-2</v>
      </c>
      <c r="BF27" s="528">
        <f t="shared" si="32"/>
        <v>0.95417307704499843</v>
      </c>
      <c r="BG27" s="528">
        <f t="shared" si="33"/>
        <v>0.10419853207945574</v>
      </c>
      <c r="BH27" s="528">
        <f t="shared" si="34"/>
        <v>4.4564653554878424E-2</v>
      </c>
      <c r="BI27">
        <f t="shared" si="35"/>
        <v>3.227549175747902E-2</v>
      </c>
      <c r="BJ27" s="460">
        <f t="shared" si="101"/>
        <v>136.47402383693478</v>
      </c>
      <c r="BK27">
        <f t="shared" si="36"/>
        <v>1.0979649958602378</v>
      </c>
      <c r="BL27" s="460">
        <f t="shared" si="102"/>
        <v>1097.9649958602379</v>
      </c>
      <c r="BM27" s="173">
        <f t="shared" si="37"/>
        <v>1.3667499999999999</v>
      </c>
      <c r="BN27" s="173">
        <f t="shared" si="38"/>
        <v>2.4406249999999997E-2</v>
      </c>
      <c r="BO27" s="528"/>
      <c r="BQ27" s="460">
        <f t="shared" si="103"/>
        <v>1391.1562499999998</v>
      </c>
      <c r="BR27" s="528">
        <f t="shared" si="39"/>
        <v>9.7225935300325486E-2</v>
      </c>
      <c r="BS27" s="528">
        <f t="shared" si="104"/>
        <v>0.90277406469967447</v>
      </c>
      <c r="BT27" s="528">
        <f t="shared" si="40"/>
        <v>9.1257118219278832E-5</v>
      </c>
      <c r="BU27" s="528">
        <f t="shared" si="41"/>
        <v>0.40702688760339051</v>
      </c>
      <c r="BV27" s="528">
        <f t="shared" si="42"/>
        <v>1.7903838230993896</v>
      </c>
      <c r="BW27" s="625">
        <f t="shared" si="43"/>
        <v>5.8111386544423054E-3</v>
      </c>
      <c r="BX27" s="460">
        <f t="shared" si="105"/>
        <v>1796.1949617538319</v>
      </c>
      <c r="BY27" s="173">
        <f t="shared" si="106"/>
        <v>4.2853162076140698</v>
      </c>
      <c r="BZ27" s="5">
        <f t="shared" si="107"/>
        <v>33.44</v>
      </c>
      <c r="CA27" s="173">
        <f t="shared" si="108"/>
        <v>0.8864074144791616</v>
      </c>
      <c r="CB27" s="5">
        <f t="shared" si="109"/>
        <v>88.640741447916156</v>
      </c>
      <c r="CC27">
        <f t="shared" si="110"/>
        <v>22.000000000000004</v>
      </c>
      <c r="CE27" s="562">
        <f t="shared" si="44"/>
        <v>-50</v>
      </c>
      <c r="CF27">
        <f t="shared" si="45"/>
        <v>-50</v>
      </c>
      <c r="CG27" s="173">
        <f t="shared" si="46"/>
        <v>0.44426504315715482</v>
      </c>
      <c r="CH27" s="173">
        <f t="shared" si="47"/>
        <v>5.1189668543614307E-2</v>
      </c>
      <c r="CI27" s="170">
        <v>22</v>
      </c>
      <c r="CJ27" s="217">
        <f t="shared" si="133"/>
        <v>2.2000000000000002</v>
      </c>
      <c r="CK27" s="217">
        <f t="shared" si="111"/>
        <v>5.5E-2</v>
      </c>
      <c r="CL27" s="217">
        <f t="shared" si="48"/>
        <v>33</v>
      </c>
      <c r="CM27" s="217">
        <f t="shared" si="134"/>
        <v>0.44</v>
      </c>
      <c r="CN27" s="541">
        <f t="shared" si="112"/>
        <v>72</v>
      </c>
      <c r="CO27" s="443">
        <f t="shared" si="49"/>
        <v>15.7</v>
      </c>
      <c r="CP27" s="443">
        <f t="shared" si="50"/>
        <v>87.7</v>
      </c>
      <c r="CQ27" s="443"/>
      <c r="CR27" s="217">
        <f t="shared" si="113"/>
        <v>0.17620137299771166</v>
      </c>
      <c r="CS27" s="172">
        <f t="shared" si="114"/>
        <v>312.98928098277725</v>
      </c>
      <c r="CT27" s="172">
        <f t="shared" si="51"/>
        <v>4.2288329519450798</v>
      </c>
      <c r="CU27" s="217">
        <f t="shared" si="52"/>
        <v>20.865952065518481</v>
      </c>
      <c r="CV27" s="217">
        <f t="shared" si="53"/>
        <v>39.123660122847156</v>
      </c>
      <c r="CW27" s="443">
        <f t="shared" si="54"/>
        <v>15</v>
      </c>
      <c r="CX27" s="217">
        <f t="shared" si="55"/>
        <v>5.2717460317460318</v>
      </c>
      <c r="CY27" s="217">
        <f t="shared" si="56"/>
        <v>0.87862433862433864</v>
      </c>
      <c r="CZ27" s="217">
        <f t="shared" si="57"/>
        <v>4.0293600242644834</v>
      </c>
      <c r="DA27" s="197">
        <f t="shared" si="58"/>
        <v>107.41163055872293</v>
      </c>
      <c r="DB27" s="443">
        <f t="shared" si="115"/>
        <v>203.74963041068116</v>
      </c>
      <c r="DD27" s="217">
        <f t="shared" si="59"/>
        <v>10</v>
      </c>
      <c r="DE27" s="173">
        <f t="shared" si="60"/>
        <v>7.6433121019108281</v>
      </c>
      <c r="DF27" s="173">
        <f t="shared" si="61"/>
        <v>4.1049030786773102</v>
      </c>
      <c r="DG27" s="173"/>
      <c r="DH27" s="173">
        <f t="shared" si="62"/>
        <v>7.6433121019108281</v>
      </c>
      <c r="DI27" s="545">
        <f t="shared" si="63"/>
        <v>57.566666666666677</v>
      </c>
      <c r="DJ27" s="528">
        <f t="shared" si="64"/>
        <v>4.1049030786773093</v>
      </c>
      <c r="DL27" s="173">
        <f t="shared" si="65"/>
        <v>3.990464825532174</v>
      </c>
      <c r="DM27" s="173">
        <f t="shared" si="66"/>
        <v>10</v>
      </c>
      <c r="DN27" s="173">
        <f t="shared" si="67"/>
        <v>1.0328952380952381</v>
      </c>
      <c r="DP27" s="545">
        <f t="shared" si="68"/>
        <v>2200</v>
      </c>
      <c r="DQ27" s="460">
        <f t="shared" si="69"/>
        <v>57.566666666666677</v>
      </c>
      <c r="DS27">
        <f t="shared" si="116"/>
        <v>2200</v>
      </c>
      <c r="DT27" s="460">
        <f t="shared" si="70"/>
        <v>57.566666666666677</v>
      </c>
      <c r="DU27" s="460"/>
      <c r="DV27" s="5">
        <f t="shared" si="117"/>
        <v>17.371163867979153</v>
      </c>
      <c r="DW27" s="5">
        <f t="shared" si="71"/>
        <v>1.6666666666666667</v>
      </c>
      <c r="DX27" s="5">
        <f t="shared" si="118"/>
        <v>15.704497201312487</v>
      </c>
      <c r="DY27" s="173">
        <f t="shared" si="119"/>
        <v>9.5944444444444457E-2</v>
      </c>
      <c r="EA27" s="5">
        <f t="shared" si="72"/>
        <v>24.444444444444446</v>
      </c>
      <c r="EB27" s="5">
        <f t="shared" si="73"/>
        <v>1.1458333333333333</v>
      </c>
      <c r="EC27" s="5">
        <f t="shared" si="74"/>
        <v>1.9994151529448767</v>
      </c>
      <c r="ED27" s="5"/>
      <c r="EE27" s="173">
        <f t="shared" si="120"/>
        <v>1.7883366987645666</v>
      </c>
      <c r="EF27" s="173">
        <f t="shared" si="75"/>
        <v>5.4895523665582404</v>
      </c>
      <c r="EG27" s="173">
        <f t="shared" si="76"/>
        <v>0.13519368181170885</v>
      </c>
      <c r="EH27" s="173"/>
      <c r="EI27" s="528">
        <f t="shared" si="77"/>
        <v>6.3962962962962971E-2</v>
      </c>
      <c r="EJ27" s="528">
        <f t="shared" si="78"/>
        <v>1.0097193333333334</v>
      </c>
      <c r="EK27" s="528">
        <f t="shared" si="79"/>
        <v>7.1958333333333345E-3</v>
      </c>
      <c r="EL27" s="528">
        <f t="shared" si="80"/>
        <v>4.4276192766666687E-2</v>
      </c>
      <c r="EM27">
        <f t="shared" si="81"/>
        <v>3.2399999999999998E-2</v>
      </c>
      <c r="EN27" s="460">
        <f t="shared" si="121"/>
        <v>39.595833333333331</v>
      </c>
      <c r="EO27">
        <f t="shared" si="82"/>
        <v>1.1929543656639101</v>
      </c>
      <c r="EP27" s="460">
        <f t="shared" si="122"/>
        <v>1192.95436566391</v>
      </c>
      <c r="EQ27" s="173">
        <f t="shared" si="83"/>
        <v>1.3667499999999999</v>
      </c>
      <c r="ER27" s="173">
        <f t="shared" si="84"/>
        <v>2.4406249999999997E-2</v>
      </c>
      <c r="ES27" s="528"/>
      <c r="EU27" s="460">
        <f t="shared" si="123"/>
        <v>1391.1562499999998</v>
      </c>
      <c r="EV27" s="528">
        <f t="shared" si="85"/>
        <v>9.5944444444444443E-2</v>
      </c>
      <c r="EW27" s="528">
        <f t="shared" si="124"/>
        <v>0.90405555555555539</v>
      </c>
      <c r="EX27" s="528">
        <f t="shared" si="86"/>
        <v>9.1386658009027876E-5</v>
      </c>
      <c r="EY27" s="528">
        <f t="shared" si="87"/>
        <v>0.39755544997588593</v>
      </c>
      <c r="EZ27" s="528">
        <f t="shared" si="88"/>
        <v>1.7800888951541562</v>
      </c>
      <c r="FA27" s="625">
        <f t="shared" si="89"/>
        <v>5.7566666666666686E-3</v>
      </c>
      <c r="FB27" s="460">
        <f t="shared" si="125"/>
        <v>1785.8455618208229</v>
      </c>
      <c r="FC27" s="173">
        <f t="shared" si="126"/>
        <v>4.3699561774847329</v>
      </c>
      <c r="FD27" s="5">
        <f t="shared" si="127"/>
        <v>33.44</v>
      </c>
      <c r="FE27" s="173">
        <f t="shared" si="128"/>
        <v>0.88442313561614294</v>
      </c>
      <c r="FF27" s="5">
        <f t="shared" si="129"/>
        <v>88.442313561614299</v>
      </c>
      <c r="FG27">
        <f t="shared" si="130"/>
        <v>22.000000000000004</v>
      </c>
      <c r="FI27" s="562">
        <f t="shared" si="90"/>
        <v>-50</v>
      </c>
      <c r="FJ27">
        <f t="shared" si="91"/>
        <v>-50</v>
      </c>
      <c r="FL27">
        <f t="shared" si="92"/>
        <v>0.44426504315715482</v>
      </c>
    </row>
    <row r="28" spans="5:168">
      <c r="E28" s="170">
        <v>23</v>
      </c>
      <c r="F28" s="217">
        <f t="shared" si="131"/>
        <v>2.3000000000000003</v>
      </c>
      <c r="G28" s="217">
        <f t="shared" si="93"/>
        <v>5.7500000000000002E-2</v>
      </c>
      <c r="H28" s="217">
        <f t="shared" si="0"/>
        <v>34.500000000000007</v>
      </c>
      <c r="I28" s="217">
        <f t="shared" si="132"/>
        <v>0.46</v>
      </c>
      <c r="J28" s="541">
        <f t="shared" si="1"/>
        <v>71.723315016620049</v>
      </c>
      <c r="K28" s="443">
        <f t="shared" si="2"/>
        <v>15.848559966660831</v>
      </c>
      <c r="L28" s="172">
        <f t="shared" si="3"/>
        <v>87.571874983280878</v>
      </c>
      <c r="M28" s="443"/>
      <c r="N28" s="217">
        <f t="shared" si="4"/>
        <v>0.18097773936765224</v>
      </c>
      <c r="O28" s="172">
        <f t="shared" si="94"/>
        <v>320.23824206402668</v>
      </c>
      <c r="P28" s="172">
        <f t="shared" si="5"/>
        <v>4.3267744705539606</v>
      </c>
      <c r="Q28" s="217">
        <f t="shared" si="6"/>
        <v>21.349216137601779</v>
      </c>
      <c r="R28" s="217">
        <f t="shared" si="7"/>
        <v>40.029780258003335</v>
      </c>
      <c r="S28" s="443">
        <f t="shared" si="8"/>
        <v>15</v>
      </c>
      <c r="T28" s="217">
        <f t="shared" si="9"/>
        <v>5.3866146306633587</v>
      </c>
      <c r="U28" s="217">
        <f t="shared" si="10"/>
        <v>0.90123240334027754</v>
      </c>
      <c r="V28" s="217">
        <f t="shared" si="11"/>
        <v>4.0785645953913958</v>
      </c>
      <c r="W28" s="197">
        <f t="shared" si="12"/>
        <v>108.16936176384901</v>
      </c>
      <c r="X28" s="443">
        <f t="shared" si="95"/>
        <v>193.05775887450034</v>
      </c>
      <c r="Z28" s="217">
        <f t="shared" si="13"/>
        <v>10</v>
      </c>
      <c r="AA28" s="173">
        <f t="shared" si="14"/>
        <v>7.5716658328853255</v>
      </c>
      <c r="AB28" s="173">
        <f t="shared" si="15"/>
        <v>4.0951113031617394</v>
      </c>
      <c r="AC28" s="173"/>
      <c r="AD28" s="173">
        <f t="shared" si="16"/>
        <v>7.5716658328853255</v>
      </c>
      <c r="AE28" s="545">
        <f t="shared" si="17"/>
        <v>60.752813205533194</v>
      </c>
      <c r="AF28" s="528">
        <f t="shared" si="18"/>
        <v>4.0951113031617394</v>
      </c>
      <c r="AH28" s="173">
        <f t="shared" si="19"/>
        <v>4.0801493903555848</v>
      </c>
      <c r="AI28" s="173">
        <f t="shared" si="20"/>
        <v>10</v>
      </c>
      <c r="AJ28" s="173">
        <f t="shared" si="21"/>
        <v>1.0347158932603047</v>
      </c>
      <c r="AL28" s="545">
        <f t="shared" si="22"/>
        <v>2300.0000000000005</v>
      </c>
      <c r="AM28" s="460">
        <f t="shared" si="23"/>
        <v>60.752813205533194</v>
      </c>
      <c r="AO28">
        <f t="shared" si="96"/>
        <v>2300.0000000000005</v>
      </c>
      <c r="AP28" s="460">
        <f t="shared" si="24"/>
        <v>60.752813205533194</v>
      </c>
      <c r="AQ28" s="460"/>
      <c r="AR28" s="5">
        <f t="shared" si="97"/>
        <v>16.460143114968094</v>
      </c>
      <c r="AS28" s="5">
        <f t="shared" si="25"/>
        <v>1.673096119054077</v>
      </c>
      <c r="AT28" s="5">
        <f t="shared" si="98"/>
        <v>14.787046995914018</v>
      </c>
      <c r="AU28" s="173">
        <f t="shared" si="99"/>
        <v>0.10164529599579487</v>
      </c>
      <c r="AW28" s="5">
        <f t="shared" si="26"/>
        <v>25.654140492162519</v>
      </c>
      <c r="AX28" s="5">
        <f t="shared" si="27"/>
        <v>1.202537835570118</v>
      </c>
      <c r="AY28" s="5">
        <f t="shared" si="28"/>
        <v>1.9757759432155619</v>
      </c>
      <c r="AZ28" s="5"/>
      <c r="BA28" s="173">
        <f t="shared" si="100"/>
        <v>1.8407000117328087</v>
      </c>
      <c r="BB28" s="173">
        <f t="shared" si="29"/>
        <v>5.4722168085831697</v>
      </c>
      <c r="BC28" s="173">
        <f t="shared" si="30"/>
        <v>0.13476675120746004</v>
      </c>
      <c r="BD28" s="173"/>
      <c r="BE28" s="528">
        <f t="shared" si="31"/>
        <v>6.7763530663863245E-2</v>
      </c>
      <c r="BF28" s="528">
        <f t="shared" si="32"/>
        <v>0.99754458054704387</v>
      </c>
      <c r="BG28" s="528">
        <f t="shared" si="33"/>
        <v>0.10893482899215828</v>
      </c>
      <c r="BH28" s="528">
        <f t="shared" si="34"/>
        <v>4.6590319625554724E-2</v>
      </c>
      <c r="BI28">
        <f t="shared" si="35"/>
        <v>3.227549175747902E-2</v>
      </c>
      <c r="BJ28" s="460">
        <f t="shared" si="101"/>
        <v>141.2103207496373</v>
      </c>
      <c r="BK28">
        <f t="shared" si="36"/>
        <v>1.1486891863281818</v>
      </c>
      <c r="BL28" s="460">
        <f t="shared" si="102"/>
        <v>1148.6891863281819</v>
      </c>
      <c r="BM28" s="173">
        <f t="shared" si="37"/>
        <v>1.4288750000000001</v>
      </c>
      <c r="BN28" s="173">
        <f t="shared" si="38"/>
        <v>2.5515625E-2</v>
      </c>
      <c r="BO28" s="528"/>
      <c r="BQ28" s="460">
        <f t="shared" si="103"/>
        <v>1454.390625</v>
      </c>
      <c r="BR28" s="528">
        <f t="shared" si="39"/>
        <v>0.10164529599579486</v>
      </c>
      <c r="BS28" s="528">
        <f t="shared" si="104"/>
        <v>0.89835470400420514</v>
      </c>
      <c r="BT28" s="528">
        <f t="shared" si="40"/>
        <v>9.0810386155067171E-5</v>
      </c>
      <c r="BU28" s="528">
        <f t="shared" si="41"/>
        <v>0.45486863027663127</v>
      </c>
      <c r="BV28" s="528">
        <f t="shared" si="42"/>
        <v>1.8423854562763498</v>
      </c>
      <c r="BW28" s="625">
        <f t="shared" si="43"/>
        <v>6.0752813205533201E-3</v>
      </c>
      <c r="BX28" s="460">
        <f t="shared" si="105"/>
        <v>1848.4607375969031</v>
      </c>
      <c r="BY28" s="173">
        <f t="shared" si="106"/>
        <v>4.4515405489250854</v>
      </c>
      <c r="BZ28" s="5">
        <f t="shared" si="107"/>
        <v>34.960000000000008</v>
      </c>
      <c r="CA28" s="173">
        <f t="shared" si="108"/>
        <v>0.88704982127255372</v>
      </c>
      <c r="CB28" s="5">
        <f t="shared" si="109"/>
        <v>88.704982127255377</v>
      </c>
      <c r="CC28">
        <f t="shared" si="110"/>
        <v>23.000000000000004</v>
      </c>
      <c r="CE28" s="562">
        <f t="shared" si="44"/>
        <v>-50</v>
      </c>
      <c r="CF28">
        <f t="shared" si="45"/>
        <v>-50</v>
      </c>
      <c r="CG28" s="173">
        <f t="shared" si="46"/>
        <v>0.46445890875520734</v>
      </c>
      <c r="CH28" s="173">
        <f t="shared" si="47"/>
        <v>5.3516471659233136E-2</v>
      </c>
      <c r="CI28" s="170">
        <v>23</v>
      </c>
      <c r="CJ28" s="217">
        <f t="shared" si="133"/>
        <v>2.3000000000000003</v>
      </c>
      <c r="CK28" s="217">
        <f t="shared" si="111"/>
        <v>5.7500000000000002E-2</v>
      </c>
      <c r="CL28" s="217">
        <f t="shared" si="48"/>
        <v>34.500000000000007</v>
      </c>
      <c r="CM28" s="217">
        <f t="shared" si="134"/>
        <v>0.46</v>
      </c>
      <c r="CN28" s="541">
        <f t="shared" si="112"/>
        <v>72</v>
      </c>
      <c r="CO28" s="443">
        <f t="shared" si="49"/>
        <v>15.7</v>
      </c>
      <c r="CP28" s="443">
        <f t="shared" si="50"/>
        <v>87.7</v>
      </c>
      <c r="CQ28" s="443"/>
      <c r="CR28" s="217">
        <f t="shared" si="113"/>
        <v>0.17620137299771166</v>
      </c>
      <c r="CS28" s="172">
        <f t="shared" si="114"/>
        <v>312.98928098277725</v>
      </c>
      <c r="CT28" s="172">
        <f t="shared" si="51"/>
        <v>4.2288329519450798</v>
      </c>
      <c r="CU28" s="217">
        <f t="shared" si="52"/>
        <v>20.865952065518481</v>
      </c>
      <c r="CV28" s="217">
        <f t="shared" si="53"/>
        <v>39.123660122847156</v>
      </c>
      <c r="CW28" s="443">
        <f t="shared" si="54"/>
        <v>15</v>
      </c>
      <c r="CX28" s="217">
        <f t="shared" si="55"/>
        <v>5.5113708513708533</v>
      </c>
      <c r="CY28" s="217">
        <f t="shared" si="56"/>
        <v>0.91856180856180891</v>
      </c>
      <c r="CZ28" s="217">
        <f t="shared" si="57"/>
        <v>4.2125127526401434</v>
      </c>
      <c r="DA28" s="197">
        <f t="shared" si="58"/>
        <v>107.41163055872293</v>
      </c>
      <c r="DB28" s="443">
        <f t="shared" si="115"/>
        <v>194.89095082760798</v>
      </c>
      <c r="DD28" s="217">
        <f t="shared" si="59"/>
        <v>10</v>
      </c>
      <c r="DE28" s="173">
        <f t="shared" si="60"/>
        <v>7.6433121019108281</v>
      </c>
      <c r="DF28" s="173">
        <f t="shared" si="61"/>
        <v>4.1049030786773102</v>
      </c>
      <c r="DG28" s="173"/>
      <c r="DH28" s="173">
        <f t="shared" si="62"/>
        <v>7.6433121019108281</v>
      </c>
      <c r="DI28" s="545">
        <f t="shared" si="63"/>
        <v>60.183333333333344</v>
      </c>
      <c r="DJ28" s="528">
        <f t="shared" si="64"/>
        <v>4.1049030786773093</v>
      </c>
      <c r="DL28" s="173">
        <f t="shared" si="65"/>
        <v>4.0801493903555848</v>
      </c>
      <c r="DM28" s="173">
        <f t="shared" si="66"/>
        <v>10</v>
      </c>
      <c r="DN28" s="173">
        <f t="shared" si="67"/>
        <v>1.0343904761904761</v>
      </c>
      <c r="DP28" s="545">
        <f t="shared" si="68"/>
        <v>2300.0000000000005</v>
      </c>
      <c r="DQ28" s="460">
        <f t="shared" si="69"/>
        <v>60.183333333333344</v>
      </c>
      <c r="DS28">
        <f t="shared" si="116"/>
        <v>2300.0000000000005</v>
      </c>
      <c r="DT28" s="460">
        <f t="shared" si="70"/>
        <v>60.183333333333344</v>
      </c>
      <c r="DU28" s="460"/>
      <c r="DV28" s="5">
        <f t="shared" si="117"/>
        <v>16.61589587371919</v>
      </c>
      <c r="DW28" s="5">
        <f t="shared" si="71"/>
        <v>1.6666666666666667</v>
      </c>
      <c r="DX28" s="5">
        <f t="shared" si="118"/>
        <v>14.949229207052523</v>
      </c>
      <c r="DY28" s="173">
        <f t="shared" si="119"/>
        <v>0.10030555555555556</v>
      </c>
      <c r="EA28" s="5">
        <f t="shared" si="72"/>
        <v>25.555555555555561</v>
      </c>
      <c r="EB28" s="5">
        <f t="shared" si="73"/>
        <v>1.1979166666666667</v>
      </c>
      <c r="EC28" s="5">
        <f t="shared" si="74"/>
        <v>1.989770091216482</v>
      </c>
      <c r="ED28" s="5"/>
      <c r="EE28" s="173">
        <f t="shared" si="120"/>
        <v>1.8285290587022451</v>
      </c>
      <c r="EF28" s="173">
        <f t="shared" si="75"/>
        <v>5.4762957201757114</v>
      </c>
      <c r="EG28" s="173">
        <f t="shared" si="76"/>
        <v>0.13486720440275871</v>
      </c>
      <c r="EH28" s="173"/>
      <c r="EI28" s="528">
        <f t="shared" si="77"/>
        <v>6.6870370370370372E-2</v>
      </c>
      <c r="EJ28" s="528">
        <f t="shared" si="78"/>
        <v>1.055615666666667</v>
      </c>
      <c r="EK28" s="528">
        <f t="shared" si="79"/>
        <v>7.5229166666666682E-3</v>
      </c>
      <c r="EL28" s="528">
        <f t="shared" si="80"/>
        <v>4.6288746983333351E-2</v>
      </c>
      <c r="EM28">
        <f t="shared" si="81"/>
        <v>3.2399999999999998E-2</v>
      </c>
      <c r="EN28" s="460">
        <f t="shared" si="121"/>
        <v>39.922916666666666</v>
      </c>
      <c r="EO28">
        <f t="shared" si="82"/>
        <v>1.2465585210935803</v>
      </c>
      <c r="EP28" s="460">
        <f t="shared" si="122"/>
        <v>1246.5585210935803</v>
      </c>
      <c r="EQ28" s="173">
        <f t="shared" si="83"/>
        <v>1.4288750000000001</v>
      </c>
      <c r="ER28" s="173">
        <f t="shared" si="84"/>
        <v>2.5515625E-2</v>
      </c>
      <c r="ES28" s="528"/>
      <c r="EU28" s="460">
        <f t="shared" si="123"/>
        <v>1454.390625</v>
      </c>
      <c r="EV28" s="528">
        <f t="shared" si="85"/>
        <v>0.10030555555555556</v>
      </c>
      <c r="EW28" s="528">
        <f t="shared" si="124"/>
        <v>0.89969444444444435</v>
      </c>
      <c r="EX28" s="528">
        <f t="shared" si="86"/>
        <v>9.0945814117077495E-5</v>
      </c>
      <c r="EY28" s="528">
        <f t="shared" si="87"/>
        <v>0.44428392447072984</v>
      </c>
      <c r="EZ28" s="528">
        <f t="shared" si="88"/>
        <v>1.8308804545144715</v>
      </c>
      <c r="FA28" s="625">
        <f t="shared" si="89"/>
        <v>6.0183333333333347E-3</v>
      </c>
      <c r="FB28" s="460">
        <f t="shared" si="125"/>
        <v>1836.8987878478047</v>
      </c>
      <c r="FC28" s="173">
        <f t="shared" si="126"/>
        <v>4.5378479339413857</v>
      </c>
      <c r="FD28" s="5">
        <f t="shared" si="127"/>
        <v>34.960000000000008</v>
      </c>
      <c r="FE28" s="173">
        <f t="shared" si="128"/>
        <v>0.88511151439109392</v>
      </c>
      <c r="FF28" s="5">
        <f t="shared" si="129"/>
        <v>88.511151439109398</v>
      </c>
      <c r="FG28">
        <f t="shared" si="130"/>
        <v>23.000000000000004</v>
      </c>
      <c r="FI28" s="562">
        <f t="shared" si="90"/>
        <v>-50</v>
      </c>
      <c r="FJ28">
        <f t="shared" si="91"/>
        <v>-50</v>
      </c>
      <c r="FL28">
        <f t="shared" si="92"/>
        <v>0.46445890875520734</v>
      </c>
    </row>
    <row r="29" spans="5:168">
      <c r="E29" s="170">
        <v>24</v>
      </c>
      <c r="F29" s="217">
        <f t="shared" si="131"/>
        <v>2.4</v>
      </c>
      <c r="G29" s="217">
        <f t="shared" si="93"/>
        <v>0.06</v>
      </c>
      <c r="H29" s="217">
        <f t="shared" si="0"/>
        <v>36</v>
      </c>
      <c r="I29" s="217">
        <f t="shared" si="132"/>
        <v>0.48</v>
      </c>
      <c r="J29" s="541">
        <f t="shared" si="1"/>
        <v>71.723315016620049</v>
      </c>
      <c r="K29" s="443">
        <f t="shared" si="2"/>
        <v>15.848559966660831</v>
      </c>
      <c r="L29" s="172">
        <f t="shared" si="3"/>
        <v>87.571874983280878</v>
      </c>
      <c r="M29" s="443"/>
      <c r="N29" s="217">
        <f t="shared" si="4"/>
        <v>0.18097773936765224</v>
      </c>
      <c r="O29" s="172">
        <f t="shared" si="94"/>
        <v>320.23824206402668</v>
      </c>
      <c r="P29" s="172">
        <f t="shared" si="5"/>
        <v>4.3267744705539606</v>
      </c>
      <c r="Q29" s="217">
        <f t="shared" si="6"/>
        <v>21.349216137601779</v>
      </c>
      <c r="R29" s="217">
        <f t="shared" si="7"/>
        <v>40.029780258003335</v>
      </c>
      <c r="S29" s="443">
        <f t="shared" si="8"/>
        <v>15</v>
      </c>
      <c r="T29" s="217">
        <f t="shared" si="9"/>
        <v>5.6208152667791556</v>
      </c>
      <c r="U29" s="217">
        <f t="shared" si="10"/>
        <v>0.9404164208768111</v>
      </c>
      <c r="V29" s="217">
        <f t="shared" si="11"/>
        <v>4.255893490843194</v>
      </c>
      <c r="W29" s="197">
        <f t="shared" si="12"/>
        <v>108.16936176384901</v>
      </c>
      <c r="X29" s="443">
        <f t="shared" si="95"/>
        <v>185.31181795696065</v>
      </c>
      <c r="Z29" s="217">
        <f t="shared" si="13"/>
        <v>10</v>
      </c>
      <c r="AA29" s="173">
        <f t="shared" si="14"/>
        <v>7.5716658328853255</v>
      </c>
      <c r="AB29" s="173">
        <f t="shared" si="15"/>
        <v>4.0951113031617394</v>
      </c>
      <c r="AC29" s="173"/>
      <c r="AD29" s="173">
        <f t="shared" si="16"/>
        <v>7.5716658328853255</v>
      </c>
      <c r="AE29" s="545">
        <f t="shared" si="17"/>
        <v>63.394239866643318</v>
      </c>
      <c r="AF29" s="528">
        <f t="shared" si="18"/>
        <v>4.0951113031617394</v>
      </c>
      <c r="AH29" s="173">
        <f t="shared" si="19"/>
        <v>4.1679045780138217</v>
      </c>
      <c r="AI29" s="173">
        <f t="shared" si="20"/>
        <v>10</v>
      </c>
      <c r="AJ29" s="173">
        <f t="shared" si="21"/>
        <v>1.0362252799237961</v>
      </c>
      <c r="AL29" s="545">
        <f t="shared" si="22"/>
        <v>2400</v>
      </c>
      <c r="AM29" s="460">
        <f t="shared" si="23"/>
        <v>63.394239866643318</v>
      </c>
      <c r="AO29">
        <f t="shared" si="96"/>
        <v>2400</v>
      </c>
      <c r="AP29" s="460">
        <f t="shared" si="24"/>
        <v>63.394239866643318</v>
      </c>
      <c r="AQ29" s="460"/>
      <c r="AR29" s="5">
        <f t="shared" si="97"/>
        <v>15.774303818511095</v>
      </c>
      <c r="AS29" s="5">
        <f t="shared" si="25"/>
        <v>1.673096119054077</v>
      </c>
      <c r="AT29" s="5">
        <f t="shared" si="98"/>
        <v>14.101207699457017</v>
      </c>
      <c r="AU29" s="173">
        <f t="shared" si="99"/>
        <v>0.10606465669126418</v>
      </c>
      <c r="AW29" s="5">
        <f t="shared" si="26"/>
        <v>26.769537904865228</v>
      </c>
      <c r="AX29" s="5">
        <f t="shared" si="27"/>
        <v>1.2548220892905577</v>
      </c>
      <c r="AY29" s="5">
        <f t="shared" si="28"/>
        <v>1.9660563229947501</v>
      </c>
      <c r="AZ29" s="5"/>
      <c r="BA29" s="173">
        <f t="shared" si="100"/>
        <v>1.8802894873863099</v>
      </c>
      <c r="BB29" s="173">
        <f t="shared" si="29"/>
        <v>5.4587402188561658</v>
      </c>
      <c r="BC29" s="173">
        <f t="shared" si="30"/>
        <v>0.13443485715457543</v>
      </c>
      <c r="BD29" s="173"/>
      <c r="BE29" s="528">
        <f t="shared" si="31"/>
        <v>7.0709771127509438E-2</v>
      </c>
      <c r="BF29" s="528">
        <f t="shared" si="32"/>
        <v>1.040916084049089</v>
      </c>
      <c r="BG29" s="528">
        <f t="shared" si="33"/>
        <v>0.11367112590486078</v>
      </c>
      <c r="BH29" s="528">
        <f t="shared" si="34"/>
        <v>4.8615985696231004E-2</v>
      </c>
      <c r="BI29">
        <f t="shared" si="35"/>
        <v>3.227549175747902E-2</v>
      </c>
      <c r="BJ29" s="460">
        <f t="shared" si="101"/>
        <v>145.9466176623398</v>
      </c>
      <c r="BK29">
        <f t="shared" si="36"/>
        <v>1.1994856068867856</v>
      </c>
      <c r="BL29" s="460">
        <f t="shared" si="102"/>
        <v>1199.4856068867857</v>
      </c>
      <c r="BM29" s="173">
        <f t="shared" si="37"/>
        <v>1.4909999999999999</v>
      </c>
      <c r="BN29" s="173">
        <f t="shared" si="38"/>
        <v>2.6624999999999999E-2</v>
      </c>
      <c r="BO29" s="528"/>
      <c r="BQ29" s="460">
        <f t="shared" si="103"/>
        <v>1517.6249999999998</v>
      </c>
      <c r="BR29" s="528">
        <f t="shared" si="39"/>
        <v>0.10606465669126415</v>
      </c>
      <c r="BS29" s="528">
        <f t="shared" si="104"/>
        <v>0.8939353433087357</v>
      </c>
      <c r="BT29" s="528">
        <f t="shared" si="40"/>
        <v>9.0363654090855496E-5</v>
      </c>
      <c r="BU29" s="528">
        <f t="shared" si="41"/>
        <v>0.50593474000222638</v>
      </c>
      <c r="BV29" s="528">
        <f t="shared" si="42"/>
        <v>1.8978918597486742</v>
      </c>
      <c r="BW29" s="625">
        <f t="shared" si="43"/>
        <v>6.3394239866643321E-3</v>
      </c>
      <c r="BX29" s="460">
        <f t="shared" si="105"/>
        <v>1904.2312837353386</v>
      </c>
      <c r="BY29" s="173">
        <f t="shared" si="106"/>
        <v>4.6213418906221237</v>
      </c>
      <c r="BZ29" s="5">
        <f t="shared" si="107"/>
        <v>36.479999999999997</v>
      </c>
      <c r="CA29" s="173">
        <f t="shared" si="108"/>
        <v>0.88756226249448678</v>
      </c>
      <c r="CB29" s="5">
        <f t="shared" si="109"/>
        <v>88.756226249448673</v>
      </c>
      <c r="CC29">
        <f t="shared" si="110"/>
        <v>24</v>
      </c>
      <c r="CE29" s="562">
        <f t="shared" si="44"/>
        <v>-50</v>
      </c>
      <c r="CF29">
        <f t="shared" si="45"/>
        <v>-50</v>
      </c>
      <c r="CG29" s="173">
        <f t="shared" si="46"/>
        <v>0.48465277435325971</v>
      </c>
      <c r="CH29" s="173">
        <f t="shared" si="47"/>
        <v>5.5843274774851966E-2</v>
      </c>
      <c r="CI29" s="170">
        <v>24</v>
      </c>
      <c r="CJ29" s="217">
        <f t="shared" si="133"/>
        <v>2.4</v>
      </c>
      <c r="CK29" s="217">
        <f t="shared" si="111"/>
        <v>0.06</v>
      </c>
      <c r="CL29" s="217">
        <f t="shared" si="48"/>
        <v>36</v>
      </c>
      <c r="CM29" s="217">
        <f t="shared" si="134"/>
        <v>0.48</v>
      </c>
      <c r="CN29" s="541">
        <f t="shared" si="112"/>
        <v>72</v>
      </c>
      <c r="CO29" s="443">
        <f t="shared" si="49"/>
        <v>15.7</v>
      </c>
      <c r="CP29" s="443">
        <f t="shared" si="50"/>
        <v>87.7</v>
      </c>
      <c r="CQ29" s="443"/>
      <c r="CR29" s="217">
        <f t="shared" si="113"/>
        <v>0.17620137299771166</v>
      </c>
      <c r="CS29" s="172">
        <f t="shared" si="114"/>
        <v>312.98928098277725</v>
      </c>
      <c r="CT29" s="172">
        <f t="shared" si="51"/>
        <v>4.2288329519450798</v>
      </c>
      <c r="CU29" s="217">
        <f t="shared" si="52"/>
        <v>20.865952065518481</v>
      </c>
      <c r="CV29" s="217">
        <f t="shared" si="53"/>
        <v>39.123660122847156</v>
      </c>
      <c r="CW29" s="443">
        <f t="shared" si="54"/>
        <v>15</v>
      </c>
      <c r="CX29" s="217">
        <f t="shared" si="55"/>
        <v>5.7509956709956711</v>
      </c>
      <c r="CY29" s="217">
        <f t="shared" si="56"/>
        <v>0.95849927849927863</v>
      </c>
      <c r="CZ29" s="217">
        <f t="shared" si="57"/>
        <v>4.3956654810158007</v>
      </c>
      <c r="DA29" s="197">
        <f t="shared" si="58"/>
        <v>107.41163055872293</v>
      </c>
      <c r="DB29" s="443">
        <f t="shared" si="115"/>
        <v>186.77049454312439</v>
      </c>
      <c r="DD29" s="217">
        <f t="shared" si="59"/>
        <v>10</v>
      </c>
      <c r="DE29" s="173">
        <f t="shared" si="60"/>
        <v>7.6433121019108281</v>
      </c>
      <c r="DF29" s="173">
        <f t="shared" si="61"/>
        <v>4.1049030786773102</v>
      </c>
      <c r="DG29" s="173"/>
      <c r="DH29" s="173">
        <f t="shared" si="62"/>
        <v>7.6433121019108281</v>
      </c>
      <c r="DI29" s="545">
        <f t="shared" si="63"/>
        <v>62.8</v>
      </c>
      <c r="DJ29" s="528">
        <f t="shared" si="64"/>
        <v>4.1049030786773093</v>
      </c>
      <c r="DL29" s="173">
        <f t="shared" si="65"/>
        <v>4.1679045780138217</v>
      </c>
      <c r="DM29" s="173">
        <f t="shared" si="66"/>
        <v>10</v>
      </c>
      <c r="DN29" s="173">
        <f t="shared" si="67"/>
        <v>1.0358857142857143</v>
      </c>
      <c r="DP29" s="545">
        <f t="shared" si="68"/>
        <v>2400</v>
      </c>
      <c r="DQ29" s="460">
        <f t="shared" si="69"/>
        <v>62.8</v>
      </c>
      <c r="DS29">
        <f t="shared" si="116"/>
        <v>2400</v>
      </c>
      <c r="DT29" s="460">
        <f t="shared" si="70"/>
        <v>62.8</v>
      </c>
      <c r="DU29" s="460"/>
      <c r="DV29" s="5">
        <f t="shared" si="117"/>
        <v>15.923566878980891</v>
      </c>
      <c r="DW29" s="5">
        <f t="shared" si="71"/>
        <v>1.6666666666666667</v>
      </c>
      <c r="DX29" s="5">
        <f t="shared" si="118"/>
        <v>14.256900212314225</v>
      </c>
      <c r="DY29" s="173">
        <f t="shared" si="119"/>
        <v>0.10466666666666667</v>
      </c>
      <c r="EA29" s="5">
        <f t="shared" si="72"/>
        <v>26.666666666666668</v>
      </c>
      <c r="EB29" s="5">
        <f t="shared" si="73"/>
        <v>1.25</v>
      </c>
      <c r="EC29" s="5">
        <f t="shared" si="74"/>
        <v>1.9801250294880868</v>
      </c>
      <c r="ED29" s="5"/>
      <c r="EE29" s="173">
        <f t="shared" si="120"/>
        <v>1.8678567634829202</v>
      </c>
      <c r="EF29" s="173">
        <f t="shared" si="75"/>
        <v>5.4630069050335681</v>
      </c>
      <c r="EG29" s="173">
        <f t="shared" si="76"/>
        <v>0.1345399347592581</v>
      </c>
      <c r="EH29" s="173"/>
      <c r="EI29" s="528">
        <f t="shared" si="77"/>
        <v>6.97777777777778E-2</v>
      </c>
      <c r="EJ29" s="528">
        <f t="shared" si="78"/>
        <v>1.101512</v>
      </c>
      <c r="EK29" s="528">
        <f t="shared" si="79"/>
        <v>7.8499999999999993E-3</v>
      </c>
      <c r="EL29" s="528">
        <f t="shared" si="80"/>
        <v>4.8301301200000001E-2</v>
      </c>
      <c r="EM29">
        <f t="shared" si="81"/>
        <v>3.2399999999999998E-2</v>
      </c>
      <c r="EN29" s="460">
        <f t="shared" si="121"/>
        <v>40.249999999999993</v>
      </c>
      <c r="EO29">
        <f t="shared" si="82"/>
        <v>1.300237984571587</v>
      </c>
      <c r="EP29" s="460">
        <f t="shared" si="122"/>
        <v>1300.237984571587</v>
      </c>
      <c r="EQ29" s="173">
        <f t="shared" si="83"/>
        <v>1.4909999999999999</v>
      </c>
      <c r="ER29" s="173">
        <f t="shared" si="84"/>
        <v>2.6624999999999999E-2</v>
      </c>
      <c r="ES29" s="528"/>
      <c r="EU29" s="460">
        <f t="shared" si="123"/>
        <v>1517.6249999999998</v>
      </c>
      <c r="EV29" s="528">
        <f t="shared" si="85"/>
        <v>0.10466666666666669</v>
      </c>
      <c r="EW29" s="528">
        <f t="shared" si="124"/>
        <v>0.89533333333333331</v>
      </c>
      <c r="EX29" s="528">
        <f t="shared" si="86"/>
        <v>9.050497022512714E-5</v>
      </c>
      <c r="EY29" s="528">
        <f t="shared" si="87"/>
        <v>0.4941617356148893</v>
      </c>
      <c r="EZ29" s="528">
        <f t="shared" si="88"/>
        <v>1.8850952289314931</v>
      </c>
      <c r="FA29" s="625">
        <f t="shared" si="89"/>
        <v>6.28E-3</v>
      </c>
      <c r="FB29" s="460">
        <f t="shared" si="125"/>
        <v>1891.3752289314932</v>
      </c>
      <c r="FC29" s="173">
        <f t="shared" si="126"/>
        <v>4.7092382135030801</v>
      </c>
      <c r="FD29" s="5">
        <f t="shared" si="127"/>
        <v>36.479999999999997</v>
      </c>
      <c r="FE29" s="173">
        <f t="shared" si="128"/>
        <v>0.88566823719601473</v>
      </c>
      <c r="FF29" s="5">
        <f t="shared" si="129"/>
        <v>88.566823719601473</v>
      </c>
      <c r="FG29">
        <f t="shared" si="130"/>
        <v>24</v>
      </c>
      <c r="FI29" s="562">
        <f t="shared" si="90"/>
        <v>-50</v>
      </c>
      <c r="FJ29">
        <f t="shared" si="91"/>
        <v>-50</v>
      </c>
      <c r="FL29">
        <f t="shared" si="92"/>
        <v>0.48465277435325971</v>
      </c>
    </row>
    <row r="30" spans="5:168">
      <c r="E30" s="170">
        <v>25</v>
      </c>
      <c r="F30" s="217">
        <f t="shared" si="131"/>
        <v>2.5</v>
      </c>
      <c r="G30" s="217">
        <f t="shared" si="93"/>
        <v>6.25E-2</v>
      </c>
      <c r="H30" s="217">
        <f t="shared" si="0"/>
        <v>37.5</v>
      </c>
      <c r="I30" s="217">
        <f t="shared" si="132"/>
        <v>0.5</v>
      </c>
      <c r="J30" s="541">
        <f t="shared" si="1"/>
        <v>71.723315016620049</v>
      </c>
      <c r="K30" s="443">
        <f t="shared" si="2"/>
        <v>15.848559966660831</v>
      </c>
      <c r="L30" s="172">
        <f t="shared" si="3"/>
        <v>87.571874983280878</v>
      </c>
      <c r="M30" s="443"/>
      <c r="N30" s="217">
        <f t="shared" si="4"/>
        <v>0.18097773936765224</v>
      </c>
      <c r="O30" s="172">
        <f t="shared" si="94"/>
        <v>320.23824206402668</v>
      </c>
      <c r="P30" s="172">
        <f t="shared" si="5"/>
        <v>4.3267744705539606</v>
      </c>
      <c r="Q30" s="217">
        <f t="shared" si="6"/>
        <v>21.349216137601779</v>
      </c>
      <c r="R30" s="217">
        <f t="shared" si="7"/>
        <v>40.029780258003335</v>
      </c>
      <c r="S30" s="443">
        <f t="shared" si="8"/>
        <v>15</v>
      </c>
      <c r="T30" s="217">
        <f t="shared" si="9"/>
        <v>5.8550159028949542</v>
      </c>
      <c r="U30" s="217">
        <f t="shared" si="10"/>
        <v>0.9796004384133451</v>
      </c>
      <c r="V30" s="217">
        <f t="shared" si="11"/>
        <v>4.4332223862949949</v>
      </c>
      <c r="W30" s="197">
        <f t="shared" si="12"/>
        <v>108.16936176384901</v>
      </c>
      <c r="X30" s="443">
        <f t="shared" si="95"/>
        <v>178.16347161322753</v>
      </c>
      <c r="Z30" s="217">
        <f t="shared" si="13"/>
        <v>10</v>
      </c>
      <c r="AA30" s="173">
        <f t="shared" si="14"/>
        <v>7.5716658328853255</v>
      </c>
      <c r="AB30" s="173">
        <f t="shared" si="15"/>
        <v>4.0951113031617394</v>
      </c>
      <c r="AC30" s="173"/>
      <c r="AD30" s="173">
        <f t="shared" si="16"/>
        <v>7.5716658328853255</v>
      </c>
      <c r="AE30" s="545">
        <f t="shared" si="17"/>
        <v>66.035666527753463</v>
      </c>
      <c r="AF30" s="528">
        <f t="shared" si="18"/>
        <v>4.0951113031617394</v>
      </c>
      <c r="AH30" s="173">
        <f t="shared" si="19"/>
        <v>4.2538497969766276</v>
      </c>
      <c r="AI30" s="173">
        <f t="shared" si="20"/>
        <v>10</v>
      </c>
      <c r="AJ30" s="173">
        <f t="shared" si="21"/>
        <v>1.0377346665872877</v>
      </c>
      <c r="AL30" s="545">
        <f t="shared" si="22"/>
        <v>2500</v>
      </c>
      <c r="AM30" s="460">
        <f t="shared" si="23"/>
        <v>66.035666527753463</v>
      </c>
      <c r="AO30">
        <f t="shared" si="96"/>
        <v>2500</v>
      </c>
      <c r="AP30" s="460">
        <f t="shared" si="24"/>
        <v>66.035666527753463</v>
      </c>
      <c r="AQ30" s="460"/>
      <c r="AR30" s="5">
        <f t="shared" si="97"/>
        <v>15.143331665770649</v>
      </c>
      <c r="AS30" s="5">
        <f t="shared" si="25"/>
        <v>1.673096119054077</v>
      </c>
      <c r="AT30" s="5">
        <f t="shared" si="98"/>
        <v>13.470235546716573</v>
      </c>
      <c r="AU30" s="173">
        <f t="shared" si="99"/>
        <v>0.11048401738673354</v>
      </c>
      <c r="AW30" s="5">
        <f t="shared" si="26"/>
        <v>27.884935317567948</v>
      </c>
      <c r="AX30" s="5">
        <f t="shared" si="27"/>
        <v>1.3071063430109975</v>
      </c>
      <c r="AY30" s="5">
        <f t="shared" si="28"/>
        <v>1.9563367027739382</v>
      </c>
      <c r="AZ30" s="5"/>
      <c r="BA30" s="173">
        <f t="shared" si="100"/>
        <v>1.9190624220065859</v>
      </c>
      <c r="BB30" s="173">
        <f t="shared" si="29"/>
        <v>5.4452302755508466</v>
      </c>
      <c r="BC30" s="173">
        <f t="shared" si="30"/>
        <v>0.13410214168807577</v>
      </c>
      <c r="BD30" s="173"/>
      <c r="BE30" s="528">
        <f t="shared" si="31"/>
        <v>7.3656011591155673E-2</v>
      </c>
      <c r="BF30" s="528">
        <f t="shared" si="32"/>
        <v>1.0842875875511346</v>
      </c>
      <c r="BG30" s="528">
        <f t="shared" si="33"/>
        <v>0.11840742281756333</v>
      </c>
      <c r="BH30" s="528">
        <f t="shared" si="34"/>
        <v>5.0641651766907304E-2</v>
      </c>
      <c r="BI30">
        <f t="shared" si="35"/>
        <v>3.227549175747902E-2</v>
      </c>
      <c r="BJ30" s="460">
        <f t="shared" si="101"/>
        <v>150.68291457504236</v>
      </c>
      <c r="BK30">
        <f t="shared" si="36"/>
        <v>1.2503544119269778</v>
      </c>
      <c r="BL30" s="460">
        <f t="shared" si="102"/>
        <v>1250.3544119269777</v>
      </c>
      <c r="BM30" s="173">
        <f t="shared" si="37"/>
        <v>1.5531249999999999</v>
      </c>
      <c r="BN30" s="173">
        <f t="shared" si="38"/>
        <v>2.7734374999999999E-2</v>
      </c>
      <c r="BO30" s="528"/>
      <c r="BQ30" s="460">
        <f t="shared" si="103"/>
        <v>1580.859375</v>
      </c>
      <c r="BR30" s="528">
        <f t="shared" si="39"/>
        <v>0.11048401738673351</v>
      </c>
      <c r="BS30" s="528">
        <f t="shared" si="104"/>
        <v>0.88951598261326648</v>
      </c>
      <c r="BT30" s="528">
        <f t="shared" si="40"/>
        <v>8.9916922026643753E-5</v>
      </c>
      <c r="BU30" s="528">
        <f t="shared" si="41"/>
        <v>0.56029457653045889</v>
      </c>
      <c r="BV30" s="528">
        <f t="shared" si="42"/>
        <v>1.9569784247303106</v>
      </c>
      <c r="BW30" s="625">
        <f t="shared" si="43"/>
        <v>6.6035666527753476E-3</v>
      </c>
      <c r="BX30" s="460">
        <f t="shared" si="105"/>
        <v>1963.5819913830858</v>
      </c>
      <c r="BY30" s="173">
        <f t="shared" si="106"/>
        <v>4.7947957783100641</v>
      </c>
      <c r="BZ30" s="5">
        <f t="shared" si="107"/>
        <v>38</v>
      </c>
      <c r="CA30" s="173">
        <f t="shared" si="108"/>
        <v>0.88795843767666172</v>
      </c>
      <c r="CB30" s="5">
        <f t="shared" si="109"/>
        <v>88.79584376766617</v>
      </c>
      <c r="CC30">
        <f t="shared" si="110"/>
        <v>25</v>
      </c>
      <c r="CE30" s="562">
        <f t="shared" si="44"/>
        <v>-50</v>
      </c>
      <c r="CF30">
        <f t="shared" si="45"/>
        <v>-50</v>
      </c>
      <c r="CG30" s="173">
        <f t="shared" si="46"/>
        <v>0.50484663995131218</v>
      </c>
      <c r="CH30" s="173">
        <f t="shared" si="47"/>
        <v>5.8170077890470802E-2</v>
      </c>
      <c r="CI30" s="170">
        <v>25</v>
      </c>
      <c r="CJ30" s="217">
        <f t="shared" si="133"/>
        <v>2.5</v>
      </c>
      <c r="CK30" s="217">
        <f t="shared" si="111"/>
        <v>6.25E-2</v>
      </c>
      <c r="CL30" s="217">
        <f t="shared" si="48"/>
        <v>37.5</v>
      </c>
      <c r="CM30" s="217">
        <f t="shared" si="134"/>
        <v>0.5</v>
      </c>
      <c r="CN30" s="541">
        <f t="shared" si="112"/>
        <v>72</v>
      </c>
      <c r="CO30" s="443">
        <f t="shared" si="49"/>
        <v>15.7</v>
      </c>
      <c r="CP30" s="443">
        <f t="shared" si="50"/>
        <v>87.7</v>
      </c>
      <c r="CQ30" s="443"/>
      <c r="CR30" s="217">
        <f t="shared" si="113"/>
        <v>0.17620137299771166</v>
      </c>
      <c r="CS30" s="172">
        <f t="shared" si="114"/>
        <v>312.98928098277725</v>
      </c>
      <c r="CT30" s="172">
        <f t="shared" si="51"/>
        <v>4.2288329519450798</v>
      </c>
      <c r="CU30" s="217">
        <f t="shared" si="52"/>
        <v>20.865952065518481</v>
      </c>
      <c r="CV30" s="217">
        <f t="shared" si="53"/>
        <v>39.123660122847156</v>
      </c>
      <c r="CW30" s="443">
        <f t="shared" si="54"/>
        <v>15</v>
      </c>
      <c r="CX30" s="217">
        <f t="shared" si="55"/>
        <v>5.9906204906204907</v>
      </c>
      <c r="CY30" s="217">
        <f t="shared" si="56"/>
        <v>0.99843674843674834</v>
      </c>
      <c r="CZ30" s="217">
        <f t="shared" si="57"/>
        <v>4.578818209391458</v>
      </c>
      <c r="DA30" s="197">
        <f t="shared" si="58"/>
        <v>107.41163055872293</v>
      </c>
      <c r="DB30" s="443">
        <f t="shared" si="115"/>
        <v>179.29967476139947</v>
      </c>
      <c r="DD30" s="217">
        <f t="shared" si="59"/>
        <v>10</v>
      </c>
      <c r="DE30" s="173">
        <f t="shared" si="60"/>
        <v>7.6433121019108281</v>
      </c>
      <c r="DF30" s="173">
        <f t="shared" si="61"/>
        <v>4.1049030786773102</v>
      </c>
      <c r="DG30" s="173"/>
      <c r="DH30" s="173">
        <f t="shared" si="62"/>
        <v>7.6433121019108281</v>
      </c>
      <c r="DI30" s="545">
        <f t="shared" si="63"/>
        <v>65.416666666666671</v>
      </c>
      <c r="DJ30" s="528">
        <f t="shared" si="64"/>
        <v>4.1049030786773093</v>
      </c>
      <c r="DL30" s="173">
        <f t="shared" si="65"/>
        <v>4.2538497969766276</v>
      </c>
      <c r="DM30" s="173">
        <f t="shared" si="66"/>
        <v>10</v>
      </c>
      <c r="DN30" s="173">
        <f t="shared" si="67"/>
        <v>1.0373809523809523</v>
      </c>
      <c r="DP30" s="545">
        <f t="shared" si="68"/>
        <v>2500</v>
      </c>
      <c r="DQ30" s="460">
        <f t="shared" si="69"/>
        <v>65.416666666666671</v>
      </c>
      <c r="DS30">
        <f t="shared" si="116"/>
        <v>2500</v>
      </c>
      <c r="DT30" s="460">
        <f t="shared" si="70"/>
        <v>65.416666666666671</v>
      </c>
      <c r="DU30" s="460"/>
      <c r="DV30" s="5">
        <f t="shared" si="117"/>
        <v>15.286624203821654</v>
      </c>
      <c r="DW30" s="5">
        <f t="shared" si="71"/>
        <v>1.6666666666666667</v>
      </c>
      <c r="DX30" s="5">
        <f t="shared" si="118"/>
        <v>13.619957537154988</v>
      </c>
      <c r="DY30" s="173">
        <f t="shared" si="119"/>
        <v>0.10902777777777779</v>
      </c>
      <c r="EA30" s="5">
        <f t="shared" si="72"/>
        <v>27.777777777777779</v>
      </c>
      <c r="EB30" s="5">
        <f t="shared" si="73"/>
        <v>1.3020833333333335</v>
      </c>
      <c r="EC30" s="5">
        <f t="shared" si="74"/>
        <v>1.9704799677596916</v>
      </c>
      <c r="ED30" s="5"/>
      <c r="EE30" s="173">
        <f t="shared" si="120"/>
        <v>1.9063733263081657</v>
      </c>
      <c r="EF30" s="173">
        <f t="shared" si="75"/>
        <v>5.4496856858055658</v>
      </c>
      <c r="EG30" s="173">
        <f t="shared" si="76"/>
        <v>0.13421186708572139</v>
      </c>
      <c r="EH30" s="173"/>
      <c r="EI30" s="528">
        <f t="shared" si="77"/>
        <v>7.26851851851852E-2</v>
      </c>
      <c r="EJ30" s="528">
        <f t="shared" si="78"/>
        <v>1.1474083333333334</v>
      </c>
      <c r="EK30" s="528">
        <f t="shared" si="79"/>
        <v>8.1770833333333331E-3</v>
      </c>
      <c r="EL30" s="528">
        <f t="shared" si="80"/>
        <v>5.0313855416666678E-2</v>
      </c>
      <c r="EM30">
        <f t="shared" si="81"/>
        <v>3.2399999999999998E-2</v>
      </c>
      <c r="EN30" s="460">
        <f t="shared" si="121"/>
        <v>40.577083333333334</v>
      </c>
      <c r="EO30">
        <f t="shared" si="82"/>
        <v>1.3539929149089969</v>
      </c>
      <c r="EP30" s="460">
        <f t="shared" si="122"/>
        <v>1353.9929149089969</v>
      </c>
      <c r="EQ30" s="173">
        <f t="shared" si="83"/>
        <v>1.5531249999999999</v>
      </c>
      <c r="ER30" s="173">
        <f t="shared" si="84"/>
        <v>2.7734374999999999E-2</v>
      </c>
      <c r="ES30" s="528"/>
      <c r="EU30" s="460">
        <f t="shared" si="123"/>
        <v>1580.859375</v>
      </c>
      <c r="EV30" s="528">
        <f t="shared" si="85"/>
        <v>0.10902777777777779</v>
      </c>
      <c r="EW30" s="528">
        <f t="shared" si="124"/>
        <v>0.89097222222222239</v>
      </c>
      <c r="EX30" s="528">
        <f t="shared" si="86"/>
        <v>9.0064126333176732E-5</v>
      </c>
      <c r="EY30" s="528">
        <f t="shared" si="87"/>
        <v>0.54725662917055806</v>
      </c>
      <c r="EZ30" s="528">
        <f t="shared" si="88"/>
        <v>1.9428068552862783</v>
      </c>
      <c r="FA30" s="625">
        <f t="shared" si="89"/>
        <v>6.5416666666666679E-3</v>
      </c>
      <c r="FB30" s="460">
        <f t="shared" si="125"/>
        <v>1949.348521952945</v>
      </c>
      <c r="FC30" s="173">
        <f t="shared" si="126"/>
        <v>4.8842008118619429</v>
      </c>
      <c r="FD30" s="5">
        <f t="shared" si="127"/>
        <v>38</v>
      </c>
      <c r="FE30" s="173">
        <f t="shared" si="128"/>
        <v>0.88610722085530957</v>
      </c>
      <c r="FF30" s="5">
        <f t="shared" si="129"/>
        <v>88.610722085530952</v>
      </c>
      <c r="FG30">
        <f t="shared" si="130"/>
        <v>25</v>
      </c>
      <c r="FI30" s="562">
        <f t="shared" si="90"/>
        <v>-50</v>
      </c>
      <c r="FJ30">
        <f t="shared" si="91"/>
        <v>-50</v>
      </c>
      <c r="FL30">
        <f t="shared" si="92"/>
        <v>0.50484663995131229</v>
      </c>
    </row>
    <row r="31" spans="5:168">
      <c r="E31" s="170">
        <v>26</v>
      </c>
      <c r="F31" s="217">
        <f t="shared" si="131"/>
        <v>2.6</v>
      </c>
      <c r="G31" s="217">
        <f t="shared" si="93"/>
        <v>6.5000000000000002E-2</v>
      </c>
      <c r="H31" s="217">
        <f t="shared" si="0"/>
        <v>39</v>
      </c>
      <c r="I31" s="217">
        <f t="shared" si="132"/>
        <v>0.52</v>
      </c>
      <c r="J31" s="541">
        <f t="shared" si="1"/>
        <v>71.723315016620049</v>
      </c>
      <c r="K31" s="443">
        <f t="shared" si="2"/>
        <v>15.848559966660831</v>
      </c>
      <c r="L31" s="172">
        <f t="shared" si="3"/>
        <v>87.571874983280878</v>
      </c>
      <c r="M31" s="443"/>
      <c r="N31" s="217">
        <f t="shared" si="4"/>
        <v>0.18097773936765224</v>
      </c>
      <c r="O31" s="172">
        <f t="shared" si="94"/>
        <v>320.23824206402668</v>
      </c>
      <c r="P31" s="172">
        <f t="shared" si="5"/>
        <v>4.3267744705539606</v>
      </c>
      <c r="Q31" s="217">
        <f t="shared" si="6"/>
        <v>21.349216137601779</v>
      </c>
      <c r="R31" s="217">
        <f t="shared" si="7"/>
        <v>40.029780258003335</v>
      </c>
      <c r="S31" s="443">
        <f t="shared" si="8"/>
        <v>15</v>
      </c>
      <c r="T31" s="217">
        <f t="shared" si="9"/>
        <v>6.0892165390107529</v>
      </c>
      <c r="U31" s="217">
        <f t="shared" si="10"/>
        <v>1.0187844559498789</v>
      </c>
      <c r="V31" s="217">
        <f t="shared" si="11"/>
        <v>4.610551281746794</v>
      </c>
      <c r="W31" s="197">
        <f t="shared" si="12"/>
        <v>108.16936176384901</v>
      </c>
      <c r="X31" s="443">
        <f t="shared" si="95"/>
        <v>171.54613235488935</v>
      </c>
      <c r="Z31" s="217">
        <f t="shared" si="13"/>
        <v>10</v>
      </c>
      <c r="AA31" s="173">
        <f t="shared" si="14"/>
        <v>7.5716658328853255</v>
      </c>
      <c r="AB31" s="173">
        <f t="shared" si="15"/>
        <v>4.0951113031617394</v>
      </c>
      <c r="AC31" s="173"/>
      <c r="AD31" s="173">
        <f t="shared" si="16"/>
        <v>7.5716658328853255</v>
      </c>
      <c r="AE31" s="545">
        <f t="shared" si="17"/>
        <v>68.677093188863594</v>
      </c>
      <c r="AF31" s="528">
        <f t="shared" si="18"/>
        <v>4.0951113031617394</v>
      </c>
      <c r="AH31" s="173">
        <f t="shared" si="19"/>
        <v>4.3380926245353058</v>
      </c>
      <c r="AI31" s="173">
        <f t="shared" si="20"/>
        <v>10</v>
      </c>
      <c r="AJ31" s="173">
        <f t="shared" si="21"/>
        <v>1.0392440532507792</v>
      </c>
      <c r="AL31" s="545">
        <f t="shared" si="22"/>
        <v>2600</v>
      </c>
      <c r="AM31" s="460">
        <f t="shared" si="23"/>
        <v>68.677093188863594</v>
      </c>
      <c r="AO31">
        <f t="shared" si="96"/>
        <v>2600</v>
      </c>
      <c r="AP31" s="460">
        <f t="shared" si="24"/>
        <v>68.677093188863594</v>
      </c>
      <c r="AQ31" s="460"/>
      <c r="AR31" s="5">
        <f t="shared" si="97"/>
        <v>14.560895832471779</v>
      </c>
      <c r="AS31" s="5">
        <f t="shared" si="25"/>
        <v>1.673096119054077</v>
      </c>
      <c r="AT31" s="5">
        <f t="shared" si="98"/>
        <v>12.887799713417703</v>
      </c>
      <c r="AU31" s="173">
        <f t="shared" si="99"/>
        <v>0.11490337808220287</v>
      </c>
      <c r="AW31" s="5">
        <f t="shared" si="26"/>
        <v>29.000332730270671</v>
      </c>
      <c r="AX31" s="5">
        <f t="shared" si="27"/>
        <v>1.3593905967314375</v>
      </c>
      <c r="AY31" s="5">
        <f t="shared" si="28"/>
        <v>1.9466170825531264</v>
      </c>
      <c r="AZ31" s="5"/>
      <c r="BA31" s="173">
        <f t="shared" si="100"/>
        <v>1.9570673475228428</v>
      </c>
      <c r="BB31" s="173">
        <f t="shared" si="29"/>
        <v>5.4316867297915152</v>
      </c>
      <c r="BC31" s="173">
        <f t="shared" si="30"/>
        <v>0.13376859867878713</v>
      </c>
      <c r="BD31" s="173"/>
      <c r="BE31" s="528">
        <f t="shared" si="31"/>
        <v>7.6602252054801923E-2</v>
      </c>
      <c r="BF31" s="528">
        <f t="shared" si="32"/>
        <v>1.1276590910531799</v>
      </c>
      <c r="BG31" s="528">
        <f t="shared" si="33"/>
        <v>0.12314371973026585</v>
      </c>
      <c r="BH31" s="528">
        <f t="shared" si="34"/>
        <v>5.2667317837583584E-2</v>
      </c>
      <c r="BI31">
        <f t="shared" si="35"/>
        <v>3.227549175747902E-2</v>
      </c>
      <c r="BJ31" s="460">
        <f t="shared" si="101"/>
        <v>155.41921148774486</v>
      </c>
      <c r="BK31">
        <f t="shared" si="36"/>
        <v>1.3012957562800103</v>
      </c>
      <c r="BL31" s="460">
        <f t="shared" si="102"/>
        <v>1301.2957562800102</v>
      </c>
      <c r="BM31" s="173">
        <f t="shared" si="37"/>
        <v>1.6152499999999999</v>
      </c>
      <c r="BN31" s="173">
        <f t="shared" si="38"/>
        <v>2.8843749999999998E-2</v>
      </c>
      <c r="BO31" s="528"/>
      <c r="BQ31" s="460">
        <f t="shared" si="103"/>
        <v>1644.09375</v>
      </c>
      <c r="BR31" s="528">
        <f t="shared" si="39"/>
        <v>0.11490337808220287</v>
      </c>
      <c r="BS31" s="528">
        <f t="shared" si="104"/>
        <v>0.88509662191779737</v>
      </c>
      <c r="BT31" s="528">
        <f t="shared" si="40"/>
        <v>8.9470189962432051E-5</v>
      </c>
      <c r="BU31" s="528">
        <f t="shared" si="41"/>
        <v>0.61801606843653378</v>
      </c>
      <c r="BV31" s="528">
        <f t="shared" si="42"/>
        <v>2.0197189867863052</v>
      </c>
      <c r="BW31" s="625">
        <f t="shared" si="43"/>
        <v>6.8677093188863605E-3</v>
      </c>
      <c r="BX31" s="460">
        <f t="shared" si="105"/>
        <v>2026.5866961051918</v>
      </c>
      <c r="BY31" s="173">
        <f t="shared" si="106"/>
        <v>4.9719762023852017</v>
      </c>
      <c r="BZ31" s="5">
        <f t="shared" si="107"/>
        <v>39.520000000000003</v>
      </c>
      <c r="CA31" s="173">
        <f t="shared" si="108"/>
        <v>0.88825004805880814</v>
      </c>
      <c r="CB31" s="5">
        <f t="shared" si="109"/>
        <v>88.825004805880809</v>
      </c>
      <c r="CC31">
        <f t="shared" si="110"/>
        <v>26</v>
      </c>
      <c r="CE31" s="562">
        <f t="shared" si="44"/>
        <v>-50</v>
      </c>
      <c r="CF31">
        <f t="shared" si="45"/>
        <v>-50</v>
      </c>
      <c r="CG31" s="173">
        <f t="shared" si="46"/>
        <v>0.52504050554936466</v>
      </c>
      <c r="CH31" s="173">
        <f t="shared" si="47"/>
        <v>6.0496881006089638E-2</v>
      </c>
      <c r="CI31" s="170">
        <v>26</v>
      </c>
      <c r="CJ31" s="217">
        <f t="shared" si="133"/>
        <v>2.6</v>
      </c>
      <c r="CK31" s="217">
        <f t="shared" si="111"/>
        <v>6.5000000000000002E-2</v>
      </c>
      <c r="CL31" s="217">
        <f t="shared" si="48"/>
        <v>39</v>
      </c>
      <c r="CM31" s="217">
        <f t="shared" si="134"/>
        <v>0.52</v>
      </c>
      <c r="CN31" s="541">
        <f t="shared" si="112"/>
        <v>72</v>
      </c>
      <c r="CO31" s="443">
        <f t="shared" si="49"/>
        <v>15.7</v>
      </c>
      <c r="CP31" s="443">
        <f t="shared" si="50"/>
        <v>87.7</v>
      </c>
      <c r="CQ31" s="443"/>
      <c r="CR31" s="217">
        <f t="shared" si="113"/>
        <v>0.17620137299771166</v>
      </c>
      <c r="CS31" s="172">
        <f t="shared" si="114"/>
        <v>312.98928098277725</v>
      </c>
      <c r="CT31" s="172">
        <f t="shared" si="51"/>
        <v>4.2288329519450798</v>
      </c>
      <c r="CU31" s="217">
        <f t="shared" si="52"/>
        <v>20.865952065518481</v>
      </c>
      <c r="CV31" s="217">
        <f t="shared" si="53"/>
        <v>39.123660122847156</v>
      </c>
      <c r="CW31" s="443">
        <f t="shared" si="54"/>
        <v>15</v>
      </c>
      <c r="CX31" s="217">
        <f t="shared" si="55"/>
        <v>6.2302453102453113</v>
      </c>
      <c r="CY31" s="217">
        <f t="shared" si="56"/>
        <v>1.0383742183742184</v>
      </c>
      <c r="CZ31" s="217">
        <f t="shared" si="57"/>
        <v>4.7619709377671162</v>
      </c>
      <c r="DA31" s="197">
        <f t="shared" si="58"/>
        <v>107.41163055872293</v>
      </c>
      <c r="DB31" s="443">
        <f t="shared" si="115"/>
        <v>172.40353342442256</v>
      </c>
      <c r="DD31" s="217">
        <f t="shared" si="59"/>
        <v>10</v>
      </c>
      <c r="DE31" s="173">
        <f t="shared" si="60"/>
        <v>7.6433121019108281</v>
      </c>
      <c r="DF31" s="173">
        <f t="shared" si="61"/>
        <v>4.1049030786773102</v>
      </c>
      <c r="DG31" s="173"/>
      <c r="DH31" s="173">
        <f t="shared" si="62"/>
        <v>7.6433121019108281</v>
      </c>
      <c r="DI31" s="545">
        <f t="shared" si="63"/>
        <v>68.033333333333346</v>
      </c>
      <c r="DJ31" s="528">
        <f t="shared" si="64"/>
        <v>4.1049030786773093</v>
      </c>
      <c r="DL31" s="173">
        <f t="shared" si="65"/>
        <v>4.3380926245353058</v>
      </c>
      <c r="DM31" s="173">
        <f t="shared" si="66"/>
        <v>10</v>
      </c>
      <c r="DN31" s="173">
        <f t="shared" si="67"/>
        <v>1.0388761904761905</v>
      </c>
      <c r="DP31" s="545">
        <f t="shared" si="68"/>
        <v>2600</v>
      </c>
      <c r="DQ31" s="460">
        <f t="shared" si="69"/>
        <v>68.033333333333346</v>
      </c>
      <c r="DS31">
        <f t="shared" si="116"/>
        <v>2600</v>
      </c>
      <c r="DT31" s="460">
        <f t="shared" si="70"/>
        <v>68.033333333333346</v>
      </c>
      <c r="DU31" s="460"/>
      <c r="DV31" s="5">
        <f t="shared" si="117"/>
        <v>14.698677119059282</v>
      </c>
      <c r="DW31" s="5">
        <f t="shared" si="71"/>
        <v>1.6666666666666667</v>
      </c>
      <c r="DX31" s="5">
        <f t="shared" si="118"/>
        <v>13.032010452392615</v>
      </c>
      <c r="DY31" s="173">
        <f t="shared" si="119"/>
        <v>0.11338888888888891</v>
      </c>
      <c r="EA31" s="5">
        <f t="shared" si="72"/>
        <v>28.888888888888893</v>
      </c>
      <c r="EB31" s="5">
        <f t="shared" si="73"/>
        <v>1.3541666666666667</v>
      </c>
      <c r="EC31" s="5">
        <f t="shared" si="74"/>
        <v>1.960834906031296</v>
      </c>
      <c r="ED31" s="5"/>
      <c r="EE31" s="173">
        <f t="shared" si="120"/>
        <v>1.9441269582076246</v>
      </c>
      <c r="EF31" s="173">
        <f t="shared" si="75"/>
        <v>5.4363318242822247</v>
      </c>
      <c r="EG31" s="173">
        <f t="shared" si="76"/>
        <v>0.13388299551565638</v>
      </c>
      <c r="EH31" s="173"/>
      <c r="EI31" s="528">
        <f t="shared" si="77"/>
        <v>7.5592592592592628E-2</v>
      </c>
      <c r="EJ31" s="528">
        <f t="shared" si="78"/>
        <v>1.1933046666666669</v>
      </c>
      <c r="EK31" s="528">
        <f t="shared" si="79"/>
        <v>8.5041666666666668E-3</v>
      </c>
      <c r="EL31" s="528">
        <f t="shared" si="80"/>
        <v>5.2326409633333348E-2</v>
      </c>
      <c r="EM31">
        <f t="shared" si="81"/>
        <v>3.2399999999999998E-2</v>
      </c>
      <c r="EN31" s="460">
        <f t="shared" si="121"/>
        <v>40.904166666666669</v>
      </c>
      <c r="EO31">
        <f t="shared" si="82"/>
        <v>1.4078234713637294</v>
      </c>
      <c r="EP31" s="460">
        <f t="shared" si="122"/>
        <v>1407.8234713637294</v>
      </c>
      <c r="EQ31" s="173">
        <f t="shared" si="83"/>
        <v>1.6152499999999999</v>
      </c>
      <c r="ER31" s="173">
        <f t="shared" si="84"/>
        <v>2.8843749999999998E-2</v>
      </c>
      <c r="ES31" s="528"/>
      <c r="EU31" s="460">
        <f t="shared" si="123"/>
        <v>1644.09375</v>
      </c>
      <c r="EV31" s="528">
        <f t="shared" si="85"/>
        <v>0.11338888888888893</v>
      </c>
      <c r="EW31" s="528">
        <f t="shared" si="124"/>
        <v>0.88661111111111102</v>
      </c>
      <c r="EX31" s="528">
        <f t="shared" si="86"/>
        <v>8.9623282441226337E-5</v>
      </c>
      <c r="EY31" s="528">
        <f t="shared" si="87"/>
        <v>0.60363495302802295</v>
      </c>
      <c r="EZ31" s="528">
        <f t="shared" si="88"/>
        <v>2.0040874510107636</v>
      </c>
      <c r="FA31" s="625">
        <f t="shared" si="89"/>
        <v>6.8033333333333348E-3</v>
      </c>
      <c r="FB31" s="460">
        <f t="shared" si="125"/>
        <v>2010.890784344097</v>
      </c>
      <c r="FC31" s="173">
        <f t="shared" si="126"/>
        <v>5.0628080057078266</v>
      </c>
      <c r="FD31" s="5">
        <f t="shared" si="127"/>
        <v>39.520000000000003</v>
      </c>
      <c r="FE31" s="173">
        <f t="shared" si="128"/>
        <v>0.88644035151263578</v>
      </c>
      <c r="FF31" s="5">
        <f t="shared" si="129"/>
        <v>88.64403515126358</v>
      </c>
      <c r="FG31">
        <f t="shared" si="130"/>
        <v>26</v>
      </c>
      <c r="FI31" s="562">
        <f t="shared" si="90"/>
        <v>-50</v>
      </c>
      <c r="FJ31">
        <f t="shared" si="91"/>
        <v>-50</v>
      </c>
      <c r="FL31">
        <f t="shared" si="92"/>
        <v>0.52504050554936477</v>
      </c>
    </row>
    <row r="32" spans="5:168">
      <c r="E32" s="170">
        <v>27</v>
      </c>
      <c r="F32" s="217">
        <f t="shared" si="131"/>
        <v>2.7</v>
      </c>
      <c r="G32" s="217">
        <f t="shared" si="93"/>
        <v>6.7500000000000004E-2</v>
      </c>
      <c r="H32" s="217">
        <f t="shared" si="0"/>
        <v>40.5</v>
      </c>
      <c r="I32" s="217">
        <f t="shared" si="132"/>
        <v>0.54</v>
      </c>
      <c r="J32" s="541">
        <f t="shared" si="1"/>
        <v>71.723315016620049</v>
      </c>
      <c r="K32" s="443">
        <f t="shared" si="2"/>
        <v>15.848559966660831</v>
      </c>
      <c r="L32" s="172">
        <f t="shared" si="3"/>
        <v>87.571874983280878</v>
      </c>
      <c r="M32" s="443"/>
      <c r="N32" s="217">
        <f t="shared" si="4"/>
        <v>0.18097773936765224</v>
      </c>
      <c r="O32" s="172">
        <f t="shared" si="94"/>
        <v>320.23824206402668</v>
      </c>
      <c r="P32" s="172">
        <f t="shared" si="5"/>
        <v>4.3267744705539606</v>
      </c>
      <c r="Q32" s="217">
        <f t="shared" si="6"/>
        <v>21.349216137601779</v>
      </c>
      <c r="R32" s="217">
        <f t="shared" si="7"/>
        <v>40.029780258003335</v>
      </c>
      <c r="S32" s="443">
        <f t="shared" si="8"/>
        <v>15</v>
      </c>
      <c r="T32" s="217">
        <f t="shared" si="9"/>
        <v>6.3234171751265498</v>
      </c>
      <c r="U32" s="217">
        <f t="shared" si="10"/>
        <v>1.0579684734864125</v>
      </c>
      <c r="V32" s="217">
        <f t="shared" si="11"/>
        <v>4.7878801771985939</v>
      </c>
      <c r="W32" s="197">
        <f t="shared" si="12"/>
        <v>108.16936176384901</v>
      </c>
      <c r="X32" s="443">
        <f t="shared" si="95"/>
        <v>165.40275117318691</v>
      </c>
      <c r="Z32" s="217">
        <f t="shared" si="13"/>
        <v>10</v>
      </c>
      <c r="AA32" s="173">
        <f t="shared" si="14"/>
        <v>7.5716658328853255</v>
      </c>
      <c r="AB32" s="173">
        <f t="shared" si="15"/>
        <v>4.0951113031617394</v>
      </c>
      <c r="AC32" s="173"/>
      <c r="AD32" s="173">
        <f t="shared" si="16"/>
        <v>7.5716658328853255</v>
      </c>
      <c r="AE32" s="545">
        <f t="shared" si="17"/>
        <v>71.31851984997374</v>
      </c>
      <c r="AF32" s="528">
        <f t="shared" si="18"/>
        <v>4.0951113031617394</v>
      </c>
      <c r="AH32" s="173">
        <f t="shared" si="19"/>
        <v>4.4207303856780431</v>
      </c>
      <c r="AI32" s="173">
        <f t="shared" si="20"/>
        <v>10</v>
      </c>
      <c r="AJ32" s="173">
        <f t="shared" si="21"/>
        <v>1.0407534399142706</v>
      </c>
      <c r="AL32" s="545">
        <f t="shared" si="22"/>
        <v>2700</v>
      </c>
      <c r="AM32" s="460">
        <f t="shared" si="23"/>
        <v>71.31851984997374</v>
      </c>
      <c r="AO32">
        <f t="shared" si="96"/>
        <v>2700</v>
      </c>
      <c r="AP32" s="460">
        <f t="shared" si="24"/>
        <v>71.31851984997374</v>
      </c>
      <c r="AQ32" s="460"/>
      <c r="AR32" s="5">
        <f t="shared" si="97"/>
        <v>14.021603394232084</v>
      </c>
      <c r="AS32" s="5">
        <f t="shared" si="25"/>
        <v>1.673096119054077</v>
      </c>
      <c r="AT32" s="5">
        <f t="shared" si="98"/>
        <v>12.348507275178008</v>
      </c>
      <c r="AU32" s="173">
        <f t="shared" si="99"/>
        <v>0.1193227387776722</v>
      </c>
      <c r="AW32" s="5">
        <f t="shared" si="26"/>
        <v>30.115730142973387</v>
      </c>
      <c r="AX32" s="5">
        <f t="shared" si="27"/>
        <v>1.4116748504518777</v>
      </c>
      <c r="AY32" s="5">
        <f t="shared" si="28"/>
        <v>1.936897462332315</v>
      </c>
      <c r="AZ32" s="5"/>
      <c r="BA32" s="173">
        <f t="shared" si="100"/>
        <v>1.9943481706869557</v>
      </c>
      <c r="BB32" s="173">
        <f t="shared" si="29"/>
        <v>5.4181093295919123</v>
      </c>
      <c r="BC32" s="173">
        <f t="shared" si="30"/>
        <v>0.13343422192093027</v>
      </c>
      <c r="BD32" s="173"/>
      <c r="BE32" s="528">
        <f t="shared" si="31"/>
        <v>7.954849251844813E-2</v>
      </c>
      <c r="BF32" s="528">
        <f t="shared" si="32"/>
        <v>1.1710305945552253</v>
      </c>
      <c r="BG32" s="528">
        <f t="shared" si="33"/>
        <v>0.12788001664296839</v>
      </c>
      <c r="BH32" s="528">
        <f t="shared" si="34"/>
        <v>5.4692983908259885E-2</v>
      </c>
      <c r="BI32">
        <f t="shared" si="35"/>
        <v>3.227549175747902E-2</v>
      </c>
      <c r="BJ32" s="460">
        <f t="shared" si="101"/>
        <v>160.15550840044739</v>
      </c>
      <c r="BK32">
        <f t="shared" si="36"/>
        <v>1.3523097952190333</v>
      </c>
      <c r="BL32" s="460">
        <f t="shared" si="102"/>
        <v>1352.3097952190333</v>
      </c>
      <c r="BM32" s="173">
        <f t="shared" si="37"/>
        <v>1.6773749999999998</v>
      </c>
      <c r="BN32" s="173">
        <f t="shared" si="38"/>
        <v>2.9953125000000001E-2</v>
      </c>
      <c r="BO32" s="528"/>
      <c r="BQ32" s="460">
        <f t="shared" si="103"/>
        <v>1707.3281249999998</v>
      </c>
      <c r="BR32" s="528">
        <f t="shared" si="39"/>
        <v>0.11932273877767219</v>
      </c>
      <c r="BS32" s="528">
        <f t="shared" si="104"/>
        <v>0.88067726122232759</v>
      </c>
      <c r="BT32" s="528">
        <f t="shared" si="40"/>
        <v>8.9023457898220336E-5</v>
      </c>
      <c r="BU32" s="528">
        <f t="shared" si="41"/>
        <v>0.67916579824142853</v>
      </c>
      <c r="BV32" s="528">
        <f t="shared" si="42"/>
        <v>2.0861859183564824</v>
      </c>
      <c r="BW32" s="625">
        <f t="shared" si="43"/>
        <v>7.1318519849973743E-3</v>
      </c>
      <c r="BX32" s="460">
        <f t="shared" si="105"/>
        <v>2093.3177703414799</v>
      </c>
      <c r="BY32" s="173">
        <f t="shared" si="106"/>
        <v>5.1529556905605132</v>
      </c>
      <c r="BZ32" s="5">
        <f t="shared" si="107"/>
        <v>41.04</v>
      </c>
      <c r="CA32" s="173">
        <f t="shared" si="108"/>
        <v>0.88844715360758975</v>
      </c>
      <c r="CB32" s="5">
        <f t="shared" si="109"/>
        <v>88.844715360758968</v>
      </c>
      <c r="CC32">
        <f t="shared" si="110"/>
        <v>27</v>
      </c>
      <c r="CE32" s="562">
        <f t="shared" si="44"/>
        <v>-50</v>
      </c>
      <c r="CF32">
        <f t="shared" si="45"/>
        <v>-50</v>
      </c>
      <c r="CG32" s="173">
        <f t="shared" si="46"/>
        <v>0.54523437114741724</v>
      </c>
      <c r="CH32" s="173">
        <f t="shared" si="47"/>
        <v>6.2823684121708467E-2</v>
      </c>
      <c r="CI32" s="170">
        <v>27</v>
      </c>
      <c r="CJ32" s="217">
        <f t="shared" si="133"/>
        <v>2.7</v>
      </c>
      <c r="CK32" s="217">
        <f t="shared" si="111"/>
        <v>6.7500000000000004E-2</v>
      </c>
      <c r="CL32" s="217">
        <f t="shared" si="48"/>
        <v>40.5</v>
      </c>
      <c r="CM32" s="217">
        <f t="shared" si="134"/>
        <v>0.54</v>
      </c>
      <c r="CN32" s="541">
        <f t="shared" si="112"/>
        <v>72</v>
      </c>
      <c r="CO32" s="443">
        <f t="shared" si="49"/>
        <v>15.7</v>
      </c>
      <c r="CP32" s="443">
        <f t="shared" si="50"/>
        <v>87.7</v>
      </c>
      <c r="CQ32" s="443"/>
      <c r="CR32" s="217">
        <f t="shared" si="113"/>
        <v>0.17620137299771166</v>
      </c>
      <c r="CS32" s="172">
        <f t="shared" si="114"/>
        <v>312.98928098277725</v>
      </c>
      <c r="CT32" s="172">
        <f t="shared" si="51"/>
        <v>4.2288329519450798</v>
      </c>
      <c r="CU32" s="217">
        <f t="shared" si="52"/>
        <v>20.865952065518481</v>
      </c>
      <c r="CV32" s="217">
        <f t="shared" si="53"/>
        <v>39.123660122847156</v>
      </c>
      <c r="CW32" s="443">
        <f t="shared" si="54"/>
        <v>15</v>
      </c>
      <c r="CX32" s="217">
        <f t="shared" si="55"/>
        <v>6.46987012987013</v>
      </c>
      <c r="CY32" s="217">
        <f t="shared" si="56"/>
        <v>1.0783116883116883</v>
      </c>
      <c r="CZ32" s="217">
        <f t="shared" si="57"/>
        <v>4.9451236661427744</v>
      </c>
      <c r="DA32" s="197">
        <f t="shared" si="58"/>
        <v>107.41163055872293</v>
      </c>
      <c r="DB32" s="443">
        <f t="shared" si="115"/>
        <v>166.01821737166614</v>
      </c>
      <c r="DD32" s="217">
        <f t="shared" si="59"/>
        <v>10</v>
      </c>
      <c r="DE32" s="173">
        <f t="shared" si="60"/>
        <v>7.6433121019108281</v>
      </c>
      <c r="DF32" s="173">
        <f t="shared" si="61"/>
        <v>4.1049030786773102</v>
      </c>
      <c r="DG32" s="173"/>
      <c r="DH32" s="173">
        <f t="shared" si="62"/>
        <v>7.6433121019108281</v>
      </c>
      <c r="DI32" s="545">
        <f t="shared" si="63"/>
        <v>70.65000000000002</v>
      </c>
      <c r="DJ32" s="528">
        <f t="shared" si="64"/>
        <v>4.1049030786773093</v>
      </c>
      <c r="DL32" s="173">
        <f t="shared" si="65"/>
        <v>4.4207303856780431</v>
      </c>
      <c r="DM32" s="173">
        <f t="shared" si="66"/>
        <v>10</v>
      </c>
      <c r="DN32" s="173">
        <f t="shared" si="67"/>
        <v>1.0403714285714285</v>
      </c>
      <c r="DP32" s="545">
        <f t="shared" si="68"/>
        <v>2700</v>
      </c>
      <c r="DQ32" s="460">
        <f t="shared" si="69"/>
        <v>70.65000000000002</v>
      </c>
      <c r="DS32">
        <f t="shared" si="116"/>
        <v>2700</v>
      </c>
      <c r="DT32" s="460">
        <f t="shared" si="70"/>
        <v>70.65000000000002</v>
      </c>
      <c r="DU32" s="460"/>
      <c r="DV32" s="5">
        <f t="shared" si="117"/>
        <v>14.154281670205233</v>
      </c>
      <c r="DW32" s="5">
        <f t="shared" si="71"/>
        <v>1.6666666666666667</v>
      </c>
      <c r="DX32" s="5">
        <f t="shared" si="118"/>
        <v>12.487615003538567</v>
      </c>
      <c r="DY32" s="173">
        <f t="shared" si="119"/>
        <v>0.11775000000000004</v>
      </c>
      <c r="EA32" s="5">
        <f t="shared" si="72"/>
        <v>30.000000000000007</v>
      </c>
      <c r="EB32" s="5">
        <f t="shared" si="73"/>
        <v>1.4062500000000002</v>
      </c>
      <c r="EC32" s="5">
        <f t="shared" si="74"/>
        <v>1.951189844302901</v>
      </c>
      <c r="ED32" s="5"/>
      <c r="EE32" s="173">
        <f t="shared" si="120"/>
        <v>1.9811612756158952</v>
      </c>
      <c r="EF32" s="173">
        <f t="shared" si="75"/>
        <v>5.4229450793211367</v>
      </c>
      <c r="EG32" s="173">
        <f t="shared" si="76"/>
        <v>0.13355331411034016</v>
      </c>
      <c r="EH32" s="173"/>
      <c r="EI32" s="528">
        <f t="shared" si="77"/>
        <v>7.8500000000000028E-2</v>
      </c>
      <c r="EJ32" s="528">
        <f t="shared" si="78"/>
        <v>1.2392010000000002</v>
      </c>
      <c r="EK32" s="528">
        <f t="shared" si="79"/>
        <v>8.8312500000000023E-3</v>
      </c>
      <c r="EL32" s="528">
        <f t="shared" si="80"/>
        <v>5.4338963850000026E-2</v>
      </c>
      <c r="EM32">
        <f t="shared" si="81"/>
        <v>3.2399999999999998E-2</v>
      </c>
      <c r="EN32" s="460">
        <f t="shared" si="121"/>
        <v>41.231249999999996</v>
      </c>
      <c r="EO32">
        <f t="shared" si="82"/>
        <v>1.461729813642128</v>
      </c>
      <c r="EP32" s="460">
        <f t="shared" si="122"/>
        <v>1461.729813642128</v>
      </c>
      <c r="EQ32" s="173">
        <f t="shared" si="83"/>
        <v>1.6773749999999998</v>
      </c>
      <c r="ER32" s="173">
        <f t="shared" si="84"/>
        <v>2.9953125000000001E-2</v>
      </c>
      <c r="ES32" s="528"/>
      <c r="EU32" s="460">
        <f t="shared" si="123"/>
        <v>1707.3281249999998</v>
      </c>
      <c r="EV32" s="528">
        <f t="shared" si="85"/>
        <v>0.11775000000000004</v>
      </c>
      <c r="EW32" s="528">
        <f t="shared" si="124"/>
        <v>0.88224999999999976</v>
      </c>
      <c r="EX32" s="528">
        <f t="shared" si="86"/>
        <v>8.9182438549275915E-5</v>
      </c>
      <c r="EY32" s="528">
        <f t="shared" si="87"/>
        <v>0.66336174034575923</v>
      </c>
      <c r="EZ32" s="528">
        <f t="shared" si="88"/>
        <v>2.0690077044584316</v>
      </c>
      <c r="FA32" s="625">
        <f t="shared" si="89"/>
        <v>7.0650000000000027E-3</v>
      </c>
      <c r="FB32" s="460">
        <f t="shared" si="125"/>
        <v>2076.0727044584314</v>
      </c>
      <c r="FC32" s="173">
        <f t="shared" si="126"/>
        <v>5.2451306431005591</v>
      </c>
      <c r="FD32" s="5">
        <f t="shared" si="127"/>
        <v>41.04</v>
      </c>
      <c r="FE32" s="173">
        <f t="shared" si="128"/>
        <v>0.88667784728652554</v>
      </c>
      <c r="FF32" s="5">
        <f t="shared" si="129"/>
        <v>88.667784728652549</v>
      </c>
      <c r="FG32">
        <f t="shared" si="130"/>
        <v>27</v>
      </c>
      <c r="FI32" s="562">
        <f t="shared" si="90"/>
        <v>-50</v>
      </c>
      <c r="FJ32">
        <f t="shared" si="91"/>
        <v>-50</v>
      </c>
      <c r="FL32">
        <f t="shared" si="92"/>
        <v>0.54523437114741724</v>
      </c>
    </row>
    <row r="33" spans="5:168">
      <c r="E33" s="170">
        <v>28</v>
      </c>
      <c r="F33" s="217">
        <f t="shared" si="131"/>
        <v>2.8000000000000003</v>
      </c>
      <c r="G33" s="217">
        <f t="shared" si="93"/>
        <v>7.0000000000000007E-2</v>
      </c>
      <c r="H33" s="217">
        <f t="shared" si="0"/>
        <v>42.000000000000007</v>
      </c>
      <c r="I33" s="217">
        <f t="shared" si="132"/>
        <v>0.56000000000000005</v>
      </c>
      <c r="J33" s="541">
        <f t="shared" si="1"/>
        <v>71.723315016620049</v>
      </c>
      <c r="K33" s="443">
        <f t="shared" si="2"/>
        <v>15.848559966660831</v>
      </c>
      <c r="L33" s="172">
        <f t="shared" si="3"/>
        <v>87.571874983280878</v>
      </c>
      <c r="M33" s="443"/>
      <c r="N33" s="217">
        <f t="shared" si="4"/>
        <v>0.18097773936765224</v>
      </c>
      <c r="O33" s="172">
        <f t="shared" si="94"/>
        <v>320.23824206402668</v>
      </c>
      <c r="P33" s="172">
        <f t="shared" si="5"/>
        <v>4.3267744705539606</v>
      </c>
      <c r="Q33" s="217">
        <f t="shared" si="6"/>
        <v>21.349216137601779</v>
      </c>
      <c r="R33" s="217">
        <f t="shared" si="7"/>
        <v>40.029780258003335</v>
      </c>
      <c r="S33" s="443">
        <f t="shared" si="8"/>
        <v>15</v>
      </c>
      <c r="T33" s="217">
        <f t="shared" si="9"/>
        <v>6.5576178112423493</v>
      </c>
      <c r="U33" s="217">
        <f t="shared" si="10"/>
        <v>1.0971524910229464</v>
      </c>
      <c r="V33" s="217">
        <f t="shared" si="11"/>
        <v>4.9652090726503957</v>
      </c>
      <c r="W33" s="197">
        <f t="shared" si="12"/>
        <v>108.16936176384901</v>
      </c>
      <c r="X33" s="443">
        <f t="shared" si="95"/>
        <v>159.68416863708288</v>
      </c>
      <c r="Z33" s="217">
        <f t="shared" si="13"/>
        <v>10</v>
      </c>
      <c r="AA33" s="173">
        <f t="shared" si="14"/>
        <v>7.5716658328853255</v>
      </c>
      <c r="AB33" s="173">
        <f t="shared" si="15"/>
        <v>4.0951113031617394</v>
      </c>
      <c r="AC33" s="173"/>
      <c r="AD33" s="173">
        <f t="shared" si="16"/>
        <v>7.5716658328853255</v>
      </c>
      <c r="AE33" s="545">
        <f t="shared" si="17"/>
        <v>73.959946511083885</v>
      </c>
      <c r="AF33" s="528">
        <f t="shared" si="18"/>
        <v>4.0951113031617394</v>
      </c>
      <c r="AH33" s="173">
        <f t="shared" si="19"/>
        <v>4.5018514709691022</v>
      </c>
      <c r="AI33" s="173">
        <f t="shared" si="20"/>
        <v>10</v>
      </c>
      <c r="AJ33" s="173">
        <f t="shared" si="21"/>
        <v>1.0422628265777623</v>
      </c>
      <c r="AL33" s="545">
        <f t="shared" si="22"/>
        <v>2800.0000000000005</v>
      </c>
      <c r="AM33" s="460">
        <f t="shared" si="23"/>
        <v>73.959946511083885</v>
      </c>
      <c r="AO33">
        <f t="shared" si="96"/>
        <v>2800.0000000000005</v>
      </c>
      <c r="AP33" s="460">
        <f t="shared" si="24"/>
        <v>73.959946511083885</v>
      </c>
      <c r="AQ33" s="460"/>
      <c r="AR33" s="5">
        <f t="shared" si="97"/>
        <v>13.52083184443808</v>
      </c>
      <c r="AS33" s="5">
        <f t="shared" si="25"/>
        <v>1.673096119054077</v>
      </c>
      <c r="AT33" s="5">
        <f t="shared" si="98"/>
        <v>11.847735725384002</v>
      </c>
      <c r="AU33" s="173">
        <f t="shared" si="99"/>
        <v>0.12374209947314156</v>
      </c>
      <c r="AW33" s="5">
        <f t="shared" si="26"/>
        <v>31.231127555676103</v>
      </c>
      <c r="AX33" s="5">
        <f t="shared" si="27"/>
        <v>1.4639591041723174</v>
      </c>
      <c r="AY33" s="5">
        <f t="shared" si="28"/>
        <v>1.9271778421115031</v>
      </c>
      <c r="AZ33" s="5"/>
      <c r="BA33" s="173">
        <f t="shared" si="100"/>
        <v>2.0309447676154857</v>
      </c>
      <c r="BB33" s="173">
        <f t="shared" si="29"/>
        <v>5.4044978198005236</v>
      </c>
      <c r="BC33" s="173">
        <f t="shared" si="30"/>
        <v>0.13309900513077369</v>
      </c>
      <c r="BD33" s="173"/>
      <c r="BE33" s="528">
        <f t="shared" si="31"/>
        <v>8.2494732982094379E-2</v>
      </c>
      <c r="BF33" s="528">
        <f t="shared" si="32"/>
        <v>1.2144020980572707</v>
      </c>
      <c r="BG33" s="528">
        <f t="shared" si="33"/>
        <v>0.13261631355567094</v>
      </c>
      <c r="BH33" s="528">
        <f t="shared" si="34"/>
        <v>5.6718649978936178E-2</v>
      </c>
      <c r="BI33">
        <f t="shared" si="35"/>
        <v>3.227549175747902E-2</v>
      </c>
      <c r="BJ33" s="460">
        <f t="shared" si="101"/>
        <v>164.89180531314994</v>
      </c>
      <c r="BK33">
        <f t="shared" si="36"/>
        <v>1.4033966844606702</v>
      </c>
      <c r="BL33" s="460">
        <f t="shared" si="102"/>
        <v>1403.3966844606703</v>
      </c>
      <c r="BM33" s="173">
        <f t="shared" si="37"/>
        <v>1.7394999999999998</v>
      </c>
      <c r="BN33" s="173">
        <f t="shared" si="38"/>
        <v>3.10625E-2</v>
      </c>
      <c r="BO33" s="528"/>
      <c r="BQ33" s="460">
        <f t="shared" si="103"/>
        <v>1770.5624999999998</v>
      </c>
      <c r="BR33" s="528">
        <f t="shared" si="39"/>
        <v>0.12374209947314156</v>
      </c>
      <c r="BS33" s="528">
        <f t="shared" si="104"/>
        <v>0.87625790052685837</v>
      </c>
      <c r="BT33" s="528">
        <f t="shared" si="40"/>
        <v>8.8576725834008606E-5</v>
      </c>
      <c r="BU33" s="528">
        <f t="shared" si="41"/>
        <v>0.74380907941329144</v>
      </c>
      <c r="BV33" s="528">
        <f t="shared" si="42"/>
        <v>2.156450212453549</v>
      </c>
      <c r="BW33" s="625">
        <f t="shared" si="43"/>
        <v>7.3959946511083889E-3</v>
      </c>
      <c r="BX33" s="460">
        <f t="shared" si="105"/>
        <v>2163.8462071046574</v>
      </c>
      <c r="BY33" s="173">
        <f t="shared" si="106"/>
        <v>5.3378053915653263</v>
      </c>
      <c r="BZ33" s="5">
        <f t="shared" si="107"/>
        <v>42.560000000000009</v>
      </c>
      <c r="CA33" s="173">
        <f t="shared" si="108"/>
        <v>0.88855845590567917</v>
      </c>
      <c r="CB33" s="5">
        <f t="shared" si="109"/>
        <v>88.855845590567924</v>
      </c>
      <c r="CC33">
        <f t="shared" si="110"/>
        <v>28.000000000000004</v>
      </c>
      <c r="CE33" s="562">
        <f t="shared" si="44"/>
        <v>-50</v>
      </c>
      <c r="CF33">
        <f t="shared" si="45"/>
        <v>-50</v>
      </c>
      <c r="CG33" s="173">
        <f t="shared" si="46"/>
        <v>0.56542823674546983</v>
      </c>
      <c r="CH33" s="173">
        <f t="shared" si="47"/>
        <v>6.5150487237327304E-2</v>
      </c>
      <c r="CI33" s="170">
        <v>28</v>
      </c>
      <c r="CJ33" s="217">
        <f t="shared" si="133"/>
        <v>2.8000000000000003</v>
      </c>
      <c r="CK33" s="217">
        <f t="shared" si="111"/>
        <v>7.0000000000000007E-2</v>
      </c>
      <c r="CL33" s="217">
        <f t="shared" si="48"/>
        <v>42.000000000000007</v>
      </c>
      <c r="CM33" s="217">
        <f t="shared" si="134"/>
        <v>0.56000000000000005</v>
      </c>
      <c r="CN33" s="541">
        <f t="shared" si="112"/>
        <v>72</v>
      </c>
      <c r="CO33" s="443">
        <f t="shared" si="49"/>
        <v>15.7</v>
      </c>
      <c r="CP33" s="443">
        <f t="shared" si="50"/>
        <v>87.7</v>
      </c>
      <c r="CQ33" s="443"/>
      <c r="CR33" s="217">
        <f t="shared" si="113"/>
        <v>0.17620137299771166</v>
      </c>
      <c r="CS33" s="172">
        <f t="shared" si="114"/>
        <v>312.98928098277725</v>
      </c>
      <c r="CT33" s="172">
        <f t="shared" si="51"/>
        <v>4.2288329519450798</v>
      </c>
      <c r="CU33" s="217">
        <f t="shared" si="52"/>
        <v>20.865952065518481</v>
      </c>
      <c r="CV33" s="217">
        <f t="shared" si="53"/>
        <v>39.123660122847156</v>
      </c>
      <c r="CW33" s="443">
        <f t="shared" si="54"/>
        <v>15</v>
      </c>
      <c r="CX33" s="217">
        <f t="shared" si="55"/>
        <v>6.7094949494949514</v>
      </c>
      <c r="CY33" s="217">
        <f t="shared" si="56"/>
        <v>1.1182491582491585</v>
      </c>
      <c r="CZ33" s="217">
        <f t="shared" si="57"/>
        <v>5.1282763945184344</v>
      </c>
      <c r="DA33" s="197">
        <f t="shared" si="58"/>
        <v>107.41163055872293</v>
      </c>
      <c r="DB33" s="443">
        <f t="shared" si="115"/>
        <v>160.08899532267804</v>
      </c>
      <c r="DD33" s="217">
        <f t="shared" si="59"/>
        <v>10</v>
      </c>
      <c r="DE33" s="173">
        <f t="shared" si="60"/>
        <v>7.6433121019108281</v>
      </c>
      <c r="DF33" s="173">
        <f t="shared" si="61"/>
        <v>4.1049030786773102</v>
      </c>
      <c r="DG33" s="173"/>
      <c r="DH33" s="173">
        <f t="shared" si="62"/>
        <v>7.6433121019108281</v>
      </c>
      <c r="DI33" s="545">
        <f t="shared" si="63"/>
        <v>73.26666666666668</v>
      </c>
      <c r="DJ33" s="528">
        <f t="shared" si="64"/>
        <v>4.1049030786773093</v>
      </c>
      <c r="DL33" s="173">
        <f t="shared" si="65"/>
        <v>4.5018514709691022</v>
      </c>
      <c r="DM33" s="173">
        <f t="shared" si="66"/>
        <v>10</v>
      </c>
      <c r="DN33" s="173">
        <f t="shared" si="67"/>
        <v>1.0418666666666667</v>
      </c>
      <c r="DP33" s="545">
        <f t="shared" si="68"/>
        <v>2800.0000000000005</v>
      </c>
      <c r="DQ33" s="460">
        <f t="shared" si="69"/>
        <v>73.26666666666668</v>
      </c>
      <c r="DS33">
        <f t="shared" si="116"/>
        <v>2800.0000000000005</v>
      </c>
      <c r="DT33" s="460">
        <f t="shared" si="70"/>
        <v>73.26666666666668</v>
      </c>
      <c r="DU33" s="460"/>
      <c r="DV33" s="5">
        <f t="shared" si="117"/>
        <v>13.648771610555048</v>
      </c>
      <c r="DW33" s="5">
        <f t="shared" si="71"/>
        <v>1.6666666666666667</v>
      </c>
      <c r="DX33" s="5">
        <f t="shared" si="118"/>
        <v>11.982104943888382</v>
      </c>
      <c r="DY33" s="173">
        <f t="shared" si="119"/>
        <v>0.12211111111111113</v>
      </c>
      <c r="EA33" s="5">
        <f t="shared" si="72"/>
        <v>31.111111111111114</v>
      </c>
      <c r="EB33" s="5">
        <f t="shared" si="73"/>
        <v>1.4583333333333337</v>
      </c>
      <c r="EC33" s="5">
        <f t="shared" si="74"/>
        <v>1.9415447825745069</v>
      </c>
      <c r="ED33" s="5"/>
      <c r="EE33" s="173">
        <f t="shared" si="120"/>
        <v>2.0175158909833573</v>
      </c>
      <c r="EF33" s="173">
        <f t="shared" si="75"/>
        <v>5.409525206796153</v>
      </c>
      <c r="EG33" s="173">
        <f t="shared" si="76"/>
        <v>0.13322281685756801</v>
      </c>
      <c r="EH33" s="173"/>
      <c r="EI33" s="528">
        <f t="shared" si="77"/>
        <v>8.1407407407407387E-2</v>
      </c>
      <c r="EJ33" s="528">
        <f t="shared" si="78"/>
        <v>1.2850973333333335</v>
      </c>
      <c r="EK33" s="528">
        <f t="shared" si="79"/>
        <v>9.1583333333333343E-3</v>
      </c>
      <c r="EL33" s="528">
        <f t="shared" si="80"/>
        <v>5.6351518066666682E-2</v>
      </c>
      <c r="EM33">
        <f t="shared" si="81"/>
        <v>3.2399999999999998E-2</v>
      </c>
      <c r="EN33" s="460">
        <f t="shared" si="121"/>
        <v>41.558333333333337</v>
      </c>
      <c r="EO33">
        <f t="shared" si="82"/>
        <v>1.5157121019005422</v>
      </c>
      <c r="EP33" s="460">
        <f t="shared" si="122"/>
        <v>1515.7121019005422</v>
      </c>
      <c r="EQ33" s="173">
        <f t="shared" si="83"/>
        <v>1.7394999999999998</v>
      </c>
      <c r="ER33" s="173">
        <f t="shared" si="84"/>
        <v>3.10625E-2</v>
      </c>
      <c r="ES33" s="528"/>
      <c r="EU33" s="460">
        <f t="shared" si="123"/>
        <v>1770.5624999999998</v>
      </c>
      <c r="EV33" s="528">
        <f t="shared" si="85"/>
        <v>0.12211111111111109</v>
      </c>
      <c r="EW33" s="528">
        <f t="shared" si="124"/>
        <v>0.87788888888888883</v>
      </c>
      <c r="EX33" s="528">
        <f t="shared" si="86"/>
        <v>8.8741594657325547E-5</v>
      </c>
      <c r="EY33" s="528">
        <f t="shared" si="87"/>
        <v>0.72650078476004176</v>
      </c>
      <c r="EZ33" s="528">
        <f t="shared" si="88"/>
        <v>2.1376369566547857</v>
      </c>
      <c r="FA33" s="625">
        <f t="shared" si="89"/>
        <v>7.3266666666666688E-3</v>
      </c>
      <c r="FB33" s="460">
        <f t="shared" si="125"/>
        <v>2144.9636233214524</v>
      </c>
      <c r="FC33" s="173">
        <f t="shared" si="126"/>
        <v>5.4312382252219944</v>
      </c>
      <c r="FD33" s="5">
        <f t="shared" si="127"/>
        <v>42.560000000000009</v>
      </c>
      <c r="FE33" s="173">
        <f t="shared" si="128"/>
        <v>0.88682854566632985</v>
      </c>
      <c r="FF33" s="5">
        <f t="shared" si="129"/>
        <v>88.682854566632983</v>
      </c>
      <c r="FG33">
        <f t="shared" si="130"/>
        <v>28.000000000000004</v>
      </c>
      <c r="FI33" s="562">
        <f t="shared" si="90"/>
        <v>-50</v>
      </c>
      <c r="FJ33">
        <f t="shared" si="91"/>
        <v>-50</v>
      </c>
      <c r="FL33">
        <f t="shared" si="92"/>
        <v>0.56542823674546983</v>
      </c>
    </row>
    <row r="34" spans="5:168">
      <c r="E34" s="170">
        <v>29</v>
      </c>
      <c r="F34" s="217">
        <f t="shared" si="131"/>
        <v>2.9</v>
      </c>
      <c r="G34" s="217">
        <f t="shared" si="93"/>
        <v>7.2499999999999995E-2</v>
      </c>
      <c r="H34" s="217">
        <f t="shared" si="0"/>
        <v>43.5</v>
      </c>
      <c r="I34" s="217">
        <f t="shared" si="132"/>
        <v>0.57999999999999996</v>
      </c>
      <c r="J34" s="541">
        <f t="shared" si="1"/>
        <v>71.723315016620049</v>
      </c>
      <c r="K34" s="443">
        <f t="shared" si="2"/>
        <v>15.848559966660831</v>
      </c>
      <c r="L34" s="172">
        <f t="shared" si="3"/>
        <v>87.571874983280878</v>
      </c>
      <c r="M34" s="443"/>
      <c r="N34" s="217">
        <f t="shared" si="4"/>
        <v>0.18097773936765224</v>
      </c>
      <c r="O34" s="172">
        <f t="shared" si="94"/>
        <v>320.23824206402668</v>
      </c>
      <c r="P34" s="172">
        <f t="shared" si="5"/>
        <v>4.3267744705539606</v>
      </c>
      <c r="Q34" s="217">
        <f t="shared" si="6"/>
        <v>21.349216137601779</v>
      </c>
      <c r="R34" s="217">
        <f t="shared" si="7"/>
        <v>40.029780258003335</v>
      </c>
      <c r="S34" s="443">
        <f t="shared" si="8"/>
        <v>15</v>
      </c>
      <c r="T34" s="217">
        <f t="shared" si="9"/>
        <v>6.7918184473581462</v>
      </c>
      <c r="U34" s="217">
        <f t="shared" si="10"/>
        <v>1.1363365085594801</v>
      </c>
      <c r="V34" s="217">
        <f t="shared" si="11"/>
        <v>5.1425379681021939</v>
      </c>
      <c r="W34" s="197">
        <f t="shared" si="12"/>
        <v>108.16936176384901</v>
      </c>
      <c r="X34" s="443">
        <f t="shared" si="95"/>
        <v>154.34779661223862</v>
      </c>
      <c r="Z34" s="217">
        <f t="shared" si="13"/>
        <v>10</v>
      </c>
      <c r="AA34" s="173">
        <f t="shared" si="14"/>
        <v>7.5716658328853255</v>
      </c>
      <c r="AB34" s="173">
        <f t="shared" si="15"/>
        <v>4.0951113031617394</v>
      </c>
      <c r="AC34" s="173"/>
      <c r="AD34" s="173">
        <f t="shared" si="16"/>
        <v>7.5716658328853255</v>
      </c>
      <c r="AE34" s="545">
        <f t="shared" si="17"/>
        <v>76.601373172194016</v>
      </c>
      <c r="AF34" s="528">
        <f t="shared" si="18"/>
        <v>4.0951113031617394</v>
      </c>
      <c r="AH34" s="173">
        <f t="shared" si="19"/>
        <v>4.5815364443029578</v>
      </c>
      <c r="AI34" s="173">
        <f t="shared" si="20"/>
        <v>10</v>
      </c>
      <c r="AJ34" s="173">
        <f t="shared" si="21"/>
        <v>1.0437722132412537</v>
      </c>
      <c r="AL34" s="545">
        <f t="shared" si="22"/>
        <v>2900</v>
      </c>
      <c r="AM34" s="460">
        <f t="shared" si="23"/>
        <v>76.601373172194016</v>
      </c>
      <c r="AO34">
        <f t="shared" si="96"/>
        <v>2900</v>
      </c>
      <c r="AP34" s="460">
        <f t="shared" si="24"/>
        <v>76.601373172194016</v>
      </c>
      <c r="AQ34" s="460"/>
      <c r="AR34" s="5">
        <f t="shared" si="97"/>
        <v>13.054596263595389</v>
      </c>
      <c r="AS34" s="5">
        <f t="shared" si="25"/>
        <v>1.673096119054077</v>
      </c>
      <c r="AT34" s="5">
        <f t="shared" si="98"/>
        <v>11.381500144541313</v>
      </c>
      <c r="AU34" s="173">
        <f t="shared" si="99"/>
        <v>0.12816146016861088</v>
      </c>
      <c r="AW34" s="5">
        <f t="shared" si="26"/>
        <v>32.346524968378823</v>
      </c>
      <c r="AX34" s="5">
        <f t="shared" si="27"/>
        <v>1.5162433578927572</v>
      </c>
      <c r="AY34" s="5">
        <f t="shared" si="28"/>
        <v>1.9174582218906915</v>
      </c>
      <c r="AZ34" s="5"/>
      <c r="BA34" s="173">
        <f t="shared" si="100"/>
        <v>2.066893483536834</v>
      </c>
      <c r="BB34" s="173">
        <f t="shared" si="29"/>
        <v>5.390851942044625</v>
      </c>
      <c r="BC34" s="173">
        <f t="shared" si="30"/>
        <v>0.1327629419452559</v>
      </c>
      <c r="BD34" s="173"/>
      <c r="BE34" s="528">
        <f t="shared" si="31"/>
        <v>8.5440973445740573E-2</v>
      </c>
      <c r="BF34" s="528">
        <f t="shared" si="32"/>
        <v>1.2577736015593162</v>
      </c>
      <c r="BG34" s="528">
        <f t="shared" si="33"/>
        <v>0.13735261046837349</v>
      </c>
      <c r="BH34" s="528">
        <f t="shared" si="34"/>
        <v>5.8744316049612472E-2</v>
      </c>
      <c r="BI34">
        <f t="shared" si="35"/>
        <v>3.227549175747902E-2</v>
      </c>
      <c r="BJ34" s="460">
        <f t="shared" si="101"/>
        <v>169.6281022258525</v>
      </c>
      <c r="BK34">
        <f t="shared" si="36"/>
        <v>1.4545565801666018</v>
      </c>
      <c r="BL34" s="460">
        <f t="shared" si="102"/>
        <v>1454.5565801666019</v>
      </c>
      <c r="BM34" s="173">
        <f t="shared" si="37"/>
        <v>1.8016249999999998</v>
      </c>
      <c r="BN34" s="173">
        <f t="shared" si="38"/>
        <v>3.2171874999999996E-2</v>
      </c>
      <c r="BO34" s="528"/>
      <c r="BQ34" s="460">
        <f t="shared" si="103"/>
        <v>1833.7968749999998</v>
      </c>
      <c r="BR34" s="528">
        <f t="shared" si="39"/>
        <v>0.12816146016861085</v>
      </c>
      <c r="BS34" s="528">
        <f t="shared" si="104"/>
        <v>0.87183853983138915</v>
      </c>
      <c r="BT34" s="528">
        <f t="shared" si="40"/>
        <v>8.8129993769796945E-5</v>
      </c>
      <c r="BU34" s="528">
        <f t="shared" si="41"/>
        <v>0.81201002629429997</v>
      </c>
      <c r="BV34" s="528">
        <f t="shared" si="42"/>
        <v>2.2305815586713953</v>
      </c>
      <c r="BW34" s="625">
        <f t="shared" si="43"/>
        <v>7.6601373172194027E-3</v>
      </c>
      <c r="BX34" s="460">
        <f t="shared" si="105"/>
        <v>2238.2416959886145</v>
      </c>
      <c r="BY34" s="173">
        <f t="shared" si="106"/>
        <v>5.5265951511552158</v>
      </c>
      <c r="BZ34" s="5">
        <f t="shared" si="107"/>
        <v>44.08</v>
      </c>
      <c r="CA34" s="173">
        <f t="shared" si="108"/>
        <v>0.88859152428592925</v>
      </c>
      <c r="CB34" s="5">
        <f t="shared" si="109"/>
        <v>88.859152428592921</v>
      </c>
      <c r="CC34">
        <f t="shared" si="110"/>
        <v>28.999999999999996</v>
      </c>
      <c r="CE34" s="562">
        <f t="shared" si="44"/>
        <v>-50</v>
      </c>
      <c r="CF34">
        <f t="shared" si="45"/>
        <v>-50</v>
      </c>
      <c r="CG34" s="173">
        <f t="shared" si="46"/>
        <v>0.58562210234352219</v>
      </c>
      <c r="CH34" s="173">
        <f t="shared" si="47"/>
        <v>6.7477290352946126E-2</v>
      </c>
      <c r="CI34" s="170">
        <v>29</v>
      </c>
      <c r="CJ34" s="217">
        <f t="shared" si="133"/>
        <v>2.9</v>
      </c>
      <c r="CK34" s="217">
        <f t="shared" si="111"/>
        <v>7.2499999999999995E-2</v>
      </c>
      <c r="CL34" s="217">
        <f t="shared" si="48"/>
        <v>43.5</v>
      </c>
      <c r="CM34" s="217">
        <f t="shared" si="134"/>
        <v>0.57999999999999996</v>
      </c>
      <c r="CN34" s="541">
        <f t="shared" si="112"/>
        <v>72</v>
      </c>
      <c r="CO34" s="443">
        <f t="shared" si="49"/>
        <v>15.7</v>
      </c>
      <c r="CP34" s="443">
        <f t="shared" si="50"/>
        <v>87.7</v>
      </c>
      <c r="CQ34" s="443"/>
      <c r="CR34" s="217">
        <f t="shared" si="113"/>
        <v>0.17620137299771166</v>
      </c>
      <c r="CS34" s="172">
        <f t="shared" si="114"/>
        <v>312.98928098277725</v>
      </c>
      <c r="CT34" s="172">
        <f t="shared" si="51"/>
        <v>4.2288329519450798</v>
      </c>
      <c r="CU34" s="217">
        <f t="shared" si="52"/>
        <v>20.865952065518481</v>
      </c>
      <c r="CV34" s="217">
        <f t="shared" si="53"/>
        <v>39.123660122847156</v>
      </c>
      <c r="CW34" s="443">
        <f t="shared" si="54"/>
        <v>15</v>
      </c>
      <c r="CX34" s="217">
        <f t="shared" si="55"/>
        <v>6.9491197691197693</v>
      </c>
      <c r="CY34" s="217">
        <f t="shared" si="56"/>
        <v>1.1581866281866282</v>
      </c>
      <c r="CZ34" s="217">
        <f t="shared" si="57"/>
        <v>5.3114291228940917</v>
      </c>
      <c r="DA34" s="197">
        <f t="shared" si="58"/>
        <v>107.41163055872293</v>
      </c>
      <c r="DB34" s="443">
        <f t="shared" si="115"/>
        <v>154.56868513913744</v>
      </c>
      <c r="DD34" s="217">
        <f t="shared" si="59"/>
        <v>10</v>
      </c>
      <c r="DE34" s="173">
        <f t="shared" si="60"/>
        <v>7.6433121019108281</v>
      </c>
      <c r="DF34" s="173">
        <f t="shared" si="61"/>
        <v>4.1049030786773102</v>
      </c>
      <c r="DG34" s="173"/>
      <c r="DH34" s="173">
        <f t="shared" si="62"/>
        <v>7.6433121019108281</v>
      </c>
      <c r="DI34" s="545">
        <f t="shared" si="63"/>
        <v>75.88333333333334</v>
      </c>
      <c r="DJ34" s="528">
        <f t="shared" si="64"/>
        <v>4.1049030786773093</v>
      </c>
      <c r="DL34" s="173">
        <f t="shared" si="65"/>
        <v>4.5815364443029578</v>
      </c>
      <c r="DM34" s="173">
        <f t="shared" si="66"/>
        <v>10</v>
      </c>
      <c r="DN34" s="173">
        <f t="shared" si="67"/>
        <v>1.0433619047619047</v>
      </c>
      <c r="DP34" s="545">
        <f t="shared" si="68"/>
        <v>2900</v>
      </c>
      <c r="DQ34" s="460">
        <f t="shared" si="69"/>
        <v>75.88333333333334</v>
      </c>
      <c r="DS34">
        <f t="shared" si="116"/>
        <v>2900</v>
      </c>
      <c r="DT34" s="460">
        <f t="shared" si="70"/>
        <v>75.88333333333334</v>
      </c>
      <c r="DU34" s="460"/>
      <c r="DV34" s="5">
        <f t="shared" si="117"/>
        <v>13.178124313639357</v>
      </c>
      <c r="DW34" s="5">
        <f t="shared" si="71"/>
        <v>1.6666666666666667</v>
      </c>
      <c r="DX34" s="5">
        <f t="shared" si="118"/>
        <v>11.511457646972691</v>
      </c>
      <c r="DY34" s="173">
        <f t="shared" si="119"/>
        <v>0.12647222222222224</v>
      </c>
      <c r="EA34" s="5">
        <f t="shared" si="72"/>
        <v>32.222222222222221</v>
      </c>
      <c r="EB34" s="5">
        <f t="shared" si="73"/>
        <v>1.5104166666666667</v>
      </c>
      <c r="EC34" s="5">
        <f t="shared" si="74"/>
        <v>1.9318997208461111</v>
      </c>
      <c r="ED34" s="5"/>
      <c r="EE34" s="173">
        <f t="shared" si="120"/>
        <v>2.0532269092189352</v>
      </c>
      <c r="EF34" s="173">
        <f t="shared" si="75"/>
        <v>5.3960719595454432</v>
      </c>
      <c r="EG34" s="173">
        <f t="shared" si="76"/>
        <v>0.13289149767037406</v>
      </c>
      <c r="EH34" s="173"/>
      <c r="EI34" s="528">
        <f t="shared" si="77"/>
        <v>8.4314814814814842E-2</v>
      </c>
      <c r="EJ34" s="528">
        <f t="shared" si="78"/>
        <v>1.3309936666666669</v>
      </c>
      <c r="EK34" s="528">
        <f t="shared" si="79"/>
        <v>9.485416666666668E-3</v>
      </c>
      <c r="EL34" s="528">
        <f t="shared" si="80"/>
        <v>5.8364072283333353E-2</v>
      </c>
      <c r="EM34">
        <f t="shared" si="81"/>
        <v>3.2399999999999998E-2</v>
      </c>
      <c r="EN34" s="460">
        <f t="shared" si="121"/>
        <v>41.885416666666671</v>
      </c>
      <c r="EO34">
        <f t="shared" si="82"/>
        <v>1.5697704967469119</v>
      </c>
      <c r="EP34" s="460">
        <f t="shared" si="122"/>
        <v>1569.7704967469119</v>
      </c>
      <c r="EQ34" s="173">
        <f t="shared" si="83"/>
        <v>1.8016249999999998</v>
      </c>
      <c r="ER34" s="173">
        <f t="shared" si="84"/>
        <v>3.2171874999999996E-2</v>
      </c>
      <c r="ES34" s="528"/>
      <c r="EU34" s="460">
        <f t="shared" si="123"/>
        <v>1833.7968749999998</v>
      </c>
      <c r="EV34" s="528">
        <f t="shared" si="85"/>
        <v>0.12647222222222226</v>
      </c>
      <c r="EW34" s="528">
        <f t="shared" si="124"/>
        <v>0.8735277777777779</v>
      </c>
      <c r="EX34" s="528">
        <f t="shared" si="86"/>
        <v>8.830075076537518E-5</v>
      </c>
      <c r="EY34" s="528">
        <f t="shared" si="87"/>
        <v>0.79311470868459866</v>
      </c>
      <c r="EZ34" s="528">
        <f t="shared" si="88"/>
        <v>2.2100432755369392</v>
      </c>
      <c r="FA34" s="625">
        <f t="shared" si="89"/>
        <v>7.5883333333333349E-3</v>
      </c>
      <c r="FB34" s="460">
        <f t="shared" si="125"/>
        <v>2217.6316088702729</v>
      </c>
      <c r="FC34" s="173">
        <f t="shared" si="126"/>
        <v>5.6211989806171845</v>
      </c>
      <c r="FD34" s="5">
        <f t="shared" si="127"/>
        <v>44.08</v>
      </c>
      <c r="FE34" s="173">
        <f t="shared" si="128"/>
        <v>0.8869001332782861</v>
      </c>
      <c r="FF34" s="5">
        <f t="shared" si="129"/>
        <v>88.690013327828609</v>
      </c>
      <c r="FG34">
        <f t="shared" si="130"/>
        <v>28.999999999999996</v>
      </c>
      <c r="FI34" s="562">
        <f t="shared" si="90"/>
        <v>-50</v>
      </c>
      <c r="FJ34">
        <f t="shared" si="91"/>
        <v>-50</v>
      </c>
      <c r="FL34">
        <f t="shared" si="92"/>
        <v>0.5856221023435223</v>
      </c>
    </row>
    <row r="35" spans="5:168">
      <c r="E35" s="170">
        <v>30</v>
      </c>
      <c r="F35" s="217">
        <f t="shared" si="131"/>
        <v>3</v>
      </c>
      <c r="G35" s="217">
        <f t="shared" si="93"/>
        <v>7.4999999999999997E-2</v>
      </c>
      <c r="H35" s="217">
        <f t="shared" si="0"/>
        <v>45</v>
      </c>
      <c r="I35" s="217">
        <f t="shared" si="132"/>
        <v>0.6</v>
      </c>
      <c r="J35" s="541">
        <f t="shared" si="1"/>
        <v>71.723315016620049</v>
      </c>
      <c r="K35" s="443">
        <f t="shared" si="2"/>
        <v>15.848559966660831</v>
      </c>
      <c r="L35" s="172">
        <f t="shared" si="3"/>
        <v>87.571874983280878</v>
      </c>
      <c r="M35" s="443"/>
      <c r="N35" s="217">
        <f t="shared" si="4"/>
        <v>0.18097773936765224</v>
      </c>
      <c r="O35" s="172">
        <f t="shared" si="94"/>
        <v>320.23824206402668</v>
      </c>
      <c r="P35" s="172">
        <f t="shared" si="5"/>
        <v>4.3267744705539606</v>
      </c>
      <c r="Q35" s="217">
        <f t="shared" si="6"/>
        <v>21.349216137601779</v>
      </c>
      <c r="R35" s="217">
        <f t="shared" si="7"/>
        <v>40.029780258003335</v>
      </c>
      <c r="S35" s="443">
        <f t="shared" si="8"/>
        <v>15</v>
      </c>
      <c r="T35" s="217">
        <f t="shared" si="9"/>
        <v>7.0260190834739449</v>
      </c>
      <c r="U35" s="217">
        <f t="shared" si="10"/>
        <v>1.1755205260960138</v>
      </c>
      <c r="V35" s="217">
        <f t="shared" si="11"/>
        <v>5.3198668635539939</v>
      </c>
      <c r="W35" s="197">
        <f t="shared" si="12"/>
        <v>108.16936176384901</v>
      </c>
      <c r="X35" s="443">
        <f t="shared" si="95"/>
        <v>149.35655576043877</v>
      </c>
      <c r="Z35" s="217">
        <f t="shared" si="13"/>
        <v>10</v>
      </c>
      <c r="AA35" s="173">
        <f t="shared" si="14"/>
        <v>7.5716658328853255</v>
      </c>
      <c r="AB35" s="173">
        <f t="shared" si="15"/>
        <v>4.0951113031617394</v>
      </c>
      <c r="AC35" s="173"/>
      <c r="AD35" s="173">
        <f t="shared" si="16"/>
        <v>7.5716658328853255</v>
      </c>
      <c r="AE35" s="545">
        <f t="shared" si="17"/>
        <v>79.242799833304147</v>
      </c>
      <c r="AF35" s="528">
        <f t="shared" si="18"/>
        <v>4.0951113031617394</v>
      </c>
      <c r="AH35" s="173">
        <f t="shared" si="19"/>
        <v>4.6598589800857404</v>
      </c>
      <c r="AI35" s="173">
        <f t="shared" si="20"/>
        <v>10</v>
      </c>
      <c r="AJ35" s="173">
        <f t="shared" si="21"/>
        <v>1.0452815999047451</v>
      </c>
      <c r="AL35" s="545">
        <f t="shared" si="22"/>
        <v>3000</v>
      </c>
      <c r="AM35" s="460">
        <f t="shared" si="23"/>
        <v>79.242799833304147</v>
      </c>
      <c r="AO35">
        <f t="shared" si="96"/>
        <v>3000</v>
      </c>
      <c r="AP35" s="460">
        <f t="shared" si="24"/>
        <v>79.242799833304147</v>
      </c>
      <c r="AQ35" s="460"/>
      <c r="AR35" s="5">
        <f t="shared" si="97"/>
        <v>12.619443054808876</v>
      </c>
      <c r="AS35" s="5">
        <f t="shared" si="25"/>
        <v>1.673096119054077</v>
      </c>
      <c r="AT35" s="5">
        <f t="shared" si="98"/>
        <v>10.9463469357548</v>
      </c>
      <c r="AU35" s="173">
        <f t="shared" si="99"/>
        <v>0.13258082086408024</v>
      </c>
      <c r="AW35" s="5">
        <f t="shared" si="26"/>
        <v>33.461922381081543</v>
      </c>
      <c r="AX35" s="5">
        <f t="shared" si="27"/>
        <v>1.568527611613197</v>
      </c>
      <c r="AY35" s="5">
        <f t="shared" si="28"/>
        <v>1.9077386016698794</v>
      </c>
      <c r="AZ35" s="5"/>
      <c r="BA35" s="173">
        <f t="shared" si="100"/>
        <v>2.1022275555870116</v>
      </c>
      <c r="BB35" s="173">
        <f t="shared" si="29"/>
        <v>5.3771714346730661</v>
      </c>
      <c r="BC35" s="173">
        <f t="shared" si="30"/>
        <v>0.13242602592057592</v>
      </c>
      <c r="BD35" s="173"/>
      <c r="BE35" s="528">
        <f t="shared" si="31"/>
        <v>8.8387213909386836E-2</v>
      </c>
      <c r="BF35" s="528">
        <f t="shared" si="32"/>
        <v>1.3011451050613612</v>
      </c>
      <c r="BG35" s="528">
        <f t="shared" si="33"/>
        <v>0.14208890738107599</v>
      </c>
      <c r="BH35" s="528">
        <f t="shared" si="34"/>
        <v>6.0769982120288751E-2</v>
      </c>
      <c r="BI35">
        <f t="shared" si="35"/>
        <v>3.227549175747902E-2</v>
      </c>
      <c r="BJ35" s="460">
        <f t="shared" si="101"/>
        <v>174.364399138555</v>
      </c>
      <c r="BK35">
        <f t="shared" si="36"/>
        <v>1.5057896389451593</v>
      </c>
      <c r="BL35" s="460">
        <f t="shared" si="102"/>
        <v>1505.7896389451594</v>
      </c>
      <c r="BM35" s="173">
        <f t="shared" si="37"/>
        <v>1.8637499999999996</v>
      </c>
      <c r="BN35" s="173">
        <f t="shared" si="38"/>
        <v>3.3281249999999998E-2</v>
      </c>
      <c r="BO35" s="528"/>
      <c r="BQ35" s="460">
        <f t="shared" si="103"/>
        <v>1897.0312499999995</v>
      </c>
      <c r="BR35" s="528">
        <f t="shared" si="39"/>
        <v>0.13258082086408024</v>
      </c>
      <c r="BS35" s="528">
        <f t="shared" si="104"/>
        <v>0.86741917913591993</v>
      </c>
      <c r="BT35" s="528">
        <f t="shared" si="40"/>
        <v>8.7683261705585243E-5</v>
      </c>
      <c r="BU35" s="528">
        <f t="shared" si="41"/>
        <v>0.88383161783098407</v>
      </c>
      <c r="BV35" s="528">
        <f t="shared" si="42"/>
        <v>2.308648412457972</v>
      </c>
      <c r="BW35" s="625">
        <f t="shared" si="43"/>
        <v>7.9242799833304147E-3</v>
      </c>
      <c r="BX35" s="460">
        <f t="shared" si="105"/>
        <v>2316.5726924413025</v>
      </c>
      <c r="BY35" s="173">
        <f t="shared" si="106"/>
        <v>5.7193935813864618</v>
      </c>
      <c r="BZ35" s="5">
        <f t="shared" si="107"/>
        <v>45.6</v>
      </c>
      <c r="CA35" s="173">
        <f t="shared" si="108"/>
        <v>0.88855297807998879</v>
      </c>
      <c r="CB35" s="5">
        <f t="shared" si="109"/>
        <v>88.85529780799888</v>
      </c>
      <c r="CC35">
        <f t="shared" si="110"/>
        <v>30</v>
      </c>
      <c r="CE35" s="562">
        <f t="shared" si="44"/>
        <v>-50</v>
      </c>
      <c r="CF35">
        <f t="shared" si="45"/>
        <v>-50</v>
      </c>
      <c r="CG35" s="173">
        <f t="shared" si="46"/>
        <v>0.60581596794157477</v>
      </c>
      <c r="CH35" s="173">
        <f t="shared" si="47"/>
        <v>6.9804093468564962E-2</v>
      </c>
      <c r="CI35" s="170">
        <v>30</v>
      </c>
      <c r="CJ35" s="217">
        <f t="shared" si="133"/>
        <v>3</v>
      </c>
      <c r="CK35" s="217">
        <f t="shared" si="111"/>
        <v>7.4999999999999997E-2</v>
      </c>
      <c r="CL35" s="217">
        <f t="shared" si="48"/>
        <v>45</v>
      </c>
      <c r="CM35" s="217">
        <f t="shared" si="134"/>
        <v>0.6</v>
      </c>
      <c r="CN35" s="541">
        <f t="shared" si="112"/>
        <v>72</v>
      </c>
      <c r="CO35" s="443">
        <f t="shared" si="49"/>
        <v>15.7</v>
      </c>
      <c r="CP35" s="443">
        <f t="shared" si="50"/>
        <v>87.7</v>
      </c>
      <c r="CQ35" s="443"/>
      <c r="CR35" s="217">
        <f t="shared" si="113"/>
        <v>0.17620137299771166</v>
      </c>
      <c r="CS35" s="172">
        <f t="shared" si="114"/>
        <v>312.98928098277725</v>
      </c>
      <c r="CT35" s="172">
        <f t="shared" si="51"/>
        <v>4.2288329519450798</v>
      </c>
      <c r="CU35" s="217">
        <f t="shared" si="52"/>
        <v>20.865952065518481</v>
      </c>
      <c r="CV35" s="217">
        <f t="shared" si="53"/>
        <v>39.123660122847156</v>
      </c>
      <c r="CW35" s="443">
        <f t="shared" si="54"/>
        <v>15</v>
      </c>
      <c r="CX35" s="217">
        <f t="shared" si="55"/>
        <v>7.1887445887445898</v>
      </c>
      <c r="CY35" s="217">
        <f t="shared" si="56"/>
        <v>1.1981240981240984</v>
      </c>
      <c r="CZ35" s="217">
        <f t="shared" si="57"/>
        <v>5.4945818512697508</v>
      </c>
      <c r="DA35" s="197">
        <f t="shared" si="58"/>
        <v>107.41163055872293</v>
      </c>
      <c r="DB35" s="443">
        <f t="shared" si="115"/>
        <v>149.41639563449951</v>
      </c>
      <c r="DD35" s="217">
        <f t="shared" si="59"/>
        <v>10</v>
      </c>
      <c r="DE35" s="173">
        <f t="shared" si="60"/>
        <v>7.6433121019108281</v>
      </c>
      <c r="DF35" s="173">
        <f t="shared" si="61"/>
        <v>4.1049030786773102</v>
      </c>
      <c r="DG35" s="173"/>
      <c r="DH35" s="173">
        <f t="shared" si="62"/>
        <v>7.6433121019108281</v>
      </c>
      <c r="DI35" s="545">
        <f t="shared" si="63"/>
        <v>78.500000000000014</v>
      </c>
      <c r="DJ35" s="528">
        <f t="shared" si="64"/>
        <v>4.1049030786773093</v>
      </c>
      <c r="DL35" s="173">
        <f t="shared" si="65"/>
        <v>4.6598589800857404</v>
      </c>
      <c r="DM35" s="173">
        <f t="shared" si="66"/>
        <v>10</v>
      </c>
      <c r="DN35" s="173">
        <f t="shared" si="67"/>
        <v>1.0448571428571429</v>
      </c>
      <c r="DP35" s="545">
        <f t="shared" si="68"/>
        <v>3000</v>
      </c>
      <c r="DQ35" s="460">
        <f t="shared" si="69"/>
        <v>78.500000000000014</v>
      </c>
      <c r="DS35">
        <f t="shared" si="116"/>
        <v>3000</v>
      </c>
      <c r="DT35" s="460">
        <f t="shared" si="70"/>
        <v>78.500000000000014</v>
      </c>
      <c r="DU35" s="460"/>
      <c r="DV35" s="5">
        <f t="shared" si="117"/>
        <v>12.738853503184711</v>
      </c>
      <c r="DW35" s="5">
        <f t="shared" si="71"/>
        <v>1.6666666666666667</v>
      </c>
      <c r="DX35" s="5">
        <f t="shared" si="118"/>
        <v>11.072186836518044</v>
      </c>
      <c r="DY35" s="173">
        <f t="shared" si="119"/>
        <v>0.13083333333333336</v>
      </c>
      <c r="EA35" s="5">
        <f t="shared" si="72"/>
        <v>33.333333333333336</v>
      </c>
      <c r="EB35" s="5">
        <f t="shared" si="73"/>
        <v>1.5625</v>
      </c>
      <c r="EC35" s="5">
        <f t="shared" si="74"/>
        <v>1.9222546591177159</v>
      </c>
      <c r="ED35" s="5"/>
      <c r="EE35" s="173">
        <f t="shared" si="120"/>
        <v>2.0883273476902784</v>
      </c>
      <c r="EF35" s="173">
        <f t="shared" si="75"/>
        <v>5.3825850873183807</v>
      </c>
      <c r="EG35" s="173">
        <f t="shared" si="76"/>
        <v>0.13255935038572328</v>
      </c>
      <c r="EH35" s="173"/>
      <c r="EI35" s="528">
        <f t="shared" si="77"/>
        <v>8.7222222222222257E-2</v>
      </c>
      <c r="EJ35" s="528">
        <f t="shared" si="78"/>
        <v>1.3768900000000004</v>
      </c>
      <c r="EK35" s="528">
        <f t="shared" si="79"/>
        <v>9.8125000000000018E-3</v>
      </c>
      <c r="EL35" s="528">
        <f t="shared" si="80"/>
        <v>6.0376626500000023E-2</v>
      </c>
      <c r="EM35">
        <f t="shared" si="81"/>
        <v>3.2399999999999998E-2</v>
      </c>
      <c r="EN35" s="460">
        <f t="shared" si="121"/>
        <v>42.212499999999999</v>
      </c>
      <c r="EO35">
        <f t="shared" si="82"/>
        <v>1.6239051592423615</v>
      </c>
      <c r="EP35" s="460">
        <f t="shared" si="122"/>
        <v>1623.9051592423614</v>
      </c>
      <c r="EQ35" s="173">
        <f t="shared" si="83"/>
        <v>1.8637499999999996</v>
      </c>
      <c r="ER35" s="173">
        <f t="shared" si="84"/>
        <v>3.3281249999999998E-2</v>
      </c>
      <c r="ES35" s="528"/>
      <c r="EU35" s="460">
        <f t="shared" si="123"/>
        <v>1897.0312499999995</v>
      </c>
      <c r="EV35" s="528">
        <f t="shared" si="85"/>
        <v>0.13083333333333336</v>
      </c>
      <c r="EW35" s="528">
        <f t="shared" si="124"/>
        <v>0.86916666666666664</v>
      </c>
      <c r="EX35" s="528">
        <f t="shared" si="86"/>
        <v>8.7859906873424771E-5</v>
      </c>
      <c r="EY35" s="528">
        <f t="shared" si="87"/>
        <v>0.86326502555794893</v>
      </c>
      <c r="EZ35" s="528">
        <f t="shared" si="88"/>
        <v>2.286293523614519</v>
      </c>
      <c r="FA35" s="625">
        <f t="shared" si="89"/>
        <v>7.8500000000000028E-3</v>
      </c>
      <c r="FB35" s="460">
        <f t="shared" si="125"/>
        <v>2294.1435236145189</v>
      </c>
      <c r="FC35" s="173">
        <f t="shared" si="126"/>
        <v>5.8150799328568796</v>
      </c>
      <c r="FD35" s="5">
        <f t="shared" si="127"/>
        <v>45.6</v>
      </c>
      <c r="FE35" s="173">
        <f t="shared" si="128"/>
        <v>0.88689933108242147</v>
      </c>
      <c r="FF35" s="5">
        <f t="shared" si="129"/>
        <v>88.689933108242144</v>
      </c>
      <c r="FG35">
        <f t="shared" si="130"/>
        <v>30</v>
      </c>
      <c r="FI35" s="562">
        <f t="shared" si="90"/>
        <v>-50</v>
      </c>
      <c r="FJ35">
        <f t="shared" si="91"/>
        <v>-50</v>
      </c>
      <c r="FL35">
        <f t="shared" si="92"/>
        <v>0.60581596794157477</v>
      </c>
    </row>
    <row r="36" spans="5:168">
      <c r="E36" s="170">
        <v>31</v>
      </c>
      <c r="F36" s="217">
        <f t="shared" si="131"/>
        <v>3.1</v>
      </c>
      <c r="G36" s="217">
        <f t="shared" si="93"/>
        <v>7.7499999999999999E-2</v>
      </c>
      <c r="H36" s="217">
        <f t="shared" si="0"/>
        <v>46.5</v>
      </c>
      <c r="I36" s="217">
        <f t="shared" si="132"/>
        <v>0.62</v>
      </c>
      <c r="J36" s="541">
        <f t="shared" si="1"/>
        <v>71.723315016620049</v>
      </c>
      <c r="K36" s="443">
        <f t="shared" si="2"/>
        <v>15.848559966660831</v>
      </c>
      <c r="L36" s="172">
        <f t="shared" si="3"/>
        <v>87.571874983280878</v>
      </c>
      <c r="M36" s="443"/>
      <c r="N36" s="217">
        <f t="shared" si="4"/>
        <v>0.18097773936765224</v>
      </c>
      <c r="O36" s="172">
        <f t="shared" si="94"/>
        <v>320.23824206402668</v>
      </c>
      <c r="P36" s="172">
        <f t="shared" si="5"/>
        <v>4.3267744705539606</v>
      </c>
      <c r="Q36" s="217">
        <f t="shared" si="6"/>
        <v>21.349216137601779</v>
      </c>
      <c r="R36" s="217">
        <f t="shared" si="7"/>
        <v>40.029780258003335</v>
      </c>
      <c r="S36" s="443">
        <f t="shared" si="8"/>
        <v>15</v>
      </c>
      <c r="T36" s="217">
        <f t="shared" si="9"/>
        <v>7.2602197195897427</v>
      </c>
      <c r="U36" s="217">
        <f t="shared" si="10"/>
        <v>1.2147045436325477</v>
      </c>
      <c r="V36" s="217">
        <f t="shared" si="11"/>
        <v>5.4971957590057929</v>
      </c>
      <c r="W36" s="197">
        <f t="shared" si="12"/>
        <v>108.16936176384901</v>
      </c>
      <c r="X36" s="443">
        <f t="shared" si="95"/>
        <v>144.6780127338194</v>
      </c>
      <c r="Z36" s="217">
        <f t="shared" si="13"/>
        <v>10</v>
      </c>
      <c r="AA36" s="173">
        <f t="shared" si="14"/>
        <v>7.5716658328853255</v>
      </c>
      <c r="AB36" s="173">
        <f t="shared" si="15"/>
        <v>4.0951113031617394</v>
      </c>
      <c r="AC36" s="173"/>
      <c r="AD36" s="173">
        <f t="shared" si="16"/>
        <v>7.5716658328853255</v>
      </c>
      <c r="AE36" s="545">
        <f t="shared" si="17"/>
        <v>81.884226494414293</v>
      </c>
      <c r="AF36" s="528">
        <f t="shared" si="18"/>
        <v>4.0951113031617394</v>
      </c>
      <c r="AH36" s="173">
        <f t="shared" si="19"/>
        <v>4.7368866608876381</v>
      </c>
      <c r="AI36" s="173">
        <f t="shared" si="20"/>
        <v>10</v>
      </c>
      <c r="AJ36" s="173">
        <f t="shared" si="21"/>
        <v>1.0467909865682368</v>
      </c>
      <c r="AL36" s="545">
        <f t="shared" si="22"/>
        <v>3100</v>
      </c>
      <c r="AM36" s="460">
        <f t="shared" si="23"/>
        <v>81.884226494414293</v>
      </c>
      <c r="AO36">
        <f t="shared" si="96"/>
        <v>3100</v>
      </c>
      <c r="AP36" s="460">
        <f t="shared" si="24"/>
        <v>81.884226494414293</v>
      </c>
      <c r="AQ36" s="460"/>
      <c r="AR36" s="5">
        <f t="shared" si="97"/>
        <v>12.212364246589233</v>
      </c>
      <c r="AS36" s="5">
        <f t="shared" si="25"/>
        <v>1.673096119054077</v>
      </c>
      <c r="AT36" s="5">
        <f t="shared" si="98"/>
        <v>10.539268127535156</v>
      </c>
      <c r="AU36" s="173">
        <f t="shared" si="99"/>
        <v>0.13700018155954957</v>
      </c>
      <c r="AW36" s="5">
        <f t="shared" si="26"/>
        <v>34.577319793784255</v>
      </c>
      <c r="AX36" s="5">
        <f t="shared" si="27"/>
        <v>1.6208118653336372</v>
      </c>
      <c r="AY36" s="5">
        <f t="shared" si="28"/>
        <v>1.8980189814490669</v>
      </c>
      <c r="AZ36" s="5"/>
      <c r="BA36" s="173">
        <f t="shared" si="100"/>
        <v>2.1369774726589075</v>
      </c>
      <c r="BB36" s="173">
        <f t="shared" si="29"/>
        <v>5.3634560326977301</v>
      </c>
      <c r="BC36" s="173">
        <f t="shared" si="30"/>
        <v>0.13208825053075196</v>
      </c>
      <c r="BD36" s="173"/>
      <c r="BE36" s="528">
        <f t="shared" si="31"/>
        <v>9.1333454373033029E-2</v>
      </c>
      <c r="BF36" s="528">
        <f t="shared" si="32"/>
        <v>1.344516608563407</v>
      </c>
      <c r="BG36" s="528">
        <f t="shared" si="33"/>
        <v>0.14682520429377854</v>
      </c>
      <c r="BH36" s="528">
        <f t="shared" si="34"/>
        <v>6.2795648190965059E-2</v>
      </c>
      <c r="BI36">
        <f t="shared" si="35"/>
        <v>3.227549175747902E-2</v>
      </c>
      <c r="BJ36" s="460">
        <f t="shared" si="101"/>
        <v>179.10069605125756</v>
      </c>
      <c r="BK36">
        <f t="shared" si="36"/>
        <v>1.5570960178529221</v>
      </c>
      <c r="BL36" s="460">
        <f t="shared" si="102"/>
        <v>1557.0960178529222</v>
      </c>
      <c r="BM36" s="173">
        <f t="shared" si="37"/>
        <v>1.9258749999999998</v>
      </c>
      <c r="BN36" s="173">
        <f t="shared" si="38"/>
        <v>3.4390625000000001E-2</v>
      </c>
      <c r="BO36" s="528"/>
      <c r="BQ36" s="460">
        <f t="shared" si="103"/>
        <v>1960.2656249999998</v>
      </c>
      <c r="BR36" s="528">
        <f t="shared" si="39"/>
        <v>0.13700018155954954</v>
      </c>
      <c r="BS36" s="528">
        <f t="shared" si="104"/>
        <v>0.86299981844045015</v>
      </c>
      <c r="BT36" s="528">
        <f t="shared" si="40"/>
        <v>8.7236529641373487E-5</v>
      </c>
      <c r="BU36" s="528">
        <f t="shared" si="41"/>
        <v>0.95933575585068354</v>
      </c>
      <c r="BV36" s="528">
        <f t="shared" si="42"/>
        <v>2.3907180584599779</v>
      </c>
      <c r="BW36" s="625">
        <f t="shared" si="43"/>
        <v>8.1884226494414285E-3</v>
      </c>
      <c r="BX36" s="460">
        <f t="shared" si="105"/>
        <v>2398.906481109419</v>
      </c>
      <c r="BY36" s="173">
        <f t="shared" si="106"/>
        <v>5.9162681239623414</v>
      </c>
      <c r="BZ36" s="5">
        <f t="shared" si="107"/>
        <v>47.12</v>
      </c>
      <c r="CA36" s="173">
        <f t="shared" si="108"/>
        <v>0.88844863461859402</v>
      </c>
      <c r="CB36" s="5">
        <f t="shared" si="109"/>
        <v>88.844863461859404</v>
      </c>
      <c r="CC36">
        <f t="shared" si="110"/>
        <v>31</v>
      </c>
      <c r="CE36" s="562">
        <f t="shared" si="44"/>
        <v>-50</v>
      </c>
      <c r="CF36">
        <f t="shared" si="45"/>
        <v>-50</v>
      </c>
      <c r="CG36" s="173">
        <f t="shared" si="46"/>
        <v>0.62600983353962725</v>
      </c>
      <c r="CH36" s="173">
        <f t="shared" si="47"/>
        <v>7.2130896584183785E-2</v>
      </c>
      <c r="CI36" s="170">
        <v>31</v>
      </c>
      <c r="CJ36" s="217">
        <f t="shared" si="133"/>
        <v>3.1</v>
      </c>
      <c r="CK36" s="217">
        <f t="shared" si="111"/>
        <v>7.7499999999999999E-2</v>
      </c>
      <c r="CL36" s="217">
        <f t="shared" si="48"/>
        <v>46.5</v>
      </c>
      <c r="CM36" s="217">
        <f t="shared" si="134"/>
        <v>0.62</v>
      </c>
      <c r="CN36" s="541">
        <f t="shared" si="112"/>
        <v>72</v>
      </c>
      <c r="CO36" s="443">
        <f t="shared" si="49"/>
        <v>15.7</v>
      </c>
      <c r="CP36" s="443">
        <f t="shared" si="50"/>
        <v>87.7</v>
      </c>
      <c r="CQ36" s="443"/>
      <c r="CR36" s="217">
        <f t="shared" si="113"/>
        <v>0.17620137299771166</v>
      </c>
      <c r="CS36" s="172">
        <f t="shared" si="114"/>
        <v>312.98928098277725</v>
      </c>
      <c r="CT36" s="172">
        <f t="shared" si="51"/>
        <v>4.2288329519450798</v>
      </c>
      <c r="CU36" s="217">
        <f t="shared" si="52"/>
        <v>20.865952065518481</v>
      </c>
      <c r="CV36" s="217">
        <f t="shared" si="53"/>
        <v>39.123660122847156</v>
      </c>
      <c r="CW36" s="443">
        <f t="shared" si="54"/>
        <v>15</v>
      </c>
      <c r="CX36" s="217">
        <f t="shared" si="55"/>
        <v>7.4283694083694085</v>
      </c>
      <c r="CY36" s="217">
        <f t="shared" si="56"/>
        <v>1.2380615680615681</v>
      </c>
      <c r="CZ36" s="217">
        <f t="shared" si="57"/>
        <v>5.6777345796454082</v>
      </c>
      <c r="DA36" s="197">
        <f t="shared" si="58"/>
        <v>107.41163055872293</v>
      </c>
      <c r="DB36" s="443">
        <f t="shared" si="115"/>
        <v>144.5965119043544</v>
      </c>
      <c r="DD36" s="217">
        <f t="shared" si="59"/>
        <v>10</v>
      </c>
      <c r="DE36" s="173">
        <f t="shared" si="60"/>
        <v>7.6433121019108281</v>
      </c>
      <c r="DF36" s="173">
        <f t="shared" si="61"/>
        <v>4.1049030786773102</v>
      </c>
      <c r="DG36" s="173"/>
      <c r="DH36" s="173">
        <f t="shared" si="62"/>
        <v>7.6433121019108281</v>
      </c>
      <c r="DI36" s="545">
        <f t="shared" si="63"/>
        <v>81.116666666666674</v>
      </c>
      <c r="DJ36" s="528">
        <f t="shared" si="64"/>
        <v>4.1049030786773093</v>
      </c>
      <c r="DL36" s="173">
        <f t="shared" si="65"/>
        <v>4.7368866608876381</v>
      </c>
      <c r="DM36" s="173">
        <f t="shared" si="66"/>
        <v>10</v>
      </c>
      <c r="DN36" s="173">
        <f t="shared" si="67"/>
        <v>1.0463523809523809</v>
      </c>
      <c r="DP36" s="545">
        <f t="shared" si="68"/>
        <v>3100</v>
      </c>
      <c r="DQ36" s="460">
        <f t="shared" si="69"/>
        <v>81.116666666666674</v>
      </c>
      <c r="DS36">
        <f t="shared" si="116"/>
        <v>3100</v>
      </c>
      <c r="DT36" s="460">
        <f t="shared" si="70"/>
        <v>81.116666666666674</v>
      </c>
      <c r="DU36" s="460"/>
      <c r="DV36" s="5">
        <f t="shared" si="117"/>
        <v>12.327922745017464</v>
      </c>
      <c r="DW36" s="5">
        <f t="shared" si="71"/>
        <v>1.6666666666666667</v>
      </c>
      <c r="DX36" s="5">
        <f t="shared" si="118"/>
        <v>10.661256078350798</v>
      </c>
      <c r="DY36" s="173">
        <f t="shared" si="119"/>
        <v>0.13519444444444445</v>
      </c>
      <c r="EA36" s="5">
        <f t="shared" si="72"/>
        <v>34.444444444444443</v>
      </c>
      <c r="EB36" s="5">
        <f t="shared" si="73"/>
        <v>1.6145833333333335</v>
      </c>
      <c r="EC36" s="5">
        <f t="shared" si="74"/>
        <v>1.9126095973893213</v>
      </c>
      <c r="ED36" s="5"/>
      <c r="EE36" s="173">
        <f t="shared" si="120"/>
        <v>2.1228474936936665</v>
      </c>
      <c r="EF36" s="173">
        <f t="shared" si="75"/>
        <v>5.3690643367212365</v>
      </c>
      <c r="EG36" s="173">
        <f t="shared" si="76"/>
        <v>0.13222636876317401</v>
      </c>
      <c r="EH36" s="173"/>
      <c r="EI36" s="528">
        <f t="shared" si="77"/>
        <v>9.0129629629629629E-2</v>
      </c>
      <c r="EJ36" s="528">
        <f t="shared" si="78"/>
        <v>1.4227863333333337</v>
      </c>
      <c r="EK36" s="528">
        <f t="shared" si="79"/>
        <v>1.0139583333333334E-2</v>
      </c>
      <c r="EL36" s="528">
        <f t="shared" si="80"/>
        <v>6.2389180716666687E-2</v>
      </c>
      <c r="EM36">
        <f t="shared" si="81"/>
        <v>3.2399999999999998E-2</v>
      </c>
      <c r="EN36" s="460">
        <f t="shared" si="121"/>
        <v>42.539583333333333</v>
      </c>
      <c r="EO36">
        <f t="shared" si="82"/>
        <v>1.6781162509027965</v>
      </c>
      <c r="EP36" s="460">
        <f t="shared" si="122"/>
        <v>1678.1162509027965</v>
      </c>
      <c r="EQ36" s="173">
        <f t="shared" si="83"/>
        <v>1.9258749999999998</v>
      </c>
      <c r="ER36" s="173">
        <f t="shared" si="84"/>
        <v>3.4390625000000001E-2</v>
      </c>
      <c r="ES36" s="528"/>
      <c r="EU36" s="460">
        <f t="shared" si="123"/>
        <v>1960.2656249999998</v>
      </c>
      <c r="EV36" s="528">
        <f t="shared" si="85"/>
        <v>0.13519444444444442</v>
      </c>
      <c r="EW36" s="528">
        <f t="shared" si="124"/>
        <v>0.86480555555555549</v>
      </c>
      <c r="EX36" s="528">
        <f t="shared" si="86"/>
        <v>8.7419062981474404E-5</v>
      </c>
      <c r="EY36" s="528">
        <f t="shared" si="87"/>
        <v>0.93701219676377678</v>
      </c>
      <c r="EZ36" s="528">
        <f t="shared" si="88"/>
        <v>2.3664534198403451</v>
      </c>
      <c r="FA36" s="625">
        <f t="shared" si="89"/>
        <v>8.1116666666666681E-3</v>
      </c>
      <c r="FB36" s="460">
        <f t="shared" si="125"/>
        <v>2374.565086507012</v>
      </c>
      <c r="FC36" s="173">
        <f t="shared" si="126"/>
        <v>6.0129469624098073</v>
      </c>
      <c r="FD36" s="5">
        <f t="shared" si="127"/>
        <v>47.12</v>
      </c>
      <c r="FE36" s="173">
        <f t="shared" si="128"/>
        <v>0.88683204478261268</v>
      </c>
      <c r="FF36" s="5">
        <f t="shared" si="129"/>
        <v>88.683204478261274</v>
      </c>
      <c r="FG36">
        <f t="shared" si="130"/>
        <v>31</v>
      </c>
      <c r="FI36" s="562">
        <f t="shared" si="90"/>
        <v>-50</v>
      </c>
      <c r="FJ36">
        <f t="shared" si="91"/>
        <v>-50</v>
      </c>
      <c r="FL36">
        <f t="shared" si="92"/>
        <v>0.62600983353962725</v>
      </c>
    </row>
    <row r="37" spans="5:168">
      <c r="E37" s="170">
        <v>32</v>
      </c>
      <c r="F37" s="217">
        <f t="shared" si="131"/>
        <v>3.2</v>
      </c>
      <c r="G37" s="217">
        <f t="shared" si="93"/>
        <v>0.08</v>
      </c>
      <c r="H37" s="217">
        <f t="shared" ref="H37:H68" si="135">F37*Vout</f>
        <v>48</v>
      </c>
      <c r="I37" s="217">
        <f t="shared" si="132"/>
        <v>0.64</v>
      </c>
      <c r="J37" s="541">
        <f t="shared" ref="J37:J68" si="136">Vin-(F37/CG37/Nps+G37/CH37/(Nps/Nsec1sec2))*(Rdcr_pri+RON/1000)</f>
        <v>71.723315016620049</v>
      </c>
      <c r="K37" s="443">
        <f t="shared" ref="K37:K68" si="137">MAX((S37+Vfwd2+Rdcr_sec*F37/CG37)*Nps,(Vout2+Vfwd22+Rdcr_sec2*G37/CH37)*Nps/Nsec1sec2)</f>
        <v>15.848559966660831</v>
      </c>
      <c r="L37" s="172">
        <f t="shared" ref="L37:L68" si="138">MAX((Vout+Vfwd2+F37/CG37*Rdcr_sec)*Nps+J37, (Vout2+Vfwd22+G37/CH37*Rdcr_sec2)*Nps/Nsec1sec2+J37)</f>
        <v>87.571874983280878</v>
      </c>
      <c r="M37" s="443"/>
      <c r="N37" s="217">
        <f t="shared" ref="N37:N68" si="139">MAX((Vout+Vfwd2+F37/CG37*Rdcr_sec)*Nps/((Vout+Vfwd2+F37/CG37*Rdcr_sec)*Nps+J37), (Vout2+Vfwd22+G37/CH37*Rdcr_sec2)*Nps/Nsec1sec2/((Vout2+Vfwd22+G37/CH37*Rdcr_sec2)*Nps/Nsec1sec2+J37))</f>
        <v>0.18097773936765224</v>
      </c>
      <c r="O37" s="172">
        <f t="shared" si="94"/>
        <v>320.23824206402668</v>
      </c>
      <c r="P37" s="172">
        <f t="shared" ref="P37:P68" si="140">N37*J37*Isw_max*0.5*Efficiency*(Pout2/Pout_total)</f>
        <v>4.3267744705539606</v>
      </c>
      <c r="Q37" s="217">
        <f t="shared" si="6"/>
        <v>21.349216137601779</v>
      </c>
      <c r="R37" s="217">
        <f t="shared" ref="R37:R68" si="141">O37/Vout2</f>
        <v>40.029780258003335</v>
      </c>
      <c r="S37" s="443">
        <f t="shared" ref="S37:S68" si="142">MIN(Vout,O37/F37)</f>
        <v>15</v>
      </c>
      <c r="T37" s="217">
        <f t="shared" ref="T37:T68" si="143">MIN(2*(Vout*F37+Vout2*G37)/(Efficiency*J37*N37), Isw_max)</f>
        <v>7.4944203557055413</v>
      </c>
      <c r="U37" s="217">
        <f t="shared" si="10"/>
        <v>1.2538885611690815</v>
      </c>
      <c r="V37" s="217">
        <f t="shared" si="11"/>
        <v>5.6745246544575938</v>
      </c>
      <c r="W37" s="197">
        <f t="shared" si="12"/>
        <v>108.16936176384901</v>
      </c>
      <c r="X37" s="443">
        <f t="shared" si="95"/>
        <v>140.28367460626899</v>
      </c>
      <c r="Z37" s="217">
        <f t="shared" si="13"/>
        <v>10</v>
      </c>
      <c r="AA37" s="173">
        <f t="shared" si="14"/>
        <v>7.5716658328853255</v>
      </c>
      <c r="AB37" s="173">
        <f t="shared" ref="AB37:AB68" si="144">0.5*AA37*Z37*Nps*W37/1000*(Pout/Pout_total)</f>
        <v>4.0951113031617394</v>
      </c>
      <c r="AC37" s="173"/>
      <c r="AD37" s="173">
        <f t="shared" si="16"/>
        <v>7.5716658328853255</v>
      </c>
      <c r="AE37" s="545">
        <f t="shared" ref="AE37:AE68" si="145">MAX(10, F37/(0.5*AD37/1000000*Isw_min*Nps)/1000*Pout_total/Pout)</f>
        <v>84.525653155524424</v>
      </c>
      <c r="AF37" s="528">
        <f t="shared" ref="AF37:AF68" si="146">0.5*AD37/1000000*Isw_min*Nps*W37*1000*(Pout/Pout_total)</f>
        <v>4.0951113031617394</v>
      </c>
      <c r="AH37" s="173">
        <f t="shared" ref="AH37:AH68" si="147">SQRT((H37+I37)/(0.5*L*Fsw_DCM))</f>
        <v>4.8126816601459064</v>
      </c>
      <c r="AI37" s="173">
        <f t="shared" ref="AI37:AI68" si="148">MAX(IF(F37&gt;AB37,T37,AH37),Isw_min)</f>
        <v>10</v>
      </c>
      <c r="AJ37" s="173">
        <f t="shared" ref="AJ37:AJ68" si="149">IF(F37&gt;AF37, (AI37-Isw_min)/1.08*0.8+1.2, AE37*0.2/350+1)</f>
        <v>1.0483003732317282</v>
      </c>
      <c r="AL37" s="545">
        <f t="shared" ref="AL37:AL68" si="150">F37*1000</f>
        <v>3200</v>
      </c>
      <c r="AM37" s="460">
        <f t="shared" ref="AM37:AM68" si="151">IF(F37&gt;AF37, X37, AE37)</f>
        <v>84.525653155524424</v>
      </c>
      <c r="AO37">
        <f t="shared" si="96"/>
        <v>3200</v>
      </c>
      <c r="AP37" s="460">
        <f t="shared" si="24"/>
        <v>84.525653155524424</v>
      </c>
      <c r="AQ37" s="460"/>
      <c r="AR37" s="5">
        <f t="shared" si="97"/>
        <v>11.830727863883322</v>
      </c>
      <c r="AS37" s="5">
        <f t="shared" si="25"/>
        <v>1.673096119054077</v>
      </c>
      <c r="AT37" s="5">
        <f t="shared" si="98"/>
        <v>10.157631744829246</v>
      </c>
      <c r="AU37" s="173">
        <f t="shared" si="99"/>
        <v>0.1414195422550189</v>
      </c>
      <c r="AW37" s="5">
        <f t="shared" ref="AW37:AW68" si="152">F37*AS37/Vout_ripple*1000</f>
        <v>35.692717206486982</v>
      </c>
      <c r="AX37" s="5">
        <f t="shared" ref="AX37:AX68" si="153">G37*AS37/Vout_ripple2*1000</f>
        <v>1.673096119054077</v>
      </c>
      <c r="AY37" s="5">
        <f t="shared" si="28"/>
        <v>1.8882993612282559</v>
      </c>
      <c r="AZ37" s="5"/>
      <c r="BA37" s="173">
        <f t="shared" si="100"/>
        <v>2.1711712833938188</v>
      </c>
      <c r="BB37" s="173">
        <f t="shared" ref="BB37:BB68" si="154">AI37*Npri_sec1*SQRT((1-AU37)/3)*(Pout/Pout_total)</f>
        <v>5.3497054677336555</v>
      </c>
      <c r="BC37" s="173">
        <f t="shared" ref="BC37:BC68" si="155">AI37*Npri_sec2*SQRT((1-AU37)/3)*(Pout2/Pout_total)</f>
        <v>0.13174960916614653</v>
      </c>
      <c r="BD37" s="173"/>
      <c r="BE37" s="528">
        <f t="shared" si="31"/>
        <v>9.4279694836679251E-2</v>
      </c>
      <c r="BF37" s="528">
        <f t="shared" ref="BF37:BF68" si="156">0.5*L37*AI37*AM37*1000*Tfall</f>
        <v>1.387888112065452</v>
      </c>
      <c r="BG37" s="528">
        <f t="shared" ref="BG37:BG68" si="157">Qg*Vdd*AM37*1000*0+Qg*J37*AM37*1000</f>
        <v>0.15156150120648107</v>
      </c>
      <c r="BH37" s="528">
        <f t="shared" si="34"/>
        <v>6.4821314261641338E-2</v>
      </c>
      <c r="BI37">
        <f t="shared" si="35"/>
        <v>3.227549175747902E-2</v>
      </c>
      <c r="BJ37" s="460">
        <f t="shared" si="101"/>
        <v>183.83699296396009</v>
      </c>
      <c r="BK37">
        <f t="shared" ref="BK37:BK68" si="158">(BF37+BG37*0+BH37+BI37*0+BE37*(1+RdsonTC*(Ta-25)))/(1-BE37*RdsonTC*ThetaJA)</f>
        <v>1.6084758743963186</v>
      </c>
      <c r="BL37" s="460">
        <f t="shared" si="102"/>
        <v>1608.4758743963187</v>
      </c>
      <c r="BM37" s="173">
        <f t="shared" ref="BM37:BM68" si="159">Vfwd2*F37*(1+Diode_TC/1000*(Ta-25))</f>
        <v>1.9879999999999998</v>
      </c>
      <c r="BN37" s="173">
        <f t="shared" ref="BN37:BN68" si="160">Vfwd22*G37*(1+Diode_TC/1000*(Ta-25))</f>
        <v>3.5499999999999997E-2</v>
      </c>
      <c r="BO37" s="528"/>
      <c r="BQ37" s="460">
        <f t="shared" si="103"/>
        <v>2023.4999999999998</v>
      </c>
      <c r="BR37" s="528">
        <f t="shared" si="39"/>
        <v>0.14141954225501885</v>
      </c>
      <c r="BS37" s="528">
        <f t="shared" si="104"/>
        <v>0.85858045774498104</v>
      </c>
      <c r="BT37" s="528">
        <f t="shared" ref="BT37:BT68" si="161">Rdcr_sec2*BC37^2</f>
        <v>8.6789797577161812E-5</v>
      </c>
      <c r="BU37" s="528">
        <f t="shared" si="41"/>
        <v>1.0385833185161546</v>
      </c>
      <c r="BV37" s="528">
        <f t="shared" ref="BV37:BV68" si="162">(BU37+(BR37+BS37+BT37)*(1+Ltc*(Ta-25)))/(1-(BR37+BS37+BT37)*Ltc*ThetaCa)</f>
        <v>2.4768566686263718</v>
      </c>
      <c r="BW37" s="625">
        <f t="shared" ref="BW37:BW68" si="163">0.5*Lleak*0.000000001*AI37^2*AM37*1000</f>
        <v>8.452565315552444E-3</v>
      </c>
      <c r="BX37" s="460">
        <f t="shared" si="105"/>
        <v>2485.309233941924</v>
      </c>
      <c r="BY37" s="173">
        <f t="shared" si="106"/>
        <v>6.1172851083382422</v>
      </c>
      <c r="BZ37" s="5">
        <f t="shared" si="107"/>
        <v>48.64</v>
      </c>
      <c r="CA37" s="173">
        <f t="shared" si="108"/>
        <v>0.88828363027430801</v>
      </c>
      <c r="CB37" s="5">
        <f t="shared" si="109"/>
        <v>88.828363027430797</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0.64620369913767972</v>
      </c>
      <c r="CH37" s="173">
        <f t="shared" ref="CH37:CH68" si="167">MIN(SQRT(2*DT37*1000*Ls2_*(CM37+CK37*Vfwd22))/(Vout2+Vfwd22), 1-DY37)</f>
        <v>7.4457699699802635E-2</v>
      </c>
      <c r="CI37" s="170">
        <v>32</v>
      </c>
      <c r="CJ37" s="217">
        <f t="shared" si="133"/>
        <v>3.2</v>
      </c>
      <c r="CK37" s="217">
        <f t="shared" si="111"/>
        <v>0.08</v>
      </c>
      <c r="CL37" s="217">
        <f t="shared" si="48"/>
        <v>48</v>
      </c>
      <c r="CM37" s="217">
        <f t="shared" si="134"/>
        <v>0.64</v>
      </c>
      <c r="CN37" s="541">
        <f t="shared" si="112"/>
        <v>72</v>
      </c>
      <c r="CO37" s="443">
        <f t="shared" ref="CO37:CO68" si="168">(CW37+Vfwd2)*Nps</f>
        <v>15.7</v>
      </c>
      <c r="CP37" s="443">
        <f t="shared" ref="CP37:CP68" si="169">(Vout+Vfwd2)*Nps+CN37</f>
        <v>87.7</v>
      </c>
      <c r="CQ37" s="443"/>
      <c r="CR37" s="217">
        <f t="shared" si="113"/>
        <v>0.17620137299771166</v>
      </c>
      <c r="CS37" s="172">
        <f t="shared" si="114"/>
        <v>312.98928098277725</v>
      </c>
      <c r="CT37" s="172">
        <f t="shared" si="51"/>
        <v>4.2288329519450798</v>
      </c>
      <c r="CU37" s="217">
        <f t="shared" si="52"/>
        <v>20.865952065518481</v>
      </c>
      <c r="CV37" s="217">
        <f t="shared" si="53"/>
        <v>39.123660122847156</v>
      </c>
      <c r="CW37" s="443">
        <f t="shared" si="54"/>
        <v>15</v>
      </c>
      <c r="CX37" s="217">
        <f t="shared" si="55"/>
        <v>7.667994227994229</v>
      </c>
      <c r="CY37" s="217">
        <f t="shared" si="56"/>
        <v>1.2779990379990382</v>
      </c>
      <c r="CZ37" s="217">
        <f t="shared" si="57"/>
        <v>5.8608873080210673</v>
      </c>
      <c r="DA37" s="197">
        <f t="shared" si="58"/>
        <v>107.41163055872293</v>
      </c>
      <c r="DB37" s="443">
        <f t="shared" si="115"/>
        <v>140.07787090734331</v>
      </c>
      <c r="DD37" s="217">
        <f t="shared" si="59"/>
        <v>10</v>
      </c>
      <c r="DE37" s="173">
        <f t="shared" si="60"/>
        <v>7.6433121019108281</v>
      </c>
      <c r="DF37" s="173">
        <f t="shared" si="61"/>
        <v>4.1049030786773102</v>
      </c>
      <c r="DG37" s="173"/>
      <c r="DH37" s="173">
        <f t="shared" si="62"/>
        <v>7.6433121019108281</v>
      </c>
      <c r="DI37" s="545">
        <f t="shared" si="63"/>
        <v>83.733333333333348</v>
      </c>
      <c r="DJ37" s="528">
        <f t="shared" si="64"/>
        <v>4.1049030786773093</v>
      </c>
      <c r="DL37" s="173">
        <f t="shared" si="65"/>
        <v>4.8126816601459064</v>
      </c>
      <c r="DM37" s="173">
        <f t="shared" si="66"/>
        <v>10</v>
      </c>
      <c r="DN37" s="173">
        <f t="shared" si="67"/>
        <v>1.0478476190476191</v>
      </c>
      <c r="DP37" s="545">
        <f t="shared" si="68"/>
        <v>3200</v>
      </c>
      <c r="DQ37" s="460">
        <f t="shared" si="69"/>
        <v>83.733333333333348</v>
      </c>
      <c r="DS37">
        <f t="shared" si="116"/>
        <v>3200</v>
      </c>
      <c r="DT37" s="460">
        <f t="shared" si="70"/>
        <v>83.733333333333348</v>
      </c>
      <c r="DU37" s="460"/>
      <c r="DV37" s="5">
        <f t="shared" si="117"/>
        <v>11.942675159235666</v>
      </c>
      <c r="DW37" s="5">
        <f t="shared" si="71"/>
        <v>1.6666666666666667</v>
      </c>
      <c r="DX37" s="5">
        <f t="shared" si="118"/>
        <v>10.276008492569</v>
      </c>
      <c r="DY37" s="173">
        <f t="shared" si="119"/>
        <v>0.1395555555555556</v>
      </c>
      <c r="EA37" s="5">
        <f t="shared" si="72"/>
        <v>35.555555555555564</v>
      </c>
      <c r="EB37" s="5">
        <f t="shared" si="73"/>
        <v>1.6666666666666665</v>
      </c>
      <c r="EC37" s="5">
        <f t="shared" si="74"/>
        <v>1.9029645356609257</v>
      </c>
      <c r="ED37" s="5"/>
      <c r="EE37" s="173">
        <f t="shared" si="120"/>
        <v>2.1568152104090546</v>
      </c>
      <c r="EF37" s="173">
        <f t="shared" si="75"/>
        <v>5.3555094511616241</v>
      </c>
      <c r="EG37" s="173">
        <f t="shared" si="76"/>
        <v>0.13189254648350981</v>
      </c>
      <c r="EH37" s="173"/>
      <c r="EI37" s="528">
        <f t="shared" si="77"/>
        <v>9.3037037037037099E-2</v>
      </c>
      <c r="EJ37" s="528">
        <f t="shared" si="78"/>
        <v>1.4686826666666668</v>
      </c>
      <c r="EK37" s="528">
        <f t="shared" si="79"/>
        <v>1.0466666666666668E-2</v>
      </c>
      <c r="EL37" s="528">
        <f t="shared" si="80"/>
        <v>6.4401734933333357E-2</v>
      </c>
      <c r="EM37">
        <f t="shared" si="81"/>
        <v>3.2399999999999998E-2</v>
      </c>
      <c r="EN37" s="460">
        <f t="shared" si="121"/>
        <v>42.866666666666667</v>
      </c>
      <c r="EO37">
        <f t="shared" si="82"/>
        <v>1.7324039337005142</v>
      </c>
      <c r="EP37" s="460">
        <f t="shared" si="122"/>
        <v>1732.4039337005142</v>
      </c>
      <c r="EQ37" s="173">
        <f t="shared" si="83"/>
        <v>1.9879999999999998</v>
      </c>
      <c r="ER37" s="173">
        <f t="shared" ref="ER37:ER68" si="170">Vfwd22*CK37*(1+Diode_TC/1000*(Ta-25))</f>
        <v>3.5499999999999997E-2</v>
      </c>
      <c r="ES37" s="528"/>
      <c r="EU37" s="460">
        <f t="shared" si="123"/>
        <v>2023.4999999999998</v>
      </c>
      <c r="EV37" s="528">
        <f t="shared" si="85"/>
        <v>0.13955555555555563</v>
      </c>
      <c r="EW37" s="528">
        <f t="shared" si="124"/>
        <v>0.86044444444444435</v>
      </c>
      <c r="EX37" s="528">
        <f t="shared" si="86"/>
        <v>8.6978219089523995E-5</v>
      </c>
      <c r="EY37" s="528">
        <f t="shared" si="87"/>
        <v>1.0144156838416705</v>
      </c>
      <c r="EZ37" s="528">
        <f t="shared" si="88"/>
        <v>2.4505875963618799</v>
      </c>
      <c r="FA37" s="625">
        <f t="shared" si="89"/>
        <v>8.3733333333333351E-3</v>
      </c>
      <c r="FB37" s="460">
        <f t="shared" si="125"/>
        <v>2458.9609296952131</v>
      </c>
      <c r="FC37" s="173">
        <f t="shared" si="126"/>
        <v>6.2148648633957269</v>
      </c>
      <c r="FD37" s="5">
        <f t="shared" si="127"/>
        <v>48.64</v>
      </c>
      <c r="FE37" s="173">
        <f t="shared" si="128"/>
        <v>0.88670348785157871</v>
      </c>
      <c r="FF37" s="5">
        <f t="shared" si="129"/>
        <v>88.67034878515787</v>
      </c>
      <c r="FG37">
        <f t="shared" si="130"/>
        <v>32</v>
      </c>
      <c r="FI37" s="562">
        <f t="shared" si="90"/>
        <v>-50</v>
      </c>
      <c r="FJ37">
        <f t="shared" si="91"/>
        <v>-50</v>
      </c>
      <c r="FL37">
        <f t="shared" si="92"/>
        <v>0.64620369913767972</v>
      </c>
    </row>
    <row r="38" spans="5:168">
      <c r="E38" s="170">
        <v>33</v>
      </c>
      <c r="F38" s="217">
        <f t="shared" si="131"/>
        <v>3.3000000000000003</v>
      </c>
      <c r="G38" s="217">
        <f t="shared" ref="G38:G69" si="171">IF(PLOT_TYPE=1, E38/100*Iout2, min_I*EXP(Q38*rr/100))</f>
        <v>8.2500000000000004E-2</v>
      </c>
      <c r="H38" s="217">
        <f t="shared" si="135"/>
        <v>49.500000000000007</v>
      </c>
      <c r="I38" s="217">
        <f t="shared" si="132"/>
        <v>0.66</v>
      </c>
      <c r="J38" s="541">
        <f t="shared" si="136"/>
        <v>71.723315016620049</v>
      </c>
      <c r="K38" s="443">
        <f t="shared" si="137"/>
        <v>15.848559966660831</v>
      </c>
      <c r="L38" s="172">
        <f t="shared" si="138"/>
        <v>87.571874983280878</v>
      </c>
      <c r="M38" s="443"/>
      <c r="N38" s="217">
        <f t="shared" si="139"/>
        <v>0.18097773936765224</v>
      </c>
      <c r="O38" s="172">
        <f t="shared" ref="O38:O69" si="172">N38*J38*Isw_max*0.5*Efficiency*Pout/(Pout+Pout2)</f>
        <v>320.23824206402668</v>
      </c>
      <c r="P38" s="172">
        <f t="shared" si="140"/>
        <v>4.3267744705539606</v>
      </c>
      <c r="Q38" s="217">
        <f t="shared" si="6"/>
        <v>21.349216137601779</v>
      </c>
      <c r="R38" s="217">
        <f t="shared" si="141"/>
        <v>40.029780258003335</v>
      </c>
      <c r="S38" s="443">
        <f t="shared" si="142"/>
        <v>15</v>
      </c>
      <c r="T38" s="217">
        <f t="shared" si="143"/>
        <v>7.72862099182134</v>
      </c>
      <c r="U38" s="217">
        <f t="shared" si="10"/>
        <v>1.2930725787056154</v>
      </c>
      <c r="V38" s="217">
        <f t="shared" si="11"/>
        <v>5.8518535499093929</v>
      </c>
      <c r="W38" s="197">
        <f t="shared" si="12"/>
        <v>108.16936176384901</v>
      </c>
      <c r="X38" s="443">
        <f t="shared" si="95"/>
        <v>136.14840809686459</v>
      </c>
      <c r="Z38" s="217">
        <f t="shared" si="13"/>
        <v>10</v>
      </c>
      <c r="AA38" s="173">
        <f t="shared" si="14"/>
        <v>7.5716658328853255</v>
      </c>
      <c r="AB38" s="173">
        <f t="shared" si="144"/>
        <v>4.0951113031617394</v>
      </c>
      <c r="AC38" s="173"/>
      <c r="AD38" s="173">
        <f t="shared" si="16"/>
        <v>7.5716658328853255</v>
      </c>
      <c r="AE38" s="545">
        <f t="shared" si="145"/>
        <v>87.167079816634583</v>
      </c>
      <c r="AF38" s="528">
        <f t="shared" si="146"/>
        <v>4.0951113031617394</v>
      </c>
      <c r="AH38" s="173">
        <f t="shared" si="147"/>
        <v>4.8873013295390626</v>
      </c>
      <c r="AI38" s="173">
        <f t="shared" si="148"/>
        <v>10</v>
      </c>
      <c r="AJ38" s="173">
        <f t="shared" si="149"/>
        <v>1.0498097598952199</v>
      </c>
      <c r="AL38" s="545">
        <f t="shared" si="150"/>
        <v>3300.0000000000005</v>
      </c>
      <c r="AM38" s="460">
        <f t="shared" si="151"/>
        <v>87.167079816634583</v>
      </c>
      <c r="AO38">
        <f t="shared" si="96"/>
        <v>3300.0000000000005</v>
      </c>
      <c r="AP38" s="460">
        <f t="shared" si="24"/>
        <v>87.167079816634583</v>
      </c>
      <c r="AQ38" s="460"/>
      <c r="AR38" s="5">
        <f t="shared" si="97"/>
        <v>11.472220958917157</v>
      </c>
      <c r="AS38" s="5">
        <f t="shared" si="25"/>
        <v>1.673096119054077</v>
      </c>
      <c r="AT38" s="5">
        <f t="shared" si="98"/>
        <v>9.7991248398630795</v>
      </c>
      <c r="AU38" s="173">
        <f t="shared" si="99"/>
        <v>0.14583890295048829</v>
      </c>
      <c r="AW38" s="5">
        <f t="shared" si="152"/>
        <v>36.808114619189695</v>
      </c>
      <c r="AX38" s="5">
        <f t="shared" si="153"/>
        <v>1.7253803727745169</v>
      </c>
      <c r="AY38" s="5">
        <f t="shared" si="28"/>
        <v>1.8785797410074432</v>
      </c>
      <c r="AZ38" s="5"/>
      <c r="BA38" s="173">
        <f t="shared" si="100"/>
        <v>2.2048348611667672</v>
      </c>
      <c r="BB38" s="173">
        <f t="shared" si="154"/>
        <v>5.3359194679377477</v>
      </c>
      <c r="BC38" s="173">
        <f t="shared" si="155"/>
        <v>0.13141009513195712</v>
      </c>
      <c r="BD38" s="173"/>
      <c r="BE38" s="528">
        <f t="shared" si="31"/>
        <v>9.7225935300325542E-2</v>
      </c>
      <c r="BF38" s="528">
        <f t="shared" si="156"/>
        <v>1.4312596155674979</v>
      </c>
      <c r="BG38" s="528">
        <f t="shared" si="157"/>
        <v>0.15629779811918362</v>
      </c>
      <c r="BH38" s="528">
        <f t="shared" si="34"/>
        <v>6.6846980332317646E-2</v>
      </c>
      <c r="BI38">
        <f t="shared" si="35"/>
        <v>3.227549175747902E-2</v>
      </c>
      <c r="BJ38" s="460">
        <f t="shared" si="101"/>
        <v>188.57328987666264</v>
      </c>
      <c r="BK38">
        <f t="shared" si="158"/>
        <v>1.6599293665332455</v>
      </c>
      <c r="BL38" s="460">
        <f t="shared" si="102"/>
        <v>1659.9293665332455</v>
      </c>
      <c r="BM38" s="173">
        <f t="shared" si="159"/>
        <v>2.050125</v>
      </c>
      <c r="BN38" s="173">
        <f t="shared" si="160"/>
        <v>3.6609375E-2</v>
      </c>
      <c r="BO38" s="528"/>
      <c r="BQ38" s="460">
        <f t="shared" si="103"/>
        <v>2086.734375</v>
      </c>
      <c r="BR38" s="528">
        <f t="shared" si="39"/>
        <v>0.14583890295048832</v>
      </c>
      <c r="BS38" s="528">
        <f t="shared" si="104"/>
        <v>0.85416109704951171</v>
      </c>
      <c r="BT38" s="528">
        <f t="shared" si="161"/>
        <v>8.6343065512950096E-5</v>
      </c>
      <c r="BU38" s="528">
        <f t="shared" si="41"/>
        <v>1.12163420949915</v>
      </c>
      <c r="BV38" s="528">
        <f t="shared" si="162"/>
        <v>2.5671293556585186</v>
      </c>
      <c r="BW38" s="625">
        <f t="shared" si="163"/>
        <v>8.7167079816634595E-3</v>
      </c>
      <c r="BX38" s="460">
        <f t="shared" si="105"/>
        <v>2575.8460636401819</v>
      </c>
      <c r="BY38" s="173">
        <f t="shared" si="106"/>
        <v>6.3225098051734276</v>
      </c>
      <c r="BZ38" s="5">
        <f t="shared" si="107"/>
        <v>50.160000000000004</v>
      </c>
      <c r="CA38" s="173">
        <f t="shared" si="108"/>
        <v>0.88806252011495557</v>
      </c>
      <c r="CB38" s="5">
        <f t="shared" si="109"/>
        <v>88.806252011495559</v>
      </c>
      <c r="CC38">
        <f t="shared" ref="CC38:CC69" si="173">F38/Iout*100</f>
        <v>33</v>
      </c>
      <c r="CE38" s="562">
        <f t="shared" si="164"/>
        <v>-50</v>
      </c>
      <c r="CF38">
        <f t="shared" si="165"/>
        <v>-50</v>
      </c>
      <c r="CG38" s="173">
        <f t="shared" si="166"/>
        <v>0.66639756473573231</v>
      </c>
      <c r="CH38" s="173">
        <f t="shared" si="167"/>
        <v>7.6784502815421457E-2</v>
      </c>
      <c r="CI38" s="170">
        <v>33</v>
      </c>
      <c r="CJ38" s="217">
        <f t="shared" si="133"/>
        <v>3.3000000000000003</v>
      </c>
      <c r="CK38" s="217">
        <f t="shared" si="111"/>
        <v>8.2500000000000004E-2</v>
      </c>
      <c r="CL38" s="217">
        <f t="shared" si="48"/>
        <v>49.500000000000007</v>
      </c>
      <c r="CM38" s="217">
        <f t="shared" si="134"/>
        <v>0.66</v>
      </c>
      <c r="CN38" s="541">
        <f t="shared" si="112"/>
        <v>72</v>
      </c>
      <c r="CO38" s="443">
        <f t="shared" si="168"/>
        <v>15.7</v>
      </c>
      <c r="CP38" s="443">
        <f t="shared" si="169"/>
        <v>87.7</v>
      </c>
      <c r="CQ38" s="443"/>
      <c r="CR38" s="217">
        <f t="shared" si="113"/>
        <v>0.17620137299771166</v>
      </c>
      <c r="CS38" s="172">
        <f t="shared" si="114"/>
        <v>312.98928098277725</v>
      </c>
      <c r="CT38" s="172">
        <f t="shared" si="51"/>
        <v>4.2288329519450798</v>
      </c>
      <c r="CU38" s="217">
        <f t="shared" si="52"/>
        <v>20.865952065518481</v>
      </c>
      <c r="CV38" s="217">
        <f t="shared" si="53"/>
        <v>39.123660122847156</v>
      </c>
      <c r="CW38" s="443">
        <f t="shared" si="54"/>
        <v>15</v>
      </c>
      <c r="CX38" s="217">
        <f t="shared" si="55"/>
        <v>7.9076190476190487</v>
      </c>
      <c r="CY38" s="217">
        <f t="shared" si="56"/>
        <v>1.3179365079365082</v>
      </c>
      <c r="CZ38" s="217">
        <f t="shared" si="57"/>
        <v>6.0440400363967255</v>
      </c>
      <c r="DA38" s="197">
        <f t="shared" si="58"/>
        <v>107.41163055872293</v>
      </c>
      <c r="DB38" s="443">
        <f t="shared" si="115"/>
        <v>135.83308694045411</v>
      </c>
      <c r="DD38" s="217">
        <f t="shared" si="59"/>
        <v>10</v>
      </c>
      <c r="DE38" s="173">
        <f t="shared" si="60"/>
        <v>7.6433121019108281</v>
      </c>
      <c r="DF38" s="173">
        <f t="shared" si="61"/>
        <v>4.1049030786773102</v>
      </c>
      <c r="DG38" s="173"/>
      <c r="DH38" s="173">
        <f t="shared" si="62"/>
        <v>7.6433121019108281</v>
      </c>
      <c r="DI38" s="545">
        <f t="shared" si="63"/>
        <v>86.350000000000009</v>
      </c>
      <c r="DJ38" s="528">
        <f t="shared" si="64"/>
        <v>4.1049030786773093</v>
      </c>
      <c r="DL38" s="173">
        <f t="shared" si="65"/>
        <v>4.8873013295390626</v>
      </c>
      <c r="DM38" s="173">
        <f t="shared" si="66"/>
        <v>10</v>
      </c>
      <c r="DN38" s="173">
        <f t="shared" si="67"/>
        <v>1.0493428571428571</v>
      </c>
      <c r="DP38" s="545">
        <f t="shared" si="68"/>
        <v>3300.0000000000005</v>
      </c>
      <c r="DQ38" s="460">
        <f t="shared" si="69"/>
        <v>86.350000000000009</v>
      </c>
      <c r="DS38">
        <f t="shared" si="116"/>
        <v>3300.0000000000005</v>
      </c>
      <c r="DT38" s="460">
        <f t="shared" si="70"/>
        <v>86.350000000000009</v>
      </c>
      <c r="DU38" s="460"/>
      <c r="DV38" s="5">
        <f t="shared" si="117"/>
        <v>11.580775911986104</v>
      </c>
      <c r="DW38" s="5">
        <f t="shared" si="71"/>
        <v>1.6666666666666667</v>
      </c>
      <c r="DX38" s="5">
        <f t="shared" si="118"/>
        <v>9.9141092453194375</v>
      </c>
      <c r="DY38" s="173">
        <f t="shared" si="119"/>
        <v>0.14391666666666666</v>
      </c>
      <c r="EA38" s="5">
        <f t="shared" si="72"/>
        <v>36.666666666666671</v>
      </c>
      <c r="EB38" s="5">
        <f t="shared" si="73"/>
        <v>1.7187500000000002</v>
      </c>
      <c r="EC38" s="5">
        <f t="shared" si="74"/>
        <v>1.8933194739325316</v>
      </c>
      <c r="ED38" s="5"/>
      <c r="EE38" s="173">
        <f t="shared" si="120"/>
        <v>2.1902562001332679</v>
      </c>
      <c r="EF38" s="173">
        <f t="shared" si="75"/>
        <v>5.3419201707916901</v>
      </c>
      <c r="EG38" s="173">
        <f t="shared" si="76"/>
        <v>0.13155787714734044</v>
      </c>
      <c r="EH38" s="173"/>
      <c r="EI38" s="528">
        <f t="shared" si="77"/>
        <v>9.5944444444444429E-2</v>
      </c>
      <c r="EJ38" s="528">
        <f t="shared" si="78"/>
        <v>1.5145790000000003</v>
      </c>
      <c r="EK38" s="528">
        <f t="shared" si="79"/>
        <v>1.079375E-2</v>
      </c>
      <c r="EL38" s="528">
        <f t="shared" si="80"/>
        <v>6.6414289150000028E-2</v>
      </c>
      <c r="EM38">
        <f t="shared" si="81"/>
        <v>3.2399999999999998E-2</v>
      </c>
      <c r="EN38" s="460">
        <f t="shared" si="121"/>
        <v>43.193749999999994</v>
      </c>
      <c r="EO38">
        <f t="shared" si="82"/>
        <v>1.786768370065813</v>
      </c>
      <c r="EP38" s="460">
        <f t="shared" si="122"/>
        <v>1786.7683700658131</v>
      </c>
      <c r="EQ38" s="173">
        <f t="shared" si="83"/>
        <v>2.050125</v>
      </c>
      <c r="ER38" s="173">
        <f t="shared" si="170"/>
        <v>3.6609375E-2</v>
      </c>
      <c r="ES38" s="528"/>
      <c r="EU38" s="460">
        <f t="shared" si="123"/>
        <v>2086.734375</v>
      </c>
      <c r="EV38" s="528">
        <f t="shared" si="85"/>
        <v>0.14391666666666664</v>
      </c>
      <c r="EW38" s="528">
        <f t="shared" si="124"/>
        <v>0.85608333333333353</v>
      </c>
      <c r="EX38" s="528">
        <f t="shared" si="86"/>
        <v>8.6537375197573587E-5</v>
      </c>
      <c r="EY38" s="528">
        <f t="shared" si="87"/>
        <v>1.095533996516419</v>
      </c>
      <c r="EZ38" s="528">
        <f t="shared" si="88"/>
        <v>2.5387596507275858</v>
      </c>
      <c r="FA38" s="625">
        <f t="shared" si="89"/>
        <v>8.6350000000000003E-3</v>
      </c>
      <c r="FB38" s="460">
        <f t="shared" si="125"/>
        <v>2547.3946507275859</v>
      </c>
      <c r="FC38" s="173">
        <f t="shared" si="126"/>
        <v>6.4208973957933981</v>
      </c>
      <c r="FD38" s="5">
        <f t="shared" si="127"/>
        <v>50.160000000000004</v>
      </c>
      <c r="FE38" s="173">
        <f t="shared" si="128"/>
        <v>0.88651828282471234</v>
      </c>
      <c r="FF38" s="5">
        <f t="shared" si="129"/>
        <v>88.651828282471229</v>
      </c>
      <c r="FG38">
        <f t="shared" si="130"/>
        <v>33</v>
      </c>
      <c r="FI38" s="562">
        <f t="shared" si="90"/>
        <v>-50</v>
      </c>
      <c r="FJ38">
        <f t="shared" si="91"/>
        <v>-50</v>
      </c>
      <c r="FL38">
        <f t="shared" si="92"/>
        <v>0.6663975647357322</v>
      </c>
    </row>
    <row r="39" spans="5:168">
      <c r="E39" s="170">
        <v>34</v>
      </c>
      <c r="F39" s="217">
        <f t="shared" si="131"/>
        <v>3.4000000000000004</v>
      </c>
      <c r="G39" s="217">
        <f t="shared" si="171"/>
        <v>8.5000000000000006E-2</v>
      </c>
      <c r="H39" s="217">
        <f t="shared" si="135"/>
        <v>51.000000000000007</v>
      </c>
      <c r="I39" s="217">
        <f t="shared" si="132"/>
        <v>0.68</v>
      </c>
      <c r="J39" s="541">
        <f t="shared" si="136"/>
        <v>71.723315016620049</v>
      </c>
      <c r="K39" s="443">
        <f t="shared" si="137"/>
        <v>15.848559966660831</v>
      </c>
      <c r="L39" s="172">
        <f t="shared" si="138"/>
        <v>87.571874983280878</v>
      </c>
      <c r="M39" s="443"/>
      <c r="N39" s="217">
        <f t="shared" si="139"/>
        <v>0.18097773936765224</v>
      </c>
      <c r="O39" s="172">
        <f t="shared" si="172"/>
        <v>320.23824206402668</v>
      </c>
      <c r="P39" s="172">
        <f t="shared" si="140"/>
        <v>4.3267744705539606</v>
      </c>
      <c r="Q39" s="217">
        <f t="shared" si="6"/>
        <v>21.349216137601779</v>
      </c>
      <c r="R39" s="217">
        <f t="shared" si="141"/>
        <v>40.029780258003335</v>
      </c>
      <c r="S39" s="443">
        <f t="shared" si="142"/>
        <v>15</v>
      </c>
      <c r="T39" s="217">
        <f t="shared" si="143"/>
        <v>7.9628216279371387</v>
      </c>
      <c r="U39" s="217">
        <f t="shared" si="10"/>
        <v>1.3322565962421493</v>
      </c>
      <c r="V39" s="217">
        <f t="shared" si="11"/>
        <v>6.0291824453611937</v>
      </c>
      <c r="W39" s="197">
        <f t="shared" si="12"/>
        <v>108.16936176384901</v>
      </c>
      <c r="X39" s="443">
        <f t="shared" si="95"/>
        <v>132.24995857243042</v>
      </c>
      <c r="Z39" s="217">
        <f t="shared" si="13"/>
        <v>10</v>
      </c>
      <c r="AA39" s="173">
        <f t="shared" si="14"/>
        <v>7.5716658328853255</v>
      </c>
      <c r="AB39" s="173">
        <f t="shared" si="144"/>
        <v>4.0951113031617394</v>
      </c>
      <c r="AC39" s="173"/>
      <c r="AD39" s="173">
        <f t="shared" si="16"/>
        <v>7.5716658328853255</v>
      </c>
      <c r="AE39" s="545">
        <f t="shared" si="145"/>
        <v>89.808506477744714</v>
      </c>
      <c r="AF39" s="528">
        <f t="shared" si="146"/>
        <v>4.0951113031617394</v>
      </c>
      <c r="AH39" s="173">
        <f t="shared" si="147"/>
        <v>4.960798706813633</v>
      </c>
      <c r="AI39" s="173">
        <f t="shared" si="148"/>
        <v>10</v>
      </c>
      <c r="AJ39" s="173">
        <f t="shared" si="149"/>
        <v>1.0513191465587113</v>
      </c>
      <c r="AL39" s="545">
        <f t="shared" si="150"/>
        <v>3400.0000000000005</v>
      </c>
      <c r="AM39" s="460">
        <f t="shared" si="151"/>
        <v>89.808506477744714</v>
      </c>
      <c r="AO39">
        <f t="shared" si="96"/>
        <v>3400.0000000000005</v>
      </c>
      <c r="AP39" s="460">
        <f t="shared" si="24"/>
        <v>89.808506477744714</v>
      </c>
      <c r="AQ39" s="460"/>
      <c r="AR39" s="5">
        <f t="shared" si="97"/>
        <v>11.134802695419594</v>
      </c>
      <c r="AS39" s="5">
        <f t="shared" si="25"/>
        <v>1.673096119054077</v>
      </c>
      <c r="AT39" s="5">
        <f t="shared" si="98"/>
        <v>9.4617065763655184</v>
      </c>
      <c r="AU39" s="173">
        <f t="shared" si="99"/>
        <v>0.15025826364595762</v>
      </c>
      <c r="AW39" s="5">
        <f t="shared" si="152"/>
        <v>37.923512031892415</v>
      </c>
      <c r="AX39" s="5">
        <f t="shared" si="153"/>
        <v>1.7776646264949569</v>
      </c>
      <c r="AY39" s="5">
        <f t="shared" si="28"/>
        <v>1.8688601207866318</v>
      </c>
      <c r="AZ39" s="5"/>
      <c r="BA39" s="173">
        <f t="shared" si="100"/>
        <v>2.2379921331851431</v>
      </c>
      <c r="BB39" s="173">
        <f t="shared" si="154"/>
        <v>5.3220977579460849</v>
      </c>
      <c r="BC39" s="173">
        <f t="shared" si="155"/>
        <v>0.13106970164667223</v>
      </c>
      <c r="BD39" s="173"/>
      <c r="BE39" s="528">
        <f t="shared" si="31"/>
        <v>0.10017217576397175</v>
      </c>
      <c r="BF39" s="528">
        <f t="shared" si="156"/>
        <v>1.4746311190695431</v>
      </c>
      <c r="BG39" s="528">
        <f t="shared" si="157"/>
        <v>0.16103409503188615</v>
      </c>
      <c r="BH39" s="528">
        <f t="shared" si="34"/>
        <v>6.8872646402993926E-2</v>
      </c>
      <c r="BI39">
        <f t="shared" si="35"/>
        <v>3.227549175747902E-2</v>
      </c>
      <c r="BJ39" s="460">
        <f t="shared" si="101"/>
        <v>193.30958678936517</v>
      </c>
      <c r="BK39">
        <f t="shared" si="158"/>
        <v>1.7114566526746782</v>
      </c>
      <c r="BL39" s="460">
        <f t="shared" si="102"/>
        <v>1711.4566526746783</v>
      </c>
      <c r="BM39" s="173">
        <f t="shared" si="159"/>
        <v>2.11225</v>
      </c>
      <c r="BN39" s="173">
        <f t="shared" si="160"/>
        <v>3.7718750000000002E-2</v>
      </c>
      <c r="BO39" s="528"/>
      <c r="BQ39" s="460">
        <f t="shared" si="103"/>
        <v>2149.9687499999995</v>
      </c>
      <c r="BR39" s="528">
        <f t="shared" si="39"/>
        <v>0.1502582636459576</v>
      </c>
      <c r="BS39" s="528">
        <f t="shared" si="104"/>
        <v>0.84974173635404227</v>
      </c>
      <c r="BT39" s="528">
        <f t="shared" si="161"/>
        <v>8.5896333448738353E-5</v>
      </c>
      <c r="BU39" s="528">
        <f t="shared" si="41"/>
        <v>1.2085474033381589</v>
      </c>
      <c r="BV39" s="528">
        <f t="shared" si="162"/>
        <v>2.6616002223126647</v>
      </c>
      <c r="BW39" s="625">
        <f t="shared" si="163"/>
        <v>8.9808506477744732E-3</v>
      </c>
      <c r="BX39" s="460">
        <f t="shared" si="105"/>
        <v>2670.5810729604395</v>
      </c>
      <c r="BY39" s="173">
        <f t="shared" si="106"/>
        <v>6.532006475635117</v>
      </c>
      <c r="BZ39" s="5">
        <f t="shared" si="107"/>
        <v>51.680000000000007</v>
      </c>
      <c r="CA39" s="173">
        <f t="shared" si="108"/>
        <v>0.88778936045832546</v>
      </c>
      <c r="CB39" s="5">
        <f t="shared" si="109"/>
        <v>88.778936045832552</v>
      </c>
      <c r="CC39">
        <f t="shared" si="173"/>
        <v>34</v>
      </c>
      <c r="CE39" s="562">
        <f t="shared" si="164"/>
        <v>-50</v>
      </c>
      <c r="CF39">
        <f t="shared" si="165"/>
        <v>-50</v>
      </c>
      <c r="CG39" s="173">
        <f t="shared" si="166"/>
        <v>0.68659143033378478</v>
      </c>
      <c r="CH39" s="173">
        <f t="shared" si="167"/>
        <v>7.9111305931040307E-2</v>
      </c>
      <c r="CI39" s="170">
        <v>34</v>
      </c>
      <c r="CJ39" s="217">
        <f t="shared" si="133"/>
        <v>3.4000000000000004</v>
      </c>
      <c r="CK39" s="217">
        <f t="shared" si="111"/>
        <v>8.5000000000000006E-2</v>
      </c>
      <c r="CL39" s="217">
        <f t="shared" si="48"/>
        <v>51.000000000000007</v>
      </c>
      <c r="CM39" s="217">
        <f t="shared" si="134"/>
        <v>0.68</v>
      </c>
      <c r="CN39" s="541">
        <f t="shared" si="112"/>
        <v>72</v>
      </c>
      <c r="CO39" s="443">
        <f t="shared" si="168"/>
        <v>15.7</v>
      </c>
      <c r="CP39" s="443">
        <f t="shared" si="169"/>
        <v>87.7</v>
      </c>
      <c r="CQ39" s="443"/>
      <c r="CR39" s="217">
        <f t="shared" si="113"/>
        <v>0.17620137299771166</v>
      </c>
      <c r="CS39" s="172">
        <f t="shared" si="114"/>
        <v>312.98928098277725</v>
      </c>
      <c r="CT39" s="172">
        <f t="shared" si="51"/>
        <v>4.2288329519450798</v>
      </c>
      <c r="CU39" s="217">
        <f t="shared" si="52"/>
        <v>20.865952065518481</v>
      </c>
      <c r="CV39" s="217">
        <f t="shared" si="53"/>
        <v>39.123660122847156</v>
      </c>
      <c r="CW39" s="443">
        <f t="shared" si="54"/>
        <v>15</v>
      </c>
      <c r="CX39" s="217">
        <f t="shared" si="55"/>
        <v>8.1472438672438692</v>
      </c>
      <c r="CY39" s="217">
        <f t="shared" si="56"/>
        <v>1.3578739778739781</v>
      </c>
      <c r="CZ39" s="217">
        <f t="shared" si="57"/>
        <v>6.2271927647723846</v>
      </c>
      <c r="DA39" s="197">
        <f t="shared" si="58"/>
        <v>107.41163055872293</v>
      </c>
      <c r="DB39" s="443">
        <f t="shared" si="115"/>
        <v>131.8379961480878</v>
      </c>
      <c r="DD39" s="217">
        <f t="shared" si="59"/>
        <v>10</v>
      </c>
      <c r="DE39" s="173">
        <f t="shared" si="60"/>
        <v>7.6433121019108281</v>
      </c>
      <c r="DF39" s="173">
        <f t="shared" si="61"/>
        <v>4.1049030786773102</v>
      </c>
      <c r="DG39" s="173"/>
      <c r="DH39" s="173">
        <f t="shared" si="62"/>
        <v>7.6433121019108281</v>
      </c>
      <c r="DI39" s="545">
        <f t="shared" si="63"/>
        <v>88.966666666666683</v>
      </c>
      <c r="DJ39" s="528">
        <f t="shared" si="64"/>
        <v>4.1049030786773093</v>
      </c>
      <c r="DL39" s="173">
        <f t="shared" si="65"/>
        <v>4.960798706813633</v>
      </c>
      <c r="DM39" s="173">
        <f t="shared" si="66"/>
        <v>10</v>
      </c>
      <c r="DN39" s="173">
        <f t="shared" si="67"/>
        <v>1.0508380952380953</v>
      </c>
      <c r="DP39" s="545">
        <f t="shared" si="68"/>
        <v>3400.0000000000005</v>
      </c>
      <c r="DQ39" s="460">
        <f t="shared" si="69"/>
        <v>88.966666666666683</v>
      </c>
      <c r="DS39">
        <f t="shared" si="116"/>
        <v>3400.0000000000005</v>
      </c>
      <c r="DT39" s="460">
        <f t="shared" si="70"/>
        <v>88.966666666666683</v>
      </c>
      <c r="DU39" s="460"/>
      <c r="DV39" s="5">
        <f t="shared" si="117"/>
        <v>11.240164855751216</v>
      </c>
      <c r="DW39" s="5">
        <f t="shared" si="71"/>
        <v>1.6666666666666667</v>
      </c>
      <c r="DX39" s="5">
        <f t="shared" si="118"/>
        <v>9.5734981890845496</v>
      </c>
      <c r="DY39" s="173">
        <f t="shared" si="119"/>
        <v>0.14827777777777781</v>
      </c>
      <c r="EA39" s="5">
        <f t="shared" si="72"/>
        <v>37.777777777777786</v>
      </c>
      <c r="EB39" s="5">
        <f t="shared" si="73"/>
        <v>1.7708333333333337</v>
      </c>
      <c r="EC39" s="5">
        <f t="shared" si="74"/>
        <v>1.8836744122041362</v>
      </c>
      <c r="ED39" s="5"/>
      <c r="EE39" s="173">
        <f t="shared" si="120"/>
        <v>2.2231942318638271</v>
      </c>
      <c r="EF39" s="173">
        <f t="shared" si="75"/>
        <v>5.3282962324499881</v>
      </c>
      <c r="EG39" s="173">
        <f t="shared" si="76"/>
        <v>0.13122235427367032</v>
      </c>
      <c r="EH39" s="173"/>
      <c r="EI39" s="528">
        <f t="shared" si="77"/>
        <v>9.8851851851851844E-2</v>
      </c>
      <c r="EJ39" s="528">
        <f t="shared" si="78"/>
        <v>1.5604753333333334</v>
      </c>
      <c r="EK39" s="528">
        <f t="shared" si="79"/>
        <v>1.1120833333333335E-2</v>
      </c>
      <c r="EL39" s="528">
        <f t="shared" si="80"/>
        <v>6.8426843366666684E-2</v>
      </c>
      <c r="EM39">
        <f t="shared" si="81"/>
        <v>3.2399999999999998E-2</v>
      </c>
      <c r="EN39" s="460">
        <f t="shared" si="121"/>
        <v>43.520833333333336</v>
      </c>
      <c r="EO39">
        <f t="shared" si="82"/>
        <v>1.8412097228886146</v>
      </c>
      <c r="EP39" s="460">
        <f t="shared" si="122"/>
        <v>1841.2097228886146</v>
      </c>
      <c r="EQ39" s="173">
        <f t="shared" si="83"/>
        <v>2.11225</v>
      </c>
      <c r="ER39" s="173">
        <f t="shared" si="170"/>
        <v>3.7718750000000002E-2</v>
      </c>
      <c r="ES39" s="528"/>
      <c r="EU39" s="460">
        <f t="shared" si="123"/>
        <v>2149.9687499999995</v>
      </c>
      <c r="EV39" s="528">
        <f t="shared" si="85"/>
        <v>0.14827777777777776</v>
      </c>
      <c r="EW39" s="528">
        <f t="shared" si="124"/>
        <v>0.85172222222222205</v>
      </c>
      <c r="EX39" s="528">
        <f t="shared" si="86"/>
        <v>8.6096531305623219E-5</v>
      </c>
      <c r="EY39" s="528">
        <f t="shared" si="87"/>
        <v>1.1804247370003182</v>
      </c>
      <c r="EZ39" s="528">
        <f t="shared" si="88"/>
        <v>2.6310321940421626</v>
      </c>
      <c r="FA39" s="625">
        <f t="shared" si="89"/>
        <v>8.896666666666669E-3</v>
      </c>
      <c r="FB39" s="460">
        <f t="shared" si="125"/>
        <v>2639.9288607088292</v>
      </c>
      <c r="FC39" s="173">
        <f t="shared" si="126"/>
        <v>6.6311073335974431</v>
      </c>
      <c r="FD39" s="5">
        <f t="shared" si="127"/>
        <v>51.680000000000007</v>
      </c>
      <c r="FE39" s="173">
        <f t="shared" si="128"/>
        <v>0.88628054521995403</v>
      </c>
      <c r="FF39" s="5">
        <f t="shared" si="129"/>
        <v>88.628054521995409</v>
      </c>
      <c r="FG39">
        <f t="shared" si="130"/>
        <v>34</v>
      </c>
      <c r="FI39" s="562">
        <f t="shared" si="90"/>
        <v>-50</v>
      </c>
      <c r="FJ39">
        <f t="shared" si="91"/>
        <v>-50</v>
      </c>
      <c r="FL39">
        <f t="shared" si="92"/>
        <v>0.68659143033378478</v>
      </c>
    </row>
    <row r="40" spans="5:168">
      <c r="E40" s="170">
        <v>35</v>
      </c>
      <c r="F40" s="217">
        <f t="shared" ref="F40:F71" si="174">IF(PLOT_TYPE=1, E40/100*Iout_max, min_I*EXP(O40*rr/100))</f>
        <v>3.5</v>
      </c>
      <c r="G40" s="217">
        <f t="shared" si="171"/>
        <v>8.7499999999999994E-2</v>
      </c>
      <c r="H40" s="217">
        <f t="shared" si="135"/>
        <v>52.5</v>
      </c>
      <c r="I40" s="217">
        <f t="shared" ref="I40:I71" si="175">Vout2*G40</f>
        <v>0.7</v>
      </c>
      <c r="J40" s="541">
        <f t="shared" si="136"/>
        <v>71.723315016620049</v>
      </c>
      <c r="K40" s="443">
        <f t="shared" si="137"/>
        <v>15.848559966660831</v>
      </c>
      <c r="L40" s="172">
        <f t="shared" si="138"/>
        <v>87.571874983280878</v>
      </c>
      <c r="M40" s="443"/>
      <c r="N40" s="217">
        <f t="shared" si="139"/>
        <v>0.18097773936765224</v>
      </c>
      <c r="O40" s="172">
        <f t="shared" si="172"/>
        <v>320.23824206402668</v>
      </c>
      <c r="P40" s="172">
        <f t="shared" si="140"/>
        <v>4.3267744705539606</v>
      </c>
      <c r="Q40" s="217">
        <f t="shared" si="6"/>
        <v>21.349216137601779</v>
      </c>
      <c r="R40" s="217">
        <f t="shared" si="141"/>
        <v>40.029780258003335</v>
      </c>
      <c r="S40" s="443">
        <f t="shared" si="142"/>
        <v>15</v>
      </c>
      <c r="T40" s="217">
        <f t="shared" si="143"/>
        <v>8.1970222640529364</v>
      </c>
      <c r="U40" s="217">
        <f t="shared" si="10"/>
        <v>1.371440613778683</v>
      </c>
      <c r="V40" s="217">
        <f t="shared" si="11"/>
        <v>6.2065113408129919</v>
      </c>
      <c r="W40" s="197">
        <f t="shared" si="12"/>
        <v>108.16936176384901</v>
      </c>
      <c r="X40" s="443">
        <f t="shared" si="95"/>
        <v>128.56854938653291</v>
      </c>
      <c r="Z40" s="217">
        <f t="shared" si="13"/>
        <v>10</v>
      </c>
      <c r="AA40" s="173">
        <f t="shared" si="14"/>
        <v>7.5716658328853255</v>
      </c>
      <c r="AB40" s="173">
        <f t="shared" si="144"/>
        <v>4.0951113031617394</v>
      </c>
      <c r="AC40" s="173"/>
      <c r="AD40" s="173">
        <f t="shared" si="16"/>
        <v>7.5716658328853255</v>
      </c>
      <c r="AE40" s="545">
        <f t="shared" si="145"/>
        <v>92.449933138854846</v>
      </c>
      <c r="AF40" s="528">
        <f t="shared" si="146"/>
        <v>4.0951113031617394</v>
      </c>
      <c r="AH40" s="173">
        <f t="shared" si="147"/>
        <v>5.0332229568471663</v>
      </c>
      <c r="AI40" s="173">
        <f t="shared" si="148"/>
        <v>10</v>
      </c>
      <c r="AJ40" s="173">
        <f t="shared" si="149"/>
        <v>1.0528285332222027</v>
      </c>
      <c r="AL40" s="545">
        <f t="shared" si="150"/>
        <v>3500</v>
      </c>
      <c r="AM40" s="460">
        <f t="shared" si="151"/>
        <v>92.449933138854846</v>
      </c>
      <c r="AO40">
        <f t="shared" si="96"/>
        <v>3500</v>
      </c>
      <c r="AP40" s="460">
        <f t="shared" si="24"/>
        <v>92.449933138854846</v>
      </c>
      <c r="AQ40" s="460"/>
      <c r="AR40" s="5">
        <f t="shared" si="97"/>
        <v>10.816665475550465</v>
      </c>
      <c r="AS40" s="5">
        <f t="shared" si="25"/>
        <v>1.673096119054077</v>
      </c>
      <c r="AT40" s="5">
        <f t="shared" si="98"/>
        <v>9.1435693564963891</v>
      </c>
      <c r="AU40" s="173">
        <f t="shared" si="99"/>
        <v>0.15467762434142693</v>
      </c>
      <c r="AW40" s="5">
        <f t="shared" si="152"/>
        <v>39.038909444595134</v>
      </c>
      <c r="AX40" s="5">
        <f t="shared" si="153"/>
        <v>1.8299488802153963</v>
      </c>
      <c r="AY40" s="5">
        <f t="shared" si="28"/>
        <v>1.8591405005658199</v>
      </c>
      <c r="AZ40" s="5"/>
      <c r="BA40" s="173">
        <f t="shared" si="100"/>
        <v>2.2706652794678694</v>
      </c>
      <c r="BB40" s="173">
        <f t="shared" si="154"/>
        <v>5.3082400588097398</v>
      </c>
      <c r="BC40" s="173">
        <f t="shared" si="155"/>
        <v>0.13072842184049088</v>
      </c>
      <c r="BD40" s="173"/>
      <c r="BE40" s="528">
        <f t="shared" si="31"/>
        <v>0.10311841622761796</v>
      </c>
      <c r="BF40" s="528">
        <f t="shared" si="156"/>
        <v>1.5180026225715886</v>
      </c>
      <c r="BG40" s="528">
        <f t="shared" si="157"/>
        <v>0.16577039194458867</v>
      </c>
      <c r="BH40" s="528">
        <f t="shared" si="34"/>
        <v>7.0898312473670219E-2</v>
      </c>
      <c r="BI40">
        <f t="shared" si="35"/>
        <v>3.227549175747902E-2</v>
      </c>
      <c r="BJ40" s="460">
        <f t="shared" si="101"/>
        <v>198.0458837020677</v>
      </c>
      <c r="BK40">
        <f t="shared" si="158"/>
        <v>1.7630578916863044</v>
      </c>
      <c r="BL40" s="460">
        <f t="shared" si="102"/>
        <v>1763.0578916863044</v>
      </c>
      <c r="BM40" s="173">
        <f t="shared" si="159"/>
        <v>2.1743749999999995</v>
      </c>
      <c r="BN40" s="173">
        <f t="shared" si="160"/>
        <v>3.8828124999999998E-2</v>
      </c>
      <c r="BO40" s="528"/>
      <c r="BQ40" s="460">
        <f t="shared" si="103"/>
        <v>2213.2031249999995</v>
      </c>
      <c r="BR40" s="528">
        <f t="shared" si="39"/>
        <v>0.15467762434142693</v>
      </c>
      <c r="BS40" s="528">
        <f t="shared" si="104"/>
        <v>0.84532237565857282</v>
      </c>
      <c r="BT40" s="528">
        <f t="shared" si="161"/>
        <v>8.5449601384526665E-5</v>
      </c>
      <c r="BU40" s="528">
        <f t="shared" si="41"/>
        <v>1.2993809873825453</v>
      </c>
      <c r="BV40" s="528">
        <f t="shared" si="162"/>
        <v>2.7603324069919255</v>
      </c>
      <c r="BW40" s="625">
        <f t="shared" si="163"/>
        <v>9.2449933138854853E-3</v>
      </c>
      <c r="BX40" s="460">
        <f t="shared" si="105"/>
        <v>2769.5774003058109</v>
      </c>
      <c r="BY40" s="173">
        <f t="shared" si="106"/>
        <v>6.7458384169921146</v>
      </c>
      <c r="BZ40" s="5">
        <f t="shared" si="107"/>
        <v>53.2</v>
      </c>
      <c r="CA40" s="173">
        <f t="shared" si="108"/>
        <v>0.88746777766177753</v>
      </c>
      <c r="CB40" s="5">
        <f t="shared" si="109"/>
        <v>88.746777766177757</v>
      </c>
      <c r="CC40">
        <f t="shared" si="173"/>
        <v>35</v>
      </c>
      <c r="CE40" s="562">
        <f t="shared" si="164"/>
        <v>-50</v>
      </c>
      <c r="CF40">
        <f t="shared" si="165"/>
        <v>-50</v>
      </c>
      <c r="CG40" s="173">
        <f t="shared" si="166"/>
        <v>0.70678529593183703</v>
      </c>
      <c r="CH40" s="173">
        <f t="shared" si="167"/>
        <v>8.1438109046659116E-2</v>
      </c>
      <c r="CI40" s="170">
        <v>35</v>
      </c>
      <c r="CJ40" s="217">
        <f t="shared" si="133"/>
        <v>3.5</v>
      </c>
      <c r="CK40" s="217">
        <f t="shared" si="111"/>
        <v>8.7499999999999994E-2</v>
      </c>
      <c r="CL40" s="217">
        <f t="shared" si="48"/>
        <v>52.5</v>
      </c>
      <c r="CM40" s="217">
        <f t="shared" si="134"/>
        <v>0.7</v>
      </c>
      <c r="CN40" s="541">
        <f t="shared" si="112"/>
        <v>72</v>
      </c>
      <c r="CO40" s="443">
        <f t="shared" si="168"/>
        <v>15.7</v>
      </c>
      <c r="CP40" s="443">
        <f t="shared" si="169"/>
        <v>87.7</v>
      </c>
      <c r="CQ40" s="443"/>
      <c r="CR40" s="217">
        <f t="shared" si="113"/>
        <v>0.17620137299771166</v>
      </c>
      <c r="CS40" s="172">
        <f t="shared" si="114"/>
        <v>312.98928098277725</v>
      </c>
      <c r="CT40" s="172">
        <f t="shared" si="51"/>
        <v>4.2288329519450798</v>
      </c>
      <c r="CU40" s="217">
        <f t="shared" si="52"/>
        <v>20.865952065518481</v>
      </c>
      <c r="CV40" s="217">
        <f t="shared" si="53"/>
        <v>39.123660122847156</v>
      </c>
      <c r="CW40" s="443">
        <f t="shared" si="54"/>
        <v>15</v>
      </c>
      <c r="CX40" s="217">
        <f t="shared" si="55"/>
        <v>8.3868686868686879</v>
      </c>
      <c r="CY40" s="217">
        <f t="shared" si="56"/>
        <v>1.3978114478114481</v>
      </c>
      <c r="CZ40" s="217">
        <f t="shared" si="57"/>
        <v>6.4103454931480428</v>
      </c>
      <c r="DA40" s="197">
        <f t="shared" si="58"/>
        <v>107.41163055872293</v>
      </c>
      <c r="DB40" s="443">
        <f t="shared" si="115"/>
        <v>128.07119625814244</v>
      </c>
      <c r="DD40" s="217">
        <f t="shared" si="59"/>
        <v>10</v>
      </c>
      <c r="DE40" s="173">
        <f t="shared" si="60"/>
        <v>7.6433121019108281</v>
      </c>
      <c r="DF40" s="173">
        <f t="shared" si="61"/>
        <v>4.1049030786773102</v>
      </c>
      <c r="DG40" s="173"/>
      <c r="DH40" s="173">
        <f t="shared" si="62"/>
        <v>7.6433121019108281</v>
      </c>
      <c r="DI40" s="545">
        <f t="shared" si="63"/>
        <v>91.583333333333343</v>
      </c>
      <c r="DJ40" s="528">
        <f t="shared" si="64"/>
        <v>4.1049030786773093</v>
      </c>
      <c r="DL40" s="173">
        <f t="shared" si="65"/>
        <v>5.0332229568471663</v>
      </c>
      <c r="DM40" s="173">
        <f t="shared" si="66"/>
        <v>10</v>
      </c>
      <c r="DN40" s="173">
        <f t="shared" si="67"/>
        <v>1.0523333333333333</v>
      </c>
      <c r="DP40" s="545">
        <f t="shared" si="68"/>
        <v>3500</v>
      </c>
      <c r="DQ40" s="460">
        <f t="shared" si="69"/>
        <v>91.583333333333343</v>
      </c>
      <c r="DS40">
        <f t="shared" si="116"/>
        <v>3500</v>
      </c>
      <c r="DT40" s="460">
        <f t="shared" si="70"/>
        <v>91.583333333333343</v>
      </c>
      <c r="DU40" s="460"/>
      <c r="DV40" s="5">
        <f t="shared" si="117"/>
        <v>10.919017288444039</v>
      </c>
      <c r="DW40" s="5">
        <f t="shared" si="71"/>
        <v>1.6666666666666667</v>
      </c>
      <c r="DX40" s="5">
        <f t="shared" si="118"/>
        <v>9.2523506217773726</v>
      </c>
      <c r="DY40" s="173">
        <f t="shared" si="119"/>
        <v>0.15263888888888891</v>
      </c>
      <c r="EA40" s="5">
        <f t="shared" si="72"/>
        <v>38.888888888888893</v>
      </c>
      <c r="EB40" s="5">
        <f t="shared" si="73"/>
        <v>1.8229166666666667</v>
      </c>
      <c r="EC40" s="5">
        <f t="shared" si="74"/>
        <v>1.8740293504757408</v>
      </c>
      <c r="ED40" s="5"/>
      <c r="EE40" s="173">
        <f t="shared" si="120"/>
        <v>2.2556513389624211</v>
      </c>
      <c r="EF40" s="173">
        <f t="shared" si="75"/>
        <v>5.3146373696020284</v>
      </c>
      <c r="EG40" s="173">
        <f t="shared" si="76"/>
        <v>0.13088597129843429</v>
      </c>
      <c r="EH40" s="173"/>
      <c r="EI40" s="528">
        <f t="shared" si="77"/>
        <v>0.10175925925925926</v>
      </c>
      <c r="EJ40" s="528">
        <f t="shared" si="78"/>
        <v>1.606371666666667</v>
      </c>
      <c r="EK40" s="528">
        <f t="shared" si="79"/>
        <v>1.1447916666666667E-2</v>
      </c>
      <c r="EL40" s="528">
        <f t="shared" si="80"/>
        <v>7.0439397583333355E-2</v>
      </c>
      <c r="EM40">
        <f t="shared" si="81"/>
        <v>3.2399999999999998E-2</v>
      </c>
      <c r="EN40" s="460">
        <f t="shared" si="121"/>
        <v>43.84791666666667</v>
      </c>
      <c r="EO40">
        <f t="shared" si="82"/>
        <v>1.8957281555200909</v>
      </c>
      <c r="EP40" s="460">
        <f t="shared" si="122"/>
        <v>1895.7281555200909</v>
      </c>
      <c r="EQ40" s="173">
        <f t="shared" si="83"/>
        <v>2.1743749999999995</v>
      </c>
      <c r="ER40" s="173">
        <f t="shared" si="170"/>
        <v>3.8828124999999998E-2</v>
      </c>
      <c r="ES40" s="528"/>
      <c r="EU40" s="460">
        <f t="shared" si="123"/>
        <v>2213.2031249999995</v>
      </c>
      <c r="EV40" s="528">
        <f t="shared" si="85"/>
        <v>0.15263888888888888</v>
      </c>
      <c r="EW40" s="528">
        <f t="shared" si="124"/>
        <v>0.84736111111111101</v>
      </c>
      <c r="EX40" s="528">
        <f t="shared" si="86"/>
        <v>8.5655687413672824E-5</v>
      </c>
      <c r="EY40" s="528">
        <f t="shared" si="87"/>
        <v>1.2691446409612468</v>
      </c>
      <c r="EZ40" s="528">
        <f t="shared" si="88"/>
        <v>2.7274668954975936</v>
      </c>
      <c r="FA40" s="625">
        <f t="shared" si="89"/>
        <v>9.1583333333333343E-3</v>
      </c>
      <c r="FB40" s="460">
        <f t="shared" si="125"/>
        <v>2736.6252288309265</v>
      </c>
      <c r="FC40" s="173">
        <f t="shared" si="126"/>
        <v>6.8455565093510184</v>
      </c>
      <c r="FD40" s="5">
        <f t="shared" si="127"/>
        <v>53.2</v>
      </c>
      <c r="FE40" s="173">
        <f t="shared" si="128"/>
        <v>0.88599395346956367</v>
      </c>
      <c r="FF40" s="5">
        <f t="shared" si="129"/>
        <v>88.599395346956371</v>
      </c>
      <c r="FG40">
        <f t="shared" si="130"/>
        <v>35</v>
      </c>
      <c r="FI40" s="562">
        <f t="shared" si="90"/>
        <v>-50</v>
      </c>
      <c r="FJ40">
        <f t="shared" si="91"/>
        <v>-50</v>
      </c>
      <c r="FL40">
        <f t="shared" si="92"/>
        <v>0.70678529593183714</v>
      </c>
    </row>
    <row r="41" spans="5:168">
      <c r="E41" s="170">
        <v>36</v>
      </c>
      <c r="F41" s="217">
        <f t="shared" si="174"/>
        <v>3.5999999999999996</v>
      </c>
      <c r="G41" s="217">
        <f t="shared" si="171"/>
        <v>0.09</v>
      </c>
      <c r="H41" s="217">
        <f t="shared" si="135"/>
        <v>53.999999999999993</v>
      </c>
      <c r="I41" s="217">
        <f t="shared" si="175"/>
        <v>0.72</v>
      </c>
      <c r="J41" s="541">
        <f t="shared" si="136"/>
        <v>71.723315016620049</v>
      </c>
      <c r="K41" s="443">
        <f t="shared" si="137"/>
        <v>15.848559966660831</v>
      </c>
      <c r="L41" s="172">
        <f t="shared" si="138"/>
        <v>87.571874983280878</v>
      </c>
      <c r="M41" s="443"/>
      <c r="N41" s="217">
        <f t="shared" si="139"/>
        <v>0.18097773936765224</v>
      </c>
      <c r="O41" s="172">
        <f t="shared" si="172"/>
        <v>320.23824206402668</v>
      </c>
      <c r="P41" s="172">
        <f t="shared" si="140"/>
        <v>4.3267744705539606</v>
      </c>
      <c r="Q41" s="217">
        <f t="shared" si="6"/>
        <v>21.349216137601779</v>
      </c>
      <c r="R41" s="217">
        <f t="shared" si="141"/>
        <v>40.029780258003335</v>
      </c>
      <c r="S41" s="443">
        <f t="shared" si="142"/>
        <v>15</v>
      </c>
      <c r="T41" s="217">
        <f t="shared" si="143"/>
        <v>8.4312229001687324</v>
      </c>
      <c r="U41" s="217">
        <f t="shared" si="10"/>
        <v>1.4106246313152164</v>
      </c>
      <c r="V41" s="217">
        <f t="shared" si="11"/>
        <v>6.383840236264791</v>
      </c>
      <c r="W41" s="197">
        <f t="shared" si="12"/>
        <v>108.16936176384901</v>
      </c>
      <c r="X41" s="443">
        <f t="shared" si="95"/>
        <v>125.08654632473338</v>
      </c>
      <c r="Z41" s="217">
        <f t="shared" si="13"/>
        <v>10</v>
      </c>
      <c r="AA41" s="173">
        <f t="shared" si="14"/>
        <v>7.5716658328853255</v>
      </c>
      <c r="AB41" s="173">
        <f t="shared" si="144"/>
        <v>4.0951113031617394</v>
      </c>
      <c r="AC41" s="173"/>
      <c r="AD41" s="173">
        <f t="shared" si="16"/>
        <v>7.5716658328853255</v>
      </c>
      <c r="AE41" s="545">
        <f t="shared" si="145"/>
        <v>95.091359799964962</v>
      </c>
      <c r="AF41" s="528">
        <f t="shared" si="146"/>
        <v>4.0951113031617394</v>
      </c>
      <c r="AH41" s="173">
        <f t="shared" si="147"/>
        <v>5.1046197563719531</v>
      </c>
      <c r="AI41" s="173">
        <f t="shared" si="148"/>
        <v>10</v>
      </c>
      <c r="AJ41" s="173">
        <f t="shared" si="149"/>
        <v>1.0543379198856944</v>
      </c>
      <c r="AL41" s="545">
        <f t="shared" si="150"/>
        <v>3599.9999999999995</v>
      </c>
      <c r="AM41" s="460">
        <f t="shared" si="151"/>
        <v>95.091359799964962</v>
      </c>
      <c r="AO41">
        <f t="shared" si="96"/>
        <v>3599.9999999999995</v>
      </c>
      <c r="AP41" s="460">
        <f t="shared" si="24"/>
        <v>95.091359799964962</v>
      </c>
      <c r="AQ41" s="460"/>
      <c r="AR41" s="5">
        <f t="shared" si="97"/>
        <v>10.516202545674066</v>
      </c>
      <c r="AS41" s="5">
        <f t="shared" si="25"/>
        <v>1.673096119054077</v>
      </c>
      <c r="AT41" s="5">
        <f t="shared" si="98"/>
        <v>8.8431064266199897</v>
      </c>
      <c r="AU41" s="173">
        <f t="shared" si="99"/>
        <v>0.15909698503689623</v>
      </c>
      <c r="AW41" s="5">
        <f t="shared" si="152"/>
        <v>40.154306857297847</v>
      </c>
      <c r="AX41" s="5">
        <f t="shared" si="153"/>
        <v>1.8822331339358365</v>
      </c>
      <c r="AY41" s="5">
        <f t="shared" si="28"/>
        <v>1.8494208803450085</v>
      </c>
      <c r="AZ41" s="5"/>
      <c r="BA41" s="173">
        <f t="shared" si="100"/>
        <v>2.302874906407903</v>
      </c>
      <c r="BB41" s="173">
        <f t="shared" si="154"/>
        <v>5.294346087929096</v>
      </c>
      <c r="BC41" s="173">
        <f t="shared" si="155"/>
        <v>0.1303862487537048</v>
      </c>
      <c r="BD41" s="173"/>
      <c r="BE41" s="528">
        <f t="shared" si="31"/>
        <v>0.10606465669126416</v>
      </c>
      <c r="BF41" s="528">
        <f t="shared" si="156"/>
        <v>1.5613741260736334</v>
      </c>
      <c r="BG41" s="528">
        <f t="shared" si="157"/>
        <v>0.17050668885729114</v>
      </c>
      <c r="BH41" s="528">
        <f t="shared" si="34"/>
        <v>7.2923978544346499E-2</v>
      </c>
      <c r="BI41">
        <f t="shared" si="35"/>
        <v>3.227549175747902E-2</v>
      </c>
      <c r="BJ41" s="460">
        <f t="shared" si="101"/>
        <v>202.78218061477017</v>
      </c>
      <c r="BK41">
        <f t="shared" si="158"/>
        <v>1.8147332428901497</v>
      </c>
      <c r="BL41" s="460">
        <f t="shared" si="102"/>
        <v>1814.7332428901498</v>
      </c>
      <c r="BM41" s="173">
        <f t="shared" si="159"/>
        <v>2.2364999999999995</v>
      </c>
      <c r="BN41" s="173">
        <f t="shared" si="160"/>
        <v>3.9937499999999994E-2</v>
      </c>
      <c r="BO41" s="528"/>
      <c r="BQ41" s="460">
        <f t="shared" si="103"/>
        <v>2276.4374999999995</v>
      </c>
      <c r="BR41" s="528">
        <f t="shared" si="39"/>
        <v>0.15909698503689623</v>
      </c>
      <c r="BS41" s="528">
        <f t="shared" si="104"/>
        <v>0.84090301496310371</v>
      </c>
      <c r="BT41" s="528">
        <f t="shared" si="161"/>
        <v>8.5002869320314936E-5</v>
      </c>
      <c r="BU41" s="528">
        <f t="shared" si="41"/>
        <v>1.3941922006722687</v>
      </c>
      <c r="BV41" s="528">
        <f t="shared" si="162"/>
        <v>2.863388126007349</v>
      </c>
      <c r="BW41" s="625">
        <f t="shared" si="163"/>
        <v>9.5091359799964973E-3</v>
      </c>
      <c r="BX41" s="460">
        <f t="shared" si="105"/>
        <v>2872.8972619873457</v>
      </c>
      <c r="BY41" s="173">
        <f t="shared" si="106"/>
        <v>6.9640680048774941</v>
      </c>
      <c r="BZ41" s="5">
        <f t="shared" si="107"/>
        <v>54.719999999999992</v>
      </c>
      <c r="CA41" s="173">
        <f t="shared" si="108"/>
        <v>0.88710102575713989</v>
      </c>
      <c r="CB41" s="5">
        <f t="shared" si="109"/>
        <v>88.710102575713989</v>
      </c>
      <c r="CC41">
        <f t="shared" si="173"/>
        <v>36</v>
      </c>
      <c r="CE41" s="562">
        <f t="shared" si="164"/>
        <v>-50</v>
      </c>
      <c r="CF41">
        <f t="shared" si="165"/>
        <v>-50</v>
      </c>
      <c r="CG41" s="173">
        <f t="shared" si="166"/>
        <v>0.72697916152988951</v>
      </c>
      <c r="CH41" s="173">
        <f t="shared" si="167"/>
        <v>8.3764912162277952E-2</v>
      </c>
      <c r="CI41" s="170">
        <v>36</v>
      </c>
      <c r="CJ41" s="217">
        <f t="shared" si="133"/>
        <v>3.5999999999999996</v>
      </c>
      <c r="CK41" s="217">
        <f t="shared" si="111"/>
        <v>0.09</v>
      </c>
      <c r="CL41" s="217">
        <f t="shared" si="48"/>
        <v>53.999999999999993</v>
      </c>
      <c r="CM41" s="217">
        <f t="shared" si="134"/>
        <v>0.72</v>
      </c>
      <c r="CN41" s="541">
        <f t="shared" si="112"/>
        <v>72</v>
      </c>
      <c r="CO41" s="443">
        <f t="shared" si="168"/>
        <v>15.7</v>
      </c>
      <c r="CP41" s="443">
        <f t="shared" si="169"/>
        <v>87.7</v>
      </c>
      <c r="CQ41" s="443"/>
      <c r="CR41" s="217">
        <f t="shared" si="113"/>
        <v>0.17620137299771166</v>
      </c>
      <c r="CS41" s="172">
        <f t="shared" si="114"/>
        <v>312.98928098277725</v>
      </c>
      <c r="CT41" s="172">
        <f t="shared" si="51"/>
        <v>4.2288329519450798</v>
      </c>
      <c r="CU41" s="217">
        <f t="shared" si="52"/>
        <v>20.865952065518481</v>
      </c>
      <c r="CV41" s="217">
        <f t="shared" si="53"/>
        <v>39.123660122847156</v>
      </c>
      <c r="CW41" s="443">
        <f t="shared" si="54"/>
        <v>15</v>
      </c>
      <c r="CX41" s="217">
        <f t="shared" si="55"/>
        <v>8.6264935064935067</v>
      </c>
      <c r="CY41" s="217">
        <f t="shared" si="56"/>
        <v>1.4377489177489178</v>
      </c>
      <c r="CZ41" s="217">
        <f t="shared" si="57"/>
        <v>6.5934982215236992</v>
      </c>
      <c r="DA41" s="197">
        <f t="shared" si="58"/>
        <v>107.41163055872293</v>
      </c>
      <c r="DB41" s="443">
        <f t="shared" si="115"/>
        <v>124.51366302874962</v>
      </c>
      <c r="DD41" s="217">
        <f t="shared" si="59"/>
        <v>10</v>
      </c>
      <c r="DE41" s="173">
        <f t="shared" si="60"/>
        <v>7.6433121019108281</v>
      </c>
      <c r="DF41" s="173">
        <f t="shared" si="61"/>
        <v>4.1049030786773102</v>
      </c>
      <c r="DG41" s="173"/>
      <c r="DH41" s="173">
        <f t="shared" si="62"/>
        <v>7.6433121019108281</v>
      </c>
      <c r="DI41" s="545">
        <f t="shared" si="63"/>
        <v>94.2</v>
      </c>
      <c r="DJ41" s="528">
        <f t="shared" si="64"/>
        <v>4.1049030786773093</v>
      </c>
      <c r="DL41" s="173">
        <f t="shared" si="65"/>
        <v>5.1046197563719531</v>
      </c>
      <c r="DM41" s="173">
        <f t="shared" si="66"/>
        <v>10</v>
      </c>
      <c r="DN41" s="173">
        <f t="shared" si="67"/>
        <v>1.0538285714285713</v>
      </c>
      <c r="DP41" s="545">
        <f t="shared" si="68"/>
        <v>3599.9999999999995</v>
      </c>
      <c r="DQ41" s="460">
        <f t="shared" si="69"/>
        <v>94.2</v>
      </c>
      <c r="DS41">
        <f t="shared" si="116"/>
        <v>3599.9999999999995</v>
      </c>
      <c r="DT41" s="460">
        <f t="shared" si="70"/>
        <v>94.2</v>
      </c>
      <c r="DU41" s="460"/>
      <c r="DV41" s="5">
        <f t="shared" si="117"/>
        <v>10.615711252653927</v>
      </c>
      <c r="DW41" s="5">
        <f t="shared" si="71"/>
        <v>1.6666666666666667</v>
      </c>
      <c r="DX41" s="5">
        <f t="shared" si="118"/>
        <v>8.9490445859872612</v>
      </c>
      <c r="DY41" s="173">
        <f t="shared" si="119"/>
        <v>0.15700000000000003</v>
      </c>
      <c r="EA41" s="5">
        <f t="shared" si="72"/>
        <v>40</v>
      </c>
      <c r="EB41" s="5">
        <f t="shared" si="73"/>
        <v>1.875</v>
      </c>
      <c r="EC41" s="5">
        <f t="shared" si="74"/>
        <v>1.8643842887473456</v>
      </c>
      <c r="ED41" s="5"/>
      <c r="EE41" s="173">
        <f t="shared" si="120"/>
        <v>2.2876479915697989</v>
      </c>
      <c r="EF41" s="173">
        <f t="shared" si="75"/>
        <v>5.3009433122794283</v>
      </c>
      <c r="EG41" s="173">
        <f t="shared" si="76"/>
        <v>0.13054872157299927</v>
      </c>
      <c r="EH41" s="173"/>
      <c r="EI41" s="528">
        <f t="shared" si="77"/>
        <v>0.1046666666666667</v>
      </c>
      <c r="EJ41" s="528">
        <f t="shared" si="78"/>
        <v>1.6522680000000003</v>
      </c>
      <c r="EK41" s="528">
        <f t="shared" si="79"/>
        <v>1.1775000000000001E-2</v>
      </c>
      <c r="EL41" s="528">
        <f t="shared" si="80"/>
        <v>7.2451951800000011E-2</v>
      </c>
      <c r="EM41">
        <f t="shared" si="81"/>
        <v>3.2399999999999998E-2</v>
      </c>
      <c r="EN41" s="460">
        <f t="shared" si="121"/>
        <v>44.174999999999997</v>
      </c>
      <c r="EO41">
        <f t="shared" si="82"/>
        <v>1.9503238317742957</v>
      </c>
      <c r="EP41" s="460">
        <f t="shared" si="122"/>
        <v>1950.3238317742957</v>
      </c>
      <c r="EQ41" s="173">
        <f t="shared" si="83"/>
        <v>2.2364999999999995</v>
      </c>
      <c r="ER41" s="173">
        <f t="shared" si="170"/>
        <v>3.9937499999999994E-2</v>
      </c>
      <c r="ES41" s="528"/>
      <c r="EU41" s="460">
        <f t="shared" si="123"/>
        <v>2276.4374999999995</v>
      </c>
      <c r="EV41" s="528">
        <f t="shared" si="85"/>
        <v>0.15700000000000006</v>
      </c>
      <c r="EW41" s="528">
        <f t="shared" si="124"/>
        <v>0.84299999999999986</v>
      </c>
      <c r="EX41" s="528">
        <f t="shared" si="86"/>
        <v>8.5214843521722416E-5</v>
      </c>
      <c r="EY41" s="528">
        <f t="shared" si="87"/>
        <v>1.3617496154976798</v>
      </c>
      <c r="EZ41" s="528">
        <f t="shared" si="88"/>
        <v>2.828124523650811</v>
      </c>
      <c r="FA41" s="625">
        <f t="shared" si="89"/>
        <v>9.4200000000000013E-3</v>
      </c>
      <c r="FB41" s="460">
        <f t="shared" si="125"/>
        <v>2837.5445236508108</v>
      </c>
      <c r="FC41" s="173">
        <f t="shared" si="126"/>
        <v>7.0643058554251059</v>
      </c>
      <c r="FD41" s="5">
        <f t="shared" si="127"/>
        <v>54.719999999999992</v>
      </c>
      <c r="FE41" s="173">
        <f t="shared" si="128"/>
        <v>0.88566180751539825</v>
      </c>
      <c r="FF41" s="5">
        <f t="shared" si="129"/>
        <v>88.566180751539818</v>
      </c>
      <c r="FG41">
        <f t="shared" si="130"/>
        <v>36</v>
      </c>
      <c r="FI41" s="562">
        <f t="shared" si="90"/>
        <v>-50</v>
      </c>
      <c r="FJ41">
        <f t="shared" si="91"/>
        <v>-50</v>
      </c>
      <c r="FL41">
        <f t="shared" si="92"/>
        <v>0.72697916152988962</v>
      </c>
    </row>
    <row r="42" spans="5:168">
      <c r="E42" s="170">
        <v>37</v>
      </c>
      <c r="F42" s="217">
        <f t="shared" si="174"/>
        <v>3.7</v>
      </c>
      <c r="G42" s="217">
        <f t="shared" si="171"/>
        <v>9.2499999999999999E-2</v>
      </c>
      <c r="H42" s="217">
        <f t="shared" si="135"/>
        <v>55.5</v>
      </c>
      <c r="I42" s="217">
        <f t="shared" si="175"/>
        <v>0.74</v>
      </c>
      <c r="J42" s="541">
        <f t="shared" si="136"/>
        <v>71.723315016620049</v>
      </c>
      <c r="K42" s="443">
        <f t="shared" si="137"/>
        <v>15.848559966660831</v>
      </c>
      <c r="L42" s="172">
        <f t="shared" si="138"/>
        <v>87.571874983280878</v>
      </c>
      <c r="M42" s="443"/>
      <c r="N42" s="217">
        <f t="shared" si="139"/>
        <v>0.18097773936765224</v>
      </c>
      <c r="O42" s="172">
        <f t="shared" si="172"/>
        <v>320.23824206402668</v>
      </c>
      <c r="P42" s="172">
        <f t="shared" si="140"/>
        <v>4.3267744705539606</v>
      </c>
      <c r="Q42" s="217">
        <f t="shared" si="6"/>
        <v>21.349216137601779</v>
      </c>
      <c r="R42" s="217">
        <f t="shared" si="141"/>
        <v>40.029780258003335</v>
      </c>
      <c r="S42" s="443">
        <f t="shared" si="142"/>
        <v>15</v>
      </c>
      <c r="T42" s="217">
        <f t="shared" si="143"/>
        <v>8.665423536284532</v>
      </c>
      <c r="U42" s="217">
        <f t="shared" si="10"/>
        <v>1.4498086488517505</v>
      </c>
      <c r="V42" s="217">
        <f t="shared" si="11"/>
        <v>6.5611691317165919</v>
      </c>
      <c r="W42" s="197">
        <f t="shared" si="12"/>
        <v>108.16936176384901</v>
      </c>
      <c r="X42" s="443">
        <f t="shared" si="95"/>
        <v>121.78817513872052</v>
      </c>
      <c r="Z42" s="217">
        <f t="shared" si="13"/>
        <v>10</v>
      </c>
      <c r="AA42" s="173">
        <f t="shared" si="14"/>
        <v>7.5716658328853255</v>
      </c>
      <c r="AB42" s="173">
        <f t="shared" si="144"/>
        <v>4.0951113031617394</v>
      </c>
      <c r="AC42" s="173"/>
      <c r="AD42" s="173">
        <f t="shared" si="16"/>
        <v>7.5716658328853255</v>
      </c>
      <c r="AE42" s="545">
        <f t="shared" si="145"/>
        <v>97.732786461075122</v>
      </c>
      <c r="AF42" s="528">
        <f t="shared" si="146"/>
        <v>4.0951113031617394</v>
      </c>
      <c r="AH42" s="173">
        <f t="shared" si="147"/>
        <v>5.1750316309132236</v>
      </c>
      <c r="AI42" s="173">
        <f t="shared" si="148"/>
        <v>10</v>
      </c>
      <c r="AJ42" s="173">
        <f t="shared" si="149"/>
        <v>1.0558473065491858</v>
      </c>
      <c r="AL42" s="545">
        <f t="shared" si="150"/>
        <v>3700</v>
      </c>
      <c r="AM42" s="460">
        <f t="shared" si="151"/>
        <v>97.732786461075122</v>
      </c>
      <c r="AO42">
        <f t="shared" si="96"/>
        <v>3700</v>
      </c>
      <c r="AP42" s="460">
        <f t="shared" si="24"/>
        <v>97.732786461075122</v>
      </c>
      <c r="AQ42" s="460"/>
      <c r="AR42" s="5">
        <f t="shared" si="97"/>
        <v>10.231980855250439</v>
      </c>
      <c r="AS42" s="5">
        <f t="shared" si="25"/>
        <v>1.673096119054077</v>
      </c>
      <c r="AT42" s="5">
        <f t="shared" si="98"/>
        <v>8.5588847361963616</v>
      </c>
      <c r="AU42" s="173">
        <f t="shared" si="99"/>
        <v>0.16351634573236562</v>
      </c>
      <c r="AW42" s="5">
        <f t="shared" si="152"/>
        <v>41.269704270000567</v>
      </c>
      <c r="AX42" s="5">
        <f t="shared" si="153"/>
        <v>1.9345173876562765</v>
      </c>
      <c r="AY42" s="5">
        <f t="shared" si="28"/>
        <v>1.839701260124196</v>
      </c>
      <c r="AZ42" s="5"/>
      <c r="BA42" s="173">
        <f t="shared" si="100"/>
        <v>2.3346401987770022</v>
      </c>
      <c r="BB42" s="173">
        <f t="shared" si="154"/>
        <v>5.2804155589866042</v>
      </c>
      <c r="BC42" s="173">
        <f t="shared" si="155"/>
        <v>0.13004317533504267</v>
      </c>
      <c r="BD42" s="173"/>
      <c r="BE42" s="528">
        <f t="shared" si="31"/>
        <v>0.10901089715491041</v>
      </c>
      <c r="BF42" s="528">
        <f t="shared" si="156"/>
        <v>1.6047456295756795</v>
      </c>
      <c r="BG42" s="528">
        <f t="shared" si="157"/>
        <v>0.17524298576999373</v>
      </c>
      <c r="BH42" s="528">
        <f t="shared" si="34"/>
        <v>7.4949644615022806E-2</v>
      </c>
      <c r="BI42">
        <f t="shared" si="35"/>
        <v>3.227549175747902E-2</v>
      </c>
      <c r="BJ42" s="460">
        <f t="shared" si="101"/>
        <v>207.51847752747273</v>
      </c>
      <c r="BK42">
        <f t="shared" si="158"/>
        <v>1.866482866066224</v>
      </c>
      <c r="BL42" s="460">
        <f t="shared" si="102"/>
        <v>1866.482866066224</v>
      </c>
      <c r="BM42" s="173">
        <f t="shared" si="159"/>
        <v>2.2986249999999999</v>
      </c>
      <c r="BN42" s="173">
        <f t="shared" si="160"/>
        <v>4.1046874999999997E-2</v>
      </c>
      <c r="BO42" s="528"/>
      <c r="BQ42" s="460">
        <f t="shared" si="103"/>
        <v>2339.671875</v>
      </c>
      <c r="BR42" s="528">
        <f t="shared" si="39"/>
        <v>0.16351634573236562</v>
      </c>
      <c r="BS42" s="528">
        <f t="shared" si="104"/>
        <v>0.83648365426763438</v>
      </c>
      <c r="BT42" s="528">
        <f t="shared" si="161"/>
        <v>8.4556137256103261E-5</v>
      </c>
      <c r="BU42" s="528">
        <f t="shared" si="41"/>
        <v>1.4930374700578457</v>
      </c>
      <c r="BV42" s="528">
        <f t="shared" si="162"/>
        <v>2.970828712839213</v>
      </c>
      <c r="BW42" s="625">
        <f t="shared" si="163"/>
        <v>9.7732786461075128E-3</v>
      </c>
      <c r="BX42" s="460">
        <f t="shared" si="105"/>
        <v>2980.6019914853205</v>
      </c>
      <c r="BY42" s="173">
        <f t="shared" si="106"/>
        <v>7.1867567325515447</v>
      </c>
      <c r="BZ42" s="5">
        <f t="shared" si="107"/>
        <v>56.24</v>
      </c>
      <c r="CA42" s="173">
        <f t="shared" si="108"/>
        <v>0.8866920349899714</v>
      </c>
      <c r="CB42" s="5">
        <f t="shared" si="109"/>
        <v>88.669203498997135</v>
      </c>
      <c r="CC42">
        <f t="shared" si="173"/>
        <v>37</v>
      </c>
      <c r="CE42" s="562">
        <f t="shared" si="164"/>
        <v>-50</v>
      </c>
      <c r="CF42">
        <f t="shared" si="165"/>
        <v>-50</v>
      </c>
      <c r="CG42" s="173">
        <f t="shared" si="166"/>
        <v>0.74717302712794209</v>
      </c>
      <c r="CH42" s="173">
        <f t="shared" si="167"/>
        <v>8.6091715277896788E-2</v>
      </c>
      <c r="CI42" s="170">
        <v>37</v>
      </c>
      <c r="CJ42" s="217">
        <f t="shared" si="133"/>
        <v>3.7</v>
      </c>
      <c r="CK42" s="217">
        <f t="shared" si="111"/>
        <v>9.2499999999999999E-2</v>
      </c>
      <c r="CL42" s="217">
        <f t="shared" si="48"/>
        <v>55.5</v>
      </c>
      <c r="CM42" s="217">
        <f t="shared" si="134"/>
        <v>0.74</v>
      </c>
      <c r="CN42" s="541">
        <f t="shared" si="112"/>
        <v>72</v>
      </c>
      <c r="CO42" s="443">
        <f t="shared" si="168"/>
        <v>15.7</v>
      </c>
      <c r="CP42" s="443">
        <f t="shared" si="169"/>
        <v>87.7</v>
      </c>
      <c r="CQ42" s="443"/>
      <c r="CR42" s="217">
        <f t="shared" si="113"/>
        <v>0.17620137299771166</v>
      </c>
      <c r="CS42" s="172">
        <f t="shared" si="114"/>
        <v>312.98928098277725</v>
      </c>
      <c r="CT42" s="172">
        <f t="shared" si="51"/>
        <v>4.2288329519450798</v>
      </c>
      <c r="CU42" s="217">
        <f t="shared" si="52"/>
        <v>20.865952065518481</v>
      </c>
      <c r="CV42" s="217">
        <f t="shared" si="53"/>
        <v>39.123660122847156</v>
      </c>
      <c r="CW42" s="443">
        <f t="shared" si="54"/>
        <v>15</v>
      </c>
      <c r="CX42" s="217">
        <f t="shared" si="55"/>
        <v>8.8661183261183272</v>
      </c>
      <c r="CY42" s="217">
        <f t="shared" si="56"/>
        <v>1.4776863876863877</v>
      </c>
      <c r="CZ42" s="217">
        <f t="shared" si="57"/>
        <v>6.7766509498993583</v>
      </c>
      <c r="DA42" s="197">
        <f t="shared" si="58"/>
        <v>107.41163055872293</v>
      </c>
      <c r="DB42" s="443">
        <f t="shared" si="115"/>
        <v>121.14842889283746</v>
      </c>
      <c r="DD42" s="217">
        <f t="shared" si="59"/>
        <v>10</v>
      </c>
      <c r="DE42" s="173">
        <f t="shared" si="60"/>
        <v>7.6433121019108281</v>
      </c>
      <c r="DF42" s="173">
        <f t="shared" si="61"/>
        <v>4.1049030786773102</v>
      </c>
      <c r="DG42" s="173"/>
      <c r="DH42" s="173">
        <f t="shared" si="62"/>
        <v>7.6433121019108281</v>
      </c>
      <c r="DI42" s="545">
        <f t="shared" si="63"/>
        <v>96.816666666666691</v>
      </c>
      <c r="DJ42" s="528">
        <f t="shared" si="64"/>
        <v>4.1049030786773093</v>
      </c>
      <c r="DL42" s="173">
        <f t="shared" si="65"/>
        <v>5.1750316309132236</v>
      </c>
      <c r="DM42" s="173">
        <f t="shared" si="66"/>
        <v>10</v>
      </c>
      <c r="DN42" s="173">
        <f t="shared" si="67"/>
        <v>1.0553238095238096</v>
      </c>
      <c r="DP42" s="545">
        <f t="shared" si="68"/>
        <v>3700</v>
      </c>
      <c r="DQ42" s="460">
        <f t="shared" si="69"/>
        <v>96.816666666666691</v>
      </c>
      <c r="DS42">
        <f t="shared" si="116"/>
        <v>3700</v>
      </c>
      <c r="DT42" s="460">
        <f t="shared" si="70"/>
        <v>96.816666666666691</v>
      </c>
      <c r="DU42" s="460"/>
      <c r="DV42" s="5">
        <f t="shared" si="117"/>
        <v>10.328800137717334</v>
      </c>
      <c r="DW42" s="5">
        <f t="shared" si="71"/>
        <v>1.6666666666666667</v>
      </c>
      <c r="DX42" s="5">
        <f t="shared" si="118"/>
        <v>8.6621334710506677</v>
      </c>
      <c r="DY42" s="173">
        <f t="shared" si="119"/>
        <v>0.16136111111111115</v>
      </c>
      <c r="EA42" s="5">
        <f t="shared" si="72"/>
        <v>41.111111111111114</v>
      </c>
      <c r="EB42" s="5">
        <f t="shared" si="73"/>
        <v>1.9270833333333335</v>
      </c>
      <c r="EC42" s="5">
        <f t="shared" si="74"/>
        <v>1.8547392270189509</v>
      </c>
      <c r="ED42" s="5"/>
      <c r="EE42" s="173">
        <f t="shared" si="120"/>
        <v>2.3192032476054583</v>
      </c>
      <c r="EF42" s="173">
        <f t="shared" si="75"/>
        <v>5.2872137870176603</v>
      </c>
      <c r="EG42" s="173">
        <f t="shared" si="76"/>
        <v>0.13021059836263105</v>
      </c>
      <c r="EH42" s="173"/>
      <c r="EI42" s="528">
        <f t="shared" si="77"/>
        <v>0.1075740740740741</v>
      </c>
      <c r="EJ42" s="528">
        <f t="shared" si="78"/>
        <v>1.6981643333333338</v>
      </c>
      <c r="EK42" s="528">
        <f t="shared" si="79"/>
        <v>1.2102083333333336E-2</v>
      </c>
      <c r="EL42" s="528">
        <f t="shared" si="80"/>
        <v>7.4464506016666709E-2</v>
      </c>
      <c r="EM42">
        <f t="shared" si="81"/>
        <v>3.2399999999999998E-2</v>
      </c>
      <c r="EN42" s="460">
        <f t="shared" si="121"/>
        <v>44.502083333333331</v>
      </c>
      <c r="EO42">
        <f t="shared" si="82"/>
        <v>2.0049969159298073</v>
      </c>
      <c r="EP42" s="460">
        <f t="shared" si="122"/>
        <v>2004.9969159298073</v>
      </c>
      <c r="EQ42" s="173">
        <f t="shared" si="83"/>
        <v>2.2986249999999999</v>
      </c>
      <c r="ER42" s="173">
        <f t="shared" si="170"/>
        <v>4.1046874999999997E-2</v>
      </c>
      <c r="ES42" s="528"/>
      <c r="EU42" s="460">
        <f t="shared" si="123"/>
        <v>2339.671875</v>
      </c>
      <c r="EV42" s="528">
        <f t="shared" si="85"/>
        <v>0.16136111111111115</v>
      </c>
      <c r="EW42" s="528">
        <f t="shared" si="124"/>
        <v>0.83863888888888882</v>
      </c>
      <c r="EX42" s="528">
        <f t="shared" si="86"/>
        <v>8.4773999629772075E-5</v>
      </c>
      <c r="EY42" s="528">
        <f t="shared" si="87"/>
        <v>1.458294774418148</v>
      </c>
      <c r="EZ42" s="528">
        <f t="shared" si="88"/>
        <v>2.9330649847713945</v>
      </c>
      <c r="FA42" s="625">
        <f t="shared" si="89"/>
        <v>9.68166666666667E-3</v>
      </c>
      <c r="FB42" s="460">
        <f t="shared" si="125"/>
        <v>2942.7466514380612</v>
      </c>
      <c r="FC42" s="173">
        <f t="shared" si="126"/>
        <v>7.2874154423678688</v>
      </c>
      <c r="FD42" s="5">
        <f t="shared" si="127"/>
        <v>56.24</v>
      </c>
      <c r="FE42" s="173">
        <f t="shared" si="128"/>
        <v>0.8852870781595229</v>
      </c>
      <c r="FF42" s="5">
        <f t="shared" si="129"/>
        <v>88.528707815952288</v>
      </c>
      <c r="FG42">
        <f t="shared" si="130"/>
        <v>37</v>
      </c>
      <c r="FI42" s="562">
        <f t="shared" si="90"/>
        <v>-50</v>
      </c>
      <c r="FJ42">
        <f t="shared" si="91"/>
        <v>-50</v>
      </c>
      <c r="FL42">
        <f t="shared" si="92"/>
        <v>0.74717302712794209</v>
      </c>
    </row>
    <row r="43" spans="5:168">
      <c r="E43" s="170">
        <v>38</v>
      </c>
      <c r="F43" s="217">
        <f t="shared" si="174"/>
        <v>3.8</v>
      </c>
      <c r="G43" s="217">
        <f t="shared" si="171"/>
        <v>9.5000000000000001E-2</v>
      </c>
      <c r="H43" s="217">
        <f t="shared" si="135"/>
        <v>57</v>
      </c>
      <c r="I43" s="217">
        <f t="shared" si="175"/>
        <v>0.76</v>
      </c>
      <c r="J43" s="541">
        <f t="shared" si="136"/>
        <v>71.723315016620049</v>
      </c>
      <c r="K43" s="443">
        <f t="shared" si="137"/>
        <v>15.848559966660831</v>
      </c>
      <c r="L43" s="172">
        <f t="shared" si="138"/>
        <v>87.571874983280878</v>
      </c>
      <c r="M43" s="443"/>
      <c r="N43" s="217">
        <f t="shared" si="139"/>
        <v>0.18097773936765224</v>
      </c>
      <c r="O43" s="172">
        <f t="shared" si="172"/>
        <v>320.23824206402668</v>
      </c>
      <c r="P43" s="172">
        <f t="shared" si="140"/>
        <v>4.3267744705539606</v>
      </c>
      <c r="Q43" s="217">
        <f t="shared" si="6"/>
        <v>21.349216137601779</v>
      </c>
      <c r="R43" s="217">
        <f t="shared" si="141"/>
        <v>40.029780258003335</v>
      </c>
      <c r="S43" s="443">
        <f t="shared" si="142"/>
        <v>15</v>
      </c>
      <c r="T43" s="217">
        <f t="shared" si="143"/>
        <v>8.8996241724003298</v>
      </c>
      <c r="U43" s="217">
        <f t="shared" si="10"/>
        <v>1.4889926663882842</v>
      </c>
      <c r="V43" s="217">
        <f t="shared" si="11"/>
        <v>6.7384980271683919</v>
      </c>
      <c r="W43" s="197">
        <f t="shared" si="12"/>
        <v>108.16936176384901</v>
      </c>
      <c r="X43" s="443">
        <f t="shared" si="95"/>
        <v>118.6592826218794</v>
      </c>
      <c r="Z43" s="217">
        <f t="shared" si="13"/>
        <v>10</v>
      </c>
      <c r="AA43" s="173">
        <f t="shared" si="14"/>
        <v>7.5716658328853255</v>
      </c>
      <c r="AB43" s="173">
        <f t="shared" si="144"/>
        <v>4.0951113031617394</v>
      </c>
      <c r="AC43" s="173"/>
      <c r="AD43" s="173">
        <f t="shared" si="16"/>
        <v>7.5716658328853255</v>
      </c>
      <c r="AE43" s="545">
        <f t="shared" si="145"/>
        <v>100.37421312218525</v>
      </c>
      <c r="AF43" s="528">
        <f t="shared" si="146"/>
        <v>4.0951113031617394</v>
      </c>
      <c r="AH43" s="173">
        <f t="shared" si="147"/>
        <v>5.2444982510018923</v>
      </c>
      <c r="AI43" s="173">
        <f t="shared" si="148"/>
        <v>10</v>
      </c>
      <c r="AJ43" s="173">
        <f t="shared" si="149"/>
        <v>1.0573566932126772</v>
      </c>
      <c r="AL43" s="545">
        <f t="shared" si="150"/>
        <v>3800</v>
      </c>
      <c r="AM43" s="460">
        <f t="shared" si="151"/>
        <v>100.37421312218525</v>
      </c>
      <c r="AO43">
        <f t="shared" si="96"/>
        <v>3800</v>
      </c>
      <c r="AP43" s="460">
        <f t="shared" si="24"/>
        <v>100.37421312218525</v>
      </c>
      <c r="AQ43" s="460"/>
      <c r="AR43" s="5">
        <f t="shared" si="97"/>
        <v>9.9627182011649023</v>
      </c>
      <c r="AS43" s="5">
        <f t="shared" si="25"/>
        <v>1.673096119054077</v>
      </c>
      <c r="AT43" s="5">
        <f t="shared" si="98"/>
        <v>8.2896220821108244</v>
      </c>
      <c r="AU43" s="173">
        <f t="shared" si="99"/>
        <v>0.16793570642783495</v>
      </c>
      <c r="AW43" s="5">
        <f t="shared" si="152"/>
        <v>42.385101682703279</v>
      </c>
      <c r="AX43" s="5">
        <f t="shared" si="153"/>
        <v>1.9868016413767164</v>
      </c>
      <c r="AY43" s="5">
        <f t="shared" si="28"/>
        <v>1.8299816399033844</v>
      </c>
      <c r="AZ43" s="5"/>
      <c r="BA43" s="173">
        <f t="shared" si="100"/>
        <v>2.3659790533577914</v>
      </c>
      <c r="BB43" s="173">
        <f t="shared" si="154"/>
        <v>5.2664481818779443</v>
      </c>
      <c r="BC43" s="173">
        <f t="shared" si="155"/>
        <v>0.12969919443997449</v>
      </c>
      <c r="BD43" s="173"/>
      <c r="BE43" s="528">
        <f t="shared" si="31"/>
        <v>0.11195713761855661</v>
      </c>
      <c r="BF43" s="528">
        <f t="shared" si="156"/>
        <v>1.6481171330777244</v>
      </c>
      <c r="BG43" s="528">
        <f t="shared" si="157"/>
        <v>0.17997928268269625</v>
      </c>
      <c r="BH43" s="528">
        <f t="shared" si="34"/>
        <v>7.6975310685699086E-2</v>
      </c>
      <c r="BI43">
        <f t="shared" si="35"/>
        <v>3.227549175747902E-2</v>
      </c>
      <c r="BJ43" s="460">
        <f t="shared" si="101"/>
        <v>212.25477444017525</v>
      </c>
      <c r="BK43">
        <f t="shared" si="158"/>
        <v>1.9183069214541606</v>
      </c>
      <c r="BL43" s="460">
        <f t="shared" si="102"/>
        <v>1918.3069214541606</v>
      </c>
      <c r="BM43" s="173">
        <f t="shared" si="159"/>
        <v>2.3607499999999995</v>
      </c>
      <c r="BN43" s="173">
        <f t="shared" si="160"/>
        <v>4.2156249999999999E-2</v>
      </c>
      <c r="BO43" s="528"/>
      <c r="BQ43" s="460">
        <f t="shared" si="103"/>
        <v>2402.9062499999995</v>
      </c>
      <c r="BR43" s="528">
        <f t="shared" si="39"/>
        <v>0.1679357064278349</v>
      </c>
      <c r="BS43" s="528">
        <f t="shared" si="104"/>
        <v>0.83206429357216505</v>
      </c>
      <c r="BT43" s="528">
        <f t="shared" si="161"/>
        <v>8.4109405191891559E-5</v>
      </c>
      <c r="BU43" s="528">
        <f t="shared" si="41"/>
        <v>1.5959724438272587</v>
      </c>
      <c r="BV43" s="528">
        <f t="shared" si="162"/>
        <v>3.0827146546884512</v>
      </c>
      <c r="BW43" s="625">
        <f t="shared" si="163"/>
        <v>1.0037421312218527E-2</v>
      </c>
      <c r="BX43" s="460">
        <f t="shared" si="105"/>
        <v>3092.7520760006696</v>
      </c>
      <c r="BY43" s="173">
        <f t="shared" si="106"/>
        <v>7.4139652474548292</v>
      </c>
      <c r="BZ43" s="5">
        <f t="shared" si="107"/>
        <v>57.76</v>
      </c>
      <c r="CA43" s="173">
        <f t="shared" si="108"/>
        <v>0.88624345289863482</v>
      </c>
      <c r="CB43" s="5">
        <f t="shared" si="109"/>
        <v>88.624345289863484</v>
      </c>
      <c r="CC43">
        <f t="shared" si="173"/>
        <v>38</v>
      </c>
      <c r="CE43" s="562">
        <f t="shared" si="164"/>
        <v>-50</v>
      </c>
      <c r="CF43">
        <f t="shared" si="165"/>
        <v>-50</v>
      </c>
      <c r="CG43" s="173">
        <f t="shared" si="166"/>
        <v>0.76736689272599456</v>
      </c>
      <c r="CH43" s="173">
        <f t="shared" si="167"/>
        <v>8.841851839351561E-2</v>
      </c>
      <c r="CI43" s="170">
        <v>38</v>
      </c>
      <c r="CJ43" s="217">
        <f t="shared" si="133"/>
        <v>3.8</v>
      </c>
      <c r="CK43" s="217">
        <f t="shared" si="111"/>
        <v>9.5000000000000001E-2</v>
      </c>
      <c r="CL43" s="217">
        <f t="shared" si="48"/>
        <v>57</v>
      </c>
      <c r="CM43" s="217">
        <f t="shared" si="134"/>
        <v>0.76</v>
      </c>
      <c r="CN43" s="541">
        <f t="shared" si="112"/>
        <v>72</v>
      </c>
      <c r="CO43" s="443">
        <f t="shared" si="168"/>
        <v>15.7</v>
      </c>
      <c r="CP43" s="443">
        <f t="shared" si="169"/>
        <v>87.7</v>
      </c>
      <c r="CQ43" s="443"/>
      <c r="CR43" s="217">
        <f t="shared" si="113"/>
        <v>0.17620137299771166</v>
      </c>
      <c r="CS43" s="172">
        <f t="shared" si="114"/>
        <v>312.98928098277725</v>
      </c>
      <c r="CT43" s="172">
        <f t="shared" si="51"/>
        <v>4.2288329519450798</v>
      </c>
      <c r="CU43" s="217">
        <f t="shared" si="52"/>
        <v>20.865952065518481</v>
      </c>
      <c r="CV43" s="217">
        <f t="shared" si="53"/>
        <v>39.123660122847156</v>
      </c>
      <c r="CW43" s="443">
        <f t="shared" si="54"/>
        <v>15</v>
      </c>
      <c r="CX43" s="217">
        <f t="shared" si="55"/>
        <v>9.1057431457431459</v>
      </c>
      <c r="CY43" s="217">
        <f t="shared" si="56"/>
        <v>1.5176238576238577</v>
      </c>
      <c r="CZ43" s="217">
        <f t="shared" si="57"/>
        <v>6.9598036782750166</v>
      </c>
      <c r="DA43" s="197">
        <f t="shared" si="58"/>
        <v>107.41163055872293</v>
      </c>
      <c r="DB43" s="443">
        <f t="shared" si="115"/>
        <v>117.96031234302595</v>
      </c>
      <c r="DD43" s="217">
        <f t="shared" si="59"/>
        <v>10</v>
      </c>
      <c r="DE43" s="173">
        <f t="shared" si="60"/>
        <v>7.6433121019108281</v>
      </c>
      <c r="DF43" s="173">
        <f t="shared" si="61"/>
        <v>4.1049030786773102</v>
      </c>
      <c r="DG43" s="173"/>
      <c r="DH43" s="173">
        <f t="shared" si="62"/>
        <v>7.6433121019108281</v>
      </c>
      <c r="DI43" s="545">
        <f t="shared" si="63"/>
        <v>99.433333333333337</v>
      </c>
      <c r="DJ43" s="528">
        <f t="shared" si="64"/>
        <v>4.1049030786773093</v>
      </c>
      <c r="DL43" s="173">
        <f t="shared" si="65"/>
        <v>5.2444982510018923</v>
      </c>
      <c r="DM43" s="173">
        <f t="shared" si="66"/>
        <v>10</v>
      </c>
      <c r="DN43" s="173">
        <f t="shared" si="67"/>
        <v>1.0568190476190475</v>
      </c>
      <c r="DP43" s="545">
        <f t="shared" si="68"/>
        <v>3800</v>
      </c>
      <c r="DQ43" s="460">
        <f t="shared" si="69"/>
        <v>99.433333333333337</v>
      </c>
      <c r="DS43">
        <f t="shared" si="116"/>
        <v>3800</v>
      </c>
      <c r="DT43" s="460">
        <f t="shared" si="70"/>
        <v>99.433333333333337</v>
      </c>
      <c r="DU43" s="460"/>
      <c r="DV43" s="5">
        <f t="shared" si="117"/>
        <v>10.056989607777405</v>
      </c>
      <c r="DW43" s="5">
        <f t="shared" si="71"/>
        <v>1.6666666666666667</v>
      </c>
      <c r="DX43" s="5">
        <f t="shared" si="118"/>
        <v>8.390322941110739</v>
      </c>
      <c r="DY43" s="173">
        <f t="shared" si="119"/>
        <v>0.16572222222222224</v>
      </c>
      <c r="EA43" s="5">
        <f t="shared" si="72"/>
        <v>42.222222222222221</v>
      </c>
      <c r="EB43" s="5">
        <f t="shared" si="73"/>
        <v>1.9791666666666667</v>
      </c>
      <c r="EC43" s="5">
        <f t="shared" si="74"/>
        <v>1.8450941652905559</v>
      </c>
      <c r="ED43" s="5"/>
      <c r="EE43" s="173">
        <f t="shared" si="120"/>
        <v>2.3503348855161206</v>
      </c>
      <c r="EF43" s="173">
        <f t="shared" si="75"/>
        <v>5.2734485167923335</v>
      </c>
      <c r="EG43" s="173">
        <f t="shared" si="76"/>
        <v>0.12987159484492494</v>
      </c>
      <c r="EH43" s="173"/>
      <c r="EI43" s="528">
        <f t="shared" si="77"/>
        <v>0.11048148148148151</v>
      </c>
      <c r="EJ43" s="528">
        <f t="shared" si="78"/>
        <v>1.7440606666666669</v>
      </c>
      <c r="EK43" s="528">
        <f t="shared" si="79"/>
        <v>1.2429166666666666E-2</v>
      </c>
      <c r="EL43" s="528">
        <f t="shared" si="80"/>
        <v>7.6477060233333352E-2</v>
      </c>
      <c r="EM43">
        <f t="shared" si="81"/>
        <v>3.2399999999999998E-2</v>
      </c>
      <c r="EN43" s="460">
        <f t="shared" si="121"/>
        <v>44.829166666666666</v>
      </c>
      <c r="EO43">
        <f t="shared" si="82"/>
        <v>2.0597475727313763</v>
      </c>
      <c r="EP43" s="460">
        <f t="shared" si="122"/>
        <v>2059.7475727313763</v>
      </c>
      <c r="EQ43" s="173">
        <f t="shared" si="83"/>
        <v>2.3607499999999995</v>
      </c>
      <c r="ER43" s="173">
        <f t="shared" si="170"/>
        <v>4.2156249999999999E-2</v>
      </c>
      <c r="ES43" s="528"/>
      <c r="EU43" s="460">
        <f t="shared" si="123"/>
        <v>2402.9062499999995</v>
      </c>
      <c r="EV43" s="528">
        <f t="shared" si="85"/>
        <v>0.16572222222222227</v>
      </c>
      <c r="EW43" s="528">
        <f t="shared" si="124"/>
        <v>0.8342777777777779</v>
      </c>
      <c r="EX43" s="528">
        <f t="shared" si="86"/>
        <v>8.433315573782168E-5</v>
      </c>
      <c r="EY43" s="528">
        <f t="shared" si="87"/>
        <v>1.5588344710856268</v>
      </c>
      <c r="EZ43" s="528">
        <f t="shared" si="88"/>
        <v>3.0423473585424237</v>
      </c>
      <c r="FA43" s="625">
        <f t="shared" si="89"/>
        <v>9.9433333333333353E-3</v>
      </c>
      <c r="FB43" s="460">
        <f t="shared" si="125"/>
        <v>3052.2906918757567</v>
      </c>
      <c r="FC43" s="173">
        <f t="shared" si="126"/>
        <v>7.5149445146071328</v>
      </c>
      <c r="FD43" s="5">
        <f t="shared" si="127"/>
        <v>57.76</v>
      </c>
      <c r="FE43" s="173">
        <f t="shared" si="128"/>
        <v>0.88487244883179572</v>
      </c>
      <c r="FF43" s="5">
        <f t="shared" si="129"/>
        <v>88.487244883179571</v>
      </c>
      <c r="FG43">
        <f t="shared" si="130"/>
        <v>38</v>
      </c>
      <c r="FI43" s="562">
        <f t="shared" si="90"/>
        <v>-50</v>
      </c>
      <c r="FJ43">
        <f t="shared" si="91"/>
        <v>-50</v>
      </c>
      <c r="FL43">
        <f t="shared" si="92"/>
        <v>0.76736689272599456</v>
      </c>
    </row>
    <row r="44" spans="5:168">
      <c r="E44" s="170">
        <v>39</v>
      </c>
      <c r="F44" s="217">
        <f t="shared" si="174"/>
        <v>3.9000000000000004</v>
      </c>
      <c r="G44" s="217">
        <f t="shared" si="171"/>
        <v>9.7500000000000003E-2</v>
      </c>
      <c r="H44" s="217">
        <f t="shared" si="135"/>
        <v>58.500000000000007</v>
      </c>
      <c r="I44" s="217">
        <f t="shared" si="175"/>
        <v>0.78</v>
      </c>
      <c r="J44" s="541">
        <f t="shared" si="136"/>
        <v>71.723315016620049</v>
      </c>
      <c r="K44" s="443">
        <f t="shared" si="137"/>
        <v>15.848559966660831</v>
      </c>
      <c r="L44" s="172">
        <f t="shared" si="138"/>
        <v>87.571874983280878</v>
      </c>
      <c r="M44" s="443"/>
      <c r="N44" s="217">
        <f t="shared" si="139"/>
        <v>0.18097773936765224</v>
      </c>
      <c r="O44" s="172">
        <f t="shared" si="172"/>
        <v>320.23824206402668</v>
      </c>
      <c r="P44" s="172">
        <f t="shared" si="140"/>
        <v>4.3267744705539606</v>
      </c>
      <c r="Q44" s="217">
        <f t="shared" si="6"/>
        <v>21.349216137601779</v>
      </c>
      <c r="R44" s="217">
        <f t="shared" si="141"/>
        <v>40.029780258003335</v>
      </c>
      <c r="S44" s="443">
        <f t="shared" si="142"/>
        <v>15</v>
      </c>
      <c r="T44" s="217">
        <f t="shared" si="143"/>
        <v>9.1338248085161293</v>
      </c>
      <c r="U44" s="217">
        <f t="shared" si="10"/>
        <v>1.5281766839248183</v>
      </c>
      <c r="V44" s="217">
        <f t="shared" si="11"/>
        <v>6.9158269226201927</v>
      </c>
      <c r="W44" s="197">
        <f t="shared" si="12"/>
        <v>108.16936176384901</v>
      </c>
      <c r="X44" s="443">
        <f t="shared" si="95"/>
        <v>115.68713359198816</v>
      </c>
      <c r="Z44" s="217">
        <f t="shared" si="13"/>
        <v>10</v>
      </c>
      <c r="AA44" s="173">
        <f t="shared" si="14"/>
        <v>7.5716658328853255</v>
      </c>
      <c r="AB44" s="173">
        <f t="shared" si="144"/>
        <v>4.0951113031617394</v>
      </c>
      <c r="AC44" s="173"/>
      <c r="AD44" s="173">
        <f t="shared" si="16"/>
        <v>7.5716658328853255</v>
      </c>
      <c r="AE44" s="545">
        <f t="shared" si="145"/>
        <v>103.01563978329541</v>
      </c>
      <c r="AF44" s="528">
        <f t="shared" si="146"/>
        <v>4.0951113031617394</v>
      </c>
      <c r="AH44" s="173">
        <f t="shared" si="147"/>
        <v>5.3130566935212942</v>
      </c>
      <c r="AI44" s="173">
        <f t="shared" si="148"/>
        <v>10</v>
      </c>
      <c r="AJ44" s="173">
        <f t="shared" si="149"/>
        <v>1.0588660798761689</v>
      </c>
      <c r="AL44" s="545">
        <f t="shared" si="150"/>
        <v>3900.0000000000005</v>
      </c>
      <c r="AM44" s="460">
        <f t="shared" si="151"/>
        <v>103.01563978329541</v>
      </c>
      <c r="AO44">
        <f t="shared" si="96"/>
        <v>3900.0000000000005</v>
      </c>
      <c r="AP44" s="460">
        <f t="shared" si="24"/>
        <v>103.01563978329541</v>
      </c>
      <c r="AQ44" s="460"/>
      <c r="AR44" s="5">
        <f t="shared" si="97"/>
        <v>9.7072638883145181</v>
      </c>
      <c r="AS44" s="5">
        <f t="shared" si="25"/>
        <v>1.673096119054077</v>
      </c>
      <c r="AT44" s="5">
        <f t="shared" si="98"/>
        <v>8.0341677692604421</v>
      </c>
      <c r="AU44" s="173">
        <f t="shared" si="99"/>
        <v>0.17235506712330434</v>
      </c>
      <c r="AW44" s="5">
        <f t="shared" si="152"/>
        <v>43.500499095406006</v>
      </c>
      <c r="AX44" s="5">
        <f t="shared" si="153"/>
        <v>2.0390858950971564</v>
      </c>
      <c r="AY44" s="5">
        <f t="shared" si="28"/>
        <v>1.8202620196825727</v>
      </c>
      <c r="AZ44" s="5"/>
      <c r="BA44" s="173">
        <f t="shared" si="100"/>
        <v>2.3969081968465429</v>
      </c>
      <c r="BB44" s="173">
        <f t="shared" si="154"/>
        <v>5.2524436626415314</v>
      </c>
      <c r="BC44" s="173">
        <f t="shared" si="155"/>
        <v>0.12935429882897578</v>
      </c>
      <c r="BD44" s="173"/>
      <c r="BE44" s="528">
        <f t="shared" si="31"/>
        <v>0.11490337808220291</v>
      </c>
      <c r="BF44" s="528">
        <f t="shared" si="156"/>
        <v>1.6914886365797703</v>
      </c>
      <c r="BG44" s="528">
        <f t="shared" si="157"/>
        <v>0.1847155795953988</v>
      </c>
      <c r="BH44" s="528">
        <f t="shared" si="34"/>
        <v>7.9000976756375407E-2</v>
      </c>
      <c r="BI44">
        <f t="shared" si="35"/>
        <v>3.227549175747902E-2</v>
      </c>
      <c r="BJ44" s="460">
        <f t="shared" si="101"/>
        <v>216.99107135287781</v>
      </c>
      <c r="BK44">
        <f t="shared" si="158"/>
        <v>1.9702055697548784</v>
      </c>
      <c r="BL44" s="460">
        <f t="shared" si="102"/>
        <v>1970.2055697548783</v>
      </c>
      <c r="BM44" s="173">
        <f t="shared" si="159"/>
        <v>2.4228749999999999</v>
      </c>
      <c r="BN44" s="173">
        <f t="shared" si="160"/>
        <v>4.3265625000000002E-2</v>
      </c>
      <c r="BO44" s="528"/>
      <c r="BQ44" s="460">
        <f t="shared" si="103"/>
        <v>2466.140625</v>
      </c>
      <c r="BR44" s="528">
        <f t="shared" si="39"/>
        <v>0.17235506712330437</v>
      </c>
      <c r="BS44" s="528">
        <f t="shared" si="104"/>
        <v>0.82764493287669549</v>
      </c>
      <c r="BT44" s="528">
        <f t="shared" si="161"/>
        <v>8.3662673127679843E-5</v>
      </c>
      <c r="BU44" s="528">
        <f t="shared" si="41"/>
        <v>1.7030520230742894</v>
      </c>
      <c r="BV44" s="528">
        <f t="shared" si="162"/>
        <v>3.1991056265730808</v>
      </c>
      <c r="BW44" s="625">
        <f t="shared" si="163"/>
        <v>1.0301563978329542E-2</v>
      </c>
      <c r="BX44" s="460">
        <f t="shared" si="105"/>
        <v>3209.4071905514102</v>
      </c>
      <c r="BY44" s="173">
        <f t="shared" si="106"/>
        <v>7.6457533853062891</v>
      </c>
      <c r="BZ44" s="5">
        <f t="shared" si="107"/>
        <v>59.280000000000008</v>
      </c>
      <c r="CA44" s="173">
        <f t="shared" si="108"/>
        <v>0.88575767924063553</v>
      </c>
      <c r="CB44" s="5">
        <f t="shared" si="109"/>
        <v>88.575767924063555</v>
      </c>
      <c r="CC44">
        <f t="shared" si="173"/>
        <v>39</v>
      </c>
      <c r="CE44" s="562">
        <f t="shared" si="164"/>
        <v>-50</v>
      </c>
      <c r="CF44">
        <f t="shared" si="165"/>
        <v>-50</v>
      </c>
      <c r="CG44" s="173">
        <f t="shared" si="166"/>
        <v>0.78756075832404704</v>
      </c>
      <c r="CH44" s="173">
        <f t="shared" si="167"/>
        <v>9.0745321509134447E-2</v>
      </c>
      <c r="CI44" s="170">
        <v>39</v>
      </c>
      <c r="CJ44" s="217">
        <f t="shared" si="133"/>
        <v>3.9000000000000004</v>
      </c>
      <c r="CK44" s="217">
        <f t="shared" si="111"/>
        <v>9.7500000000000003E-2</v>
      </c>
      <c r="CL44" s="217">
        <f t="shared" si="48"/>
        <v>58.500000000000007</v>
      </c>
      <c r="CM44" s="217">
        <f t="shared" si="134"/>
        <v>0.78</v>
      </c>
      <c r="CN44" s="541">
        <f t="shared" si="112"/>
        <v>72</v>
      </c>
      <c r="CO44" s="443">
        <f t="shared" si="168"/>
        <v>15.7</v>
      </c>
      <c r="CP44" s="443">
        <f t="shared" si="169"/>
        <v>87.7</v>
      </c>
      <c r="CQ44" s="443"/>
      <c r="CR44" s="217">
        <f t="shared" si="113"/>
        <v>0.17620137299771166</v>
      </c>
      <c r="CS44" s="172">
        <f t="shared" si="114"/>
        <v>312.98928098277725</v>
      </c>
      <c r="CT44" s="172">
        <f t="shared" si="51"/>
        <v>4.2288329519450798</v>
      </c>
      <c r="CU44" s="217">
        <f t="shared" si="52"/>
        <v>20.865952065518481</v>
      </c>
      <c r="CV44" s="217">
        <f t="shared" si="53"/>
        <v>39.123660122847156</v>
      </c>
      <c r="CW44" s="443">
        <f t="shared" si="54"/>
        <v>15</v>
      </c>
      <c r="CX44" s="217">
        <f t="shared" si="55"/>
        <v>9.3453679653679664</v>
      </c>
      <c r="CY44" s="217">
        <f t="shared" si="56"/>
        <v>1.5575613275613278</v>
      </c>
      <c r="CZ44" s="217">
        <f t="shared" si="57"/>
        <v>7.1429564066506748</v>
      </c>
      <c r="DA44" s="197">
        <f t="shared" si="58"/>
        <v>107.41163055872293</v>
      </c>
      <c r="DB44" s="443">
        <f t="shared" si="115"/>
        <v>114.93568894961501</v>
      </c>
      <c r="DD44" s="217">
        <f t="shared" si="59"/>
        <v>10</v>
      </c>
      <c r="DE44" s="173">
        <f t="shared" si="60"/>
        <v>7.6433121019108281</v>
      </c>
      <c r="DF44" s="173">
        <f t="shared" si="61"/>
        <v>4.1049030786773102</v>
      </c>
      <c r="DG44" s="173"/>
      <c r="DH44" s="173">
        <f t="shared" si="62"/>
        <v>7.6433121019108281</v>
      </c>
      <c r="DI44" s="545">
        <f t="shared" si="63"/>
        <v>102.05000000000001</v>
      </c>
      <c r="DJ44" s="528">
        <f t="shared" si="64"/>
        <v>4.1049030786773093</v>
      </c>
      <c r="DL44" s="173">
        <f t="shared" si="65"/>
        <v>5.3130566935212942</v>
      </c>
      <c r="DM44" s="173">
        <f t="shared" si="66"/>
        <v>10</v>
      </c>
      <c r="DN44" s="173">
        <f t="shared" si="67"/>
        <v>1.0583142857142858</v>
      </c>
      <c r="DP44" s="545">
        <f t="shared" si="68"/>
        <v>3900.0000000000005</v>
      </c>
      <c r="DQ44" s="460">
        <f t="shared" si="69"/>
        <v>102.05000000000001</v>
      </c>
      <c r="DS44">
        <f t="shared" si="116"/>
        <v>3900.0000000000005</v>
      </c>
      <c r="DT44" s="460">
        <f t="shared" si="70"/>
        <v>102.05000000000001</v>
      </c>
      <c r="DU44" s="460"/>
      <c r="DV44" s="5">
        <f t="shared" si="117"/>
        <v>9.799118079372855</v>
      </c>
      <c r="DW44" s="5">
        <f t="shared" si="71"/>
        <v>1.6666666666666667</v>
      </c>
      <c r="DX44" s="5">
        <f t="shared" si="118"/>
        <v>8.1324514127061889</v>
      </c>
      <c r="DY44" s="173">
        <f t="shared" si="119"/>
        <v>0.17008333333333336</v>
      </c>
      <c r="EA44" s="5">
        <f t="shared" si="72"/>
        <v>43.333333333333343</v>
      </c>
      <c r="EB44" s="5">
        <f t="shared" si="73"/>
        <v>2.03125</v>
      </c>
      <c r="EC44" s="5">
        <f t="shared" si="74"/>
        <v>1.835449103562161</v>
      </c>
      <c r="ED44" s="5"/>
      <c r="EE44" s="173">
        <f t="shared" si="120"/>
        <v>2.3810595213989183</v>
      </c>
      <c r="EF44" s="173">
        <f t="shared" si="75"/>
        <v>5.2596472209539771</v>
      </c>
      <c r="EG44" s="173">
        <f t="shared" si="76"/>
        <v>0.12953170410819992</v>
      </c>
      <c r="EH44" s="173"/>
      <c r="EI44" s="528">
        <f t="shared" si="77"/>
        <v>0.11338888888888893</v>
      </c>
      <c r="EJ44" s="528">
        <f t="shared" si="78"/>
        <v>1.789957</v>
      </c>
      <c r="EK44" s="528">
        <f t="shared" si="79"/>
        <v>1.275625E-2</v>
      </c>
      <c r="EL44" s="528">
        <f t="shared" si="80"/>
        <v>7.8489614450000023E-2</v>
      </c>
      <c r="EM44">
        <f t="shared" si="81"/>
        <v>3.2399999999999998E-2</v>
      </c>
      <c r="EN44" s="460">
        <f t="shared" si="121"/>
        <v>45.156249999999993</v>
      </c>
      <c r="EO44">
        <f t="shared" si="82"/>
        <v>2.1145759673915787</v>
      </c>
      <c r="EP44" s="460">
        <f t="shared" si="122"/>
        <v>2114.5759673915786</v>
      </c>
      <c r="EQ44" s="173">
        <f t="shared" si="83"/>
        <v>2.4228749999999999</v>
      </c>
      <c r="ER44" s="173">
        <f t="shared" si="170"/>
        <v>4.3265625000000002E-2</v>
      </c>
      <c r="ES44" s="528"/>
      <c r="EU44" s="460">
        <f t="shared" si="123"/>
        <v>2466.140625</v>
      </c>
      <c r="EV44" s="528">
        <f t="shared" si="85"/>
        <v>0.17008333333333336</v>
      </c>
      <c r="EW44" s="528">
        <f t="shared" si="124"/>
        <v>0.82991666666666686</v>
      </c>
      <c r="EX44" s="528">
        <f t="shared" si="86"/>
        <v>8.3892311845871272E-5</v>
      </c>
      <c r="EY44" s="528">
        <f t="shared" si="87"/>
        <v>1.6634223290559886</v>
      </c>
      <c r="EZ44" s="528">
        <f t="shared" si="88"/>
        <v>3.1560299313635363</v>
      </c>
      <c r="FA44" s="625">
        <f t="shared" si="89"/>
        <v>1.0205000000000002E-2</v>
      </c>
      <c r="FB44" s="460">
        <f t="shared" si="125"/>
        <v>3166.2349313635364</v>
      </c>
      <c r="FC44" s="173">
        <f t="shared" si="126"/>
        <v>7.7469515237551141</v>
      </c>
      <c r="FD44" s="5">
        <f t="shared" si="127"/>
        <v>59.280000000000008</v>
      </c>
      <c r="FE44" s="173">
        <f t="shared" si="128"/>
        <v>0.88442035110295147</v>
      </c>
      <c r="FF44" s="5">
        <f t="shared" si="129"/>
        <v>88.442035110295151</v>
      </c>
      <c r="FG44">
        <f t="shared" si="130"/>
        <v>39</v>
      </c>
      <c r="FI44" s="562">
        <f t="shared" si="90"/>
        <v>-50</v>
      </c>
      <c r="FJ44">
        <f t="shared" si="91"/>
        <v>-50</v>
      </c>
      <c r="FL44">
        <f t="shared" si="92"/>
        <v>0.78756075832404715</v>
      </c>
    </row>
    <row r="45" spans="5:168">
      <c r="E45" s="170">
        <v>40</v>
      </c>
      <c r="F45" s="217">
        <f t="shared" si="174"/>
        <v>4</v>
      </c>
      <c r="G45" s="217">
        <f t="shared" si="171"/>
        <v>0.1</v>
      </c>
      <c r="H45" s="217">
        <f t="shared" si="135"/>
        <v>60</v>
      </c>
      <c r="I45" s="217">
        <f t="shared" si="175"/>
        <v>0.8</v>
      </c>
      <c r="J45" s="541">
        <f t="shared" si="136"/>
        <v>71.723315016620049</v>
      </c>
      <c r="K45" s="443">
        <f t="shared" si="137"/>
        <v>15.848559966660831</v>
      </c>
      <c r="L45" s="172">
        <f t="shared" si="138"/>
        <v>87.571874983280878</v>
      </c>
      <c r="M45" s="443"/>
      <c r="N45" s="217">
        <f t="shared" si="139"/>
        <v>0.18097773936765224</v>
      </c>
      <c r="O45" s="172">
        <f t="shared" si="172"/>
        <v>320.23824206402668</v>
      </c>
      <c r="P45" s="172">
        <f t="shared" si="140"/>
        <v>4.3267744705539606</v>
      </c>
      <c r="Q45" s="217">
        <f t="shared" si="6"/>
        <v>21.349216137601779</v>
      </c>
      <c r="R45" s="217">
        <f t="shared" si="141"/>
        <v>40.029780258003335</v>
      </c>
      <c r="S45" s="443">
        <f t="shared" si="142"/>
        <v>15</v>
      </c>
      <c r="T45" s="217">
        <f t="shared" si="143"/>
        <v>9.3680254446319253</v>
      </c>
      <c r="U45" s="217">
        <f t="shared" si="10"/>
        <v>1.5673607014613515</v>
      </c>
      <c r="V45" s="217">
        <f t="shared" si="11"/>
        <v>7.09315581807199</v>
      </c>
      <c r="W45" s="197">
        <f t="shared" si="12"/>
        <v>108.16936176384901</v>
      </c>
      <c r="X45" s="443">
        <f t="shared" si="95"/>
        <v>112.86023763913339</v>
      </c>
      <c r="Z45" s="217">
        <f t="shared" si="13"/>
        <v>10</v>
      </c>
      <c r="AA45" s="173">
        <f t="shared" si="14"/>
        <v>7.5716658328853255</v>
      </c>
      <c r="AB45" s="173">
        <f t="shared" si="144"/>
        <v>4.0951113031617394</v>
      </c>
      <c r="AC45" s="173"/>
      <c r="AD45" s="173">
        <f t="shared" si="16"/>
        <v>7.5716658328853255</v>
      </c>
      <c r="AE45" s="545">
        <f t="shared" si="145"/>
        <v>105.65706644440553</v>
      </c>
      <c r="AF45" s="528">
        <f t="shared" si="146"/>
        <v>4.0951113031617394</v>
      </c>
      <c r="AH45" s="173">
        <f t="shared" si="147"/>
        <v>5.3807416730763942</v>
      </c>
      <c r="AI45" s="173">
        <f t="shared" si="148"/>
        <v>10</v>
      </c>
      <c r="AJ45" s="173">
        <f t="shared" si="149"/>
        <v>1.0603754665396603</v>
      </c>
      <c r="AL45" s="545">
        <f t="shared" si="150"/>
        <v>4000</v>
      </c>
      <c r="AM45" s="460">
        <f t="shared" si="151"/>
        <v>105.65706644440553</v>
      </c>
      <c r="AO45">
        <f t="shared" si="96"/>
        <v>4000</v>
      </c>
      <c r="AP45" s="460">
        <f t="shared" si="24"/>
        <v>105.65706644440553</v>
      </c>
      <c r="AQ45" s="460"/>
      <c r="AR45" s="5">
        <f t="shared" si="97"/>
        <v>9.4645822911066571</v>
      </c>
      <c r="AS45" s="5">
        <f t="shared" si="25"/>
        <v>1.673096119054077</v>
      </c>
      <c r="AT45" s="5">
        <f t="shared" si="98"/>
        <v>7.7914861720525801</v>
      </c>
      <c r="AU45" s="173">
        <f t="shared" si="99"/>
        <v>0.17677442781877364</v>
      </c>
      <c r="AW45" s="5">
        <f t="shared" si="152"/>
        <v>44.615896508108719</v>
      </c>
      <c r="AX45" s="5">
        <f t="shared" si="153"/>
        <v>2.0913701488175969</v>
      </c>
      <c r="AY45" s="5">
        <f t="shared" si="28"/>
        <v>1.8105423994617609</v>
      </c>
      <c r="AZ45" s="5"/>
      <c r="BA45" s="173">
        <f t="shared" si="100"/>
        <v>2.42744329023202</v>
      </c>
      <c r="BB45" s="173">
        <f t="shared" si="154"/>
        <v>5.2384017033863373</v>
      </c>
      <c r="BC45" s="173">
        <f t="shared" si="155"/>
        <v>0.12900848116574984</v>
      </c>
      <c r="BD45" s="173"/>
      <c r="BE45" s="528">
        <f t="shared" si="31"/>
        <v>0.11784961854584911</v>
      </c>
      <c r="BF45" s="528">
        <f t="shared" si="156"/>
        <v>1.7348601400818149</v>
      </c>
      <c r="BG45" s="528">
        <f t="shared" si="157"/>
        <v>0.18945187650810133</v>
      </c>
      <c r="BH45" s="528">
        <f t="shared" si="34"/>
        <v>8.1026642827051673E-2</v>
      </c>
      <c r="BI45">
        <f t="shared" si="35"/>
        <v>3.227549175747902E-2</v>
      </c>
      <c r="BJ45" s="460">
        <f t="shared" si="101"/>
        <v>221.72736826558034</v>
      </c>
      <c r="BK45">
        <f t="shared" si="158"/>
        <v>2.0221789721322345</v>
      </c>
      <c r="BL45" s="460">
        <f t="shared" si="102"/>
        <v>2022.1789721322345</v>
      </c>
      <c r="BM45" s="173">
        <f t="shared" si="159"/>
        <v>2.4849999999999999</v>
      </c>
      <c r="BN45" s="173">
        <f t="shared" si="160"/>
        <v>4.4374999999999998E-2</v>
      </c>
      <c r="BO45" s="528"/>
      <c r="BQ45" s="460">
        <f t="shared" si="103"/>
        <v>2529.375</v>
      </c>
      <c r="BR45" s="528">
        <f t="shared" si="39"/>
        <v>0.17677442781877364</v>
      </c>
      <c r="BS45" s="528">
        <f t="shared" si="104"/>
        <v>0.82322557218122638</v>
      </c>
      <c r="BT45" s="528">
        <f t="shared" si="161"/>
        <v>8.3215941063468154E-5</v>
      </c>
      <c r="BU45" s="528">
        <f t="shared" si="41"/>
        <v>1.8143303910151847</v>
      </c>
      <c r="BV45" s="528">
        <f t="shared" si="162"/>
        <v>3.3200605231945324</v>
      </c>
      <c r="BW45" s="625">
        <f t="shared" si="163"/>
        <v>1.0565706644440552E-2</v>
      </c>
      <c r="BX45" s="460">
        <f t="shared" si="105"/>
        <v>3330.6262298389729</v>
      </c>
      <c r="BY45" s="173">
        <f t="shared" si="106"/>
        <v>7.8821802019712059</v>
      </c>
      <c r="BZ45" s="5">
        <f t="shared" si="107"/>
        <v>60.8</v>
      </c>
      <c r="CA45" s="173">
        <f t="shared" si="108"/>
        <v>0.88523689581792009</v>
      </c>
      <c r="CB45" s="5">
        <f t="shared" si="109"/>
        <v>88.523689581792013</v>
      </c>
      <c r="CC45">
        <f t="shared" si="173"/>
        <v>40</v>
      </c>
      <c r="CE45" s="562">
        <f t="shared" si="164"/>
        <v>-50</v>
      </c>
      <c r="CF45">
        <f t="shared" si="165"/>
        <v>-50</v>
      </c>
      <c r="CG45" s="173">
        <f t="shared" si="166"/>
        <v>0.80775462392209951</v>
      </c>
      <c r="CH45" s="173">
        <f t="shared" si="167"/>
        <v>9.3072124624753283E-2</v>
      </c>
      <c r="CI45" s="170">
        <v>40</v>
      </c>
      <c r="CJ45" s="217">
        <f t="shared" si="133"/>
        <v>4</v>
      </c>
      <c r="CK45" s="217">
        <f t="shared" si="111"/>
        <v>0.1</v>
      </c>
      <c r="CL45" s="217">
        <f t="shared" si="48"/>
        <v>60</v>
      </c>
      <c r="CM45" s="217">
        <f t="shared" si="134"/>
        <v>0.8</v>
      </c>
      <c r="CN45" s="541">
        <f t="shared" si="112"/>
        <v>72</v>
      </c>
      <c r="CO45" s="443">
        <f t="shared" si="168"/>
        <v>15.7</v>
      </c>
      <c r="CP45" s="443">
        <f t="shared" si="169"/>
        <v>87.7</v>
      </c>
      <c r="CQ45" s="443"/>
      <c r="CR45" s="217">
        <f t="shared" si="113"/>
        <v>0.17620137299771166</v>
      </c>
      <c r="CS45" s="172">
        <f t="shared" si="114"/>
        <v>312.98928098277725</v>
      </c>
      <c r="CT45" s="172">
        <f t="shared" si="51"/>
        <v>4.2288329519450798</v>
      </c>
      <c r="CU45" s="217">
        <f t="shared" si="52"/>
        <v>20.865952065518481</v>
      </c>
      <c r="CV45" s="217">
        <f t="shared" si="53"/>
        <v>39.123660122847156</v>
      </c>
      <c r="CW45" s="443">
        <f t="shared" si="54"/>
        <v>15</v>
      </c>
      <c r="CX45" s="217">
        <f t="shared" si="55"/>
        <v>9.5849927849927852</v>
      </c>
      <c r="CY45" s="217">
        <f t="shared" si="56"/>
        <v>1.5974987974987975</v>
      </c>
      <c r="CZ45" s="217">
        <f t="shared" si="57"/>
        <v>7.326109135026333</v>
      </c>
      <c r="DA45" s="197">
        <f t="shared" si="58"/>
        <v>107.41163055872293</v>
      </c>
      <c r="DB45" s="443">
        <f t="shared" si="115"/>
        <v>112.06229672587466</v>
      </c>
      <c r="DD45" s="217">
        <f t="shared" si="59"/>
        <v>10</v>
      </c>
      <c r="DE45" s="173">
        <f t="shared" si="60"/>
        <v>7.6433121019108281</v>
      </c>
      <c r="DF45" s="173">
        <f t="shared" si="61"/>
        <v>4.1049030786773102</v>
      </c>
      <c r="DG45" s="173"/>
      <c r="DH45" s="173">
        <f t="shared" si="62"/>
        <v>7.6433121019108281</v>
      </c>
      <c r="DI45" s="545">
        <f t="shared" si="63"/>
        <v>104.66666666666667</v>
      </c>
      <c r="DJ45" s="528">
        <f t="shared" si="64"/>
        <v>4.1049030786773093</v>
      </c>
      <c r="DL45" s="173">
        <f t="shared" si="65"/>
        <v>5.3807416730763942</v>
      </c>
      <c r="DM45" s="173">
        <f t="shared" si="66"/>
        <v>10</v>
      </c>
      <c r="DN45" s="173">
        <f t="shared" si="67"/>
        <v>1.0598095238095238</v>
      </c>
      <c r="DP45" s="545">
        <f t="shared" si="68"/>
        <v>4000</v>
      </c>
      <c r="DQ45" s="460">
        <f t="shared" si="69"/>
        <v>104.66666666666667</v>
      </c>
      <c r="DS45">
        <f t="shared" si="116"/>
        <v>4000</v>
      </c>
      <c r="DT45" s="460">
        <f t="shared" si="70"/>
        <v>104.66666666666667</v>
      </c>
      <c r="DU45" s="460"/>
      <c r="DV45" s="5">
        <f t="shared" si="117"/>
        <v>9.5541401273885338</v>
      </c>
      <c r="DW45" s="5">
        <f t="shared" si="71"/>
        <v>1.6666666666666667</v>
      </c>
      <c r="DX45" s="5">
        <f t="shared" si="118"/>
        <v>7.8874734607218668</v>
      </c>
      <c r="DY45" s="173">
        <f t="shared" si="119"/>
        <v>0.17444444444444449</v>
      </c>
      <c r="EA45" s="5">
        <f t="shared" si="72"/>
        <v>44.444444444444443</v>
      </c>
      <c r="EB45" s="5">
        <f t="shared" si="73"/>
        <v>2.0833333333333339</v>
      </c>
      <c r="EC45" s="5">
        <f t="shared" si="74"/>
        <v>1.8258040418337655</v>
      </c>
      <c r="ED45" s="5"/>
      <c r="EE45" s="173">
        <f t="shared" si="120"/>
        <v>2.4113927126900787</v>
      </c>
      <c r="EF45" s="173">
        <f t="shared" si="75"/>
        <v>5.2458096151612779</v>
      </c>
      <c r="EG45" s="173">
        <f t="shared" si="76"/>
        <v>0.12919091914985423</v>
      </c>
      <c r="EH45" s="173"/>
      <c r="EI45" s="528">
        <f t="shared" si="77"/>
        <v>0.11629629629629634</v>
      </c>
      <c r="EJ45" s="528">
        <f t="shared" si="78"/>
        <v>1.8358533333333336</v>
      </c>
      <c r="EK45" s="528">
        <f t="shared" si="79"/>
        <v>1.3083333333333334E-2</v>
      </c>
      <c r="EL45" s="528">
        <f t="shared" si="80"/>
        <v>8.0502168666666693E-2</v>
      </c>
      <c r="EM45">
        <f t="shared" si="81"/>
        <v>3.2399999999999998E-2</v>
      </c>
      <c r="EN45" s="460">
        <f t="shared" si="121"/>
        <v>45.483333333333334</v>
      </c>
      <c r="EO45">
        <f t="shared" si="82"/>
        <v>2.1694822655924813</v>
      </c>
      <c r="EP45" s="460">
        <f t="shared" si="122"/>
        <v>2169.4822655924813</v>
      </c>
      <c r="EQ45" s="173">
        <f t="shared" si="83"/>
        <v>2.4849999999999999</v>
      </c>
      <c r="ER45" s="173">
        <f t="shared" si="170"/>
        <v>4.4374999999999998E-2</v>
      </c>
      <c r="ES45" s="528"/>
      <c r="EU45" s="460">
        <f t="shared" si="123"/>
        <v>2529.375</v>
      </c>
      <c r="EV45" s="528">
        <f t="shared" si="85"/>
        <v>0.17444444444444449</v>
      </c>
      <c r="EW45" s="528">
        <f t="shared" si="124"/>
        <v>0.82555555555555549</v>
      </c>
      <c r="EX45" s="528">
        <f t="shared" si="86"/>
        <v>8.3451467953920864E-5</v>
      </c>
      <c r="EY45" s="528">
        <f t="shared" si="87"/>
        <v>1.7721112707124289</v>
      </c>
      <c r="EZ45" s="528">
        <f t="shared" si="88"/>
        <v>3.2741702274756923</v>
      </c>
      <c r="FA45" s="625">
        <f t="shared" si="89"/>
        <v>1.0466666666666668E-2</v>
      </c>
      <c r="FB45" s="460">
        <f t="shared" si="125"/>
        <v>3284.6368941423593</v>
      </c>
      <c r="FC45" s="173">
        <f t="shared" si="126"/>
        <v>7.9834941597348399</v>
      </c>
      <c r="FD45" s="5">
        <f t="shared" si="127"/>
        <v>60.8</v>
      </c>
      <c r="FE45" s="173">
        <f t="shared" si="128"/>
        <v>0.88393299501192968</v>
      </c>
      <c r="FF45" s="5">
        <f t="shared" si="129"/>
        <v>88.393299501192971</v>
      </c>
      <c r="FG45">
        <f t="shared" si="130"/>
        <v>40</v>
      </c>
      <c r="FI45" s="562">
        <f t="shared" si="90"/>
        <v>-50</v>
      </c>
      <c r="FJ45">
        <f t="shared" si="91"/>
        <v>-50</v>
      </c>
      <c r="FL45">
        <f t="shared" si="92"/>
        <v>0.80775462392209951</v>
      </c>
    </row>
    <row r="46" spans="5:168">
      <c r="E46" s="170">
        <v>41</v>
      </c>
      <c r="F46" s="217">
        <f t="shared" si="174"/>
        <v>4.0999999999999996</v>
      </c>
      <c r="G46" s="217">
        <f t="shared" si="171"/>
        <v>0.10249999999999999</v>
      </c>
      <c r="H46" s="217">
        <f t="shared" si="135"/>
        <v>61.499999999999993</v>
      </c>
      <c r="I46" s="217">
        <f t="shared" si="175"/>
        <v>0.82</v>
      </c>
      <c r="J46" s="541">
        <f t="shared" si="136"/>
        <v>71.721278591268202</v>
      </c>
      <c r="K46" s="443">
        <f t="shared" si="137"/>
        <v>15.849781821871934</v>
      </c>
      <c r="L46" s="172">
        <f t="shared" si="138"/>
        <v>87.571060413140131</v>
      </c>
      <c r="M46" s="443"/>
      <c r="N46" s="217">
        <f t="shared" si="139"/>
        <v>0.18099337551807992</v>
      </c>
      <c r="O46" s="172">
        <f t="shared" si="172"/>
        <v>320.25681682663395</v>
      </c>
      <c r="P46" s="172">
        <f t="shared" si="140"/>
        <v>4.3270254362354104</v>
      </c>
      <c r="Q46" s="217">
        <f t="shared" si="6"/>
        <v>21.350454455108931</v>
      </c>
      <c r="R46" s="217">
        <f t="shared" si="141"/>
        <v>40.032102103329244</v>
      </c>
      <c r="S46" s="443">
        <f t="shared" si="142"/>
        <v>15</v>
      </c>
      <c r="T46" s="217">
        <f t="shared" si="143"/>
        <v>9.6016691556158271</v>
      </c>
      <c r="U46" s="217">
        <f t="shared" si="10"/>
        <v>1.6064971530139109</v>
      </c>
      <c r="V46" s="217">
        <f t="shared" si="11"/>
        <v>7.2695025813157788</v>
      </c>
      <c r="W46" s="197">
        <f t="shared" si="12"/>
        <v>108.17563590588526</v>
      </c>
      <c r="X46" s="443">
        <f t="shared" si="95"/>
        <v>110.18069956718168</v>
      </c>
      <c r="Z46" s="217">
        <f t="shared" si="13"/>
        <v>10</v>
      </c>
      <c r="AA46" s="173">
        <f t="shared" si="14"/>
        <v>7.5710821353014328</v>
      </c>
      <c r="AB46" s="173">
        <f t="shared" si="144"/>
        <v>4.0950331224096006</v>
      </c>
      <c r="AC46" s="173"/>
      <c r="AD46" s="173">
        <f t="shared" si="16"/>
        <v>7.5710821353014328</v>
      </c>
      <c r="AE46" s="545">
        <f t="shared" si="145"/>
        <v>108.3068424494582</v>
      </c>
      <c r="AF46" s="528">
        <f t="shared" si="146"/>
        <v>4.0950331224096015</v>
      </c>
      <c r="AH46" s="173">
        <f t="shared" si="147"/>
        <v>5.4475857474839691</v>
      </c>
      <c r="AI46" s="173">
        <f t="shared" si="148"/>
        <v>10</v>
      </c>
      <c r="AJ46" s="173">
        <f t="shared" si="149"/>
        <v>1.2</v>
      </c>
      <c r="AL46" s="545">
        <f t="shared" si="150"/>
        <v>4100</v>
      </c>
      <c r="AM46" s="460">
        <f t="shared" si="151"/>
        <v>110.18069956718168</v>
      </c>
      <c r="AO46">
        <f t="shared" si="96"/>
        <v>4100</v>
      </c>
      <c r="AP46" s="460">
        <f t="shared" si="24"/>
        <v>110.18069956718168</v>
      </c>
      <c r="AQ46" s="460"/>
      <c r="AR46" s="5">
        <f t="shared" si="97"/>
        <v>9.0759997343296863</v>
      </c>
      <c r="AS46" s="5">
        <f t="shared" si="25"/>
        <v>1.6731436242773501</v>
      </c>
      <c r="AT46" s="5">
        <f t="shared" si="98"/>
        <v>7.402856110052336</v>
      </c>
      <c r="AU46" s="173">
        <f t="shared" si="99"/>
        <v>0.18434813499924824</v>
      </c>
      <c r="AW46" s="5">
        <f t="shared" si="152"/>
        <v>45.732592396914235</v>
      </c>
      <c r="AX46" s="5">
        <f t="shared" si="153"/>
        <v>2.1437152686053551</v>
      </c>
      <c r="AY46" s="5">
        <f t="shared" si="28"/>
        <v>1.7632906304897369</v>
      </c>
      <c r="AZ46" s="5"/>
      <c r="BA46" s="173">
        <f t="shared" si="100"/>
        <v>2.4788985121033646</v>
      </c>
      <c r="BB46" s="173">
        <f t="shared" si="154"/>
        <v>5.2142492748261526</v>
      </c>
      <c r="BC46" s="173">
        <f t="shared" si="155"/>
        <v>0.12841366841532645</v>
      </c>
      <c r="BD46" s="173"/>
      <c r="BE46" s="528">
        <f t="shared" si="31"/>
        <v>0.12289875666616551</v>
      </c>
      <c r="BF46" s="528">
        <f t="shared" si="156"/>
        <v>1.8091201309049452</v>
      </c>
      <c r="BG46" s="528">
        <f t="shared" si="157"/>
        <v>0.19755751622596651</v>
      </c>
      <c r="BH46" s="528">
        <f t="shared" si="34"/>
        <v>8.4494169748322648E-2</v>
      </c>
      <c r="BI46">
        <f t="shared" si="35"/>
        <v>3.2274575366070687E-2</v>
      </c>
      <c r="BJ46" s="460">
        <f t="shared" si="101"/>
        <v>229.83209159203722</v>
      </c>
      <c r="BK46">
        <f t="shared" si="158"/>
        <v>2.1113486750056532</v>
      </c>
      <c r="BL46" s="460">
        <f t="shared" si="102"/>
        <v>2111.3486750056531</v>
      </c>
      <c r="BM46" s="173">
        <f t="shared" si="159"/>
        <v>2.5471249999999994</v>
      </c>
      <c r="BN46" s="173">
        <f t="shared" si="160"/>
        <v>4.5484374999999994E-2</v>
      </c>
      <c r="BO46" s="528"/>
      <c r="BQ46" s="460">
        <f t="shared" si="103"/>
        <v>2592.6093749999995</v>
      </c>
      <c r="BR46" s="528">
        <f t="shared" si="39"/>
        <v>0.18434813499924826</v>
      </c>
      <c r="BS46" s="528">
        <f t="shared" si="104"/>
        <v>0.81565186500075171</v>
      </c>
      <c r="BT46" s="528">
        <f t="shared" si="161"/>
        <v>8.2450351179407059E-5</v>
      </c>
      <c r="BU46" s="528">
        <f t="shared" si="41"/>
        <v>2.0148087027825778</v>
      </c>
      <c r="BV46" s="528">
        <f t="shared" si="162"/>
        <v>3.5379720410663262</v>
      </c>
      <c r="BW46" s="625">
        <f t="shared" si="163"/>
        <v>1.1018069956718168E-2</v>
      </c>
      <c r="BX46" s="460">
        <f t="shared" si="105"/>
        <v>3548.9901110230444</v>
      </c>
      <c r="BY46" s="173">
        <f t="shared" si="106"/>
        <v>8.2529481610286961</v>
      </c>
      <c r="BZ46" s="5">
        <f t="shared" si="107"/>
        <v>62.319999999999993</v>
      </c>
      <c r="CA46" s="173">
        <f t="shared" si="108"/>
        <v>0.88305790850344434</v>
      </c>
      <c r="CB46" s="5">
        <f t="shared" si="109"/>
        <v>88.305790850344437</v>
      </c>
      <c r="CC46">
        <f t="shared" si="173"/>
        <v>41</v>
      </c>
      <c r="CE46" s="562">
        <f t="shared" si="164"/>
        <v>-50</v>
      </c>
      <c r="CF46">
        <f t="shared" si="165"/>
        <v>-50</v>
      </c>
      <c r="CG46" s="173">
        <f t="shared" si="166"/>
        <v>0.82119444444444445</v>
      </c>
      <c r="CH46" s="173">
        <f t="shared" si="167"/>
        <v>9.5398927740372091E-2</v>
      </c>
      <c r="CI46" s="170">
        <v>41</v>
      </c>
      <c r="CJ46" s="217">
        <f t="shared" si="133"/>
        <v>4.0999999999999996</v>
      </c>
      <c r="CK46" s="217">
        <f t="shared" si="111"/>
        <v>0.10249999999999999</v>
      </c>
      <c r="CL46" s="217">
        <f t="shared" si="48"/>
        <v>61.499999999999993</v>
      </c>
      <c r="CM46" s="217">
        <f t="shared" si="134"/>
        <v>0.82</v>
      </c>
      <c r="CN46" s="541">
        <f t="shared" si="112"/>
        <v>72</v>
      </c>
      <c r="CO46" s="443">
        <f t="shared" si="168"/>
        <v>15.7</v>
      </c>
      <c r="CP46" s="443">
        <f t="shared" si="169"/>
        <v>87.7</v>
      </c>
      <c r="CQ46" s="443"/>
      <c r="CR46" s="217">
        <f t="shared" si="113"/>
        <v>0.17620137299771166</v>
      </c>
      <c r="CS46" s="172">
        <f t="shared" si="114"/>
        <v>312.98928098277725</v>
      </c>
      <c r="CT46" s="172">
        <f t="shared" si="51"/>
        <v>4.2288329519450798</v>
      </c>
      <c r="CU46" s="217">
        <f t="shared" si="52"/>
        <v>20.865952065518481</v>
      </c>
      <c r="CV46" s="217">
        <f t="shared" si="53"/>
        <v>39.123660122847156</v>
      </c>
      <c r="CW46" s="443">
        <f t="shared" si="54"/>
        <v>15</v>
      </c>
      <c r="CX46" s="217">
        <f t="shared" si="55"/>
        <v>9.8246176046176039</v>
      </c>
      <c r="CY46" s="217">
        <f t="shared" si="56"/>
        <v>1.6374362674362672</v>
      </c>
      <c r="CZ46" s="217">
        <f t="shared" si="57"/>
        <v>7.5092618634019903</v>
      </c>
      <c r="DA46" s="197">
        <f t="shared" si="58"/>
        <v>107.41163055872293</v>
      </c>
      <c r="DB46" s="443">
        <f t="shared" si="115"/>
        <v>109.32906997646307</v>
      </c>
      <c r="DD46" s="217">
        <f t="shared" si="59"/>
        <v>10</v>
      </c>
      <c r="DE46" s="173">
        <f t="shared" si="60"/>
        <v>7.6433121019108281</v>
      </c>
      <c r="DF46" s="173">
        <f t="shared" si="61"/>
        <v>4.1049030786773102</v>
      </c>
      <c r="DG46" s="173"/>
      <c r="DH46" s="173">
        <f t="shared" si="62"/>
        <v>7.6433121019108281</v>
      </c>
      <c r="DI46" s="545">
        <f t="shared" si="63"/>
        <v>107.28333333333333</v>
      </c>
      <c r="DJ46" s="528">
        <f t="shared" si="64"/>
        <v>4.1049030786773093</v>
      </c>
      <c r="DL46" s="173">
        <f t="shared" si="65"/>
        <v>5.4475857474839691</v>
      </c>
      <c r="DM46" s="173">
        <f t="shared" si="66"/>
        <v>10</v>
      </c>
      <c r="DN46" s="173">
        <f t="shared" si="67"/>
        <v>1.061304761904762</v>
      </c>
      <c r="DP46" s="545">
        <f t="shared" si="68"/>
        <v>4100</v>
      </c>
      <c r="DQ46" s="460">
        <f t="shared" si="69"/>
        <v>107.28333333333333</v>
      </c>
      <c r="DS46">
        <f t="shared" si="116"/>
        <v>4100</v>
      </c>
      <c r="DT46" s="460">
        <f t="shared" si="70"/>
        <v>107.28333333333333</v>
      </c>
      <c r="DU46" s="460"/>
      <c r="DV46" s="5">
        <f t="shared" si="117"/>
        <v>9.3211123194034489</v>
      </c>
      <c r="DW46" s="5">
        <f t="shared" si="71"/>
        <v>1.6666666666666667</v>
      </c>
      <c r="DX46" s="5">
        <f t="shared" si="118"/>
        <v>7.6544456527367819</v>
      </c>
      <c r="DY46" s="173">
        <f t="shared" si="119"/>
        <v>0.17880555555555555</v>
      </c>
      <c r="EA46" s="5">
        <f t="shared" si="72"/>
        <v>45.55555555555555</v>
      </c>
      <c r="EB46" s="5">
        <f t="shared" si="73"/>
        <v>2.1354166666666665</v>
      </c>
      <c r="EC46" s="5">
        <f t="shared" si="74"/>
        <v>1.8161589801053704</v>
      </c>
      <c r="ED46" s="5"/>
      <c r="EE46" s="173">
        <f t="shared" si="120"/>
        <v>2.4413490502558592</v>
      </c>
      <c r="EF46" s="173">
        <f t="shared" si="75"/>
        <v>5.2319354113127332</v>
      </c>
      <c r="EG46" s="173">
        <f t="shared" si="76"/>
        <v>0.12884923287468225</v>
      </c>
      <c r="EH46" s="173"/>
      <c r="EI46" s="528">
        <f t="shared" si="77"/>
        <v>0.11920370370370373</v>
      </c>
      <c r="EJ46" s="528">
        <f t="shared" si="78"/>
        <v>1.8817496666666669</v>
      </c>
      <c r="EK46" s="528">
        <f t="shared" si="79"/>
        <v>1.3410416666666666E-2</v>
      </c>
      <c r="EL46" s="528">
        <f t="shared" si="80"/>
        <v>8.2514722883333336E-2</v>
      </c>
      <c r="EM46">
        <f t="shared" si="81"/>
        <v>3.2399999999999998E-2</v>
      </c>
      <c r="EN46" s="460">
        <f t="shared" si="121"/>
        <v>45.810416666666669</v>
      </c>
      <c r="EO46">
        <f t="shared" si="82"/>
        <v>2.2244666334873049</v>
      </c>
      <c r="EP46" s="460">
        <f t="shared" si="122"/>
        <v>2224.466633487305</v>
      </c>
      <c r="EQ46" s="173">
        <f t="shared" si="83"/>
        <v>2.5471249999999994</v>
      </c>
      <c r="ER46" s="173">
        <f t="shared" si="170"/>
        <v>4.5484374999999994E-2</v>
      </c>
      <c r="ES46" s="528"/>
      <c r="EU46" s="460">
        <f t="shared" si="123"/>
        <v>2592.6093749999995</v>
      </c>
      <c r="EV46" s="528">
        <f t="shared" si="85"/>
        <v>0.17880555555555558</v>
      </c>
      <c r="EW46" s="528">
        <f t="shared" si="124"/>
        <v>0.82119444444444412</v>
      </c>
      <c r="EX46" s="528">
        <f t="shared" si="86"/>
        <v>8.3010624061970482E-5</v>
      </c>
      <c r="EY46" s="528">
        <f t="shared" si="87"/>
        <v>1.8849535440748282</v>
      </c>
      <c r="EZ46" s="528">
        <f t="shared" si="88"/>
        <v>3.3968250381021345</v>
      </c>
      <c r="FA46" s="625">
        <f t="shared" si="89"/>
        <v>1.0728333333333335E-2</v>
      </c>
      <c r="FB46" s="460">
        <f t="shared" si="125"/>
        <v>3407.5533714354679</v>
      </c>
      <c r="FC46" s="173">
        <f t="shared" si="126"/>
        <v>8.2246293799227708</v>
      </c>
      <c r="FD46" s="5">
        <f t="shared" si="127"/>
        <v>62.319999999999993</v>
      </c>
      <c r="FE46" s="173">
        <f t="shared" si="128"/>
        <v>0.88341239507222458</v>
      </c>
      <c r="FF46" s="5">
        <f t="shared" si="129"/>
        <v>88.341239507222454</v>
      </c>
      <c r="FG46">
        <f t="shared" si="130"/>
        <v>41</v>
      </c>
      <c r="FI46" s="562">
        <f t="shared" si="90"/>
        <v>-50</v>
      </c>
      <c r="FJ46">
        <f t="shared" si="91"/>
        <v>-50</v>
      </c>
      <c r="FL46">
        <f t="shared" si="92"/>
        <v>0.82119444444444445</v>
      </c>
    </row>
    <row r="47" spans="5:168">
      <c r="E47" s="170">
        <v>42</v>
      </c>
      <c r="F47" s="217">
        <f t="shared" si="174"/>
        <v>4.2</v>
      </c>
      <c r="G47" s="217">
        <f t="shared" si="171"/>
        <v>0.105</v>
      </c>
      <c r="H47" s="217">
        <f t="shared" si="135"/>
        <v>63</v>
      </c>
      <c r="I47" s="217">
        <f t="shared" si="175"/>
        <v>0.84</v>
      </c>
      <c r="J47" s="541">
        <f t="shared" si="136"/>
        <v>71.714693972274247</v>
      </c>
      <c r="K47" s="443">
        <f t="shared" si="137"/>
        <v>15.853475</v>
      </c>
      <c r="L47" s="172">
        <f t="shared" si="138"/>
        <v>87.56816897227425</v>
      </c>
      <c r="M47" s="443"/>
      <c r="N47" s="217">
        <f t="shared" si="139"/>
        <v>0.18104152668784831</v>
      </c>
      <c r="O47" s="172">
        <f t="shared" si="172"/>
        <v>320.31260730326557</v>
      </c>
      <c r="P47" s="172">
        <f t="shared" si="140"/>
        <v>4.3277792275641209</v>
      </c>
      <c r="Q47" s="217">
        <f t="shared" si="6"/>
        <v>21.354173820217703</v>
      </c>
      <c r="R47" s="217">
        <f t="shared" si="141"/>
        <v>40.039075912908196</v>
      </c>
      <c r="S47" s="443">
        <f t="shared" si="142"/>
        <v>15</v>
      </c>
      <c r="T47" s="217">
        <f t="shared" si="143"/>
        <v>9.8341430470691513</v>
      </c>
      <c r="U47" s="217">
        <f t="shared" si="10"/>
        <v>1.6455444488190072</v>
      </c>
      <c r="V47" s="217">
        <f t="shared" si="11"/>
        <v>7.4437759901113045</v>
      </c>
      <c r="W47" s="197">
        <f t="shared" si="12"/>
        <v>108.19448068910303</v>
      </c>
      <c r="X47" s="443">
        <f t="shared" si="95"/>
        <v>107.65050108607865</v>
      </c>
      <c r="Z47" s="217">
        <f t="shared" si="13"/>
        <v>10</v>
      </c>
      <c r="AA47" s="173">
        <f t="shared" si="14"/>
        <v>7.5693183986476154</v>
      </c>
      <c r="AB47" s="173">
        <f t="shared" si="144"/>
        <v>4.0947923665607586</v>
      </c>
      <c r="AC47" s="173"/>
      <c r="AD47" s="173">
        <f t="shared" si="16"/>
        <v>7.5693183986476154</v>
      </c>
      <c r="AE47" s="545">
        <f t="shared" si="145"/>
        <v>110.97432500000001</v>
      </c>
      <c r="AF47" s="528">
        <f t="shared" si="146"/>
        <v>4.0947923665607586</v>
      </c>
      <c r="AH47" s="173">
        <f t="shared" si="147"/>
        <v>5.5136195008360884</v>
      </c>
      <c r="AI47" s="173">
        <f t="shared" si="148"/>
        <v>10</v>
      </c>
      <c r="AJ47" s="173">
        <f t="shared" si="149"/>
        <v>1.2</v>
      </c>
      <c r="AL47" s="545">
        <f t="shared" si="150"/>
        <v>4200</v>
      </c>
      <c r="AM47" s="460">
        <f t="shared" si="151"/>
        <v>107.65050108607865</v>
      </c>
      <c r="AO47">
        <f t="shared" si="96"/>
        <v>4200</v>
      </c>
      <c r="AP47" s="460">
        <f t="shared" si="24"/>
        <v>107.65050108607865</v>
      </c>
      <c r="AQ47" s="460"/>
      <c r="AR47" s="5">
        <f t="shared" si="97"/>
        <v>9.2893204389303108</v>
      </c>
      <c r="AS47" s="5">
        <f t="shared" si="25"/>
        <v>1.6732972470940672</v>
      </c>
      <c r="AT47" s="5">
        <f t="shared" si="98"/>
        <v>7.6160231918362431</v>
      </c>
      <c r="AU47" s="173">
        <f t="shared" si="99"/>
        <v>0.18013128711563231</v>
      </c>
      <c r="AW47" s="5">
        <f t="shared" si="152"/>
        <v>46.852322918633888</v>
      </c>
      <c r="AX47" s="5">
        <f t="shared" si="153"/>
        <v>2.1962026368109635</v>
      </c>
      <c r="AY47" s="5">
        <f t="shared" si="28"/>
        <v>1.8584811351026895</v>
      </c>
      <c r="AZ47" s="5"/>
      <c r="BA47" s="173">
        <f t="shared" si="100"/>
        <v>2.4503828756314276</v>
      </c>
      <c r="BB47" s="173">
        <f t="shared" si="154"/>
        <v>5.2277105023275325</v>
      </c>
      <c r="BC47" s="173">
        <f t="shared" si="155"/>
        <v>0.12874518413575262</v>
      </c>
      <c r="BD47" s="173"/>
      <c r="BE47" s="528">
        <f t="shared" si="31"/>
        <v>0.12008752474375489</v>
      </c>
      <c r="BF47" s="528">
        <f t="shared" si="156"/>
        <v>1.7675169879479491</v>
      </c>
      <c r="BG47" s="528">
        <f t="shared" si="157"/>
        <v>0.19300306853375268</v>
      </c>
      <c r="BH47" s="528">
        <f t="shared" si="34"/>
        <v>8.2548387339728663E-2</v>
      </c>
      <c r="BI47">
        <f t="shared" si="35"/>
        <v>3.2271612287523413E-2</v>
      </c>
      <c r="BJ47" s="460">
        <f t="shared" si="101"/>
        <v>225.27468082127612</v>
      </c>
      <c r="BK47">
        <f t="shared" si="158"/>
        <v>2.0613938620032481</v>
      </c>
      <c r="BL47" s="460">
        <f t="shared" si="102"/>
        <v>2061.3938620032482</v>
      </c>
      <c r="BM47" s="173">
        <f t="shared" si="159"/>
        <v>2.6092499999999998</v>
      </c>
      <c r="BN47" s="173">
        <f t="shared" si="160"/>
        <v>4.6593749999999996E-2</v>
      </c>
      <c r="BO47" s="528"/>
      <c r="BQ47" s="460">
        <f t="shared" si="103"/>
        <v>2655.84375</v>
      </c>
      <c r="BR47" s="528">
        <f t="shared" si="39"/>
        <v>0.18013128711563234</v>
      </c>
      <c r="BS47" s="528">
        <f t="shared" si="104"/>
        <v>0.81986871288436747</v>
      </c>
      <c r="BT47" s="528">
        <f t="shared" si="161"/>
        <v>8.2876612190744235E-5</v>
      </c>
      <c r="BU47" s="528">
        <f t="shared" si="41"/>
        <v>1.901122682876706</v>
      </c>
      <c r="BV47" s="528">
        <f t="shared" si="162"/>
        <v>3.4144000954226392</v>
      </c>
      <c r="BW47" s="625">
        <f t="shared" si="163"/>
        <v>1.0765050108607866E-2</v>
      </c>
      <c r="BX47" s="460">
        <f t="shared" si="105"/>
        <v>3425.1651455312472</v>
      </c>
      <c r="BY47" s="173">
        <f t="shared" si="106"/>
        <v>8.1424027575344962</v>
      </c>
      <c r="BZ47" s="5">
        <f t="shared" si="107"/>
        <v>63.84</v>
      </c>
      <c r="CA47" s="173">
        <f t="shared" si="108"/>
        <v>0.88688342642629803</v>
      </c>
      <c r="CB47" s="5">
        <f t="shared" si="109"/>
        <v>88.688342642629806</v>
      </c>
      <c r="CC47">
        <f t="shared" si="173"/>
        <v>42.000000000000007</v>
      </c>
      <c r="CE47" s="562">
        <f t="shared" si="164"/>
        <v>-50</v>
      </c>
      <c r="CF47">
        <f t="shared" si="165"/>
        <v>-50</v>
      </c>
      <c r="CG47" s="173">
        <f t="shared" si="166"/>
        <v>0.82098061573546177</v>
      </c>
      <c r="CH47" s="173">
        <f t="shared" si="167"/>
        <v>9.6304191786782969E-2</v>
      </c>
      <c r="CI47" s="170">
        <v>42</v>
      </c>
      <c r="CJ47" s="217">
        <f t="shared" si="133"/>
        <v>4.2</v>
      </c>
      <c r="CK47" s="217">
        <f t="shared" si="111"/>
        <v>0.105</v>
      </c>
      <c r="CL47" s="217">
        <f t="shared" si="48"/>
        <v>63</v>
      </c>
      <c r="CM47" s="217">
        <f t="shared" si="134"/>
        <v>0.84</v>
      </c>
      <c r="CN47" s="541">
        <f t="shared" si="112"/>
        <v>72</v>
      </c>
      <c r="CO47" s="443">
        <f t="shared" si="168"/>
        <v>15.7</v>
      </c>
      <c r="CP47" s="443">
        <f t="shared" si="169"/>
        <v>87.7</v>
      </c>
      <c r="CQ47" s="443"/>
      <c r="CR47" s="217">
        <f t="shared" si="113"/>
        <v>0.17620137299771166</v>
      </c>
      <c r="CS47" s="172">
        <f t="shared" si="114"/>
        <v>312.98928098277725</v>
      </c>
      <c r="CT47" s="172">
        <f t="shared" si="51"/>
        <v>4.2288329519450798</v>
      </c>
      <c r="CU47" s="217">
        <f t="shared" si="52"/>
        <v>20.865952065518481</v>
      </c>
      <c r="CV47" s="217">
        <f t="shared" si="53"/>
        <v>39.123660122847156</v>
      </c>
      <c r="CW47" s="443">
        <f t="shared" si="54"/>
        <v>15</v>
      </c>
      <c r="CX47" s="217">
        <f t="shared" si="55"/>
        <v>10.064242424242426</v>
      </c>
      <c r="CY47" s="217">
        <f t="shared" si="56"/>
        <v>1.6773737373737378</v>
      </c>
      <c r="CZ47" s="217">
        <f t="shared" si="57"/>
        <v>7.6924145917776503</v>
      </c>
      <c r="DA47" s="197">
        <f t="shared" si="58"/>
        <v>107.41163055872293</v>
      </c>
      <c r="DB47" s="443">
        <f t="shared" si="115"/>
        <v>106.72599688178538</v>
      </c>
      <c r="DD47" s="217">
        <f t="shared" si="59"/>
        <v>10</v>
      </c>
      <c r="DE47" s="173">
        <f t="shared" si="60"/>
        <v>7.6433121019108281</v>
      </c>
      <c r="DF47" s="173">
        <f t="shared" si="61"/>
        <v>4.1049030786773102</v>
      </c>
      <c r="DG47" s="173"/>
      <c r="DH47" s="173">
        <f t="shared" si="62"/>
        <v>7.6433121019108281</v>
      </c>
      <c r="DI47" s="545">
        <f t="shared" si="63"/>
        <v>109.90000000000002</v>
      </c>
      <c r="DJ47" s="528">
        <f t="shared" si="64"/>
        <v>4.1049030786773093</v>
      </c>
      <c r="DL47" s="173">
        <f t="shared" si="65"/>
        <v>5.5136195008360884</v>
      </c>
      <c r="DM47" s="173">
        <f t="shared" si="66"/>
        <v>10.064242424242426</v>
      </c>
      <c r="DN47" s="173">
        <f t="shared" si="67"/>
        <v>1.2475869809203157</v>
      </c>
      <c r="DP47" s="545">
        <f t="shared" si="68"/>
        <v>4200</v>
      </c>
      <c r="DQ47" s="460">
        <f t="shared" si="69"/>
        <v>106.72599688178538</v>
      </c>
      <c r="DS47">
        <f t="shared" si="116"/>
        <v>4200</v>
      </c>
      <c r="DT47" s="460">
        <f t="shared" si="70"/>
        <v>106.72599688178538</v>
      </c>
      <c r="DU47" s="460"/>
      <c r="DV47" s="5">
        <f t="shared" si="117"/>
        <v>9.3697883291513868</v>
      </c>
      <c r="DW47" s="5">
        <f t="shared" si="71"/>
        <v>1.6773737373737378</v>
      </c>
      <c r="DX47" s="5">
        <f t="shared" si="118"/>
        <v>7.6924145917776485</v>
      </c>
      <c r="DY47" s="173">
        <f t="shared" si="119"/>
        <v>0.17901938426453826</v>
      </c>
      <c r="EA47" s="5">
        <f t="shared" si="72"/>
        <v>46.966464646464658</v>
      </c>
      <c r="EB47" s="5">
        <f t="shared" si="73"/>
        <v>2.2015530303030308</v>
      </c>
      <c r="EC47" s="5">
        <f t="shared" si="74"/>
        <v>1.8696841021681785</v>
      </c>
      <c r="ED47" s="5"/>
      <c r="EE47" s="173">
        <f t="shared" si="120"/>
        <v>2.4585015788774816</v>
      </c>
      <c r="EF47" s="173">
        <f t="shared" si="75"/>
        <v>5.2648610470391928</v>
      </c>
      <c r="EG47" s="173">
        <f t="shared" si="76"/>
        <v>0.12966010735453387</v>
      </c>
      <c r="EH47" s="173"/>
      <c r="EI47" s="528">
        <f t="shared" si="77"/>
        <v>0.12088460026686139</v>
      </c>
      <c r="EJ47" s="528">
        <f t="shared" si="78"/>
        <v>1.8840000000000001</v>
      </c>
      <c r="EK47" s="528">
        <f t="shared" si="79"/>
        <v>1.3340749610223173E-2</v>
      </c>
      <c r="EL47" s="528">
        <f t="shared" si="80"/>
        <v>8.2086059255690721E-2</v>
      </c>
      <c r="EM47">
        <f t="shared" si="81"/>
        <v>3.2399999999999998E-2</v>
      </c>
      <c r="EN47" s="460">
        <f t="shared" si="121"/>
        <v>45.740749610223176</v>
      </c>
      <c r="EO47">
        <f t="shared" si="82"/>
        <v>2.2293829931032425</v>
      </c>
      <c r="EP47" s="460">
        <f t="shared" si="122"/>
        <v>2229.3829931032424</v>
      </c>
      <c r="EQ47" s="173">
        <f t="shared" si="83"/>
        <v>2.6092499999999998</v>
      </c>
      <c r="ER47" s="173">
        <f t="shared" si="170"/>
        <v>4.6593749999999996E-2</v>
      </c>
      <c r="ES47" s="528"/>
      <c r="EU47" s="460">
        <f t="shared" si="123"/>
        <v>2655.84375</v>
      </c>
      <c r="EV47" s="528">
        <f t="shared" si="85"/>
        <v>0.18132690040029209</v>
      </c>
      <c r="EW47" s="528">
        <f t="shared" si="124"/>
        <v>0.83156285533891872</v>
      </c>
      <c r="EX47" s="528">
        <f t="shared" si="86"/>
        <v>8.4058717195946241E-5</v>
      </c>
      <c r="EY47" s="528">
        <f t="shared" si="87"/>
        <v>1.890594011417488</v>
      </c>
      <c r="EZ47" s="528">
        <f t="shared" si="88"/>
        <v>3.4241690261221902</v>
      </c>
      <c r="FA47" s="625">
        <f t="shared" si="89"/>
        <v>1.0810166891261536E-2</v>
      </c>
      <c r="FB47" s="460">
        <f t="shared" si="125"/>
        <v>3434.9791930134515</v>
      </c>
      <c r="FC47" s="173">
        <f t="shared" si="126"/>
        <v>8.3202059361166949</v>
      </c>
      <c r="FD47" s="5">
        <f t="shared" si="127"/>
        <v>63.84</v>
      </c>
      <c r="FE47" s="173">
        <f t="shared" si="128"/>
        <v>0.88469814036447514</v>
      </c>
      <c r="FF47" s="5">
        <f t="shared" si="129"/>
        <v>88.469814036447517</v>
      </c>
      <c r="FG47">
        <f t="shared" si="130"/>
        <v>42.000000000000007</v>
      </c>
      <c r="FI47" s="562">
        <f t="shared" si="90"/>
        <v>-50</v>
      </c>
      <c r="FJ47">
        <f t="shared" si="91"/>
        <v>-50</v>
      </c>
      <c r="FL47">
        <f t="shared" si="92"/>
        <v>0.82098061573546177</v>
      </c>
    </row>
    <row r="48" spans="5:168">
      <c r="E48" s="170">
        <v>43</v>
      </c>
      <c r="F48" s="217">
        <f t="shared" si="174"/>
        <v>4.3</v>
      </c>
      <c r="G48" s="217">
        <f t="shared" si="171"/>
        <v>0.1075</v>
      </c>
      <c r="H48" s="217">
        <f t="shared" si="135"/>
        <v>64.5</v>
      </c>
      <c r="I48" s="217">
        <f t="shared" si="175"/>
        <v>0.86</v>
      </c>
      <c r="J48" s="541">
        <f t="shared" si="136"/>
        <v>71.707900971614109</v>
      </c>
      <c r="K48" s="443">
        <f t="shared" si="137"/>
        <v>15.857129166666667</v>
      </c>
      <c r="L48" s="172">
        <f t="shared" si="138"/>
        <v>87.565030138280775</v>
      </c>
      <c r="M48" s="443"/>
      <c r="N48" s="217">
        <f t="shared" si="139"/>
        <v>0.18108974714706813</v>
      </c>
      <c r="O48" s="172">
        <f t="shared" si="172"/>
        <v>320.36757373511352</v>
      </c>
      <c r="P48" s="172">
        <f t="shared" si="140"/>
        <v>4.3285218851322007</v>
      </c>
      <c r="Q48" s="217">
        <f t="shared" si="6"/>
        <v>21.357838249007568</v>
      </c>
      <c r="R48" s="217">
        <f t="shared" si="141"/>
        <v>40.04594671688919</v>
      </c>
      <c r="S48" s="443">
        <f t="shared" si="142"/>
        <v>15</v>
      </c>
      <c r="T48" s="217">
        <f t="shared" si="143"/>
        <v>10.066561863300485</v>
      </c>
      <c r="U48" s="217">
        <f t="shared" si="10"/>
        <v>1.6845945944983738</v>
      </c>
      <c r="V48" s="217">
        <f t="shared" si="11"/>
        <v>7.6179452844173925</v>
      </c>
      <c r="W48" s="197">
        <f t="shared" si="12"/>
        <v>108.21304712830499</v>
      </c>
      <c r="X48" s="443">
        <f t="shared" si="95"/>
        <v>105.23502271416928</v>
      </c>
      <c r="Z48" s="217">
        <f t="shared" si="13"/>
        <v>10</v>
      </c>
      <c r="AA48" s="173">
        <f t="shared" si="14"/>
        <v>7.567574101133796</v>
      </c>
      <c r="AB48" s="173">
        <f t="shared" si="144"/>
        <v>4.0945512642646591</v>
      </c>
      <c r="AC48" s="173"/>
      <c r="AD48" s="173">
        <f t="shared" si="16"/>
        <v>7.567574101133796</v>
      </c>
      <c r="AE48" s="545">
        <f t="shared" si="145"/>
        <v>113.64275902777777</v>
      </c>
      <c r="AF48" s="528">
        <f t="shared" si="146"/>
        <v>4.0945512642646582</v>
      </c>
      <c r="AH48" s="173">
        <f t="shared" si="147"/>
        <v>5.5788717070577567</v>
      </c>
      <c r="AI48" s="173">
        <f t="shared" si="148"/>
        <v>10.066561863300485</v>
      </c>
      <c r="AJ48" s="173">
        <f t="shared" si="149"/>
        <v>1.2493050839262854</v>
      </c>
      <c r="AL48" s="545">
        <f t="shared" si="150"/>
        <v>4300</v>
      </c>
      <c r="AM48" s="460">
        <f t="shared" si="151"/>
        <v>105.23502271416928</v>
      </c>
      <c r="AO48">
        <f t="shared" si="96"/>
        <v>4300</v>
      </c>
      <c r="AP48" s="460">
        <f t="shared" si="24"/>
        <v>105.23502271416928</v>
      </c>
      <c r="AQ48" s="460"/>
      <c r="AR48" s="5">
        <f t="shared" si="97"/>
        <v>9.5025398789157656</v>
      </c>
      <c r="AS48" s="5">
        <f t="shared" si="25"/>
        <v>1.6845945944983738</v>
      </c>
      <c r="AT48" s="5">
        <f t="shared" si="98"/>
        <v>7.8179452844173918</v>
      </c>
      <c r="AU48" s="173">
        <f t="shared" si="99"/>
        <v>0.17727835041620316</v>
      </c>
      <c r="AW48" s="5">
        <f t="shared" si="152"/>
        <v>48.291711708953386</v>
      </c>
      <c r="AX48" s="5">
        <f t="shared" si="153"/>
        <v>2.26367398635719</v>
      </c>
      <c r="AY48" s="5">
        <f t="shared" si="28"/>
        <v>1.9533624298191752</v>
      </c>
      <c r="AZ48" s="5"/>
      <c r="BA48" s="173">
        <f t="shared" si="100"/>
        <v>2.4470812557431798</v>
      </c>
      <c r="BB48" s="173">
        <f t="shared" si="154"/>
        <v>5.2716552660123392</v>
      </c>
      <c r="BC48" s="173">
        <f t="shared" si="155"/>
        <v>0.12982743164924507</v>
      </c>
      <c r="BD48" s="173"/>
      <c r="BE48" s="528">
        <f t="shared" si="31"/>
        <v>0.11976413344419236</v>
      </c>
      <c r="BF48" s="528">
        <f t="shared" si="156"/>
        <v>1.7392957649629281</v>
      </c>
      <c r="BG48" s="528">
        <f t="shared" si="157"/>
        <v>0.18865456468833028</v>
      </c>
      <c r="BH48" s="528">
        <f t="shared" si="34"/>
        <v>8.0690369109957305E-2</v>
      </c>
      <c r="BI48">
        <f t="shared" si="35"/>
        <v>3.226855543722635E-2</v>
      </c>
      <c r="BJ48" s="460">
        <f t="shared" si="101"/>
        <v>220.92312012555661</v>
      </c>
      <c r="BK48">
        <f t="shared" si="158"/>
        <v>2.0298478488974809</v>
      </c>
      <c r="BL48" s="460">
        <f t="shared" si="102"/>
        <v>2029.8478488974808</v>
      </c>
      <c r="BM48" s="173">
        <f t="shared" si="159"/>
        <v>2.6713749999999998</v>
      </c>
      <c r="BN48" s="173">
        <f t="shared" si="160"/>
        <v>4.7703124999999999E-2</v>
      </c>
      <c r="BO48" s="528"/>
      <c r="BQ48" s="460">
        <f t="shared" si="103"/>
        <v>2719.078125</v>
      </c>
      <c r="BR48" s="528">
        <f t="shared" si="39"/>
        <v>0.17964620016628852</v>
      </c>
      <c r="BS48" s="528">
        <f t="shared" si="104"/>
        <v>0.83371047731026882</v>
      </c>
      <c r="BT48" s="528">
        <f t="shared" si="161"/>
        <v>8.4275810043196991E-5</v>
      </c>
      <c r="BU48" s="528">
        <f t="shared" si="41"/>
        <v>1.8263065183864089</v>
      </c>
      <c r="BV48" s="528">
        <f t="shared" si="162"/>
        <v>3.3549791629547143</v>
      </c>
      <c r="BW48" s="625">
        <f t="shared" si="163"/>
        <v>1.0664061297180063E-2</v>
      </c>
      <c r="BX48" s="460">
        <f t="shared" si="105"/>
        <v>3365.6432242518945</v>
      </c>
      <c r="BY48" s="173">
        <f t="shared" si="106"/>
        <v>8.1145691981493755</v>
      </c>
      <c r="BZ48" s="5">
        <f t="shared" si="107"/>
        <v>65.36</v>
      </c>
      <c r="CA48" s="173">
        <f t="shared" si="108"/>
        <v>0.88955948586420897</v>
      </c>
      <c r="CB48" s="5">
        <f t="shared" si="109"/>
        <v>88.955948586420902</v>
      </c>
      <c r="CC48">
        <f t="shared" si="173"/>
        <v>43</v>
      </c>
      <c r="CE48" s="562">
        <f t="shared" si="164"/>
        <v>-50</v>
      </c>
      <c r="CF48">
        <f t="shared" si="165"/>
        <v>-50</v>
      </c>
      <c r="CG48" s="173">
        <f t="shared" si="166"/>
        <v>0.82098061573546177</v>
      </c>
      <c r="CH48" s="173">
        <f t="shared" si="167"/>
        <v>9.6304191786782956E-2</v>
      </c>
      <c r="CI48" s="170">
        <v>43</v>
      </c>
      <c r="CJ48" s="217">
        <f t="shared" si="133"/>
        <v>4.3</v>
      </c>
      <c r="CK48" s="217">
        <f t="shared" si="111"/>
        <v>0.1075</v>
      </c>
      <c r="CL48" s="217">
        <f t="shared" si="48"/>
        <v>64.5</v>
      </c>
      <c r="CM48" s="217">
        <f t="shared" si="134"/>
        <v>0.86</v>
      </c>
      <c r="CN48" s="541">
        <f t="shared" si="112"/>
        <v>72</v>
      </c>
      <c r="CO48" s="443">
        <f t="shared" si="168"/>
        <v>15.7</v>
      </c>
      <c r="CP48" s="443">
        <f t="shared" si="169"/>
        <v>87.7</v>
      </c>
      <c r="CQ48" s="443"/>
      <c r="CR48" s="217">
        <f t="shared" si="113"/>
        <v>0.17620137299771166</v>
      </c>
      <c r="CS48" s="172">
        <f t="shared" si="114"/>
        <v>312.98928098277725</v>
      </c>
      <c r="CT48" s="172">
        <f t="shared" si="51"/>
        <v>4.2288329519450798</v>
      </c>
      <c r="CU48" s="217">
        <f t="shared" si="52"/>
        <v>20.865952065518481</v>
      </c>
      <c r="CV48" s="217">
        <f t="shared" si="53"/>
        <v>39.123660122847156</v>
      </c>
      <c r="CW48" s="443">
        <f t="shared" si="54"/>
        <v>15</v>
      </c>
      <c r="CX48" s="217">
        <f t="shared" si="55"/>
        <v>10.303867243867245</v>
      </c>
      <c r="CY48" s="217">
        <f t="shared" si="56"/>
        <v>1.7173112073112078</v>
      </c>
      <c r="CZ48" s="217">
        <f t="shared" si="57"/>
        <v>7.8755673201533085</v>
      </c>
      <c r="DA48" s="197">
        <f t="shared" si="58"/>
        <v>107.41163055872293</v>
      </c>
      <c r="DB48" s="443">
        <f t="shared" si="115"/>
        <v>104.24399695430198</v>
      </c>
      <c r="DD48" s="217">
        <f t="shared" si="59"/>
        <v>10</v>
      </c>
      <c r="DE48" s="173">
        <f t="shared" si="60"/>
        <v>7.6433121019108281</v>
      </c>
      <c r="DF48" s="173">
        <f t="shared" si="61"/>
        <v>4.1049030786773102</v>
      </c>
      <c r="DG48" s="173"/>
      <c r="DH48" s="173">
        <f t="shared" si="62"/>
        <v>7.6433121019108281</v>
      </c>
      <c r="DI48" s="545">
        <f t="shared" si="63"/>
        <v>112.51666666666667</v>
      </c>
      <c r="DJ48" s="528">
        <f t="shared" si="64"/>
        <v>4.1049030786773093</v>
      </c>
      <c r="DL48" s="173">
        <f t="shared" si="65"/>
        <v>5.5788717070577567</v>
      </c>
      <c r="DM48" s="173">
        <f t="shared" si="66"/>
        <v>10.303867243867245</v>
      </c>
      <c r="DN48" s="173">
        <f t="shared" si="67"/>
        <v>1.4250868473090703</v>
      </c>
      <c r="DP48" s="545">
        <f t="shared" si="68"/>
        <v>4300</v>
      </c>
      <c r="DQ48" s="460">
        <f t="shared" si="69"/>
        <v>104.24399695430198</v>
      </c>
      <c r="DS48">
        <f t="shared" si="116"/>
        <v>4300</v>
      </c>
      <c r="DT48" s="460">
        <f t="shared" si="70"/>
        <v>104.24399695430198</v>
      </c>
      <c r="DU48" s="460"/>
      <c r="DV48" s="5">
        <f t="shared" si="117"/>
        <v>9.5928785274645172</v>
      </c>
      <c r="DW48" s="5">
        <f t="shared" si="71"/>
        <v>1.7173112073112078</v>
      </c>
      <c r="DX48" s="5">
        <f t="shared" si="118"/>
        <v>7.8755673201533094</v>
      </c>
      <c r="DY48" s="173">
        <f t="shared" si="119"/>
        <v>0.1790193842645382</v>
      </c>
      <c r="EA48" s="5">
        <f t="shared" si="72"/>
        <v>49.229587942921285</v>
      </c>
      <c r="EB48" s="5">
        <f t="shared" si="73"/>
        <v>2.3076369348244352</v>
      </c>
      <c r="EC48" s="5">
        <f t="shared" si="74"/>
        <v>1.9597765900844462</v>
      </c>
      <c r="ED48" s="5"/>
      <c r="EE48" s="173">
        <f t="shared" si="120"/>
        <v>2.5170373307555161</v>
      </c>
      <c r="EF48" s="173">
        <f t="shared" si="75"/>
        <v>5.3902148814925068</v>
      </c>
      <c r="EG48" s="173">
        <f t="shared" si="76"/>
        <v>0.13274725276773705</v>
      </c>
      <c r="EH48" s="173"/>
      <c r="EI48" s="528">
        <f t="shared" si="77"/>
        <v>0.12670953848833708</v>
      </c>
      <c r="EJ48" s="528">
        <f t="shared" si="78"/>
        <v>1.8839999999999997</v>
      </c>
      <c r="EK48" s="528">
        <f t="shared" si="79"/>
        <v>1.3030499619287747E-2</v>
      </c>
      <c r="EL48" s="528">
        <f t="shared" si="80"/>
        <v>8.0177081133465347E-2</v>
      </c>
      <c r="EM48">
        <f t="shared" si="81"/>
        <v>3.2399999999999998E-2</v>
      </c>
      <c r="EN48" s="460">
        <f t="shared" si="121"/>
        <v>45.430499619287744</v>
      </c>
      <c r="EO48">
        <f t="shared" si="82"/>
        <v>2.2379034323902127</v>
      </c>
      <c r="EP48" s="460">
        <f t="shared" si="122"/>
        <v>2237.9034323902129</v>
      </c>
      <c r="EQ48" s="173">
        <f t="shared" si="83"/>
        <v>2.6713749999999998</v>
      </c>
      <c r="ER48" s="173">
        <f t="shared" si="170"/>
        <v>4.7703124999999999E-2</v>
      </c>
      <c r="ES48" s="528"/>
      <c r="EU48" s="460">
        <f t="shared" si="123"/>
        <v>2719.078125</v>
      </c>
      <c r="EV48" s="528">
        <f t="shared" si="85"/>
        <v>0.1900643077325056</v>
      </c>
      <c r="EW48" s="528">
        <f t="shared" si="124"/>
        <v>0.8716324940598984</v>
      </c>
      <c r="EX48" s="528">
        <f t="shared" si="86"/>
        <v>8.8109165586907365E-5</v>
      </c>
      <c r="EY48" s="528">
        <f t="shared" si="87"/>
        <v>1.8905940114174826</v>
      </c>
      <c r="EZ48" s="528">
        <f t="shared" si="88"/>
        <v>3.5049254582539136</v>
      </c>
      <c r="FA48" s="625">
        <f t="shared" si="89"/>
        <v>1.106755181724395E-2</v>
      </c>
      <c r="FB48" s="460">
        <f t="shared" si="125"/>
        <v>3515.9930100711576</v>
      </c>
      <c r="FC48" s="173">
        <f t="shared" si="126"/>
        <v>8.4729745674613692</v>
      </c>
      <c r="FD48" s="5">
        <f t="shared" si="127"/>
        <v>65.36</v>
      </c>
      <c r="FE48" s="173">
        <f t="shared" si="128"/>
        <v>0.88524132181997373</v>
      </c>
      <c r="FF48" s="5">
        <f t="shared" si="129"/>
        <v>88.524132181997373</v>
      </c>
      <c r="FG48">
        <f t="shared" si="130"/>
        <v>43</v>
      </c>
      <c r="FI48" s="562">
        <f t="shared" si="90"/>
        <v>-50</v>
      </c>
      <c r="FJ48">
        <f t="shared" si="91"/>
        <v>-50</v>
      </c>
      <c r="FL48">
        <f t="shared" si="92"/>
        <v>0.82098061573546177</v>
      </c>
    </row>
    <row r="49" spans="5:168">
      <c r="E49" s="170">
        <v>44</v>
      </c>
      <c r="F49" s="217">
        <f t="shared" si="174"/>
        <v>4.4000000000000004</v>
      </c>
      <c r="G49" s="217">
        <f t="shared" si="171"/>
        <v>0.11</v>
      </c>
      <c r="H49" s="217">
        <f t="shared" si="135"/>
        <v>66</v>
      </c>
      <c r="I49" s="217">
        <f t="shared" si="175"/>
        <v>0.88</v>
      </c>
      <c r="J49" s="541">
        <f t="shared" si="136"/>
        <v>71.701107970953984</v>
      </c>
      <c r="K49" s="443">
        <f t="shared" si="137"/>
        <v>15.860783333333332</v>
      </c>
      <c r="L49" s="172">
        <f t="shared" si="138"/>
        <v>87.561891304287315</v>
      </c>
      <c r="M49" s="443"/>
      <c r="N49" s="217">
        <f t="shared" si="139"/>
        <v>0.18113797106340868</v>
      </c>
      <c r="O49" s="172">
        <f t="shared" si="172"/>
        <v>320.4225301198274</v>
      </c>
      <c r="P49" s="172">
        <f t="shared" si="140"/>
        <v>4.3292644069523352</v>
      </c>
      <c r="Q49" s="217">
        <f t="shared" si="6"/>
        <v>21.361502007988495</v>
      </c>
      <c r="R49" s="217">
        <f t="shared" si="141"/>
        <v>40.052816264978425</v>
      </c>
      <c r="S49" s="443">
        <f t="shared" si="142"/>
        <v>15</v>
      </c>
      <c r="T49" s="217">
        <f t="shared" si="143"/>
        <v>10.298901262548265</v>
      </c>
      <c r="U49" s="217">
        <f t="shared" si="10"/>
        <v>1.7236388481004232</v>
      </c>
      <c r="V49" s="217">
        <f t="shared" si="11"/>
        <v>7.7919742394341096</v>
      </c>
      <c r="W49" s="197">
        <f t="shared" si="12"/>
        <v>108.23161017380839</v>
      </c>
      <c r="X49" s="443">
        <f t="shared" si="95"/>
        <v>102.92711236957703</v>
      </c>
      <c r="Z49" s="217">
        <f t="shared" si="13"/>
        <v>10</v>
      </c>
      <c r="AA49" s="173">
        <f t="shared" si="14"/>
        <v>7.5658306073575607</v>
      </c>
      <c r="AB49" s="173">
        <f t="shared" si="144"/>
        <v>4.0943101446829573</v>
      </c>
      <c r="AC49" s="173"/>
      <c r="AD49" s="173">
        <f t="shared" si="16"/>
        <v>7.5658306073575607</v>
      </c>
      <c r="AE49" s="545">
        <f t="shared" si="145"/>
        <v>116.31241111111112</v>
      </c>
      <c r="AF49" s="528">
        <f t="shared" si="146"/>
        <v>4.0943101446829582</v>
      </c>
      <c r="AH49" s="173">
        <f t="shared" si="147"/>
        <v>5.6433694764403866</v>
      </c>
      <c r="AI49" s="173">
        <f t="shared" si="148"/>
        <v>10.298901262548265</v>
      </c>
      <c r="AJ49" s="173">
        <f t="shared" si="149"/>
        <v>1.4214083426283444</v>
      </c>
      <c r="AL49" s="545">
        <f t="shared" si="150"/>
        <v>4400</v>
      </c>
      <c r="AM49" s="460">
        <f t="shared" si="151"/>
        <v>102.92711236957703</v>
      </c>
      <c r="AO49">
        <f t="shared" si="96"/>
        <v>4400</v>
      </c>
      <c r="AP49" s="460">
        <f t="shared" si="24"/>
        <v>102.92711236957703</v>
      </c>
      <c r="AQ49" s="460"/>
      <c r="AR49" s="5">
        <f t="shared" si="97"/>
        <v>9.7156130875345319</v>
      </c>
      <c r="AS49" s="5">
        <f t="shared" si="25"/>
        <v>1.7236388481004232</v>
      </c>
      <c r="AT49" s="5">
        <f t="shared" si="98"/>
        <v>7.9919742394341089</v>
      </c>
      <c r="AU49" s="173">
        <f t="shared" si="99"/>
        <v>0.17740916940300058</v>
      </c>
      <c r="AW49" s="5">
        <f t="shared" si="152"/>
        <v>50.56007287761242</v>
      </c>
      <c r="AX49" s="5">
        <f t="shared" si="153"/>
        <v>2.3700034161380823</v>
      </c>
      <c r="AY49" s="5">
        <f t="shared" si="28"/>
        <v>2.043476479921531</v>
      </c>
      <c r="AZ49" s="5"/>
      <c r="BA49" s="173">
        <f t="shared" si="100"/>
        <v>2.5044842129337814</v>
      </c>
      <c r="BB49" s="173">
        <f t="shared" si="154"/>
        <v>5.3928979129102323</v>
      </c>
      <c r="BC49" s="173">
        <f t="shared" si="155"/>
        <v>0.1328133289924559</v>
      </c>
      <c r="BD49" s="173"/>
      <c r="BE49" s="528">
        <f t="shared" si="31"/>
        <v>0.12544882345669087</v>
      </c>
      <c r="BF49" s="528">
        <f t="shared" si="156"/>
        <v>1.7403519690033793</v>
      </c>
      <c r="BG49" s="528">
        <f t="shared" si="157"/>
        <v>0.18449969992873891</v>
      </c>
      <c r="BH49" s="528">
        <f t="shared" si="34"/>
        <v>7.8915089966077004E-2</v>
      </c>
      <c r="BI49">
        <f t="shared" si="35"/>
        <v>3.2265498586929293E-2</v>
      </c>
      <c r="BJ49" s="460">
        <f t="shared" si="101"/>
        <v>216.7651985156682</v>
      </c>
      <c r="BK49">
        <f t="shared" si="158"/>
        <v>2.0393739508626632</v>
      </c>
      <c r="BL49" s="460">
        <f t="shared" si="102"/>
        <v>2039.3739508626632</v>
      </c>
      <c r="BM49" s="173">
        <f t="shared" si="159"/>
        <v>2.7334999999999998</v>
      </c>
      <c r="BN49" s="173">
        <f t="shared" si="160"/>
        <v>4.8812499999999995E-2</v>
      </c>
      <c r="BO49" s="528"/>
      <c r="BQ49" s="460">
        <f t="shared" si="103"/>
        <v>2782.3124999999995</v>
      </c>
      <c r="BR49" s="528">
        <f t="shared" si="39"/>
        <v>0.18817323518503629</v>
      </c>
      <c r="BS49" s="528">
        <f t="shared" si="104"/>
        <v>0.87250043697214619</v>
      </c>
      <c r="BT49" s="528">
        <f t="shared" si="161"/>
        <v>8.8196901790291645E-5</v>
      </c>
      <c r="BU49" s="528">
        <f t="shared" si="41"/>
        <v>1.829244308839524</v>
      </c>
      <c r="BV49" s="528">
        <f t="shared" si="162"/>
        <v>3.4361871289827399</v>
      </c>
      <c r="BW49" s="625">
        <f t="shared" si="163"/>
        <v>1.0917207824157421E-2</v>
      </c>
      <c r="BX49" s="460">
        <f t="shared" si="105"/>
        <v>3447.1043368068972</v>
      </c>
      <c r="BY49" s="173">
        <f t="shared" si="106"/>
        <v>8.2687907876695608</v>
      </c>
      <c r="BZ49" s="5">
        <f t="shared" si="107"/>
        <v>66.88</v>
      </c>
      <c r="CA49" s="173">
        <f t="shared" si="108"/>
        <v>0.88996774663969302</v>
      </c>
      <c r="CB49" s="5">
        <f t="shared" si="109"/>
        <v>88.996774663969305</v>
      </c>
      <c r="CC49">
        <f t="shared" si="173"/>
        <v>44.000000000000007</v>
      </c>
      <c r="CE49" s="562">
        <f t="shared" si="164"/>
        <v>-50</v>
      </c>
      <c r="CF49">
        <f t="shared" si="165"/>
        <v>-50</v>
      </c>
      <c r="CG49" s="173">
        <f t="shared" si="166"/>
        <v>0.82098061573546177</v>
      </c>
      <c r="CH49" s="173">
        <f t="shared" si="167"/>
        <v>9.6304191786782969E-2</v>
      </c>
      <c r="CI49" s="170">
        <v>44</v>
      </c>
      <c r="CJ49" s="217">
        <f t="shared" si="133"/>
        <v>4.4000000000000004</v>
      </c>
      <c r="CK49" s="217">
        <f t="shared" si="111"/>
        <v>0.11</v>
      </c>
      <c r="CL49" s="217">
        <f t="shared" si="48"/>
        <v>66</v>
      </c>
      <c r="CM49" s="217">
        <f t="shared" si="134"/>
        <v>0.88</v>
      </c>
      <c r="CN49" s="541">
        <f t="shared" si="112"/>
        <v>72</v>
      </c>
      <c r="CO49" s="443">
        <f t="shared" si="168"/>
        <v>15.7</v>
      </c>
      <c r="CP49" s="443">
        <f t="shared" si="169"/>
        <v>87.7</v>
      </c>
      <c r="CQ49" s="443"/>
      <c r="CR49" s="217">
        <f t="shared" si="113"/>
        <v>0.17620137299771166</v>
      </c>
      <c r="CS49" s="172">
        <f t="shared" si="114"/>
        <v>312.98928098277725</v>
      </c>
      <c r="CT49" s="172">
        <f t="shared" si="51"/>
        <v>4.2288329519450798</v>
      </c>
      <c r="CU49" s="217">
        <f t="shared" si="52"/>
        <v>20.865952065518481</v>
      </c>
      <c r="CV49" s="217">
        <f t="shared" si="53"/>
        <v>39.123660122847156</v>
      </c>
      <c r="CW49" s="443">
        <f t="shared" si="54"/>
        <v>15</v>
      </c>
      <c r="CX49" s="217">
        <f t="shared" si="55"/>
        <v>10.543492063492064</v>
      </c>
      <c r="CY49" s="217">
        <f t="shared" si="56"/>
        <v>1.7572486772486773</v>
      </c>
      <c r="CZ49" s="217">
        <f t="shared" si="57"/>
        <v>8.0587200485289667</v>
      </c>
      <c r="DA49" s="197">
        <f t="shared" si="58"/>
        <v>107.41163055872293</v>
      </c>
      <c r="DB49" s="443">
        <f t="shared" si="115"/>
        <v>101.87481520534058</v>
      </c>
      <c r="DD49" s="217">
        <f t="shared" si="59"/>
        <v>10</v>
      </c>
      <c r="DE49" s="173">
        <f t="shared" si="60"/>
        <v>7.6433121019108281</v>
      </c>
      <c r="DF49" s="173">
        <f t="shared" si="61"/>
        <v>4.1049030786773102</v>
      </c>
      <c r="DG49" s="173"/>
      <c r="DH49" s="173">
        <f t="shared" si="62"/>
        <v>7.6433121019108281</v>
      </c>
      <c r="DI49" s="545">
        <f t="shared" si="63"/>
        <v>115.13333333333335</v>
      </c>
      <c r="DJ49" s="528">
        <f t="shared" si="64"/>
        <v>4.1049030786773093</v>
      </c>
      <c r="DL49" s="173">
        <f t="shared" si="65"/>
        <v>5.6433694764403866</v>
      </c>
      <c r="DM49" s="173">
        <f t="shared" si="66"/>
        <v>10.543492063492064</v>
      </c>
      <c r="DN49" s="173">
        <f t="shared" si="67"/>
        <v>1.6025867136978249</v>
      </c>
      <c r="DP49" s="545">
        <f t="shared" si="68"/>
        <v>4400</v>
      </c>
      <c r="DQ49" s="460">
        <f t="shared" si="69"/>
        <v>101.87481520534058</v>
      </c>
      <c r="DS49">
        <f t="shared" si="116"/>
        <v>4400</v>
      </c>
      <c r="DT49" s="460">
        <f t="shared" si="70"/>
        <v>101.87481520534058</v>
      </c>
      <c r="DU49" s="460"/>
      <c r="DV49" s="5">
        <f t="shared" si="117"/>
        <v>9.815968725777644</v>
      </c>
      <c r="DW49" s="5">
        <f t="shared" si="71"/>
        <v>1.7572486772486773</v>
      </c>
      <c r="DX49" s="5">
        <f t="shared" si="118"/>
        <v>8.0587200485289667</v>
      </c>
      <c r="DY49" s="173">
        <f t="shared" si="119"/>
        <v>0.17901938426453817</v>
      </c>
      <c r="EA49" s="5">
        <f t="shared" si="72"/>
        <v>51.545961199294538</v>
      </c>
      <c r="EB49" s="5">
        <f t="shared" si="73"/>
        <v>2.4162169312169315</v>
      </c>
      <c r="EC49" s="5">
        <f t="shared" si="74"/>
        <v>2.0519889012458017</v>
      </c>
      <c r="ED49" s="5"/>
      <c r="EE49" s="173">
        <f t="shared" si="120"/>
        <v>2.575573082633551</v>
      </c>
      <c r="EF49" s="173">
        <f t="shared" si="75"/>
        <v>5.51556871594582</v>
      </c>
      <c r="EG49" s="173">
        <f t="shared" si="76"/>
        <v>0.1358343981809402</v>
      </c>
      <c r="EH49" s="173"/>
      <c r="EI49" s="528">
        <f t="shared" si="77"/>
        <v>0.13267153407972987</v>
      </c>
      <c r="EJ49" s="528">
        <f t="shared" si="78"/>
        <v>1.8839999999999997</v>
      </c>
      <c r="EK49" s="528">
        <f t="shared" si="79"/>
        <v>1.2734351900667571E-2</v>
      </c>
      <c r="EL49" s="528">
        <f t="shared" si="80"/>
        <v>7.8354874744068409E-2</v>
      </c>
      <c r="EM49">
        <f t="shared" si="81"/>
        <v>3.2399999999999998E-2</v>
      </c>
      <c r="EN49" s="460">
        <f t="shared" si="121"/>
        <v>45.134351900667575</v>
      </c>
      <c r="EO49">
        <f t="shared" si="82"/>
        <v>2.2468076452227188</v>
      </c>
      <c r="EP49" s="460">
        <f t="shared" si="122"/>
        <v>2246.8076452227187</v>
      </c>
      <c r="EQ49" s="173">
        <f t="shared" si="83"/>
        <v>2.7334999999999998</v>
      </c>
      <c r="ER49" s="173">
        <f t="shared" si="170"/>
        <v>4.8812499999999995E-2</v>
      </c>
      <c r="ES49" s="528"/>
      <c r="EU49" s="460">
        <f t="shared" si="123"/>
        <v>2782.3124999999995</v>
      </c>
      <c r="EV49" s="528">
        <f t="shared" si="85"/>
        <v>0.19900730111959478</v>
      </c>
      <c r="EW49" s="528">
        <f t="shared" si="124"/>
        <v>0.91264494780960659</v>
      </c>
      <c r="EX49" s="528">
        <f t="shared" si="86"/>
        <v>9.2254918645891061E-5</v>
      </c>
      <c r="EY49" s="528">
        <f t="shared" si="87"/>
        <v>1.8905940114174846</v>
      </c>
      <c r="EZ49" s="528">
        <f t="shared" si="88"/>
        <v>3.5882989248149042</v>
      </c>
      <c r="FA49" s="625">
        <f t="shared" si="89"/>
        <v>1.1324936743226367E-2</v>
      </c>
      <c r="FB49" s="460">
        <f t="shared" si="125"/>
        <v>3599.6238615581306</v>
      </c>
      <c r="FC49" s="173">
        <f t="shared" si="126"/>
        <v>8.6287440067808507</v>
      </c>
      <c r="FD49" s="5">
        <f t="shared" si="127"/>
        <v>66.88</v>
      </c>
      <c r="FE49" s="173">
        <f t="shared" si="128"/>
        <v>0.88572523460321406</v>
      </c>
      <c r="FF49" s="5">
        <f t="shared" si="129"/>
        <v>88.572523460321406</v>
      </c>
      <c r="FG49">
        <f t="shared" si="130"/>
        <v>44.000000000000007</v>
      </c>
      <c r="FI49" s="562">
        <f t="shared" si="90"/>
        <v>-50</v>
      </c>
      <c r="FJ49">
        <f t="shared" si="91"/>
        <v>-50</v>
      </c>
      <c r="FL49">
        <f t="shared" si="92"/>
        <v>0.82098061573546177</v>
      </c>
    </row>
    <row r="50" spans="5:168">
      <c r="E50" s="170">
        <v>45</v>
      </c>
      <c r="F50" s="217">
        <f t="shared" si="174"/>
        <v>4.5</v>
      </c>
      <c r="G50" s="217">
        <f t="shared" si="171"/>
        <v>0.1125</v>
      </c>
      <c r="H50" s="217">
        <f t="shared" si="135"/>
        <v>67.5</v>
      </c>
      <c r="I50" s="217">
        <f t="shared" si="175"/>
        <v>0.9</v>
      </c>
      <c r="J50" s="541">
        <f t="shared" si="136"/>
        <v>71.694314970293846</v>
      </c>
      <c r="K50" s="443">
        <f t="shared" si="137"/>
        <v>15.864437499999999</v>
      </c>
      <c r="L50" s="172">
        <f t="shared" si="138"/>
        <v>87.55875247029384</v>
      </c>
      <c r="M50" s="443"/>
      <c r="N50" s="217">
        <f t="shared" si="139"/>
        <v>0.18118619843724185</v>
      </c>
      <c r="O50" s="172">
        <f t="shared" si="172"/>
        <v>320.47747645632677</v>
      </c>
      <c r="P50" s="172">
        <f t="shared" si="140"/>
        <v>4.3300067930099271</v>
      </c>
      <c r="Q50" s="217">
        <f t="shared" si="6"/>
        <v>21.36516509708845</v>
      </c>
      <c r="R50" s="217">
        <f t="shared" si="141"/>
        <v>40.059684557040846</v>
      </c>
      <c r="S50" s="443">
        <f t="shared" si="142"/>
        <v>15</v>
      </c>
      <c r="T50" s="217">
        <f t="shared" si="143"/>
        <v>10.531161307555822</v>
      </c>
      <c r="U50" s="217">
        <f t="shared" si="10"/>
        <v>1.7626772184521498</v>
      </c>
      <c r="V50" s="217">
        <f t="shared" si="11"/>
        <v>7.9658629995970474</v>
      </c>
      <c r="W50" s="197">
        <f t="shared" si="12"/>
        <v>108.25016982524815</v>
      </c>
      <c r="X50" s="443">
        <f t="shared" si="95"/>
        <v>100.71974107352555</v>
      </c>
      <c r="Z50" s="217">
        <f t="shared" si="13"/>
        <v>10</v>
      </c>
      <c r="AA50" s="173">
        <f t="shared" si="14"/>
        <v>7.5640879167635164</v>
      </c>
      <c r="AB50" s="173">
        <f t="shared" si="144"/>
        <v>4.0940690078137907</v>
      </c>
      <c r="AC50" s="173"/>
      <c r="AD50" s="173">
        <f t="shared" si="16"/>
        <v>7.5640879167635164</v>
      </c>
      <c r="AE50" s="545">
        <f t="shared" si="145"/>
        <v>118.98328125</v>
      </c>
      <c r="AF50" s="528">
        <f t="shared" si="146"/>
        <v>4.0940690078137907</v>
      </c>
      <c r="AH50" s="173">
        <f t="shared" si="147"/>
        <v>5.707138387268051</v>
      </c>
      <c r="AI50" s="173">
        <f t="shared" si="148"/>
        <v>10.531161307555822</v>
      </c>
      <c r="AJ50" s="173">
        <f t="shared" si="149"/>
        <v>1.5934528204117198</v>
      </c>
      <c r="AL50" s="545">
        <f t="shared" si="150"/>
        <v>4500</v>
      </c>
      <c r="AM50" s="460">
        <f t="shared" si="151"/>
        <v>100.71974107352555</v>
      </c>
      <c r="AO50">
        <f t="shared" si="96"/>
        <v>4500</v>
      </c>
      <c r="AP50" s="460">
        <f t="shared" si="24"/>
        <v>100.71974107352555</v>
      </c>
      <c r="AQ50" s="460"/>
      <c r="AR50" s="5">
        <f t="shared" si="97"/>
        <v>9.9285402180491964</v>
      </c>
      <c r="AS50" s="5">
        <f t="shared" si="25"/>
        <v>1.7626772184521498</v>
      </c>
      <c r="AT50" s="5">
        <f t="shared" si="98"/>
        <v>8.1658629995970458</v>
      </c>
      <c r="AU50" s="173">
        <f t="shared" si="99"/>
        <v>0.17753639303870275</v>
      </c>
      <c r="AW50" s="5">
        <f t="shared" si="152"/>
        <v>52.880316553564498</v>
      </c>
      <c r="AX50" s="5">
        <f t="shared" si="153"/>
        <v>2.4787648384483356</v>
      </c>
      <c r="AY50" s="5">
        <f t="shared" si="28"/>
        <v>2.1355937539243506</v>
      </c>
      <c r="AZ50" s="5"/>
      <c r="BA50" s="173">
        <f t="shared" si="100"/>
        <v>2.5618832470291761</v>
      </c>
      <c r="BB50" s="173">
        <f t="shared" si="154"/>
        <v>5.51409168015714</v>
      </c>
      <c r="BC50" s="173">
        <f t="shared" si="155"/>
        <v>0.13579802255445822</v>
      </c>
      <c r="BD50" s="173"/>
      <c r="BE50" s="528">
        <f t="shared" si="31"/>
        <v>0.13126491542817509</v>
      </c>
      <c r="BF50" s="528">
        <f t="shared" si="156"/>
        <v>1.7413725845556509</v>
      </c>
      <c r="BG50" s="528">
        <f t="shared" si="157"/>
        <v>0.18052582100629455</v>
      </c>
      <c r="BH50" s="528">
        <f t="shared" si="34"/>
        <v>7.7217143364309626E-2</v>
      </c>
      <c r="BI50">
        <f t="shared" si="35"/>
        <v>3.226244173663223E-2</v>
      </c>
      <c r="BJ50" s="460">
        <f t="shared" si="101"/>
        <v>212.78826274292678</v>
      </c>
      <c r="BK50">
        <f t="shared" si="158"/>
        <v>2.0492079836848802</v>
      </c>
      <c r="BL50" s="460">
        <f t="shared" si="102"/>
        <v>2049.2079836848802</v>
      </c>
      <c r="BM50" s="173">
        <f t="shared" si="159"/>
        <v>2.7956249999999998</v>
      </c>
      <c r="BN50" s="173">
        <f t="shared" si="160"/>
        <v>4.9921874999999998E-2</v>
      </c>
      <c r="BO50" s="528"/>
      <c r="BQ50" s="460">
        <f t="shared" si="103"/>
        <v>2845.5468749999995</v>
      </c>
      <c r="BR50" s="528">
        <f t="shared" si="39"/>
        <v>0.19689737314226263</v>
      </c>
      <c r="BS50" s="528">
        <f t="shared" si="104"/>
        <v>0.91215621171534567</v>
      </c>
      <c r="BT50" s="528">
        <f t="shared" si="161"/>
        <v>9.2205514648505712E-5</v>
      </c>
      <c r="BU50" s="528">
        <f t="shared" si="41"/>
        <v>1.8320915361153889</v>
      </c>
      <c r="BV50" s="528">
        <f t="shared" si="162"/>
        <v>3.5197451582099211</v>
      </c>
      <c r="BW50" s="625">
        <f t="shared" si="163"/>
        <v>1.1170358990352363E-2</v>
      </c>
      <c r="BX50" s="460">
        <f t="shared" si="105"/>
        <v>3530.9155172002734</v>
      </c>
      <c r="BY50" s="173">
        <f t="shared" si="106"/>
        <v>8.4256703758851526</v>
      </c>
      <c r="BZ50" s="5">
        <f t="shared" si="107"/>
        <v>68.400000000000006</v>
      </c>
      <c r="CA50" s="173">
        <f t="shared" si="108"/>
        <v>0.89032740834332003</v>
      </c>
      <c r="CB50" s="5">
        <f t="shared" si="109"/>
        <v>89.032740834332003</v>
      </c>
      <c r="CC50">
        <f t="shared" si="173"/>
        <v>45</v>
      </c>
      <c r="CE50" s="562">
        <f t="shared" si="164"/>
        <v>-50</v>
      </c>
      <c r="CF50">
        <f t="shared" si="165"/>
        <v>-50</v>
      </c>
      <c r="CG50" s="173">
        <f t="shared" si="166"/>
        <v>0.82098061573546188</v>
      </c>
      <c r="CH50" s="173">
        <f t="shared" si="167"/>
        <v>9.6304191786782956E-2</v>
      </c>
      <c r="CI50" s="170">
        <v>45</v>
      </c>
      <c r="CJ50" s="217">
        <f t="shared" si="133"/>
        <v>4.5</v>
      </c>
      <c r="CK50" s="217">
        <f t="shared" si="111"/>
        <v>0.1125</v>
      </c>
      <c r="CL50" s="217">
        <f t="shared" si="48"/>
        <v>67.5</v>
      </c>
      <c r="CM50" s="217">
        <f t="shared" si="134"/>
        <v>0.9</v>
      </c>
      <c r="CN50" s="541">
        <f t="shared" si="112"/>
        <v>72</v>
      </c>
      <c r="CO50" s="443">
        <f t="shared" si="168"/>
        <v>15.7</v>
      </c>
      <c r="CP50" s="443">
        <f t="shared" si="169"/>
        <v>87.7</v>
      </c>
      <c r="CQ50" s="443"/>
      <c r="CR50" s="217">
        <f t="shared" si="113"/>
        <v>0.17620137299771166</v>
      </c>
      <c r="CS50" s="172">
        <f t="shared" si="114"/>
        <v>312.98928098277725</v>
      </c>
      <c r="CT50" s="172">
        <f t="shared" si="51"/>
        <v>4.2288329519450798</v>
      </c>
      <c r="CU50" s="217">
        <f t="shared" si="52"/>
        <v>20.865952065518481</v>
      </c>
      <c r="CV50" s="217">
        <f t="shared" si="53"/>
        <v>39.123660122847156</v>
      </c>
      <c r="CW50" s="443">
        <f t="shared" si="54"/>
        <v>15</v>
      </c>
      <c r="CX50" s="217">
        <f t="shared" si="55"/>
        <v>10.783116883116884</v>
      </c>
      <c r="CY50" s="217">
        <f t="shared" si="56"/>
        <v>1.7971861471861472</v>
      </c>
      <c r="CZ50" s="217">
        <f t="shared" si="57"/>
        <v>8.2418727769046249</v>
      </c>
      <c r="DA50" s="197">
        <f t="shared" si="58"/>
        <v>107.41163055872293</v>
      </c>
      <c r="DB50" s="443">
        <f t="shared" si="115"/>
        <v>99.610930422999672</v>
      </c>
      <c r="DD50" s="217">
        <f t="shared" si="59"/>
        <v>10</v>
      </c>
      <c r="DE50" s="173">
        <f t="shared" si="60"/>
        <v>7.6433121019108281</v>
      </c>
      <c r="DF50" s="173">
        <f t="shared" si="61"/>
        <v>4.1049030786773102</v>
      </c>
      <c r="DG50" s="173"/>
      <c r="DH50" s="173">
        <f t="shared" si="62"/>
        <v>7.6433121019108281</v>
      </c>
      <c r="DI50" s="545">
        <f t="shared" si="63"/>
        <v>117.75000000000003</v>
      </c>
      <c r="DJ50" s="528">
        <f t="shared" si="64"/>
        <v>4.1049030786773093</v>
      </c>
      <c r="DL50" s="173">
        <f t="shared" si="65"/>
        <v>5.707138387268051</v>
      </c>
      <c r="DM50" s="173">
        <f t="shared" si="66"/>
        <v>10.783116883116884</v>
      </c>
      <c r="DN50" s="173">
        <f t="shared" si="67"/>
        <v>1.7800865800865808</v>
      </c>
      <c r="DP50" s="545">
        <f t="shared" si="68"/>
        <v>4500</v>
      </c>
      <c r="DQ50" s="460">
        <f t="shared" si="69"/>
        <v>99.610930422999672</v>
      </c>
      <c r="DS50">
        <f t="shared" si="116"/>
        <v>4500</v>
      </c>
      <c r="DT50" s="460">
        <f t="shared" si="70"/>
        <v>99.610930422999672</v>
      </c>
      <c r="DU50" s="460"/>
      <c r="DV50" s="5">
        <f t="shared" si="117"/>
        <v>10.039058924090774</v>
      </c>
      <c r="DW50" s="5">
        <f t="shared" si="71"/>
        <v>1.7971861471861472</v>
      </c>
      <c r="DX50" s="5">
        <f t="shared" si="118"/>
        <v>8.2418727769046267</v>
      </c>
      <c r="DY50" s="173">
        <f t="shared" si="119"/>
        <v>0.17901938426453815</v>
      </c>
      <c r="EA50" s="5">
        <f t="shared" si="72"/>
        <v>53.915584415584412</v>
      </c>
      <c r="EB50" s="5">
        <f t="shared" si="73"/>
        <v>2.5272930194805197</v>
      </c>
      <c r="EC50" s="5">
        <f t="shared" si="74"/>
        <v>2.1463210356522464</v>
      </c>
      <c r="ED50" s="5"/>
      <c r="EE50" s="173">
        <f t="shared" si="120"/>
        <v>2.634108834511586</v>
      </c>
      <c r="EF50" s="173">
        <f t="shared" si="75"/>
        <v>5.6409225503991349</v>
      </c>
      <c r="EG50" s="173">
        <f t="shared" si="76"/>
        <v>0.13892154359414344</v>
      </c>
      <c r="EH50" s="173"/>
      <c r="EI50" s="528">
        <f t="shared" si="77"/>
        <v>0.13877058704103973</v>
      </c>
      <c r="EJ50" s="528">
        <f t="shared" si="78"/>
        <v>1.8839999999999997</v>
      </c>
      <c r="EK50" s="528">
        <f t="shared" si="79"/>
        <v>1.2451366302874958E-2</v>
      </c>
      <c r="EL50" s="528">
        <f t="shared" si="80"/>
        <v>7.6613655305311321E-2</v>
      </c>
      <c r="EM50">
        <f t="shared" si="81"/>
        <v>3.2399999999999998E-2</v>
      </c>
      <c r="EN50" s="460">
        <f t="shared" si="121"/>
        <v>44.851366302874958</v>
      </c>
      <c r="EO50">
        <f t="shared" si="82"/>
        <v>2.256091263460239</v>
      </c>
      <c r="EP50" s="460">
        <f t="shared" si="122"/>
        <v>2256.0912634602391</v>
      </c>
      <c r="EQ50" s="173">
        <f t="shared" si="83"/>
        <v>2.7956249999999998</v>
      </c>
      <c r="ER50" s="173">
        <f t="shared" si="170"/>
        <v>4.9921874999999998E-2</v>
      </c>
      <c r="ES50" s="528"/>
      <c r="EU50" s="460">
        <f t="shared" si="123"/>
        <v>2845.5468749999995</v>
      </c>
      <c r="EV50" s="528">
        <f t="shared" si="85"/>
        <v>0.20815588056155956</v>
      </c>
      <c r="EW50" s="528">
        <f t="shared" si="124"/>
        <v>0.95460021658804439</v>
      </c>
      <c r="EX50" s="528">
        <f t="shared" si="86"/>
        <v>9.649597637289748E-5</v>
      </c>
      <c r="EY50" s="528">
        <f t="shared" si="87"/>
        <v>1.8905940114174864</v>
      </c>
      <c r="EZ50" s="528">
        <f t="shared" si="88"/>
        <v>3.6743493615434213</v>
      </c>
      <c r="FA50" s="625">
        <f t="shared" si="89"/>
        <v>1.1582321669208785E-2</v>
      </c>
      <c r="FB50" s="460">
        <f t="shared" si="125"/>
        <v>3685.9316832126301</v>
      </c>
      <c r="FC50" s="173">
        <f t="shared" si="126"/>
        <v>8.7875698216728697</v>
      </c>
      <c r="FD50" s="5">
        <f t="shared" si="127"/>
        <v>68.400000000000006</v>
      </c>
      <c r="FE50" s="173">
        <f t="shared" si="128"/>
        <v>0.88615304456436605</v>
      </c>
      <c r="FF50" s="5">
        <f t="shared" si="129"/>
        <v>88.615304456436604</v>
      </c>
      <c r="FG50">
        <f t="shared" si="130"/>
        <v>45</v>
      </c>
      <c r="FI50" s="562">
        <f t="shared" si="90"/>
        <v>-50</v>
      </c>
      <c r="FJ50">
        <f t="shared" si="91"/>
        <v>-50</v>
      </c>
      <c r="FL50">
        <f t="shared" si="92"/>
        <v>0.82098061573546188</v>
      </c>
    </row>
    <row r="51" spans="5:168">
      <c r="E51" s="170">
        <v>46</v>
      </c>
      <c r="F51" s="217">
        <f t="shared" si="174"/>
        <v>4.6000000000000005</v>
      </c>
      <c r="G51" s="217">
        <f t="shared" si="171"/>
        <v>0.115</v>
      </c>
      <c r="H51" s="217">
        <f t="shared" si="135"/>
        <v>69.000000000000014</v>
      </c>
      <c r="I51" s="217">
        <f t="shared" si="175"/>
        <v>0.92</v>
      </c>
      <c r="J51" s="541">
        <f t="shared" si="136"/>
        <v>71.687521969633707</v>
      </c>
      <c r="K51" s="443">
        <f t="shared" si="137"/>
        <v>15.868091666666666</v>
      </c>
      <c r="L51" s="172">
        <f t="shared" si="138"/>
        <v>87.555613636300379</v>
      </c>
      <c r="M51" s="443"/>
      <c r="N51" s="217">
        <f t="shared" si="139"/>
        <v>0.1812344292689394</v>
      </c>
      <c r="O51" s="172">
        <f t="shared" si="172"/>
        <v>320.53241274353087</v>
      </c>
      <c r="P51" s="172">
        <f t="shared" si="140"/>
        <v>4.330749043290373</v>
      </c>
      <c r="Q51" s="217">
        <f t="shared" si="6"/>
        <v>21.368827516235392</v>
      </c>
      <c r="R51" s="217">
        <f t="shared" si="141"/>
        <v>40.066551592941359</v>
      </c>
      <c r="S51" s="443">
        <f t="shared" si="142"/>
        <v>15</v>
      </c>
      <c r="T51" s="217">
        <f t="shared" si="143"/>
        <v>10.763342061011675</v>
      </c>
      <c r="U51" s="217">
        <f t="shared" si="10"/>
        <v>1.8017097143747187</v>
      </c>
      <c r="V51" s="217">
        <f t="shared" si="11"/>
        <v>8.139611709167303</v>
      </c>
      <c r="W51" s="197">
        <f t="shared" si="12"/>
        <v>108.26872608225933</v>
      </c>
      <c r="X51" s="443">
        <f t="shared" si="95"/>
        <v>98.606479198914286</v>
      </c>
      <c r="Z51" s="217">
        <f t="shared" si="13"/>
        <v>9.9999999999999982</v>
      </c>
      <c r="AA51" s="173">
        <f t="shared" si="14"/>
        <v>7.5623460287967816</v>
      </c>
      <c r="AB51" s="173">
        <f t="shared" si="144"/>
        <v>4.0938278536553012</v>
      </c>
      <c r="AC51" s="173"/>
      <c r="AD51" s="173">
        <f t="shared" si="16"/>
        <v>7.5623460287967834</v>
      </c>
      <c r="AE51" s="545">
        <f t="shared" si="145"/>
        <v>121.65536944444446</v>
      </c>
      <c r="AF51" s="528">
        <f t="shared" si="146"/>
        <v>4.093827853655303</v>
      </c>
      <c r="AH51" s="173">
        <f t="shared" si="147"/>
        <v>5.7702026043491843</v>
      </c>
      <c r="AI51" s="173">
        <f t="shared" si="148"/>
        <v>10.763342061011675</v>
      </c>
      <c r="AJ51" s="173">
        <f t="shared" si="149"/>
        <v>1.765438563712352</v>
      </c>
      <c r="AL51" s="545">
        <f t="shared" si="150"/>
        <v>4600.0000000000009</v>
      </c>
      <c r="AM51" s="460">
        <f t="shared" si="151"/>
        <v>98.606479198914286</v>
      </c>
      <c r="AO51">
        <f t="shared" si="96"/>
        <v>4600.0000000000009</v>
      </c>
      <c r="AP51" s="460">
        <f t="shared" si="24"/>
        <v>98.606479198914286</v>
      </c>
      <c r="AQ51" s="460"/>
      <c r="AR51" s="5">
        <f t="shared" si="97"/>
        <v>10.141321423542019</v>
      </c>
      <c r="AS51" s="5">
        <f t="shared" si="25"/>
        <v>1.8017097143747187</v>
      </c>
      <c r="AT51" s="5">
        <f t="shared" si="98"/>
        <v>8.3396117091673005</v>
      </c>
      <c r="AU51" s="173">
        <f t="shared" si="99"/>
        <v>0.17766025147297251</v>
      </c>
      <c r="AW51" s="5">
        <f t="shared" si="152"/>
        <v>55.252431240824706</v>
      </c>
      <c r="AX51" s="5">
        <f t="shared" si="153"/>
        <v>2.5899577144136581</v>
      </c>
      <c r="AY51" s="5">
        <f t="shared" si="28"/>
        <v>2.2297124153175227</v>
      </c>
      <c r="AZ51" s="5"/>
      <c r="BA51" s="173">
        <f t="shared" si="100"/>
        <v>2.6192783386150293</v>
      </c>
      <c r="BB51" s="173">
        <f t="shared" si="154"/>
        <v>5.6352366196084835</v>
      </c>
      <c r="BC51" s="173">
        <f t="shared" si="155"/>
        <v>0.13878151361231875</v>
      </c>
      <c r="BD51" s="173"/>
      <c r="BE51" s="528">
        <f t="shared" si="31"/>
        <v>0.13721238030275817</v>
      </c>
      <c r="BF51" s="528">
        <f t="shared" si="156"/>
        <v>1.7423598825992552</v>
      </c>
      <c r="BG51" s="528">
        <f t="shared" si="157"/>
        <v>0.17672135359800992</v>
      </c>
      <c r="BH51" s="528">
        <f t="shared" si="34"/>
        <v>7.5591583769678408E-2</v>
      </c>
      <c r="BI51">
        <f t="shared" si="35"/>
        <v>3.2259384886335167E-2</v>
      </c>
      <c r="BJ51" s="460">
        <f t="shared" si="101"/>
        <v>208.9807384843451</v>
      </c>
      <c r="BK51">
        <f t="shared" si="158"/>
        <v>2.0593494015773155</v>
      </c>
      <c r="BL51" s="460">
        <f t="shared" si="102"/>
        <v>2059.3494015773153</v>
      </c>
      <c r="BM51" s="173">
        <f t="shared" si="159"/>
        <v>2.8577500000000002</v>
      </c>
      <c r="BN51" s="173">
        <f t="shared" si="160"/>
        <v>5.103125E-2</v>
      </c>
      <c r="BO51" s="528"/>
      <c r="BQ51" s="460">
        <f t="shared" si="103"/>
        <v>2908.78125</v>
      </c>
      <c r="BR51" s="528">
        <f t="shared" si="39"/>
        <v>0.20581857045413723</v>
      </c>
      <c r="BS51" s="528">
        <f t="shared" si="104"/>
        <v>0.95267675276929342</v>
      </c>
      <c r="BT51" s="528">
        <f t="shared" si="161"/>
        <v>9.6301542602631065E-5</v>
      </c>
      <c r="BU51" s="528">
        <f t="shared" si="41"/>
        <v>1.8348539084800994</v>
      </c>
      <c r="BV51" s="528">
        <f t="shared" si="162"/>
        <v>3.6057112738461941</v>
      </c>
      <c r="BW51" s="625">
        <f t="shared" si="163"/>
        <v>1.1423514499147072E-2</v>
      </c>
      <c r="BX51" s="460">
        <f t="shared" si="105"/>
        <v>3617.1347883453409</v>
      </c>
      <c r="BY51" s="173">
        <f t="shared" si="106"/>
        <v>8.585265439922658</v>
      </c>
      <c r="BZ51" s="5">
        <f t="shared" si="107"/>
        <v>69.920000000000016</v>
      </c>
      <c r="CA51" s="173">
        <f t="shared" si="108"/>
        <v>0.89064089660976098</v>
      </c>
      <c r="CB51" s="5">
        <f t="shared" si="109"/>
        <v>89.064089660976094</v>
      </c>
      <c r="CC51">
        <f t="shared" si="173"/>
        <v>46.000000000000007</v>
      </c>
      <c r="CE51" s="562">
        <f t="shared" si="164"/>
        <v>-50</v>
      </c>
      <c r="CF51">
        <f t="shared" si="165"/>
        <v>-50</v>
      </c>
      <c r="CG51" s="173">
        <f t="shared" si="166"/>
        <v>0.82098061573546188</v>
      </c>
      <c r="CH51" s="173">
        <f t="shared" si="167"/>
        <v>9.6304191786782956E-2</v>
      </c>
      <c r="CI51" s="170">
        <v>46</v>
      </c>
      <c r="CJ51" s="217">
        <f t="shared" si="133"/>
        <v>4.6000000000000005</v>
      </c>
      <c r="CK51" s="217">
        <f t="shared" si="111"/>
        <v>0.115</v>
      </c>
      <c r="CL51" s="217">
        <f t="shared" si="48"/>
        <v>69.000000000000014</v>
      </c>
      <c r="CM51" s="217">
        <f t="shared" si="134"/>
        <v>0.92</v>
      </c>
      <c r="CN51" s="541">
        <f t="shared" si="112"/>
        <v>72</v>
      </c>
      <c r="CO51" s="443">
        <f t="shared" si="168"/>
        <v>15.7</v>
      </c>
      <c r="CP51" s="443">
        <f t="shared" si="169"/>
        <v>87.7</v>
      </c>
      <c r="CQ51" s="443"/>
      <c r="CR51" s="217">
        <f t="shared" si="113"/>
        <v>0.17620137299771166</v>
      </c>
      <c r="CS51" s="172">
        <f t="shared" si="114"/>
        <v>312.98928098277725</v>
      </c>
      <c r="CT51" s="172">
        <f t="shared" si="51"/>
        <v>4.2288329519450798</v>
      </c>
      <c r="CU51" s="217">
        <f t="shared" si="52"/>
        <v>20.865952065518481</v>
      </c>
      <c r="CV51" s="217">
        <f t="shared" si="53"/>
        <v>39.123660122847156</v>
      </c>
      <c r="CW51" s="443">
        <f t="shared" si="54"/>
        <v>15</v>
      </c>
      <c r="CX51" s="217">
        <f t="shared" si="55"/>
        <v>11.022741702741707</v>
      </c>
      <c r="CY51" s="217">
        <f t="shared" si="56"/>
        <v>1.8371236171236178</v>
      </c>
      <c r="CZ51" s="217">
        <f t="shared" si="57"/>
        <v>8.4250255052802867</v>
      </c>
      <c r="DA51" s="197">
        <f t="shared" si="58"/>
        <v>107.41163055872293</v>
      </c>
      <c r="DB51" s="443">
        <f t="shared" si="115"/>
        <v>97.44547541380399</v>
      </c>
      <c r="DD51" s="217">
        <f t="shared" si="59"/>
        <v>10</v>
      </c>
      <c r="DE51" s="173">
        <f t="shared" si="60"/>
        <v>7.6433121019108281</v>
      </c>
      <c r="DF51" s="173">
        <f t="shared" si="61"/>
        <v>4.1049030786773102</v>
      </c>
      <c r="DG51" s="173"/>
      <c r="DH51" s="173">
        <f t="shared" si="62"/>
        <v>7.6433121019108281</v>
      </c>
      <c r="DI51" s="545">
        <f t="shared" si="63"/>
        <v>120.36666666666669</v>
      </c>
      <c r="DJ51" s="528">
        <f t="shared" si="64"/>
        <v>4.1049030786773093</v>
      </c>
      <c r="DL51" s="173">
        <f t="shared" si="65"/>
        <v>5.7702026043491843</v>
      </c>
      <c r="DM51" s="173">
        <f t="shared" si="66"/>
        <v>11.022741702741707</v>
      </c>
      <c r="DN51" s="173">
        <f t="shared" si="67"/>
        <v>1.9575864464753381</v>
      </c>
      <c r="DP51" s="545">
        <f t="shared" si="68"/>
        <v>4600.0000000000009</v>
      </c>
      <c r="DQ51" s="460">
        <f t="shared" si="69"/>
        <v>97.44547541380399</v>
      </c>
      <c r="DS51">
        <f t="shared" si="116"/>
        <v>4600.0000000000009</v>
      </c>
      <c r="DT51" s="460">
        <f t="shared" si="70"/>
        <v>97.44547541380399</v>
      </c>
      <c r="DU51" s="460"/>
      <c r="DV51" s="5">
        <f t="shared" si="117"/>
        <v>10.262149122403907</v>
      </c>
      <c r="DW51" s="5">
        <f t="shared" si="71"/>
        <v>1.8371236171236178</v>
      </c>
      <c r="DX51" s="5">
        <f t="shared" si="118"/>
        <v>8.4250255052802885</v>
      </c>
      <c r="DY51" s="173">
        <f t="shared" si="119"/>
        <v>0.17901938426453815</v>
      </c>
      <c r="EA51" s="5">
        <f t="shared" si="72"/>
        <v>56.338457591790956</v>
      </c>
      <c r="EB51" s="5">
        <f t="shared" si="73"/>
        <v>2.6408651996152006</v>
      </c>
      <c r="EC51" s="5">
        <f t="shared" si="74"/>
        <v>2.242772993303781</v>
      </c>
      <c r="ED51" s="5"/>
      <c r="EE51" s="173">
        <f t="shared" si="120"/>
        <v>2.6926445863896218</v>
      </c>
      <c r="EF51" s="173">
        <f t="shared" si="75"/>
        <v>5.7662763848524499</v>
      </c>
      <c r="EG51" s="173">
        <f t="shared" si="76"/>
        <v>0.14200868900734662</v>
      </c>
      <c r="EH51" s="173"/>
      <c r="EI51" s="528">
        <f t="shared" si="77"/>
        <v>0.14500669737226676</v>
      </c>
      <c r="EJ51" s="528">
        <f t="shared" si="78"/>
        <v>1.8839999999999995</v>
      </c>
      <c r="EK51" s="528">
        <f t="shared" si="79"/>
        <v>1.2180684426725498E-2</v>
      </c>
      <c r="EL51" s="528">
        <f t="shared" si="80"/>
        <v>7.4948141059543658E-2</v>
      </c>
      <c r="EM51">
        <f t="shared" si="81"/>
        <v>3.2399999999999998E-2</v>
      </c>
      <c r="EN51" s="460">
        <f t="shared" si="121"/>
        <v>44.580684426725497</v>
      </c>
      <c r="EO51">
        <f t="shared" si="82"/>
        <v>2.2657505754536116</v>
      </c>
      <c r="EP51" s="460">
        <f t="shared" si="122"/>
        <v>2265.7505754536114</v>
      </c>
      <c r="EQ51" s="173">
        <f t="shared" si="83"/>
        <v>2.8577500000000002</v>
      </c>
      <c r="ER51" s="173">
        <f t="shared" si="170"/>
        <v>5.103125E-2</v>
      </c>
      <c r="ES51" s="528"/>
      <c r="EU51" s="460">
        <f t="shared" si="123"/>
        <v>2908.78125</v>
      </c>
      <c r="EV51" s="528">
        <f t="shared" si="85"/>
        <v>0.2175100460584001</v>
      </c>
      <c r="EW51" s="528">
        <f t="shared" si="124"/>
        <v>0.99749830039521115</v>
      </c>
      <c r="EX51" s="528">
        <f t="shared" si="86"/>
        <v>1.0083233876792644E-4</v>
      </c>
      <c r="EY51" s="528">
        <f t="shared" si="87"/>
        <v>1.8905940114174864</v>
      </c>
      <c r="EZ51" s="528">
        <f t="shared" si="88"/>
        <v>3.7631394124073596</v>
      </c>
      <c r="FA51" s="625">
        <f t="shared" si="89"/>
        <v>1.1839706595191206E-2</v>
      </c>
      <c r="FB51" s="460">
        <f t="shared" si="125"/>
        <v>3774.9791190025512</v>
      </c>
      <c r="FC51" s="173">
        <f t="shared" si="126"/>
        <v>8.9495109444561631</v>
      </c>
      <c r="FD51" s="5">
        <f t="shared" si="127"/>
        <v>69.920000000000016</v>
      </c>
      <c r="FE51" s="173">
        <f t="shared" si="128"/>
        <v>0.88652762217888159</v>
      </c>
      <c r="FF51" s="5">
        <f t="shared" si="129"/>
        <v>88.652762217888153</v>
      </c>
      <c r="FG51">
        <f t="shared" si="130"/>
        <v>46.000000000000007</v>
      </c>
      <c r="FI51" s="562">
        <f t="shared" si="90"/>
        <v>-50</v>
      </c>
      <c r="FJ51">
        <f t="shared" si="91"/>
        <v>-50</v>
      </c>
      <c r="FL51">
        <f t="shared" si="92"/>
        <v>0.82098061573546188</v>
      </c>
    </row>
    <row r="52" spans="5:168">
      <c r="E52" s="170">
        <v>47</v>
      </c>
      <c r="F52" s="217">
        <f t="shared" si="174"/>
        <v>4.6999999999999993</v>
      </c>
      <c r="G52" s="217">
        <f t="shared" si="171"/>
        <v>0.11749999999999999</v>
      </c>
      <c r="H52" s="217">
        <f t="shared" si="135"/>
        <v>70.499999999999986</v>
      </c>
      <c r="I52" s="217">
        <f t="shared" si="175"/>
        <v>0.94</v>
      </c>
      <c r="J52" s="541">
        <f t="shared" si="136"/>
        <v>71.680728968973568</v>
      </c>
      <c r="K52" s="443">
        <f t="shared" si="137"/>
        <v>15.871745833333332</v>
      </c>
      <c r="L52" s="172">
        <f t="shared" si="138"/>
        <v>87.552474802306904</v>
      </c>
      <c r="M52" s="443"/>
      <c r="N52" s="217">
        <f t="shared" si="139"/>
        <v>0.18128266355887326</v>
      </c>
      <c r="O52" s="172">
        <f t="shared" si="172"/>
        <v>320.58733898035899</v>
      </c>
      <c r="P52" s="172">
        <f t="shared" si="140"/>
        <v>4.3314911577790722</v>
      </c>
      <c r="Q52" s="217">
        <f t="shared" si="6"/>
        <v>21.372489265357267</v>
      </c>
      <c r="R52" s="217">
        <f t="shared" si="141"/>
        <v>40.073417372544874</v>
      </c>
      <c r="S52" s="443">
        <f t="shared" si="142"/>
        <v>15</v>
      </c>
      <c r="T52" s="217">
        <f t="shared" si="143"/>
        <v>10.995443585549587</v>
      </c>
      <c r="U52" s="217">
        <f t="shared" si="10"/>
        <v>1.8407363446834717</v>
      </c>
      <c r="V52" s="217">
        <f t="shared" si="11"/>
        <v>8.3132205122317231</v>
      </c>
      <c r="W52" s="197">
        <f t="shared" si="12"/>
        <v>108.28727894447681</v>
      </c>
      <c r="X52" s="443">
        <f t="shared" si="95"/>
        <v>96.581433921285921</v>
      </c>
      <c r="Z52" s="217">
        <f t="shared" si="13"/>
        <v>10</v>
      </c>
      <c r="AA52" s="173">
        <f t="shared" si="14"/>
        <v>7.5606049429029953</v>
      </c>
      <c r="AB52" s="173">
        <f t="shared" si="144"/>
        <v>4.0935866822056344</v>
      </c>
      <c r="AC52" s="173"/>
      <c r="AD52" s="173">
        <f t="shared" si="16"/>
        <v>7.5606049429029953</v>
      </c>
      <c r="AE52" s="545">
        <f t="shared" si="145"/>
        <v>124.32867569444439</v>
      </c>
      <c r="AF52" s="528">
        <f t="shared" si="146"/>
        <v>4.0935866822056344</v>
      </c>
      <c r="AH52" s="173">
        <f t="shared" si="147"/>
        <v>5.8325849860115726</v>
      </c>
      <c r="AI52" s="173">
        <f t="shared" si="148"/>
        <v>10.995443585549587</v>
      </c>
      <c r="AJ52" s="173">
        <f t="shared" si="149"/>
        <v>1.9373656189256203</v>
      </c>
      <c r="AL52" s="545">
        <f t="shared" si="150"/>
        <v>4699.9999999999991</v>
      </c>
      <c r="AM52" s="460">
        <f t="shared" si="151"/>
        <v>96.581433921285921</v>
      </c>
      <c r="AO52">
        <f t="shared" si="96"/>
        <v>4699.9999999999991</v>
      </c>
      <c r="AP52" s="460">
        <f t="shared" si="24"/>
        <v>96.581433921285921</v>
      </c>
      <c r="AQ52" s="460"/>
      <c r="AR52" s="5">
        <f t="shared" si="97"/>
        <v>10.353956856915193</v>
      </c>
      <c r="AS52" s="5">
        <f t="shared" si="25"/>
        <v>1.8407363446834717</v>
      </c>
      <c r="AT52" s="5">
        <f t="shared" si="98"/>
        <v>8.5132205122317224</v>
      </c>
      <c r="AU52" s="173">
        <f t="shared" si="99"/>
        <v>0.1777809556405561</v>
      </c>
      <c r="AW52" s="5">
        <f t="shared" si="152"/>
        <v>57.676405466748768</v>
      </c>
      <c r="AX52" s="5">
        <f t="shared" si="153"/>
        <v>2.7035815062538489</v>
      </c>
      <c r="AY52" s="5">
        <f t="shared" si="28"/>
        <v>2.325830630201414</v>
      </c>
      <c r="AZ52" s="5"/>
      <c r="BA52" s="173">
        <f t="shared" si="100"/>
        <v>2.6766694704218916</v>
      </c>
      <c r="BB52" s="173">
        <f t="shared" si="154"/>
        <v>5.756332781709137</v>
      </c>
      <c r="BC52" s="173">
        <f t="shared" si="155"/>
        <v>0.14176380340836622</v>
      </c>
      <c r="BD52" s="173"/>
      <c r="BE52" s="528">
        <f t="shared" si="31"/>
        <v>0.14329118907777219</v>
      </c>
      <c r="BF52" s="528">
        <f t="shared" si="156"/>
        <v>1.7433159445120689</v>
      </c>
      <c r="BG52" s="528">
        <f t="shared" si="157"/>
        <v>0.17307568970866316</v>
      </c>
      <c r="BH52" s="528">
        <f t="shared" si="34"/>
        <v>7.4033878544597184E-2</v>
      </c>
      <c r="BI52">
        <f t="shared" si="35"/>
        <v>3.2256328036038104E-2</v>
      </c>
      <c r="BJ52" s="460">
        <f t="shared" si="101"/>
        <v>205.33201774470129</v>
      </c>
      <c r="BK52">
        <f t="shared" si="158"/>
        <v>2.0697979461699605</v>
      </c>
      <c r="BL52" s="460">
        <f t="shared" si="102"/>
        <v>2069.7979461699606</v>
      </c>
      <c r="BM52" s="173">
        <f t="shared" si="159"/>
        <v>2.9198749999999989</v>
      </c>
      <c r="BN52" s="173">
        <f t="shared" si="160"/>
        <v>5.2140624999999996E-2</v>
      </c>
      <c r="BO52" s="528"/>
      <c r="BQ52" s="460">
        <f t="shared" si="103"/>
        <v>2972.0156249999986</v>
      </c>
      <c r="BR52" s="528">
        <f t="shared" si="39"/>
        <v>0.2149367836166583</v>
      </c>
      <c r="BS52" s="528">
        <f t="shared" si="104"/>
        <v>0.99406101281337755</v>
      </c>
      <c r="BT52" s="528">
        <f t="shared" si="161"/>
        <v>1.0048487978402955E-4</v>
      </c>
      <c r="BU52" s="528">
        <f t="shared" si="41"/>
        <v>1.8375366647188947</v>
      </c>
      <c r="BV52" s="528">
        <f t="shared" si="162"/>
        <v>3.6941453134999969</v>
      </c>
      <c r="BW52" s="625">
        <f t="shared" si="163"/>
        <v>1.1676674078688777E-2</v>
      </c>
      <c r="BX52" s="460">
        <f t="shared" si="105"/>
        <v>3705.8219875786858</v>
      </c>
      <c r="BY52" s="173">
        <f t="shared" si="106"/>
        <v>8.7476355587486445</v>
      </c>
      <c r="BZ52" s="5">
        <f t="shared" si="107"/>
        <v>71.439999999999984</v>
      </c>
      <c r="CA52" s="173">
        <f t="shared" si="108"/>
        <v>0.89091041907153157</v>
      </c>
      <c r="CB52" s="5">
        <f t="shared" si="109"/>
        <v>89.091041907153155</v>
      </c>
      <c r="CC52">
        <f t="shared" si="173"/>
        <v>46.999999999999993</v>
      </c>
      <c r="CE52" s="562">
        <f t="shared" si="164"/>
        <v>-50</v>
      </c>
      <c r="CF52">
        <f t="shared" si="165"/>
        <v>-50</v>
      </c>
      <c r="CG52" s="173">
        <f t="shared" si="166"/>
        <v>0.82098061573546177</v>
      </c>
      <c r="CH52" s="173">
        <f t="shared" si="167"/>
        <v>9.6304191786782969E-2</v>
      </c>
      <c r="CI52" s="170">
        <v>47</v>
      </c>
      <c r="CJ52" s="217">
        <f t="shared" si="133"/>
        <v>4.6999999999999993</v>
      </c>
      <c r="CK52" s="217">
        <f t="shared" si="111"/>
        <v>0.11749999999999999</v>
      </c>
      <c r="CL52" s="217">
        <f t="shared" si="48"/>
        <v>70.499999999999986</v>
      </c>
      <c r="CM52" s="217">
        <f t="shared" si="134"/>
        <v>0.94</v>
      </c>
      <c r="CN52" s="541">
        <f t="shared" si="112"/>
        <v>72</v>
      </c>
      <c r="CO52" s="443">
        <f t="shared" si="168"/>
        <v>15.7</v>
      </c>
      <c r="CP52" s="443">
        <f t="shared" si="169"/>
        <v>87.7</v>
      </c>
      <c r="CQ52" s="443"/>
      <c r="CR52" s="217">
        <f t="shared" si="113"/>
        <v>0.17620137299771166</v>
      </c>
      <c r="CS52" s="172">
        <f t="shared" si="114"/>
        <v>312.98928098277725</v>
      </c>
      <c r="CT52" s="172">
        <f t="shared" si="51"/>
        <v>4.2288329519450798</v>
      </c>
      <c r="CU52" s="217">
        <f t="shared" si="52"/>
        <v>20.865952065518481</v>
      </c>
      <c r="CV52" s="217">
        <f t="shared" si="53"/>
        <v>39.123660122847156</v>
      </c>
      <c r="CW52" s="443">
        <f t="shared" si="54"/>
        <v>15</v>
      </c>
      <c r="CX52" s="217">
        <f t="shared" si="55"/>
        <v>11.26236652236652</v>
      </c>
      <c r="CY52" s="217">
        <f t="shared" si="56"/>
        <v>1.8770610870610867</v>
      </c>
      <c r="CZ52" s="217">
        <f t="shared" si="57"/>
        <v>8.6081782336559396</v>
      </c>
      <c r="DA52" s="197">
        <f t="shared" si="58"/>
        <v>107.41163055872293</v>
      </c>
      <c r="DB52" s="443">
        <f t="shared" si="115"/>
        <v>95.37216742627632</v>
      </c>
      <c r="DD52" s="217">
        <f t="shared" si="59"/>
        <v>10</v>
      </c>
      <c r="DE52" s="173">
        <f t="shared" si="60"/>
        <v>7.6433121019108281</v>
      </c>
      <c r="DF52" s="173">
        <f t="shared" si="61"/>
        <v>4.1049030786773102</v>
      </c>
      <c r="DG52" s="173"/>
      <c r="DH52" s="173">
        <f t="shared" si="62"/>
        <v>7.6433121019108281</v>
      </c>
      <c r="DI52" s="545">
        <f t="shared" si="63"/>
        <v>122.98333333333333</v>
      </c>
      <c r="DJ52" s="528">
        <f t="shared" si="64"/>
        <v>4.1049030786773093</v>
      </c>
      <c r="DL52" s="173">
        <f t="shared" si="65"/>
        <v>5.8325849860115726</v>
      </c>
      <c r="DM52" s="173">
        <f t="shared" si="66"/>
        <v>11.26236652236652</v>
      </c>
      <c r="DN52" s="173">
        <f t="shared" si="67"/>
        <v>2.1350863128640887</v>
      </c>
      <c r="DP52" s="545">
        <f t="shared" si="68"/>
        <v>4699.9999999999991</v>
      </c>
      <c r="DQ52" s="460">
        <f t="shared" si="69"/>
        <v>95.37216742627632</v>
      </c>
      <c r="DS52">
        <f t="shared" si="116"/>
        <v>4699.9999999999991</v>
      </c>
      <c r="DT52" s="460">
        <f t="shared" si="70"/>
        <v>95.37216742627632</v>
      </c>
      <c r="DU52" s="460"/>
      <c r="DV52" s="5">
        <f t="shared" si="117"/>
        <v>10.485239320717026</v>
      </c>
      <c r="DW52" s="5">
        <f t="shared" si="71"/>
        <v>1.8770610870610867</v>
      </c>
      <c r="DX52" s="5">
        <f t="shared" si="118"/>
        <v>8.6081782336559396</v>
      </c>
      <c r="DY52" s="173">
        <f t="shared" si="119"/>
        <v>0.17901938426453817</v>
      </c>
      <c r="EA52" s="5">
        <f t="shared" si="72"/>
        <v>58.814580727914034</v>
      </c>
      <c r="EB52" s="5">
        <f t="shared" si="73"/>
        <v>2.7569334716209708</v>
      </c>
      <c r="EC52" s="5">
        <f t="shared" si="74"/>
        <v>2.3413447742004001</v>
      </c>
      <c r="ED52" s="5"/>
      <c r="EE52" s="173">
        <f t="shared" si="120"/>
        <v>2.7511803382676558</v>
      </c>
      <c r="EF52" s="173">
        <f t="shared" si="75"/>
        <v>5.8916302193057613</v>
      </c>
      <c r="EG52" s="173">
        <f t="shared" si="76"/>
        <v>0.14509583442054974</v>
      </c>
      <c r="EH52" s="173"/>
      <c r="EI52" s="528">
        <f t="shared" si="77"/>
        <v>0.15137986507341067</v>
      </c>
      <c r="EJ52" s="528">
        <f t="shared" si="78"/>
        <v>1.8840000000000001</v>
      </c>
      <c r="EK52" s="528">
        <f t="shared" si="79"/>
        <v>1.1921520928284539E-2</v>
      </c>
      <c r="EL52" s="528">
        <f t="shared" si="80"/>
        <v>7.3353499760404492E-2</v>
      </c>
      <c r="EM52">
        <f t="shared" si="81"/>
        <v>3.2399999999999998E-2</v>
      </c>
      <c r="EN52" s="460">
        <f t="shared" si="121"/>
        <v>44.321520928284535</v>
      </c>
      <c r="EO52">
        <f t="shared" si="82"/>
        <v>2.2757824651940819</v>
      </c>
      <c r="EP52" s="460">
        <f t="shared" si="122"/>
        <v>2275.7824651940819</v>
      </c>
      <c r="EQ52" s="173">
        <f t="shared" si="83"/>
        <v>2.9198749999999989</v>
      </c>
      <c r="ER52" s="173">
        <f t="shared" si="170"/>
        <v>5.2140624999999996E-2</v>
      </c>
      <c r="ES52" s="528"/>
      <c r="EU52" s="460">
        <f t="shared" si="123"/>
        <v>2972.0156249999986</v>
      </c>
      <c r="EV52" s="528">
        <f t="shared" si="85"/>
        <v>0.227069797610116</v>
      </c>
      <c r="EW52" s="528">
        <f t="shared" si="124"/>
        <v>1.0413391992311054</v>
      </c>
      <c r="EX52" s="528">
        <f t="shared" si="86"/>
        <v>1.0526400583097794E-4</v>
      </c>
      <c r="EY52" s="528">
        <f t="shared" si="87"/>
        <v>1.890594011417488</v>
      </c>
      <c r="EZ52" s="528">
        <f t="shared" si="88"/>
        <v>3.8547345552800456</v>
      </c>
      <c r="FA52" s="625">
        <f t="shared" si="89"/>
        <v>1.2097091521173615E-2</v>
      </c>
      <c r="FB52" s="460">
        <f t="shared" si="125"/>
        <v>3866.831646801219</v>
      </c>
      <c r="FC52" s="173">
        <f t="shared" si="126"/>
        <v>9.1146297369953011</v>
      </c>
      <c r="FD52" s="5">
        <f t="shared" si="127"/>
        <v>71.439999999999984</v>
      </c>
      <c r="FE52" s="173">
        <f t="shared" si="128"/>
        <v>0.88685157182456342</v>
      </c>
      <c r="FF52" s="5">
        <f t="shared" si="129"/>
        <v>88.685157182456336</v>
      </c>
      <c r="FG52">
        <f t="shared" si="130"/>
        <v>46.999999999999993</v>
      </c>
      <c r="FI52" s="562">
        <f t="shared" si="90"/>
        <v>-50</v>
      </c>
      <c r="FJ52">
        <f t="shared" si="91"/>
        <v>-50</v>
      </c>
      <c r="FL52">
        <f t="shared" si="92"/>
        <v>0.82098061573546177</v>
      </c>
    </row>
    <row r="53" spans="5:168">
      <c r="E53" s="170">
        <v>48</v>
      </c>
      <c r="F53" s="217">
        <f t="shared" si="174"/>
        <v>4.8</v>
      </c>
      <c r="G53" s="217">
        <f t="shared" si="171"/>
        <v>0.12</v>
      </c>
      <c r="H53" s="217">
        <f t="shared" si="135"/>
        <v>72</v>
      </c>
      <c r="I53" s="217">
        <f t="shared" si="175"/>
        <v>0.96</v>
      </c>
      <c r="J53" s="541">
        <f t="shared" si="136"/>
        <v>71.67393596831343</v>
      </c>
      <c r="K53" s="443">
        <f t="shared" si="137"/>
        <v>15.875399999999999</v>
      </c>
      <c r="L53" s="172">
        <f t="shared" si="138"/>
        <v>87.549335968313429</v>
      </c>
      <c r="M53" s="443"/>
      <c r="N53" s="217">
        <f t="shared" si="139"/>
        <v>0.18133090130741544</v>
      </c>
      <c r="O53" s="172">
        <f t="shared" si="172"/>
        <v>320.64225516572998</v>
      </c>
      <c r="P53" s="172">
        <f t="shared" si="140"/>
        <v>4.3322331364614186</v>
      </c>
      <c r="Q53" s="217">
        <f t="shared" si="6"/>
        <v>21.376150344381998</v>
      </c>
      <c r="R53" s="217">
        <f t="shared" si="141"/>
        <v>40.080281895716247</v>
      </c>
      <c r="S53" s="443">
        <f t="shared" si="142"/>
        <v>15</v>
      </c>
      <c r="T53" s="217">
        <f t="shared" si="143"/>
        <v>11.227465943748655</v>
      </c>
      <c r="U53" s="217">
        <f t="shared" si="10"/>
        <v>1.8797571181879411</v>
      </c>
      <c r="V53" s="217">
        <f t="shared" si="11"/>
        <v>8.4866895527031687</v>
      </c>
      <c r="W53" s="197">
        <f t="shared" si="12"/>
        <v>108.30582841153549</v>
      </c>
      <c r="X53" s="443">
        <f t="shared" si="95"/>
        <v>94.639194342866645</v>
      </c>
      <c r="Z53" s="217">
        <f t="shared" si="13"/>
        <v>9.9999999999999982</v>
      </c>
      <c r="AA53" s="173">
        <f t="shared" si="14"/>
        <v>7.5588646585282877</v>
      </c>
      <c r="AB53" s="173">
        <f t="shared" si="144"/>
        <v>4.0933454934629214</v>
      </c>
      <c r="AC53" s="173"/>
      <c r="AD53" s="173">
        <f t="shared" si="16"/>
        <v>7.5588646585282895</v>
      </c>
      <c r="AE53" s="545">
        <f t="shared" si="145"/>
        <v>127.00319999999998</v>
      </c>
      <c r="AF53" s="528">
        <f t="shared" si="146"/>
        <v>4.0933454934629232</v>
      </c>
      <c r="AH53" s="173">
        <f t="shared" si="147"/>
        <v>5.8943071809040575</v>
      </c>
      <c r="AI53" s="173">
        <f t="shared" si="148"/>
        <v>11.227465943748655</v>
      </c>
      <c r="AJ53" s="173">
        <f t="shared" si="149"/>
        <v>2.1092340324064107</v>
      </c>
      <c r="AL53" s="545">
        <f t="shared" si="150"/>
        <v>4800</v>
      </c>
      <c r="AM53" s="460">
        <f t="shared" si="151"/>
        <v>94.639194342866645</v>
      </c>
      <c r="AO53">
        <f t="shared" si="96"/>
        <v>4800</v>
      </c>
      <c r="AP53" s="460">
        <f t="shared" si="24"/>
        <v>94.639194342866645</v>
      </c>
      <c r="AQ53" s="460"/>
      <c r="AR53" s="5">
        <f t="shared" si="97"/>
        <v>10.566446670891111</v>
      </c>
      <c r="AS53" s="5">
        <f t="shared" si="25"/>
        <v>1.8797571181879411</v>
      </c>
      <c r="AT53" s="5">
        <f t="shared" si="98"/>
        <v>8.6866895527031698</v>
      </c>
      <c r="AU53" s="173">
        <f t="shared" si="99"/>
        <v>0.1778986992255755</v>
      </c>
      <c r="AW53" s="5">
        <f t="shared" si="152"/>
        <v>60.152227782014108</v>
      </c>
      <c r="AX53" s="5">
        <f t="shared" si="153"/>
        <v>2.8196356772819118</v>
      </c>
      <c r="AY53" s="5">
        <f t="shared" si="28"/>
        <v>2.4239465672831186</v>
      </c>
      <c r="AZ53" s="5"/>
      <c r="BA53" s="173">
        <f t="shared" si="100"/>
        <v>2.7340566271049056</v>
      </c>
      <c r="BB53" s="173">
        <f t="shared" si="154"/>
        <v>5.8773802156342612</v>
      </c>
      <c r="BC53" s="173">
        <f t="shared" si="155"/>
        <v>0.14474489315365946</v>
      </c>
      <c r="BD53" s="173"/>
      <c r="BE53" s="528">
        <f t="shared" si="31"/>
        <v>0.14950131280432508</v>
      </c>
      <c r="BF53" s="528">
        <f t="shared" si="156"/>
        <v>1.7442426814528265</v>
      </c>
      <c r="BG53" s="528">
        <f t="shared" si="157"/>
        <v>0.16957908888558487</v>
      </c>
      <c r="BH53" s="528">
        <f t="shared" si="34"/>
        <v>7.2539865739427514E-2</v>
      </c>
      <c r="BI53">
        <f t="shared" si="35"/>
        <v>3.2253271185741041E-2</v>
      </c>
      <c r="BJ53" s="460">
        <f t="shared" si="101"/>
        <v>201.83236007132589</v>
      </c>
      <c r="BK53">
        <f t="shared" si="158"/>
        <v>2.0805536248436307</v>
      </c>
      <c r="BL53" s="460">
        <f t="shared" si="102"/>
        <v>2080.5536248436306</v>
      </c>
      <c r="BM53" s="173">
        <f t="shared" si="159"/>
        <v>2.9819999999999998</v>
      </c>
      <c r="BN53" s="173">
        <f t="shared" si="160"/>
        <v>5.3249999999999999E-2</v>
      </c>
      <c r="BO53" s="528"/>
      <c r="BQ53" s="460">
        <f t="shared" si="103"/>
        <v>3035.2499999999995</v>
      </c>
      <c r="BR53" s="528">
        <f t="shared" si="39"/>
        <v>0.2242519692064876</v>
      </c>
      <c r="BS53" s="528">
        <f t="shared" si="104"/>
        <v>1.0363079459738711</v>
      </c>
      <c r="BT53" s="528">
        <f t="shared" si="161"/>
        <v>1.0475542047032147E-4</v>
      </c>
      <c r="BU53" s="528">
        <f t="shared" si="41"/>
        <v>1.8401446214207193</v>
      </c>
      <c r="BV53" s="528">
        <f t="shared" si="162"/>
        <v>3.7851090758714867</v>
      </c>
      <c r="BW53" s="625">
        <f t="shared" si="163"/>
        <v>1.1929837479358146E-2</v>
      </c>
      <c r="BX53" s="460">
        <f t="shared" si="105"/>
        <v>3797.0389133508447</v>
      </c>
      <c r="BY53" s="173">
        <f t="shared" si="106"/>
        <v>8.9128425381944751</v>
      </c>
      <c r="BZ53" s="5">
        <f t="shared" si="107"/>
        <v>72.959999999999994</v>
      </c>
      <c r="CA53" s="173">
        <f t="shared" si="108"/>
        <v>0.8911379859073959</v>
      </c>
      <c r="CB53" s="5">
        <f t="shared" si="109"/>
        <v>89.113798590739592</v>
      </c>
      <c r="CC53">
        <f t="shared" si="173"/>
        <v>48</v>
      </c>
      <c r="CE53" s="562">
        <f t="shared" si="164"/>
        <v>-50</v>
      </c>
      <c r="CF53">
        <f t="shared" si="165"/>
        <v>-50</v>
      </c>
      <c r="CG53" s="173">
        <f t="shared" si="166"/>
        <v>0.82098061573546177</v>
      </c>
      <c r="CH53" s="173">
        <f t="shared" si="167"/>
        <v>9.6304191786782956E-2</v>
      </c>
      <c r="CI53" s="170">
        <v>48</v>
      </c>
      <c r="CJ53" s="217">
        <f t="shared" si="133"/>
        <v>4.8</v>
      </c>
      <c r="CK53" s="217">
        <f t="shared" si="111"/>
        <v>0.12</v>
      </c>
      <c r="CL53" s="217">
        <f t="shared" si="48"/>
        <v>72</v>
      </c>
      <c r="CM53" s="217">
        <f t="shared" si="134"/>
        <v>0.96</v>
      </c>
      <c r="CN53" s="541">
        <f t="shared" si="112"/>
        <v>72</v>
      </c>
      <c r="CO53" s="443">
        <f t="shared" si="168"/>
        <v>15.7</v>
      </c>
      <c r="CP53" s="443">
        <f t="shared" si="169"/>
        <v>87.7</v>
      </c>
      <c r="CQ53" s="443"/>
      <c r="CR53" s="217">
        <f t="shared" si="113"/>
        <v>0.17620137299771166</v>
      </c>
      <c r="CS53" s="172">
        <f t="shared" si="114"/>
        <v>312.98928098277725</v>
      </c>
      <c r="CT53" s="172">
        <f t="shared" si="51"/>
        <v>4.2288329519450798</v>
      </c>
      <c r="CU53" s="217">
        <f t="shared" si="52"/>
        <v>20.865952065518481</v>
      </c>
      <c r="CV53" s="217">
        <f t="shared" si="53"/>
        <v>39.123660122847156</v>
      </c>
      <c r="CW53" s="443">
        <f t="shared" si="54"/>
        <v>15</v>
      </c>
      <c r="CX53" s="217">
        <f t="shared" si="55"/>
        <v>11.501991341991342</v>
      </c>
      <c r="CY53" s="217">
        <f t="shared" si="56"/>
        <v>1.9169985569985573</v>
      </c>
      <c r="CZ53" s="217">
        <f t="shared" si="57"/>
        <v>8.7913309620316014</v>
      </c>
      <c r="DA53" s="197">
        <f t="shared" si="58"/>
        <v>107.41163055872293</v>
      </c>
      <c r="DB53" s="443">
        <f t="shared" si="115"/>
        <v>93.385247271562193</v>
      </c>
      <c r="DD53" s="217">
        <f t="shared" si="59"/>
        <v>10</v>
      </c>
      <c r="DE53" s="173">
        <f t="shared" si="60"/>
        <v>7.6433121019108281</v>
      </c>
      <c r="DF53" s="173">
        <f t="shared" si="61"/>
        <v>4.1049030786773102</v>
      </c>
      <c r="DG53" s="173"/>
      <c r="DH53" s="173">
        <f t="shared" si="62"/>
        <v>7.6433121019108281</v>
      </c>
      <c r="DI53" s="545">
        <f t="shared" si="63"/>
        <v>125.6</v>
      </c>
      <c r="DJ53" s="528">
        <f t="shared" si="64"/>
        <v>4.1049030786773093</v>
      </c>
      <c r="DL53" s="173">
        <f t="shared" si="65"/>
        <v>5.8943071809040575</v>
      </c>
      <c r="DM53" s="173">
        <f t="shared" si="66"/>
        <v>11.501991341991342</v>
      </c>
      <c r="DN53" s="173">
        <f t="shared" si="67"/>
        <v>2.3125861792528459</v>
      </c>
      <c r="DP53" s="545">
        <f t="shared" si="68"/>
        <v>4800</v>
      </c>
      <c r="DQ53" s="460">
        <f t="shared" si="69"/>
        <v>93.385247271562193</v>
      </c>
      <c r="DS53">
        <f t="shared" si="116"/>
        <v>4800</v>
      </c>
      <c r="DT53" s="460">
        <f t="shared" si="70"/>
        <v>93.385247271562193</v>
      </c>
      <c r="DU53" s="460"/>
      <c r="DV53" s="5">
        <f t="shared" si="117"/>
        <v>10.708329519030158</v>
      </c>
      <c r="DW53" s="5">
        <f t="shared" si="71"/>
        <v>1.9169985569985573</v>
      </c>
      <c r="DX53" s="5">
        <f t="shared" si="118"/>
        <v>8.7913309620316014</v>
      </c>
      <c r="DY53" s="173">
        <f t="shared" si="119"/>
        <v>0.17901938426453817</v>
      </c>
      <c r="EA53" s="5">
        <f t="shared" si="72"/>
        <v>61.343953823953825</v>
      </c>
      <c r="EB53" s="5">
        <f t="shared" si="73"/>
        <v>2.8754978354978356</v>
      </c>
      <c r="EC53" s="5">
        <f t="shared" si="74"/>
        <v>2.4420363783421113</v>
      </c>
      <c r="ED53" s="5"/>
      <c r="EE53" s="173">
        <f t="shared" si="120"/>
        <v>2.8097160901456921</v>
      </c>
      <c r="EF53" s="173">
        <f t="shared" si="75"/>
        <v>6.0169840537590762</v>
      </c>
      <c r="EG53" s="173">
        <f t="shared" si="76"/>
        <v>0.14818297983375298</v>
      </c>
      <c r="EH53" s="173"/>
      <c r="EI53" s="528">
        <f t="shared" si="77"/>
        <v>0.15789009014447192</v>
      </c>
      <c r="EJ53" s="528">
        <f t="shared" si="78"/>
        <v>1.8839999999999997</v>
      </c>
      <c r="EK53" s="528">
        <f t="shared" si="79"/>
        <v>1.1673155908945274E-2</v>
      </c>
      <c r="EL53" s="528">
        <f t="shared" si="80"/>
        <v>7.1825301848729373E-2</v>
      </c>
      <c r="EM53">
        <f t="shared" si="81"/>
        <v>3.2399999999999998E-2</v>
      </c>
      <c r="EN53" s="460">
        <f t="shared" si="121"/>
        <v>44.073155908945267</v>
      </c>
      <c r="EO53">
        <f t="shared" si="82"/>
        <v>2.2861843592881472</v>
      </c>
      <c r="EP53" s="460">
        <f t="shared" si="122"/>
        <v>2286.1843592881473</v>
      </c>
      <c r="EQ53" s="173">
        <f t="shared" si="83"/>
        <v>2.9819999999999998</v>
      </c>
      <c r="ER53" s="173">
        <f t="shared" si="170"/>
        <v>5.3249999999999999E-2</v>
      </c>
      <c r="ES53" s="528"/>
      <c r="EU53" s="460">
        <f t="shared" si="123"/>
        <v>3035.2499999999995</v>
      </c>
      <c r="EV53" s="528">
        <f t="shared" si="85"/>
        <v>0.23683513521670785</v>
      </c>
      <c r="EW53" s="528">
        <f t="shared" si="124"/>
        <v>1.0861229130957299</v>
      </c>
      <c r="EX53" s="528">
        <f t="shared" si="86"/>
        <v>1.097909775620522E-4</v>
      </c>
      <c r="EY53" s="528">
        <f t="shared" si="87"/>
        <v>1.890594011417486</v>
      </c>
      <c r="EZ53" s="528">
        <f t="shared" si="88"/>
        <v>3.9492032354708004</v>
      </c>
      <c r="FA53" s="625">
        <f t="shared" si="89"/>
        <v>1.2354476447156036E-2</v>
      </c>
      <c r="FB53" s="460">
        <f t="shared" si="125"/>
        <v>3961.5577119179566</v>
      </c>
      <c r="FC53" s="173">
        <f t="shared" si="126"/>
        <v>9.2829920712061043</v>
      </c>
      <c r="FD53" s="5">
        <f t="shared" si="127"/>
        <v>72.959999999999994</v>
      </c>
      <c r="FE53" s="173">
        <f t="shared" si="128"/>
        <v>0.88712725744256871</v>
      </c>
      <c r="FF53" s="5">
        <f t="shared" si="129"/>
        <v>88.712725744256872</v>
      </c>
      <c r="FG53">
        <f t="shared" si="130"/>
        <v>48</v>
      </c>
      <c r="FI53" s="562">
        <f t="shared" si="90"/>
        <v>-50</v>
      </c>
      <c r="FJ53">
        <f t="shared" si="91"/>
        <v>-50</v>
      </c>
      <c r="FL53">
        <f t="shared" si="92"/>
        <v>0.82098061573546177</v>
      </c>
    </row>
    <row r="54" spans="5:168">
      <c r="E54" s="170">
        <v>49</v>
      </c>
      <c r="F54" s="217">
        <f t="shared" si="174"/>
        <v>4.9000000000000004</v>
      </c>
      <c r="G54" s="217">
        <f t="shared" si="171"/>
        <v>0.1225</v>
      </c>
      <c r="H54" s="217">
        <f t="shared" si="135"/>
        <v>73.5</v>
      </c>
      <c r="I54" s="217">
        <f t="shared" si="175"/>
        <v>0.98</v>
      </c>
      <c r="J54" s="541">
        <f t="shared" si="136"/>
        <v>71.667142967653291</v>
      </c>
      <c r="K54" s="443">
        <f t="shared" si="137"/>
        <v>15.879054166666666</v>
      </c>
      <c r="L54" s="172">
        <f t="shared" si="138"/>
        <v>87.546197134319954</v>
      </c>
      <c r="M54" s="443"/>
      <c r="N54" s="217">
        <f t="shared" si="139"/>
        <v>0.18137914251493789</v>
      </c>
      <c r="O54" s="172">
        <f t="shared" si="172"/>
        <v>320.69716129856289</v>
      </c>
      <c r="P54" s="172">
        <f t="shared" si="140"/>
        <v>4.3329749793228052</v>
      </c>
      <c r="Q54" s="217">
        <f t="shared" si="6"/>
        <v>21.379810753237525</v>
      </c>
      <c r="R54" s="217">
        <f t="shared" si="141"/>
        <v>40.087145162320361</v>
      </c>
      <c r="S54" s="443">
        <f t="shared" si="142"/>
        <v>15</v>
      </c>
      <c r="T54" s="217">
        <f t="shared" si="143"/>
        <v>11.459409198133333</v>
      </c>
      <c r="U54" s="217">
        <f t="shared" si="10"/>
        <v>1.9187720436918485</v>
      </c>
      <c r="V54" s="217">
        <f t="shared" si="11"/>
        <v>8.6600189743207316</v>
      </c>
      <c r="W54" s="197">
        <f t="shared" si="12"/>
        <v>108.32437448307012</v>
      </c>
      <c r="X54" s="443">
        <f t="shared" si="95"/>
        <v>92.774783213524302</v>
      </c>
      <c r="Z54" s="217">
        <f t="shared" si="13"/>
        <v>10</v>
      </c>
      <c r="AA54" s="173">
        <f t="shared" si="14"/>
        <v>7.55712517511932</v>
      </c>
      <c r="AB54" s="173">
        <f t="shared" si="144"/>
        <v>4.0931042874253105</v>
      </c>
      <c r="AC54" s="173"/>
      <c r="AD54" s="173">
        <f t="shared" si="16"/>
        <v>7.55712517511932</v>
      </c>
      <c r="AE54" s="545">
        <f t="shared" si="145"/>
        <v>129.67894236111113</v>
      </c>
      <c r="AF54" s="528">
        <f t="shared" si="146"/>
        <v>4.0931042874253105</v>
      </c>
      <c r="AH54" s="173">
        <f t="shared" si="147"/>
        <v>5.9553897157672786</v>
      </c>
      <c r="AI54" s="173">
        <f t="shared" si="148"/>
        <v>11.459409198133333</v>
      </c>
      <c r="AJ54" s="173">
        <f t="shared" si="149"/>
        <v>2.2810438504691355</v>
      </c>
      <c r="AL54" s="545">
        <f t="shared" si="150"/>
        <v>4900</v>
      </c>
      <c r="AM54" s="460">
        <f t="shared" si="151"/>
        <v>92.774783213524302</v>
      </c>
      <c r="AO54">
        <f t="shared" si="96"/>
        <v>4900</v>
      </c>
      <c r="AP54" s="460">
        <f t="shared" si="24"/>
        <v>92.774783213524302</v>
      </c>
      <c r="AQ54" s="460"/>
      <c r="AR54" s="5">
        <f t="shared" si="97"/>
        <v>10.77879101801258</v>
      </c>
      <c r="AS54" s="5">
        <f t="shared" si="25"/>
        <v>1.9187720436918485</v>
      </c>
      <c r="AT54" s="5">
        <f t="shared" si="98"/>
        <v>8.8600189743207309</v>
      </c>
      <c r="AU54" s="173">
        <f t="shared" si="99"/>
        <v>0.17801366038968222</v>
      </c>
      <c r="AW54" s="5">
        <f t="shared" si="152"/>
        <v>62.67988676060039</v>
      </c>
      <c r="AX54" s="5">
        <f t="shared" si="153"/>
        <v>2.9381196919031427</v>
      </c>
      <c r="AY54" s="5">
        <f t="shared" si="28"/>
        <v>2.524058397872694</v>
      </c>
      <c r="AZ54" s="5"/>
      <c r="BA54" s="173">
        <f t="shared" si="100"/>
        <v>2.79143979505006</v>
      </c>
      <c r="BB54" s="173">
        <f t="shared" si="154"/>
        <v>5.9983789694131948</v>
      </c>
      <c r="BC54" s="173">
        <f t="shared" si="155"/>
        <v>0.1477247840310387</v>
      </c>
      <c r="BD54" s="173"/>
      <c r="BE54" s="528">
        <f t="shared" si="31"/>
        <v>0.15584272258778242</v>
      </c>
      <c r="BF54" s="528">
        <f t="shared" si="156"/>
        <v>1.7451418514135415</v>
      </c>
      <c r="BG54" s="528">
        <f t="shared" si="157"/>
        <v>0.16622259130891717</v>
      </c>
      <c r="BH54" s="528">
        <f t="shared" si="34"/>
        <v>7.1105716957247225E-2</v>
      </c>
      <c r="BI54">
        <f t="shared" si="35"/>
        <v>3.2250214335443977E-2</v>
      </c>
      <c r="BJ54" s="460">
        <f t="shared" si="101"/>
        <v>198.47280564436116</v>
      </c>
      <c r="BK54">
        <f t="shared" si="158"/>
        <v>2.0916166918498944</v>
      </c>
      <c r="BL54" s="460">
        <f t="shared" si="102"/>
        <v>2091.6166918498943</v>
      </c>
      <c r="BM54" s="173">
        <f t="shared" si="159"/>
        <v>3.0441250000000002</v>
      </c>
      <c r="BN54" s="173">
        <f t="shared" si="160"/>
        <v>5.4359374999999995E-2</v>
      </c>
      <c r="BO54" s="528"/>
      <c r="BQ54" s="460">
        <f t="shared" si="103"/>
        <v>3098.4843750000005</v>
      </c>
      <c r="BR54" s="528">
        <f t="shared" si="39"/>
        <v>0.23376408388167361</v>
      </c>
      <c r="BS54" s="528">
        <f t="shared" si="104"/>
        <v>1.079416507820955</v>
      </c>
      <c r="BT54" s="528">
        <f t="shared" si="161"/>
        <v>1.0911305908508513E-4</v>
      </c>
      <c r="BU54" s="528">
        <f t="shared" si="41"/>
        <v>1.842682214661743</v>
      </c>
      <c r="BV54" s="528">
        <f t="shared" si="162"/>
        <v>3.8786664677950453</v>
      </c>
      <c r="BW54" s="625">
        <f t="shared" si="163"/>
        <v>1.2183004471541893E-2</v>
      </c>
      <c r="BX54" s="460">
        <f t="shared" si="105"/>
        <v>3890.8494722665873</v>
      </c>
      <c r="BY54" s="173">
        <f t="shared" si="106"/>
        <v>9.0809505391164809</v>
      </c>
      <c r="BZ54" s="5">
        <f t="shared" si="107"/>
        <v>74.48</v>
      </c>
      <c r="CA54" s="173">
        <f t="shared" si="108"/>
        <v>0.89132542795973202</v>
      </c>
      <c r="CB54" s="5">
        <f t="shared" si="109"/>
        <v>89.132542795973208</v>
      </c>
      <c r="CC54">
        <f t="shared" si="173"/>
        <v>49.000000000000007</v>
      </c>
      <c r="CE54" s="562">
        <f t="shared" si="164"/>
        <v>-50</v>
      </c>
      <c r="CF54">
        <f t="shared" si="165"/>
        <v>-50</v>
      </c>
      <c r="CG54" s="173">
        <f t="shared" si="166"/>
        <v>0.82098061573546177</v>
      </c>
      <c r="CH54" s="173">
        <f t="shared" si="167"/>
        <v>9.6304191786782969E-2</v>
      </c>
      <c r="CI54" s="170">
        <v>49</v>
      </c>
      <c r="CJ54" s="217">
        <f t="shared" si="133"/>
        <v>4.9000000000000004</v>
      </c>
      <c r="CK54" s="217">
        <f t="shared" si="111"/>
        <v>0.1225</v>
      </c>
      <c r="CL54" s="217">
        <f t="shared" si="48"/>
        <v>73.5</v>
      </c>
      <c r="CM54" s="217">
        <f t="shared" si="134"/>
        <v>0.98</v>
      </c>
      <c r="CN54" s="541">
        <f t="shared" si="112"/>
        <v>72</v>
      </c>
      <c r="CO54" s="443">
        <f t="shared" si="168"/>
        <v>15.7</v>
      </c>
      <c r="CP54" s="443">
        <f t="shared" si="169"/>
        <v>87.7</v>
      </c>
      <c r="CQ54" s="443"/>
      <c r="CR54" s="217">
        <f t="shared" si="113"/>
        <v>0.17620137299771166</v>
      </c>
      <c r="CS54" s="172">
        <f t="shared" si="114"/>
        <v>312.98928098277725</v>
      </c>
      <c r="CT54" s="172">
        <f t="shared" si="51"/>
        <v>4.2288329519450798</v>
      </c>
      <c r="CU54" s="217">
        <f t="shared" si="52"/>
        <v>20.865952065518481</v>
      </c>
      <c r="CV54" s="217">
        <f t="shared" si="53"/>
        <v>39.123660122847156</v>
      </c>
      <c r="CW54" s="443">
        <f t="shared" si="54"/>
        <v>15</v>
      </c>
      <c r="CX54" s="217">
        <f t="shared" si="55"/>
        <v>11.741616161616163</v>
      </c>
      <c r="CY54" s="217">
        <f t="shared" si="56"/>
        <v>1.9569360269360272</v>
      </c>
      <c r="CZ54" s="217">
        <f t="shared" si="57"/>
        <v>8.9744836904072578</v>
      </c>
      <c r="DA54" s="197">
        <f t="shared" si="58"/>
        <v>107.41163055872293</v>
      </c>
      <c r="DB54" s="443">
        <f t="shared" si="115"/>
        <v>91.479425898673185</v>
      </c>
      <c r="DD54" s="217">
        <f t="shared" si="59"/>
        <v>10</v>
      </c>
      <c r="DE54" s="173">
        <f t="shared" si="60"/>
        <v>7.6433121019108281</v>
      </c>
      <c r="DF54" s="173">
        <f t="shared" si="61"/>
        <v>4.1049030786773102</v>
      </c>
      <c r="DG54" s="173"/>
      <c r="DH54" s="173">
        <f t="shared" si="62"/>
        <v>7.6433121019108281</v>
      </c>
      <c r="DI54" s="545">
        <f t="shared" si="63"/>
        <v>128.2166666666667</v>
      </c>
      <c r="DJ54" s="528">
        <f t="shared" si="64"/>
        <v>4.1049030786773093</v>
      </c>
      <c r="DL54" s="173">
        <f t="shared" si="65"/>
        <v>5.9553897157672786</v>
      </c>
      <c r="DM54" s="173">
        <f t="shared" si="66"/>
        <v>11.741616161616163</v>
      </c>
      <c r="DN54" s="173">
        <f t="shared" si="67"/>
        <v>2.4900860456416023</v>
      </c>
      <c r="DP54" s="545">
        <f t="shared" si="68"/>
        <v>4900</v>
      </c>
      <c r="DQ54" s="460">
        <f t="shared" si="69"/>
        <v>91.479425898673185</v>
      </c>
      <c r="DS54">
        <f t="shared" si="116"/>
        <v>4900</v>
      </c>
      <c r="DT54" s="460">
        <f t="shared" si="70"/>
        <v>91.479425898673185</v>
      </c>
      <c r="DU54" s="460"/>
      <c r="DV54" s="5">
        <f t="shared" si="117"/>
        <v>10.931419717343285</v>
      </c>
      <c r="DW54" s="5">
        <f t="shared" si="71"/>
        <v>1.9569360269360272</v>
      </c>
      <c r="DX54" s="5">
        <f t="shared" si="118"/>
        <v>8.9744836904072578</v>
      </c>
      <c r="DY54" s="173">
        <f t="shared" si="119"/>
        <v>0.1790193842645382</v>
      </c>
      <c r="EA54" s="5">
        <f t="shared" si="72"/>
        <v>63.926576879910229</v>
      </c>
      <c r="EB54" s="5">
        <f t="shared" si="73"/>
        <v>2.9965582912457918</v>
      </c>
      <c r="EC54" s="5">
        <f t="shared" si="74"/>
        <v>2.5448478057289097</v>
      </c>
      <c r="ED54" s="5"/>
      <c r="EE54" s="173">
        <f t="shared" si="120"/>
        <v>2.8682518420237275</v>
      </c>
      <c r="EF54" s="173">
        <f t="shared" si="75"/>
        <v>6.1423378882123911</v>
      </c>
      <c r="EG54" s="173">
        <f t="shared" si="76"/>
        <v>0.15127012524695616</v>
      </c>
      <c r="EH54" s="173"/>
      <c r="EI54" s="528">
        <f t="shared" si="77"/>
        <v>0.16453737258545012</v>
      </c>
      <c r="EJ54" s="528">
        <f t="shared" si="78"/>
        <v>1.8840000000000001</v>
      </c>
      <c r="EK54" s="528">
        <f t="shared" si="79"/>
        <v>1.1434928237334148E-2</v>
      </c>
      <c r="EL54" s="528">
        <f t="shared" si="80"/>
        <v>7.0359479362020624E-2</v>
      </c>
      <c r="EM54">
        <f t="shared" si="81"/>
        <v>3.2399999999999998E-2</v>
      </c>
      <c r="EN54" s="460">
        <f t="shared" si="121"/>
        <v>43.834928237334147</v>
      </c>
      <c r="EO54">
        <f t="shared" si="82"/>
        <v>2.2969541806488265</v>
      </c>
      <c r="EP54" s="460">
        <f t="shared" si="122"/>
        <v>2296.9541806488264</v>
      </c>
      <c r="EQ54" s="173">
        <f t="shared" si="83"/>
        <v>3.0441250000000002</v>
      </c>
      <c r="ER54" s="173">
        <f t="shared" si="170"/>
        <v>5.4359374999999995E-2</v>
      </c>
      <c r="ES54" s="528"/>
      <c r="EU54" s="460">
        <f t="shared" si="123"/>
        <v>3098.4843750000005</v>
      </c>
      <c r="EV54" s="528">
        <f t="shared" si="85"/>
        <v>0.24680605887817517</v>
      </c>
      <c r="EW54" s="528">
        <f t="shared" si="124"/>
        <v>1.1318494419890837</v>
      </c>
      <c r="EX54" s="528">
        <f t="shared" si="86"/>
        <v>1.1441325396114902E-4</v>
      </c>
      <c r="EY54" s="528">
        <f t="shared" si="87"/>
        <v>1.8905940114174897</v>
      </c>
      <c r="EZ54" s="528">
        <f t="shared" si="88"/>
        <v>4.0466170076582353</v>
      </c>
      <c r="FA54" s="625">
        <f t="shared" si="89"/>
        <v>1.2611861373138458E-2</v>
      </c>
      <c r="FB54" s="460">
        <f t="shared" si="125"/>
        <v>4059.228869031374</v>
      </c>
      <c r="FC54" s="173">
        <f t="shared" si="126"/>
        <v>9.4546674246801992</v>
      </c>
      <c r="FD54" s="5">
        <f t="shared" si="127"/>
        <v>74.48</v>
      </c>
      <c r="FE54" s="173">
        <f t="shared" si="128"/>
        <v>0.8873568250786904</v>
      </c>
      <c r="FF54" s="5">
        <f t="shared" si="129"/>
        <v>88.735682507869043</v>
      </c>
      <c r="FG54">
        <f t="shared" si="130"/>
        <v>49.000000000000007</v>
      </c>
      <c r="FI54" s="562">
        <f t="shared" si="90"/>
        <v>-50</v>
      </c>
      <c r="FJ54">
        <f t="shared" si="91"/>
        <v>-50</v>
      </c>
      <c r="FL54">
        <f t="shared" si="92"/>
        <v>0.82098061573546177</v>
      </c>
    </row>
    <row r="55" spans="5:168">
      <c r="E55" s="170">
        <v>50</v>
      </c>
      <c r="F55" s="217">
        <f t="shared" si="174"/>
        <v>5</v>
      </c>
      <c r="G55" s="217">
        <f t="shared" si="171"/>
        <v>0.125</v>
      </c>
      <c r="H55" s="217">
        <f t="shared" si="135"/>
        <v>75</v>
      </c>
      <c r="I55" s="217">
        <f t="shared" si="175"/>
        <v>1</v>
      </c>
      <c r="J55" s="541">
        <f t="shared" si="136"/>
        <v>71.660349966993152</v>
      </c>
      <c r="K55" s="443">
        <f t="shared" si="137"/>
        <v>15.882708333333333</v>
      </c>
      <c r="L55" s="172">
        <f t="shared" si="138"/>
        <v>87.543058300326493</v>
      </c>
      <c r="M55" s="443"/>
      <c r="N55" s="217">
        <f t="shared" si="139"/>
        <v>0.18142738718181267</v>
      </c>
      <c r="O55" s="172">
        <f t="shared" si="172"/>
        <v>320.75205737777628</v>
      </c>
      <c r="P55" s="172">
        <f t="shared" si="140"/>
        <v>4.3337166863486223</v>
      </c>
      <c r="Q55" s="217">
        <f t="shared" si="6"/>
        <v>21.383470491851753</v>
      </c>
      <c r="R55" s="217">
        <f t="shared" si="141"/>
        <v>40.094007172222035</v>
      </c>
      <c r="S55" s="443">
        <f t="shared" si="142"/>
        <v>15</v>
      </c>
      <c r="T55" s="217">
        <f t="shared" si="143"/>
        <v>11.691273411173524</v>
      </c>
      <c r="U55" s="217">
        <f t="shared" si="10"/>
        <v>1.95778112999312</v>
      </c>
      <c r="V55" s="217">
        <f t="shared" si="11"/>
        <v>8.8332089206500104</v>
      </c>
      <c r="W55" s="197">
        <f t="shared" si="12"/>
        <v>108.34291715871552</v>
      </c>
      <c r="X55" s="443">
        <f t="shared" si="95"/>
        <v>90.983614341592968</v>
      </c>
      <c r="Z55" s="217">
        <f t="shared" si="13"/>
        <v>10</v>
      </c>
      <c r="AA55" s="173">
        <f t="shared" si="14"/>
        <v>7.5553864921232474</v>
      </c>
      <c r="AB55" s="173">
        <f t="shared" si="144"/>
        <v>4.0928630640909365</v>
      </c>
      <c r="AC55" s="173"/>
      <c r="AD55" s="173">
        <f t="shared" si="16"/>
        <v>7.5553864921232474</v>
      </c>
      <c r="AE55" s="545">
        <f t="shared" si="145"/>
        <v>132.35590277777774</v>
      </c>
      <c r="AF55" s="528">
        <f t="shared" si="146"/>
        <v>4.0928630640909374</v>
      </c>
      <c r="AH55" s="173">
        <f t="shared" si="147"/>
        <v>6.0158520751823836</v>
      </c>
      <c r="AI55" s="173">
        <f t="shared" si="148"/>
        <v>11.691273411173524</v>
      </c>
      <c r="AJ55" s="173">
        <f t="shared" si="149"/>
        <v>2.4527951193877957</v>
      </c>
      <c r="AL55" s="545">
        <f t="shared" si="150"/>
        <v>5000</v>
      </c>
      <c r="AM55" s="460">
        <f t="shared" si="151"/>
        <v>90.983614341592968</v>
      </c>
      <c r="AO55">
        <f t="shared" si="96"/>
        <v>5000</v>
      </c>
      <c r="AP55" s="460">
        <f t="shared" si="24"/>
        <v>90.983614341592968</v>
      </c>
      <c r="AQ55" s="460"/>
      <c r="AR55" s="5">
        <f t="shared" si="97"/>
        <v>10.990990050643131</v>
      </c>
      <c r="AS55" s="5">
        <f t="shared" si="25"/>
        <v>1.95778112999312</v>
      </c>
      <c r="AT55" s="5">
        <f t="shared" si="98"/>
        <v>9.0332089206500115</v>
      </c>
      <c r="AU55" s="173">
        <f t="shared" si="99"/>
        <v>0.17812600329654213</v>
      </c>
      <c r="AW55" s="5">
        <f t="shared" si="152"/>
        <v>65.259370999770667</v>
      </c>
      <c r="AX55" s="5">
        <f t="shared" si="153"/>
        <v>3.0590330156142498</v>
      </c>
      <c r="AY55" s="5">
        <f t="shared" si="28"/>
        <v>2.6261642958794269</v>
      </c>
      <c r="AZ55" s="5"/>
      <c r="BA55" s="173">
        <f t="shared" si="100"/>
        <v>2.8488189622033602</v>
      </c>
      <c r="BB55" s="173">
        <f t="shared" si="154"/>
        <v>6.1193290900387849</v>
      </c>
      <c r="BC55" s="173">
        <f t="shared" si="155"/>
        <v>0.15070347719781793</v>
      </c>
      <c r="BD55" s="173"/>
      <c r="BE55" s="528">
        <f t="shared" si="31"/>
        <v>0.16231538958818859</v>
      </c>
      <c r="BF55" s="528">
        <f t="shared" si="156"/>
        <v>1.746015074262234</v>
      </c>
      <c r="BG55" s="528">
        <f t="shared" si="157"/>
        <v>0.16299794112451221</v>
      </c>
      <c r="BH55" s="528">
        <f t="shared" si="34"/>
        <v>6.9727904595145385E-2</v>
      </c>
      <c r="BI55">
        <f t="shared" si="35"/>
        <v>3.2247157485146914E-2</v>
      </c>
      <c r="BJ55" s="460">
        <f t="shared" si="101"/>
        <v>195.24509860965912</v>
      </c>
      <c r="BK55">
        <f t="shared" si="158"/>
        <v>2.1029876318408864</v>
      </c>
      <c r="BL55" s="460">
        <f t="shared" si="102"/>
        <v>2102.9876318408865</v>
      </c>
      <c r="BM55" s="173">
        <f t="shared" si="159"/>
        <v>3.1062499999999997</v>
      </c>
      <c r="BN55" s="173">
        <f t="shared" si="160"/>
        <v>5.5468749999999997E-2</v>
      </c>
      <c r="BO55" s="528"/>
      <c r="BQ55" s="460">
        <f t="shared" si="103"/>
        <v>3161.71875</v>
      </c>
      <c r="BR55" s="528">
        <f t="shared" si="39"/>
        <v>0.24347308438228288</v>
      </c>
      <c r="BS55" s="528">
        <f t="shared" si="104"/>
        <v>1.123385655365847</v>
      </c>
      <c r="BT55" s="528">
        <f t="shared" si="161"/>
        <v>1.1355769019756614E-4</v>
      </c>
      <c r="BU55" s="528">
        <f t="shared" si="41"/>
        <v>1.845153536846786</v>
      </c>
      <c r="BV55" s="528">
        <f t="shared" si="162"/>
        <v>3.9748836527817635</v>
      </c>
      <c r="BW55" s="625">
        <f t="shared" si="163"/>
        <v>1.2436174843667965E-2</v>
      </c>
      <c r="BX55" s="460">
        <f t="shared" si="105"/>
        <v>3987.3198276254316</v>
      </c>
      <c r="BY55" s="173">
        <f t="shared" si="106"/>
        <v>9.252026209466317</v>
      </c>
      <c r="BZ55" s="5">
        <f t="shared" si="107"/>
        <v>76</v>
      </c>
      <c r="CA55" s="173">
        <f t="shared" si="108"/>
        <v>0.89147441274024541</v>
      </c>
      <c r="CB55" s="5">
        <f t="shared" si="109"/>
        <v>89.147441274024544</v>
      </c>
      <c r="CC55">
        <f t="shared" si="173"/>
        <v>50</v>
      </c>
      <c r="CE55" s="562">
        <f t="shared" si="164"/>
        <v>-50</v>
      </c>
      <c r="CF55">
        <f t="shared" si="165"/>
        <v>-50</v>
      </c>
      <c r="CG55" s="173">
        <f t="shared" si="166"/>
        <v>0.82098061573546177</v>
      </c>
      <c r="CH55" s="173">
        <f t="shared" si="167"/>
        <v>9.6304191786782983E-2</v>
      </c>
      <c r="CI55" s="170">
        <v>50</v>
      </c>
      <c r="CJ55" s="217">
        <f t="shared" si="133"/>
        <v>5</v>
      </c>
      <c r="CK55" s="217">
        <f t="shared" si="111"/>
        <v>0.125</v>
      </c>
      <c r="CL55" s="217">
        <f t="shared" si="48"/>
        <v>75</v>
      </c>
      <c r="CM55" s="217">
        <f t="shared" si="134"/>
        <v>1</v>
      </c>
      <c r="CN55" s="541">
        <f t="shared" si="112"/>
        <v>72</v>
      </c>
      <c r="CO55" s="443">
        <f t="shared" si="168"/>
        <v>15.7</v>
      </c>
      <c r="CP55" s="443">
        <f t="shared" si="169"/>
        <v>87.7</v>
      </c>
      <c r="CQ55" s="443"/>
      <c r="CR55" s="217">
        <f t="shared" si="113"/>
        <v>0.17620137299771166</v>
      </c>
      <c r="CS55" s="172">
        <f t="shared" si="114"/>
        <v>312.98928098277725</v>
      </c>
      <c r="CT55" s="172">
        <f t="shared" si="51"/>
        <v>4.2288329519450798</v>
      </c>
      <c r="CU55" s="217">
        <f t="shared" si="52"/>
        <v>20.865952065518481</v>
      </c>
      <c r="CV55" s="217">
        <f t="shared" si="53"/>
        <v>39.123660122847156</v>
      </c>
      <c r="CW55" s="443">
        <f t="shared" si="54"/>
        <v>15</v>
      </c>
      <c r="CX55" s="217">
        <f t="shared" si="55"/>
        <v>11.981240981240981</v>
      </c>
      <c r="CY55" s="217">
        <f t="shared" si="56"/>
        <v>1.9968734968734967</v>
      </c>
      <c r="CZ55" s="217">
        <f t="shared" si="57"/>
        <v>9.157636418782916</v>
      </c>
      <c r="DA55" s="197">
        <f t="shared" si="58"/>
        <v>107.41163055872293</v>
      </c>
      <c r="DB55" s="443">
        <f t="shared" si="115"/>
        <v>89.649837380699736</v>
      </c>
      <c r="DD55" s="217">
        <f t="shared" si="59"/>
        <v>10</v>
      </c>
      <c r="DE55" s="173">
        <f t="shared" si="60"/>
        <v>7.6433121019108281</v>
      </c>
      <c r="DF55" s="173">
        <f t="shared" si="61"/>
        <v>4.1049030786773102</v>
      </c>
      <c r="DG55" s="173"/>
      <c r="DH55" s="173">
        <f t="shared" si="62"/>
        <v>7.6433121019108281</v>
      </c>
      <c r="DI55" s="545">
        <f t="shared" si="63"/>
        <v>130.83333333333334</v>
      </c>
      <c r="DJ55" s="528">
        <f t="shared" si="64"/>
        <v>4.1049030786773093</v>
      </c>
      <c r="DL55" s="173">
        <f t="shared" si="65"/>
        <v>6.0158520751823836</v>
      </c>
      <c r="DM55" s="173">
        <f t="shared" si="66"/>
        <v>11.981240981240981</v>
      </c>
      <c r="DN55" s="173">
        <f t="shared" si="67"/>
        <v>2.6675859120303569</v>
      </c>
      <c r="DP55" s="545">
        <f t="shared" si="68"/>
        <v>5000</v>
      </c>
      <c r="DQ55" s="460">
        <f t="shared" si="69"/>
        <v>89.649837380699736</v>
      </c>
      <c r="DS55">
        <f t="shared" si="116"/>
        <v>5000</v>
      </c>
      <c r="DT55" s="460">
        <f t="shared" si="70"/>
        <v>89.649837380699736</v>
      </c>
      <c r="DU55" s="460"/>
      <c r="DV55" s="5">
        <f t="shared" si="117"/>
        <v>11.154509915656412</v>
      </c>
      <c r="DW55" s="5">
        <f t="shared" si="71"/>
        <v>1.9968734968734967</v>
      </c>
      <c r="DX55" s="5">
        <f t="shared" si="118"/>
        <v>9.157636418782916</v>
      </c>
      <c r="DY55" s="173">
        <f t="shared" si="119"/>
        <v>0.1790193842645382</v>
      </c>
      <c r="EA55" s="5">
        <f t="shared" si="72"/>
        <v>66.562449895783217</v>
      </c>
      <c r="EB55" s="5">
        <f t="shared" si="73"/>
        <v>3.1201148388648385</v>
      </c>
      <c r="EC55" s="5">
        <f t="shared" si="74"/>
        <v>2.6497790563607979</v>
      </c>
      <c r="ED55" s="5"/>
      <c r="EE55" s="173">
        <f t="shared" si="120"/>
        <v>2.9267875939017625</v>
      </c>
      <c r="EF55" s="173">
        <f t="shared" si="75"/>
        <v>6.2676917226657043</v>
      </c>
      <c r="EG55" s="173">
        <f t="shared" si="76"/>
        <v>0.15435727066015931</v>
      </c>
      <c r="EH55" s="173"/>
      <c r="EI55" s="528">
        <f t="shared" si="77"/>
        <v>0.17132171239634539</v>
      </c>
      <c r="EJ55" s="528">
        <f t="shared" si="78"/>
        <v>1.8840000000000006</v>
      </c>
      <c r="EK55" s="528">
        <f t="shared" si="79"/>
        <v>1.1206229672587466E-2</v>
      </c>
      <c r="EL55" s="528">
        <f t="shared" si="80"/>
        <v>6.8952289774780226E-2</v>
      </c>
      <c r="EM55">
        <f t="shared" si="81"/>
        <v>3.2399999999999998E-2</v>
      </c>
      <c r="EN55" s="460">
        <f t="shared" si="121"/>
        <v>43.606229672587467</v>
      </c>
      <c r="EO55">
        <f t="shared" si="82"/>
        <v>2.3080903079718151</v>
      </c>
      <c r="EP55" s="460">
        <f t="shared" si="122"/>
        <v>2308.090307971815</v>
      </c>
      <c r="EQ55" s="173">
        <f t="shared" si="83"/>
        <v>3.1062499999999997</v>
      </c>
      <c r="ER55" s="173">
        <f t="shared" si="170"/>
        <v>5.5468749999999997E-2</v>
      </c>
      <c r="ES55" s="528"/>
      <c r="EU55" s="460">
        <f t="shared" si="123"/>
        <v>3161.71875</v>
      </c>
      <c r="EV55" s="528">
        <f t="shared" si="85"/>
        <v>0.25698256859451807</v>
      </c>
      <c r="EW55" s="528">
        <f t="shared" si="124"/>
        <v>1.1785187859111657</v>
      </c>
      <c r="EX55" s="528">
        <f t="shared" si="86"/>
        <v>1.1913083502826839E-4</v>
      </c>
      <c r="EY55" s="528">
        <f t="shared" si="87"/>
        <v>1.8905940114174895</v>
      </c>
      <c r="EZ55" s="528">
        <f t="shared" si="88"/>
        <v>4.1470506868195232</v>
      </c>
      <c r="FA55" s="625">
        <f t="shared" si="89"/>
        <v>1.2869246299120873E-2</v>
      </c>
      <c r="FB55" s="460">
        <f t="shared" si="125"/>
        <v>4159.9199331186437</v>
      </c>
      <c r="FC55" s="173">
        <f t="shared" si="126"/>
        <v>9.6297289910904578</v>
      </c>
      <c r="FD55" s="5">
        <f t="shared" si="127"/>
        <v>76</v>
      </c>
      <c r="FE55" s="173">
        <f t="shared" si="128"/>
        <v>0.88754222272392791</v>
      </c>
      <c r="FF55" s="5">
        <f t="shared" si="129"/>
        <v>88.754222272392795</v>
      </c>
      <c r="FG55">
        <f t="shared" si="130"/>
        <v>50</v>
      </c>
      <c r="FI55" s="562">
        <f t="shared" si="90"/>
        <v>-50</v>
      </c>
      <c r="FJ55">
        <f t="shared" si="91"/>
        <v>-50</v>
      </c>
      <c r="FL55">
        <f t="shared" si="92"/>
        <v>0.82098061573546177</v>
      </c>
    </row>
    <row r="56" spans="5:168">
      <c r="E56" s="170">
        <v>51</v>
      </c>
      <c r="F56" s="217">
        <f t="shared" si="174"/>
        <v>5.0999999999999996</v>
      </c>
      <c r="G56" s="217">
        <f t="shared" si="171"/>
        <v>0.1275</v>
      </c>
      <c r="H56" s="217">
        <f t="shared" si="135"/>
        <v>76.5</v>
      </c>
      <c r="I56" s="217">
        <f t="shared" si="175"/>
        <v>1.02</v>
      </c>
      <c r="J56" s="541">
        <f t="shared" si="136"/>
        <v>71.653556966333014</v>
      </c>
      <c r="K56" s="443">
        <f t="shared" si="137"/>
        <v>15.886362499999999</v>
      </c>
      <c r="L56" s="172">
        <f t="shared" si="138"/>
        <v>87.539919466333018</v>
      </c>
      <c r="M56" s="443"/>
      <c r="N56" s="217">
        <f t="shared" si="139"/>
        <v>0.1814756353084119</v>
      </c>
      <c r="O56" s="172">
        <f t="shared" si="172"/>
        <v>320.80694340228865</v>
      </c>
      <c r="P56" s="172">
        <f t="shared" si="140"/>
        <v>4.3344582575242558</v>
      </c>
      <c r="Q56" s="217">
        <f t="shared" si="6"/>
        <v>21.387129560152577</v>
      </c>
      <c r="R56" s="217">
        <f t="shared" si="141"/>
        <v>40.100867925286082</v>
      </c>
      <c r="S56" s="443">
        <f t="shared" si="142"/>
        <v>15</v>
      </c>
      <c r="T56" s="217">
        <f t="shared" si="143"/>
        <v>11.923058645284645</v>
      </c>
      <c r="U56" s="217">
        <f t="shared" si="10"/>
        <v>1.9967843858838921</v>
      </c>
      <c r="V56" s="217">
        <f t="shared" si="11"/>
        <v>9.0062595350833625</v>
      </c>
      <c r="W56" s="197">
        <f t="shared" si="12"/>
        <v>108.36145643810639</v>
      </c>
      <c r="X56" s="443">
        <f t="shared" si="95"/>
        <v>89.261454927301713</v>
      </c>
      <c r="Z56" s="217">
        <f t="shared" si="13"/>
        <v>10</v>
      </c>
      <c r="AA56" s="173">
        <f t="shared" si="14"/>
        <v>7.553648608987741</v>
      </c>
      <c r="AB56" s="173">
        <f t="shared" si="144"/>
        <v>4.0926218234579403</v>
      </c>
      <c r="AC56" s="173"/>
      <c r="AD56" s="173">
        <f t="shared" si="16"/>
        <v>7.553648608987741</v>
      </c>
      <c r="AE56" s="545">
        <f t="shared" si="145"/>
        <v>135.03408124999996</v>
      </c>
      <c r="AF56" s="528">
        <f t="shared" si="146"/>
        <v>4.0926218234579403</v>
      </c>
      <c r="AH56" s="173">
        <f t="shared" si="147"/>
        <v>6.0757127741760231</v>
      </c>
      <c r="AI56" s="173">
        <f t="shared" si="148"/>
        <v>11.923058645284645</v>
      </c>
      <c r="AJ56" s="173">
        <f t="shared" si="149"/>
        <v>2.6244878853960332</v>
      </c>
      <c r="AL56" s="545">
        <f t="shared" si="150"/>
        <v>5100</v>
      </c>
      <c r="AM56" s="460">
        <f t="shared" si="151"/>
        <v>89.261454927301713</v>
      </c>
      <c r="AO56">
        <f t="shared" si="96"/>
        <v>5100</v>
      </c>
      <c r="AP56" s="460">
        <f t="shared" si="24"/>
        <v>89.261454927301713</v>
      </c>
      <c r="AQ56" s="460"/>
      <c r="AR56" s="5">
        <f t="shared" si="97"/>
        <v>11.203043920967254</v>
      </c>
      <c r="AS56" s="5">
        <f t="shared" si="25"/>
        <v>1.9967843858838921</v>
      </c>
      <c r="AT56" s="5">
        <f t="shared" si="98"/>
        <v>9.2062595350833618</v>
      </c>
      <c r="AU56" s="173">
        <f t="shared" si="99"/>
        <v>0.17823587946011488</v>
      </c>
      <c r="AW56" s="5">
        <f t="shared" si="152"/>
        <v>67.890669120052323</v>
      </c>
      <c r="AX56" s="5">
        <f t="shared" si="153"/>
        <v>3.1823751150024533</v>
      </c>
      <c r="AY56" s="5">
        <f t="shared" si="28"/>
        <v>2.7302624378080926</v>
      </c>
      <c r="AZ56" s="5"/>
      <c r="BA56" s="173">
        <f t="shared" si="100"/>
        <v>2.9061941179198008</v>
      </c>
      <c r="BB56" s="173">
        <f t="shared" si="154"/>
        <v>6.2402306235641101</v>
      </c>
      <c r="BC56" s="173">
        <f t="shared" si="155"/>
        <v>0.15368097378816714</v>
      </c>
      <c r="BD56" s="173"/>
      <c r="BE56" s="528">
        <f t="shared" si="31"/>
        <v>0.16891928502063297</v>
      </c>
      <c r="BF56" s="528">
        <f t="shared" si="156"/>
        <v>1.7468638450469696</v>
      </c>
      <c r="BG56" s="528">
        <f t="shared" si="157"/>
        <v>0.1598975186382795</v>
      </c>
      <c r="BH56" s="528">
        <f t="shared" si="34"/>
        <v>6.8403172871881759E-2</v>
      </c>
      <c r="BI56">
        <f t="shared" si="35"/>
        <v>3.2244100634849858E-2</v>
      </c>
      <c r="BJ56" s="460">
        <f t="shared" si="101"/>
        <v>192.14161927312938</v>
      </c>
      <c r="BK56">
        <f t="shared" si="158"/>
        <v>2.1146671454911155</v>
      </c>
      <c r="BL56" s="460">
        <f t="shared" si="102"/>
        <v>2114.6671454911157</v>
      </c>
      <c r="BM56" s="173">
        <f t="shared" si="159"/>
        <v>3.1683749999999993</v>
      </c>
      <c r="BN56" s="173">
        <f t="shared" si="160"/>
        <v>5.6578125E-2</v>
      </c>
      <c r="BO56" s="528"/>
      <c r="BQ56" s="460">
        <f t="shared" si="103"/>
        <v>3224.9531249999995</v>
      </c>
      <c r="BR56" s="528">
        <f t="shared" si="39"/>
        <v>0.25337892753094948</v>
      </c>
      <c r="BS56" s="528">
        <f t="shared" si="104"/>
        <v>1.1682143470580195</v>
      </c>
      <c r="BT56" s="528">
        <f t="shared" si="161"/>
        <v>1.1808920852239658E-4</v>
      </c>
      <c r="BU56" s="528">
        <f t="shared" si="41"/>
        <v>1.8475623693523644</v>
      </c>
      <c r="BV56" s="528">
        <f t="shared" si="162"/>
        <v>4.0738292021281008</v>
      </c>
      <c r="BW56" s="625">
        <f t="shared" si="163"/>
        <v>1.2689348400467851E-2</v>
      </c>
      <c r="BX56" s="460">
        <f t="shared" si="105"/>
        <v>4086.5185505285685</v>
      </c>
      <c r="BY56" s="173">
        <f t="shared" si="106"/>
        <v>9.4261388210196824</v>
      </c>
      <c r="BZ56" s="5">
        <f t="shared" si="107"/>
        <v>77.52</v>
      </c>
      <c r="CA56" s="173">
        <f t="shared" si="108"/>
        <v>0.89158645859566499</v>
      </c>
      <c r="CB56" s="5">
        <f t="shared" si="109"/>
        <v>89.158645859566505</v>
      </c>
      <c r="CC56">
        <f t="shared" si="173"/>
        <v>51</v>
      </c>
      <c r="CE56" s="562">
        <f t="shared" si="164"/>
        <v>-50</v>
      </c>
      <c r="CF56">
        <f t="shared" si="165"/>
        <v>-50</v>
      </c>
      <c r="CG56" s="173">
        <f t="shared" si="166"/>
        <v>0.82098061573546177</v>
      </c>
      <c r="CH56" s="173">
        <f t="shared" si="167"/>
        <v>9.6304191786782969E-2</v>
      </c>
      <c r="CI56" s="170">
        <v>51</v>
      </c>
      <c r="CJ56" s="217">
        <f t="shared" si="133"/>
        <v>5.0999999999999996</v>
      </c>
      <c r="CK56" s="217">
        <f t="shared" si="111"/>
        <v>0.1275</v>
      </c>
      <c r="CL56" s="217">
        <f t="shared" si="48"/>
        <v>76.5</v>
      </c>
      <c r="CM56" s="217">
        <f t="shared" si="134"/>
        <v>1.02</v>
      </c>
      <c r="CN56" s="541">
        <f t="shared" si="112"/>
        <v>72</v>
      </c>
      <c r="CO56" s="443">
        <f t="shared" si="168"/>
        <v>15.7</v>
      </c>
      <c r="CP56" s="443">
        <f t="shared" si="169"/>
        <v>87.7</v>
      </c>
      <c r="CQ56" s="443"/>
      <c r="CR56" s="217">
        <f t="shared" si="113"/>
        <v>0.17620137299771166</v>
      </c>
      <c r="CS56" s="172">
        <f t="shared" si="114"/>
        <v>312.98928098277725</v>
      </c>
      <c r="CT56" s="172">
        <f t="shared" si="51"/>
        <v>4.2288329519450798</v>
      </c>
      <c r="CU56" s="217">
        <f t="shared" si="52"/>
        <v>20.865952065518481</v>
      </c>
      <c r="CV56" s="217">
        <f t="shared" si="53"/>
        <v>39.123660122847156</v>
      </c>
      <c r="CW56" s="443">
        <f t="shared" si="54"/>
        <v>15</v>
      </c>
      <c r="CX56" s="217">
        <f t="shared" si="55"/>
        <v>12.2208658008658</v>
      </c>
      <c r="CY56" s="217">
        <f t="shared" si="56"/>
        <v>2.0368109668109668</v>
      </c>
      <c r="CZ56" s="217">
        <f t="shared" si="57"/>
        <v>9.3407891471585742</v>
      </c>
      <c r="DA56" s="197">
        <f t="shared" si="58"/>
        <v>107.41163055872293</v>
      </c>
      <c r="DB56" s="443">
        <f t="shared" si="115"/>
        <v>87.89199743205856</v>
      </c>
      <c r="DD56" s="217">
        <f t="shared" si="59"/>
        <v>10</v>
      </c>
      <c r="DE56" s="173">
        <f t="shared" si="60"/>
        <v>7.6433121019108281</v>
      </c>
      <c r="DF56" s="173">
        <f t="shared" si="61"/>
        <v>4.1049030786773102</v>
      </c>
      <c r="DG56" s="173"/>
      <c r="DH56" s="173">
        <f t="shared" si="62"/>
        <v>7.6433121019108281</v>
      </c>
      <c r="DI56" s="545">
        <f t="shared" si="63"/>
        <v>133.44999999999999</v>
      </c>
      <c r="DJ56" s="528">
        <f t="shared" si="64"/>
        <v>4.1049030786773093</v>
      </c>
      <c r="DL56" s="173">
        <f t="shared" si="65"/>
        <v>6.0757127741760231</v>
      </c>
      <c r="DM56" s="173">
        <f t="shared" si="66"/>
        <v>12.2208658008658</v>
      </c>
      <c r="DN56" s="173">
        <f t="shared" si="67"/>
        <v>2.8450857784191115</v>
      </c>
      <c r="DP56" s="545">
        <f t="shared" si="68"/>
        <v>5100</v>
      </c>
      <c r="DQ56" s="460">
        <f t="shared" si="69"/>
        <v>87.89199743205856</v>
      </c>
      <c r="DS56">
        <f t="shared" si="116"/>
        <v>5100</v>
      </c>
      <c r="DT56" s="460">
        <f t="shared" si="70"/>
        <v>87.89199743205856</v>
      </c>
      <c r="DU56" s="460"/>
      <c r="DV56" s="5">
        <f t="shared" si="117"/>
        <v>11.377600113969541</v>
      </c>
      <c r="DW56" s="5">
        <f t="shared" si="71"/>
        <v>2.0368109668109668</v>
      </c>
      <c r="DX56" s="5">
        <f t="shared" si="118"/>
        <v>9.3407891471585742</v>
      </c>
      <c r="DY56" s="173">
        <f t="shared" si="119"/>
        <v>0.1790193842645382</v>
      </c>
      <c r="EA56" s="5">
        <f t="shared" si="72"/>
        <v>69.251572871572861</v>
      </c>
      <c r="EB56" s="5">
        <f t="shared" si="73"/>
        <v>3.2461674783549785</v>
      </c>
      <c r="EC56" s="5">
        <f t="shared" si="74"/>
        <v>2.7568301302377738</v>
      </c>
      <c r="ED56" s="5"/>
      <c r="EE56" s="173">
        <f t="shared" si="120"/>
        <v>2.9853233457797974</v>
      </c>
      <c r="EF56" s="173">
        <f t="shared" si="75"/>
        <v>6.3930455571190183</v>
      </c>
      <c r="EG56" s="173">
        <f t="shared" si="76"/>
        <v>0.15744441607336251</v>
      </c>
      <c r="EH56" s="173"/>
      <c r="EI56" s="528">
        <f t="shared" si="77"/>
        <v>0.17824310957715767</v>
      </c>
      <c r="EJ56" s="528">
        <f t="shared" si="78"/>
        <v>1.8840000000000001</v>
      </c>
      <c r="EK56" s="528">
        <f t="shared" si="79"/>
        <v>1.0986499679007319E-2</v>
      </c>
      <c r="EL56" s="528">
        <f t="shared" si="80"/>
        <v>6.7600284092921778E-2</v>
      </c>
      <c r="EM56">
        <f t="shared" si="81"/>
        <v>3.2399999999999998E-2</v>
      </c>
      <c r="EN56" s="460">
        <f t="shared" si="121"/>
        <v>43.386499679007315</v>
      </c>
      <c r="EO56">
        <f t="shared" si="82"/>
        <v>2.3195915402114125</v>
      </c>
      <c r="EP56" s="460">
        <f t="shared" si="122"/>
        <v>2319.5915402114124</v>
      </c>
      <c r="EQ56" s="173">
        <f t="shared" si="83"/>
        <v>3.1683749999999993</v>
      </c>
      <c r="ER56" s="173">
        <f t="shared" si="170"/>
        <v>5.6578125E-2</v>
      </c>
      <c r="ES56" s="528"/>
      <c r="EU56" s="460">
        <f t="shared" si="123"/>
        <v>3224.9531249999995</v>
      </c>
      <c r="EV56" s="528">
        <f t="shared" si="85"/>
        <v>0.26736466436573647</v>
      </c>
      <c r="EW56" s="528">
        <f t="shared" si="124"/>
        <v>1.2261309448619766</v>
      </c>
      <c r="EX56" s="528">
        <f t="shared" si="86"/>
        <v>1.2394372076341047E-4</v>
      </c>
      <c r="EY56" s="528">
        <f t="shared" si="87"/>
        <v>1.8905940114174897</v>
      </c>
      <c r="EZ56" s="528">
        <f t="shared" si="88"/>
        <v>4.2505825087985896</v>
      </c>
      <c r="FA56" s="625">
        <f t="shared" si="89"/>
        <v>1.312663122510329E-2</v>
      </c>
      <c r="FB56" s="460">
        <f t="shared" si="125"/>
        <v>4263.7091400236923</v>
      </c>
      <c r="FC56" s="173">
        <f t="shared" si="126"/>
        <v>9.8082538052351058</v>
      </c>
      <c r="FD56" s="5">
        <f t="shared" si="127"/>
        <v>77.52</v>
      </c>
      <c r="FE56" s="173">
        <f t="shared" si="128"/>
        <v>0.88768521780923171</v>
      </c>
      <c r="FF56" s="5">
        <f t="shared" si="129"/>
        <v>88.768521780923166</v>
      </c>
      <c r="FG56">
        <f t="shared" si="130"/>
        <v>51</v>
      </c>
      <c r="FI56" s="562">
        <f t="shared" si="90"/>
        <v>-50</v>
      </c>
      <c r="FJ56">
        <f t="shared" si="91"/>
        <v>-50</v>
      </c>
      <c r="FL56">
        <f t="shared" si="92"/>
        <v>0.82098061573546177</v>
      </c>
    </row>
    <row r="57" spans="5:168">
      <c r="E57" s="170">
        <v>52</v>
      </c>
      <c r="F57" s="217">
        <f t="shared" si="174"/>
        <v>5.2</v>
      </c>
      <c r="G57" s="217">
        <f t="shared" si="171"/>
        <v>0.13</v>
      </c>
      <c r="H57" s="217">
        <f t="shared" si="135"/>
        <v>78</v>
      </c>
      <c r="I57" s="217">
        <f t="shared" si="175"/>
        <v>1.04</v>
      </c>
      <c r="J57" s="541">
        <f t="shared" si="136"/>
        <v>71.646763965672889</v>
      </c>
      <c r="K57" s="443">
        <f t="shared" si="137"/>
        <v>15.890016666666666</v>
      </c>
      <c r="L57" s="172">
        <f t="shared" si="138"/>
        <v>87.536780632339557</v>
      </c>
      <c r="M57" s="443"/>
      <c r="N57" s="217">
        <f t="shared" si="139"/>
        <v>0.18152388689510776</v>
      </c>
      <c r="O57" s="172">
        <f t="shared" si="172"/>
        <v>320.86181937101861</v>
      </c>
      <c r="P57" s="172">
        <f t="shared" si="140"/>
        <v>4.3351996928350962</v>
      </c>
      <c r="Q57" s="217">
        <f t="shared" si="6"/>
        <v>21.390787958067907</v>
      </c>
      <c r="R57" s="217">
        <f t="shared" si="141"/>
        <v>40.107727421377326</v>
      </c>
      <c r="S57" s="443">
        <f t="shared" si="142"/>
        <v>15</v>
      </c>
      <c r="T57" s="217">
        <f t="shared" si="143"/>
        <v>12.154764962827679</v>
      </c>
      <c r="U57" s="217">
        <f t="shared" si="10"/>
        <v>2.0357818201505187</v>
      </c>
      <c r="V57" s="217">
        <f t="shared" si="11"/>
        <v>9.1791709608401195</v>
      </c>
      <c r="W57" s="197">
        <f t="shared" si="12"/>
        <v>108.37999232087742</v>
      </c>
      <c r="X57" s="443">
        <f t="shared" si="95"/>
        <v>87.604392167552703</v>
      </c>
      <c r="Z57" s="217">
        <f t="shared" si="13"/>
        <v>9.9999999999999982</v>
      </c>
      <c r="AA57" s="173">
        <f t="shared" si="14"/>
        <v>7.5519115251609747</v>
      </c>
      <c r="AB57" s="173">
        <f t="shared" si="144"/>
        <v>4.0923805655244596</v>
      </c>
      <c r="AC57" s="173"/>
      <c r="AD57" s="173">
        <f t="shared" si="16"/>
        <v>7.5519115251609765</v>
      </c>
      <c r="AE57" s="545">
        <f t="shared" si="145"/>
        <v>137.7134777777778</v>
      </c>
      <c r="AF57" s="528">
        <f t="shared" si="146"/>
        <v>4.0923805655244614</v>
      </c>
      <c r="AH57" s="173">
        <f t="shared" si="147"/>
        <v>6.1349894244485244</v>
      </c>
      <c r="AI57" s="173">
        <f t="shared" si="148"/>
        <v>12.154764962827679</v>
      </c>
      <c r="AJ57" s="173">
        <f t="shared" si="149"/>
        <v>2.7961221946871699</v>
      </c>
      <c r="AL57" s="545">
        <f t="shared" si="150"/>
        <v>5200</v>
      </c>
      <c r="AM57" s="460">
        <f t="shared" si="151"/>
        <v>87.604392167552703</v>
      </c>
      <c r="AO57">
        <f t="shared" si="96"/>
        <v>5200</v>
      </c>
      <c r="AP57" s="460">
        <f t="shared" si="24"/>
        <v>87.604392167552703</v>
      </c>
      <c r="AQ57" s="460"/>
      <c r="AR57" s="5">
        <f t="shared" si="97"/>
        <v>11.414952780990635</v>
      </c>
      <c r="AS57" s="5">
        <f t="shared" si="25"/>
        <v>2.0357818201505187</v>
      </c>
      <c r="AT57" s="5">
        <f t="shared" si="98"/>
        <v>9.379170960840117</v>
      </c>
      <c r="AU57" s="173">
        <f t="shared" si="99"/>
        <v>0.17834342894004029</v>
      </c>
      <c r="AW57" s="5">
        <f t="shared" si="152"/>
        <v>70.573769765217975</v>
      </c>
      <c r="AX57" s="5">
        <f t="shared" si="153"/>
        <v>3.308145457744593</v>
      </c>
      <c r="AY57" s="5">
        <f t="shared" si="28"/>
        <v>2.8363510027552157</v>
      </c>
      <c r="AZ57" s="5"/>
      <c r="BA57" s="173">
        <f t="shared" si="100"/>
        <v>2.9635652528295195</v>
      </c>
      <c r="BB57" s="173">
        <f t="shared" si="154"/>
        <v>6.361083615188214</v>
      </c>
      <c r="BC57" s="173">
        <f t="shared" si="155"/>
        <v>0.15665727491522347</v>
      </c>
      <c r="BD57" s="173"/>
      <c r="BE57" s="528">
        <f t="shared" si="31"/>
        <v>0.17565438015556989</v>
      </c>
      <c r="BF57" s="528">
        <f t="shared" si="156"/>
        <v>1.747689545791242</v>
      </c>
      <c r="BG57" s="528">
        <f t="shared" si="157"/>
        <v>0.15691428019962228</v>
      </c>
      <c r="BH57" s="528">
        <f t="shared" si="34"/>
        <v>6.7128512140979174E-2</v>
      </c>
      <c r="BI57">
        <f t="shared" si="35"/>
        <v>3.2241043784552802E-2</v>
      </c>
      <c r="BJ57" s="460">
        <f t="shared" si="101"/>
        <v>189.15532398417508</v>
      </c>
      <c r="BK57">
        <f t="shared" si="158"/>
        <v>2.1266561369417527</v>
      </c>
      <c r="BL57" s="460">
        <f t="shared" si="102"/>
        <v>2126.6561369417527</v>
      </c>
      <c r="BM57" s="173">
        <f t="shared" si="159"/>
        <v>3.2304999999999997</v>
      </c>
      <c r="BN57" s="173">
        <f t="shared" si="160"/>
        <v>5.7687499999999996E-2</v>
      </c>
      <c r="BO57" s="528"/>
      <c r="BQ57" s="460">
        <f t="shared" si="103"/>
        <v>3288.1875</v>
      </c>
      <c r="BR57" s="528">
        <f t="shared" si="39"/>
        <v>0.26348157023335483</v>
      </c>
      <c r="BS57" s="528">
        <f t="shared" si="104"/>
        <v>1.2139015427824786</v>
      </c>
      <c r="BT57" s="528">
        <f t="shared" si="161"/>
        <v>1.2270750891931953E-4</v>
      </c>
      <c r="BU57" s="528">
        <f t="shared" si="41"/>
        <v>1.8499122115188729</v>
      </c>
      <c r="BV57" s="528">
        <f t="shared" si="162"/>
        <v>4.1755742495942716</v>
      </c>
      <c r="BW57" s="625">
        <f t="shared" si="163"/>
        <v>1.2942524961435891E-2</v>
      </c>
      <c r="BX57" s="460">
        <f t="shared" si="105"/>
        <v>4188.5167745557073</v>
      </c>
      <c r="BY57" s="173">
        <f t="shared" si="106"/>
        <v>9.6033604114974604</v>
      </c>
      <c r="BZ57" s="5">
        <f t="shared" si="107"/>
        <v>79.040000000000006</v>
      </c>
      <c r="CA57" s="173">
        <f t="shared" si="108"/>
        <v>0.89166294726511897</v>
      </c>
      <c r="CB57" s="5">
        <f t="shared" si="109"/>
        <v>89.166294726511893</v>
      </c>
      <c r="CC57">
        <f t="shared" si="173"/>
        <v>52</v>
      </c>
      <c r="CE57" s="562">
        <f t="shared" si="164"/>
        <v>-50</v>
      </c>
      <c r="CF57">
        <f t="shared" si="165"/>
        <v>-50</v>
      </c>
      <c r="CG57" s="173">
        <f t="shared" si="166"/>
        <v>0.82098061573546177</v>
      </c>
      <c r="CH57" s="173">
        <f t="shared" si="167"/>
        <v>9.6304191786782969E-2</v>
      </c>
      <c r="CI57" s="170">
        <v>52</v>
      </c>
      <c r="CJ57" s="217">
        <f t="shared" si="133"/>
        <v>5.2</v>
      </c>
      <c r="CK57" s="217">
        <f t="shared" si="111"/>
        <v>0.13</v>
      </c>
      <c r="CL57" s="217">
        <f t="shared" si="48"/>
        <v>78</v>
      </c>
      <c r="CM57" s="217">
        <f t="shared" si="134"/>
        <v>1.04</v>
      </c>
      <c r="CN57" s="541">
        <f t="shared" si="112"/>
        <v>72</v>
      </c>
      <c r="CO57" s="443">
        <f t="shared" si="168"/>
        <v>15.7</v>
      </c>
      <c r="CP57" s="443">
        <f t="shared" si="169"/>
        <v>87.7</v>
      </c>
      <c r="CQ57" s="443"/>
      <c r="CR57" s="217">
        <f t="shared" si="113"/>
        <v>0.17620137299771166</v>
      </c>
      <c r="CS57" s="172">
        <f t="shared" si="114"/>
        <v>312.98928098277725</v>
      </c>
      <c r="CT57" s="172">
        <f t="shared" si="51"/>
        <v>4.2288329519450798</v>
      </c>
      <c r="CU57" s="217">
        <f t="shared" si="52"/>
        <v>20.865952065518481</v>
      </c>
      <c r="CV57" s="217">
        <f t="shared" si="53"/>
        <v>39.123660122847156</v>
      </c>
      <c r="CW57" s="443">
        <f t="shared" si="54"/>
        <v>15</v>
      </c>
      <c r="CX57" s="217">
        <f t="shared" si="55"/>
        <v>12.460490620490623</v>
      </c>
      <c r="CY57" s="217">
        <f t="shared" si="56"/>
        <v>2.0767484367484368</v>
      </c>
      <c r="CZ57" s="217">
        <f t="shared" si="57"/>
        <v>9.5239418755342324</v>
      </c>
      <c r="DA57" s="197">
        <f t="shared" si="58"/>
        <v>107.41163055872293</v>
      </c>
      <c r="DB57" s="443">
        <f t="shared" si="115"/>
        <v>86.201766712211281</v>
      </c>
      <c r="DD57" s="217">
        <f t="shared" si="59"/>
        <v>10</v>
      </c>
      <c r="DE57" s="173">
        <f t="shared" si="60"/>
        <v>7.6433121019108281</v>
      </c>
      <c r="DF57" s="173">
        <f t="shared" si="61"/>
        <v>4.1049030786773102</v>
      </c>
      <c r="DG57" s="173"/>
      <c r="DH57" s="173">
        <f t="shared" si="62"/>
        <v>7.6433121019108281</v>
      </c>
      <c r="DI57" s="545">
        <f t="shared" si="63"/>
        <v>136.06666666666669</v>
      </c>
      <c r="DJ57" s="528">
        <f t="shared" si="64"/>
        <v>4.1049030786773093</v>
      </c>
      <c r="DL57" s="173">
        <f t="shared" si="65"/>
        <v>6.1349894244485244</v>
      </c>
      <c r="DM57" s="173">
        <f t="shared" si="66"/>
        <v>12.460490620490623</v>
      </c>
      <c r="DN57" s="173">
        <f t="shared" si="67"/>
        <v>3.0225856448078687</v>
      </c>
      <c r="DP57" s="545">
        <f t="shared" si="68"/>
        <v>5200</v>
      </c>
      <c r="DQ57" s="460">
        <f t="shared" si="69"/>
        <v>86.201766712211281</v>
      </c>
      <c r="DS57">
        <f t="shared" si="116"/>
        <v>5200</v>
      </c>
      <c r="DT57" s="460">
        <f t="shared" si="70"/>
        <v>86.201766712211281</v>
      </c>
      <c r="DU57" s="460"/>
      <c r="DV57" s="5">
        <f t="shared" si="117"/>
        <v>11.600690312282669</v>
      </c>
      <c r="DW57" s="5">
        <f t="shared" si="71"/>
        <v>2.0767484367484368</v>
      </c>
      <c r="DX57" s="5">
        <f t="shared" si="118"/>
        <v>9.5239418755342324</v>
      </c>
      <c r="DY57" s="173">
        <f t="shared" si="119"/>
        <v>0.1790193842645382</v>
      </c>
      <c r="EA57" s="5">
        <f t="shared" si="72"/>
        <v>71.993945807279133</v>
      </c>
      <c r="EB57" s="5">
        <f t="shared" si="73"/>
        <v>3.3747162097162104</v>
      </c>
      <c r="EC57" s="5">
        <f t="shared" si="74"/>
        <v>2.8660010273598382</v>
      </c>
      <c r="ED57" s="5"/>
      <c r="EE57" s="173">
        <f t="shared" si="120"/>
        <v>3.0438590976578332</v>
      </c>
      <c r="EF57" s="173">
        <f t="shared" si="75"/>
        <v>6.5183993915723333</v>
      </c>
      <c r="EG57" s="173">
        <f t="shared" si="76"/>
        <v>0.16053156148656572</v>
      </c>
      <c r="EH57" s="173"/>
      <c r="EI57" s="528">
        <f t="shared" si="77"/>
        <v>0.18530156412788718</v>
      </c>
      <c r="EJ57" s="528">
        <f t="shared" si="78"/>
        <v>1.8840000000000003</v>
      </c>
      <c r="EK57" s="528">
        <f t="shared" si="79"/>
        <v>1.0775220839026409E-2</v>
      </c>
      <c r="EL57" s="528">
        <f t="shared" si="80"/>
        <v>6.6300278629596365E-2</v>
      </c>
      <c r="EM57">
        <f t="shared" si="81"/>
        <v>3.2399999999999998E-2</v>
      </c>
      <c r="EN57" s="460">
        <f t="shared" si="121"/>
        <v>43.175220839026402</v>
      </c>
      <c r="EO57">
        <f t="shared" si="82"/>
        <v>2.3314570653922533</v>
      </c>
      <c r="EP57" s="460">
        <f t="shared" si="122"/>
        <v>2331.4570653922533</v>
      </c>
      <c r="EQ57" s="173">
        <f t="shared" si="83"/>
        <v>3.2304999999999997</v>
      </c>
      <c r="ER57" s="173">
        <f t="shared" si="170"/>
        <v>5.7687499999999996E-2</v>
      </c>
      <c r="ES57" s="528"/>
      <c r="EU57" s="460">
        <f t="shared" si="123"/>
        <v>3288.1875</v>
      </c>
      <c r="EV57" s="528">
        <f t="shared" si="85"/>
        <v>0.27795234619183073</v>
      </c>
      <c r="EW57" s="528">
        <f t="shared" si="124"/>
        <v>1.2746859188415169</v>
      </c>
      <c r="EX57" s="528">
        <f t="shared" si="86"/>
        <v>1.2885191116657516E-4</v>
      </c>
      <c r="EY57" s="528">
        <f t="shared" si="87"/>
        <v>1.8905940114174897</v>
      </c>
      <c r="EZ57" s="528">
        <f t="shared" si="88"/>
        <v>4.3572943012102021</v>
      </c>
      <c r="FA57" s="625">
        <f t="shared" si="89"/>
        <v>1.3384016151085712E-2</v>
      </c>
      <c r="FB57" s="460">
        <f t="shared" si="125"/>
        <v>4370.6783173612885</v>
      </c>
      <c r="FC57" s="173">
        <f t="shared" si="126"/>
        <v>9.9903228827535422</v>
      </c>
      <c r="FD57" s="5">
        <f t="shared" si="127"/>
        <v>79.040000000000006</v>
      </c>
      <c r="FE57" s="173">
        <f t="shared" si="128"/>
        <v>0.88778741265590966</v>
      </c>
      <c r="FF57" s="5">
        <f t="shared" si="129"/>
        <v>88.778741265590966</v>
      </c>
      <c r="FG57">
        <f t="shared" si="130"/>
        <v>52</v>
      </c>
      <c r="FI57" s="562">
        <f t="shared" si="90"/>
        <v>-50</v>
      </c>
      <c r="FJ57">
        <f t="shared" si="91"/>
        <v>-50</v>
      </c>
      <c r="FL57">
        <f t="shared" si="92"/>
        <v>0.82098061573546177</v>
      </c>
    </row>
    <row r="58" spans="5:168">
      <c r="E58" s="170">
        <v>53</v>
      </c>
      <c r="F58" s="217">
        <f t="shared" si="174"/>
        <v>5.3000000000000007</v>
      </c>
      <c r="G58" s="217">
        <f t="shared" si="171"/>
        <v>0.13250000000000001</v>
      </c>
      <c r="H58" s="217">
        <f t="shared" si="135"/>
        <v>79.500000000000014</v>
      </c>
      <c r="I58" s="217">
        <f t="shared" si="175"/>
        <v>1.06</v>
      </c>
      <c r="J58" s="541">
        <f t="shared" si="136"/>
        <v>71.639970965012751</v>
      </c>
      <c r="K58" s="443">
        <f t="shared" si="137"/>
        <v>15.893670833333333</v>
      </c>
      <c r="L58" s="172">
        <f t="shared" si="138"/>
        <v>87.533641798346082</v>
      </c>
      <c r="M58" s="443"/>
      <c r="N58" s="217">
        <f t="shared" si="139"/>
        <v>0.1815721419422725</v>
      </c>
      <c r="O58" s="172">
        <f t="shared" si="172"/>
        <v>320.91668528288426</v>
      </c>
      <c r="P58" s="172">
        <f t="shared" si="140"/>
        <v>4.3359409922665257</v>
      </c>
      <c r="Q58" s="217">
        <f t="shared" si="6"/>
        <v>21.394445685525618</v>
      </c>
      <c r="R58" s="217">
        <f t="shared" si="141"/>
        <v>40.114585660360532</v>
      </c>
      <c r="S58" s="443">
        <f t="shared" si="142"/>
        <v>15</v>
      </c>
      <c r="T58" s="217">
        <f t="shared" si="143"/>
        <v>12.386392426109241</v>
      </c>
      <c r="U58" s="217">
        <f t="shared" si="10"/>
        <v>2.0747734415735808</v>
      </c>
      <c r="V58" s="217">
        <f t="shared" si="11"/>
        <v>9.3519433409668622</v>
      </c>
      <c r="W58" s="197">
        <f t="shared" si="12"/>
        <v>108.39852480666315</v>
      </c>
      <c r="X58" s="443">
        <f t="shared" si="95"/>
        <v>86.008803577436041</v>
      </c>
      <c r="Z58" s="217">
        <f t="shared" si="13"/>
        <v>9.9999999999999982</v>
      </c>
      <c r="AA58" s="173">
        <f t="shared" si="14"/>
        <v>7.5501752400916393</v>
      </c>
      <c r="AB58" s="173">
        <f t="shared" si="144"/>
        <v>4.0921392902886362</v>
      </c>
      <c r="AC58" s="173"/>
      <c r="AD58" s="173">
        <f t="shared" si="16"/>
        <v>7.5501752400916402</v>
      </c>
      <c r="AE58" s="545">
        <f t="shared" si="145"/>
        <v>140.39409236111115</v>
      </c>
      <c r="AF58" s="528">
        <f t="shared" si="146"/>
        <v>4.092139290288638</v>
      </c>
      <c r="AH58" s="173">
        <f t="shared" si="147"/>
        <v>6.1936987948966946</v>
      </c>
      <c r="AI58" s="173">
        <f t="shared" si="148"/>
        <v>12.386392426109241</v>
      </c>
      <c r="AJ58" s="173">
        <f t="shared" si="149"/>
        <v>2.9676980934142527</v>
      </c>
      <c r="AL58" s="545">
        <f t="shared" si="150"/>
        <v>5300.0000000000009</v>
      </c>
      <c r="AM58" s="460">
        <f t="shared" si="151"/>
        <v>86.008803577436041</v>
      </c>
      <c r="AO58">
        <f t="shared" si="96"/>
        <v>5300.0000000000009</v>
      </c>
      <c r="AP58" s="460">
        <f t="shared" si="24"/>
        <v>86.008803577436041</v>
      </c>
      <c r="AQ58" s="460"/>
      <c r="AR58" s="5">
        <f t="shared" si="97"/>
        <v>11.626716782540441</v>
      </c>
      <c r="AS58" s="5">
        <f t="shared" si="25"/>
        <v>2.0747734415735808</v>
      </c>
      <c r="AT58" s="5">
        <f t="shared" si="98"/>
        <v>9.5519433409668615</v>
      </c>
      <c r="AU58" s="173">
        <f t="shared" si="99"/>
        <v>0.1784487814039831</v>
      </c>
      <c r="AW58" s="5">
        <f t="shared" si="152"/>
        <v>73.308661602266525</v>
      </c>
      <c r="AX58" s="5">
        <f t="shared" si="153"/>
        <v>3.4363435126062436</v>
      </c>
      <c r="AY58" s="5">
        <f t="shared" si="28"/>
        <v>2.9444281724053507</v>
      </c>
      <c r="AZ58" s="5"/>
      <c r="BA58" s="173">
        <f t="shared" si="100"/>
        <v>3.0209323587188806</v>
      </c>
      <c r="BB58" s="173">
        <f t="shared" si="154"/>
        <v>6.4818881093323402</v>
      </c>
      <c r="BC58" s="173">
        <f t="shared" si="155"/>
        <v>0.159632381672969</v>
      </c>
      <c r="BD58" s="173"/>
      <c r="BE58" s="528">
        <f t="shared" si="31"/>
        <v>0.1825206463190964</v>
      </c>
      <c r="BF58" s="528">
        <f t="shared" si="156"/>
        <v>1.7484934559765657</v>
      </c>
      <c r="BG58" s="528">
        <f t="shared" si="157"/>
        <v>0.15404170477557505</v>
      </c>
      <c r="BH58" s="528">
        <f t="shared" si="34"/>
        <v>6.5901136062651897E-2</v>
      </c>
      <c r="BI58">
        <f t="shared" si="35"/>
        <v>3.2237986934255738E-2</v>
      </c>
      <c r="BJ58" s="460">
        <f t="shared" si="101"/>
        <v>186.27969170983079</v>
      </c>
      <c r="BK58">
        <f t="shared" si="158"/>
        <v>2.138955702838059</v>
      </c>
      <c r="BL58" s="460">
        <f t="shared" si="102"/>
        <v>2138.9557028380591</v>
      </c>
      <c r="BM58" s="173">
        <f t="shared" si="159"/>
        <v>3.2926250000000001</v>
      </c>
      <c r="BN58" s="173">
        <f t="shared" si="160"/>
        <v>5.8796874999999998E-2</v>
      </c>
      <c r="BO58" s="528"/>
      <c r="BQ58" s="460">
        <f t="shared" si="103"/>
        <v>3351.421875</v>
      </c>
      <c r="BR58" s="528">
        <f t="shared" si="39"/>
        <v>0.27378096947864461</v>
      </c>
      <c r="BS58" s="528">
        <f t="shared" si="104"/>
        <v>1.2604462038571194</v>
      </c>
      <c r="BT58" s="528">
        <f t="shared" si="161"/>
        <v>1.2741248639292226E-4</v>
      </c>
      <c r="BU58" s="528">
        <f t="shared" si="41"/>
        <v>1.8522063064597087</v>
      </c>
      <c r="BV58" s="528">
        <f t="shared" si="162"/>
        <v>4.2801926506127845</v>
      </c>
      <c r="BW58" s="625">
        <f t="shared" si="163"/>
        <v>1.3195704359460063E-2</v>
      </c>
      <c r="BX58" s="460">
        <f t="shared" si="105"/>
        <v>4293.388354972245</v>
      </c>
      <c r="BY58" s="173">
        <f t="shared" si="106"/>
        <v>9.7837659328103026</v>
      </c>
      <c r="BZ58" s="5">
        <f t="shared" si="107"/>
        <v>80.560000000000016</v>
      </c>
      <c r="CA58" s="173">
        <f t="shared" si="108"/>
        <v>0.89170513502739535</v>
      </c>
      <c r="CB58" s="5">
        <f t="shared" si="109"/>
        <v>89.170513502739539</v>
      </c>
      <c r="CC58">
        <f t="shared" si="173"/>
        <v>53</v>
      </c>
      <c r="CE58" s="562">
        <f t="shared" si="164"/>
        <v>-50</v>
      </c>
      <c r="CF58">
        <f t="shared" si="165"/>
        <v>-50</v>
      </c>
      <c r="CG58" s="173">
        <f t="shared" si="166"/>
        <v>0.82098061573546188</v>
      </c>
      <c r="CH58" s="173">
        <f t="shared" si="167"/>
        <v>9.6304191786782956E-2</v>
      </c>
      <c r="CI58" s="170">
        <v>53</v>
      </c>
      <c r="CJ58" s="217">
        <f t="shared" si="133"/>
        <v>5.3000000000000007</v>
      </c>
      <c r="CK58" s="217">
        <f t="shared" si="111"/>
        <v>0.13250000000000001</v>
      </c>
      <c r="CL58" s="217">
        <f t="shared" si="48"/>
        <v>79.500000000000014</v>
      </c>
      <c r="CM58" s="217">
        <f t="shared" si="134"/>
        <v>1.06</v>
      </c>
      <c r="CN58" s="541">
        <f t="shared" si="112"/>
        <v>72</v>
      </c>
      <c r="CO58" s="443">
        <f t="shared" si="168"/>
        <v>15.7</v>
      </c>
      <c r="CP58" s="443">
        <f t="shared" si="169"/>
        <v>87.7</v>
      </c>
      <c r="CQ58" s="443"/>
      <c r="CR58" s="217">
        <f t="shared" si="113"/>
        <v>0.17620137299771166</v>
      </c>
      <c r="CS58" s="172">
        <f t="shared" si="114"/>
        <v>312.98928098277725</v>
      </c>
      <c r="CT58" s="172">
        <f t="shared" si="51"/>
        <v>4.2288329519450798</v>
      </c>
      <c r="CU58" s="217">
        <f t="shared" si="52"/>
        <v>20.865952065518481</v>
      </c>
      <c r="CV58" s="217">
        <f t="shared" si="53"/>
        <v>39.123660122847156</v>
      </c>
      <c r="CW58" s="443">
        <f t="shared" si="54"/>
        <v>15</v>
      </c>
      <c r="CX58" s="217">
        <f t="shared" si="55"/>
        <v>12.700115440115443</v>
      </c>
      <c r="CY58" s="217">
        <f t="shared" si="56"/>
        <v>2.1166859066859067</v>
      </c>
      <c r="CZ58" s="217">
        <f t="shared" si="57"/>
        <v>9.7070946039098924</v>
      </c>
      <c r="DA58" s="197">
        <f t="shared" si="58"/>
        <v>107.41163055872293</v>
      </c>
      <c r="DB58" s="443">
        <f t="shared" si="115"/>
        <v>84.575318283678968</v>
      </c>
      <c r="DD58" s="217">
        <f t="shared" si="59"/>
        <v>10</v>
      </c>
      <c r="DE58" s="173">
        <f t="shared" si="60"/>
        <v>7.6433121019108281</v>
      </c>
      <c r="DF58" s="173">
        <f t="shared" si="61"/>
        <v>4.1049030786773102</v>
      </c>
      <c r="DG58" s="173"/>
      <c r="DH58" s="173">
        <f t="shared" si="62"/>
        <v>7.6433121019108281</v>
      </c>
      <c r="DI58" s="545">
        <f t="shared" si="63"/>
        <v>138.68333333333337</v>
      </c>
      <c r="DJ58" s="528">
        <f t="shared" si="64"/>
        <v>4.1049030786773093</v>
      </c>
      <c r="DL58" s="173">
        <f t="shared" si="65"/>
        <v>6.1936987948966946</v>
      </c>
      <c r="DM58" s="173">
        <f t="shared" si="66"/>
        <v>12.700115440115443</v>
      </c>
      <c r="DN58" s="173">
        <f t="shared" si="67"/>
        <v>3.2000855111966242</v>
      </c>
      <c r="DP58" s="545">
        <f t="shared" si="68"/>
        <v>5300.0000000000009</v>
      </c>
      <c r="DQ58" s="460">
        <f t="shared" si="69"/>
        <v>84.575318283678968</v>
      </c>
      <c r="DS58">
        <f t="shared" si="116"/>
        <v>5300.0000000000009</v>
      </c>
      <c r="DT58" s="460">
        <f t="shared" si="70"/>
        <v>84.575318283678968</v>
      </c>
      <c r="DU58" s="460"/>
      <c r="DV58" s="5">
        <f t="shared" si="117"/>
        <v>11.823780510595801</v>
      </c>
      <c r="DW58" s="5">
        <f t="shared" si="71"/>
        <v>2.1166859066859067</v>
      </c>
      <c r="DX58" s="5">
        <f t="shared" si="118"/>
        <v>9.7070946039098942</v>
      </c>
      <c r="DY58" s="173">
        <f t="shared" si="119"/>
        <v>0.17901938426453815</v>
      </c>
      <c r="EA58" s="5">
        <f t="shared" si="72"/>
        <v>74.789568702902045</v>
      </c>
      <c r="EB58" s="5">
        <f t="shared" si="73"/>
        <v>3.5057610329485334</v>
      </c>
      <c r="EC58" s="5">
        <f t="shared" si="74"/>
        <v>2.9772917477269938</v>
      </c>
      <c r="ED58" s="5"/>
      <c r="EE58" s="173">
        <f t="shared" si="120"/>
        <v>3.1023948495358686</v>
      </c>
      <c r="EF58" s="173">
        <f t="shared" si="75"/>
        <v>6.6437532260256482</v>
      </c>
      <c r="EG58" s="173">
        <f t="shared" si="76"/>
        <v>0.1636187068997689</v>
      </c>
      <c r="EH58" s="173"/>
      <c r="EI58" s="528">
        <f t="shared" si="77"/>
        <v>0.19249707604853369</v>
      </c>
      <c r="EJ58" s="528">
        <f t="shared" si="78"/>
        <v>1.8840000000000001</v>
      </c>
      <c r="EK58" s="528">
        <f t="shared" si="79"/>
        <v>1.0571914785459871E-2</v>
      </c>
      <c r="EL58" s="528">
        <f t="shared" si="80"/>
        <v>6.5049329976207729E-2</v>
      </c>
      <c r="EM58">
        <f t="shared" si="81"/>
        <v>3.2399999999999998E-2</v>
      </c>
      <c r="EN58" s="460">
        <f t="shared" si="121"/>
        <v>42.971914785459873</v>
      </c>
      <c r="EO58">
        <f t="shared" si="82"/>
        <v>2.343686433193394</v>
      </c>
      <c r="EP58" s="460">
        <f t="shared" si="122"/>
        <v>2343.6864331933939</v>
      </c>
      <c r="EQ58" s="173">
        <f t="shared" si="83"/>
        <v>3.2926250000000001</v>
      </c>
      <c r="ER58" s="173">
        <f t="shared" si="170"/>
        <v>5.8796874999999998E-2</v>
      </c>
      <c r="ES58" s="528"/>
      <c r="EU58" s="460">
        <f t="shared" si="123"/>
        <v>3351.421875</v>
      </c>
      <c r="EV58" s="528">
        <f t="shared" si="85"/>
        <v>0.28874561407280053</v>
      </c>
      <c r="EW58" s="528">
        <f t="shared" si="124"/>
        <v>1.3241837078497862</v>
      </c>
      <c r="EX58" s="528">
        <f t="shared" si="86"/>
        <v>1.3385540623776242E-4</v>
      </c>
      <c r="EY58" s="528">
        <f t="shared" si="87"/>
        <v>1.8905940114174884</v>
      </c>
      <c r="EZ58" s="528">
        <f t="shared" si="88"/>
        <v>4.4672716654364226</v>
      </c>
      <c r="FA58" s="625">
        <f t="shared" si="89"/>
        <v>1.3641401077068127E-2</v>
      </c>
      <c r="FB58" s="460">
        <f t="shared" si="125"/>
        <v>4480.9130665134908</v>
      </c>
      <c r="FC58" s="173">
        <f t="shared" si="126"/>
        <v>10.176021374706885</v>
      </c>
      <c r="FD58" s="5">
        <f t="shared" si="127"/>
        <v>80.560000000000016</v>
      </c>
      <c r="FE58" s="173">
        <f t="shared" si="128"/>
        <v>0.88785025813856666</v>
      </c>
      <c r="FF58" s="5">
        <f t="shared" si="129"/>
        <v>88.785025813856663</v>
      </c>
      <c r="FG58">
        <f t="shared" si="130"/>
        <v>53</v>
      </c>
      <c r="FI58" s="562">
        <f t="shared" si="90"/>
        <v>-50</v>
      </c>
      <c r="FJ58">
        <f t="shared" si="91"/>
        <v>-50</v>
      </c>
      <c r="FL58">
        <f t="shared" si="92"/>
        <v>0.82098061573546188</v>
      </c>
    </row>
    <row r="59" spans="5:168">
      <c r="E59" s="170">
        <v>54</v>
      </c>
      <c r="F59" s="217">
        <f t="shared" si="174"/>
        <v>5.4</v>
      </c>
      <c r="G59" s="217">
        <f t="shared" si="171"/>
        <v>0.13500000000000001</v>
      </c>
      <c r="H59" s="217">
        <f t="shared" si="135"/>
        <v>81</v>
      </c>
      <c r="I59" s="217">
        <f t="shared" si="175"/>
        <v>1.08</v>
      </c>
      <c r="J59" s="541">
        <f t="shared" si="136"/>
        <v>71.633177964352612</v>
      </c>
      <c r="K59" s="443">
        <f t="shared" si="137"/>
        <v>15.897324999999999</v>
      </c>
      <c r="L59" s="172">
        <f t="shared" si="138"/>
        <v>87.530502964352607</v>
      </c>
      <c r="M59" s="443"/>
      <c r="N59" s="217">
        <f t="shared" si="139"/>
        <v>0.18162040045027839</v>
      </c>
      <c r="O59" s="172">
        <f t="shared" si="172"/>
        <v>320.97154113680381</v>
      </c>
      <c r="P59" s="172">
        <f t="shared" si="140"/>
        <v>4.3366821558039268</v>
      </c>
      <c r="Q59" s="217">
        <f t="shared" si="6"/>
        <v>21.398102742453588</v>
      </c>
      <c r="R59" s="217">
        <f t="shared" si="141"/>
        <v>40.121442642100476</v>
      </c>
      <c r="S59" s="443">
        <f t="shared" si="142"/>
        <v>15</v>
      </c>
      <c r="T59" s="217">
        <f t="shared" si="143"/>
        <v>12.617941097381646</v>
      </c>
      <c r="U59" s="217">
        <f t="shared" si="10"/>
        <v>2.113759258927892</v>
      </c>
      <c r="V59" s="217">
        <f t="shared" si="11"/>
        <v>9.5245768183376622</v>
      </c>
      <c r="W59" s="197">
        <f t="shared" si="12"/>
        <v>108.41705389509816</v>
      </c>
      <c r="X59" s="443">
        <f t="shared" si="95"/>
        <v>84.471330554672193</v>
      </c>
      <c r="Z59" s="217">
        <f t="shared" si="13"/>
        <v>10</v>
      </c>
      <c r="AA59" s="173">
        <f t="shared" si="14"/>
        <v>7.5484397532289247</v>
      </c>
      <c r="AB59" s="173">
        <f t="shared" si="144"/>
        <v>4.0918979977486094</v>
      </c>
      <c r="AC59" s="173"/>
      <c r="AD59" s="173">
        <f t="shared" si="16"/>
        <v>7.5484397532289247</v>
      </c>
      <c r="AE59" s="545">
        <f t="shared" si="145"/>
        <v>143.07592499999998</v>
      </c>
      <c r="AF59" s="528">
        <f t="shared" si="146"/>
        <v>4.0918979977486094</v>
      </c>
      <c r="AH59" s="173">
        <f t="shared" si="147"/>
        <v>6.2518568670207317</v>
      </c>
      <c r="AI59" s="173">
        <f t="shared" si="148"/>
        <v>12.617941097381646</v>
      </c>
      <c r="AJ59" s="173">
        <f t="shared" si="149"/>
        <v>3.139215627690108</v>
      </c>
      <c r="AL59" s="545">
        <f t="shared" si="150"/>
        <v>5400</v>
      </c>
      <c r="AM59" s="460">
        <f t="shared" si="151"/>
        <v>84.471330554672193</v>
      </c>
      <c r="AO59">
        <f t="shared" si="96"/>
        <v>5400</v>
      </c>
      <c r="AP59" s="460">
        <f t="shared" si="24"/>
        <v>84.471330554672193</v>
      </c>
      <c r="AQ59" s="460"/>
      <c r="AR59" s="5">
        <f t="shared" si="97"/>
        <v>11.838336077265554</v>
      </c>
      <c r="AS59" s="5">
        <f t="shared" si="25"/>
        <v>2.113759258927892</v>
      </c>
      <c r="AT59" s="5">
        <f t="shared" si="98"/>
        <v>9.7245768183376615</v>
      </c>
      <c r="AU59" s="173">
        <f t="shared" si="99"/>
        <v>0.1785520570738969</v>
      </c>
      <c r="AW59" s="5">
        <f t="shared" si="152"/>
        <v>76.095333321404112</v>
      </c>
      <c r="AX59" s="5">
        <f t="shared" si="153"/>
        <v>3.566968749440818</v>
      </c>
      <c r="AY59" s="5">
        <f t="shared" si="28"/>
        <v>3.0544921310273581</v>
      </c>
      <c r="AZ59" s="5"/>
      <c r="BA59" s="173">
        <f t="shared" si="100"/>
        <v>3.0782954284245996</v>
      </c>
      <c r="BB59" s="173">
        <f t="shared" si="154"/>
        <v>6.6026441497078361</v>
      </c>
      <c r="BC59" s="173">
        <f t="shared" si="155"/>
        <v>0.16260629513790281</v>
      </c>
      <c r="BD59" s="173"/>
      <c r="BE59" s="528">
        <f t="shared" si="31"/>
        <v>0.18951805489319579</v>
      </c>
      <c r="BF59" s="528">
        <f t="shared" si="156"/>
        <v>1.7492767618796667</v>
      </c>
      <c r="BG59" s="528">
        <f t="shared" si="157"/>
        <v>0.15127374636271221</v>
      </c>
      <c r="BH59" s="528">
        <f t="shared" si="34"/>
        <v>6.4718461270126662E-2</v>
      </c>
      <c r="BI59">
        <f t="shared" si="35"/>
        <v>3.2234930083958675E-2</v>
      </c>
      <c r="BJ59" s="460">
        <f t="shared" si="101"/>
        <v>183.50867644667088</v>
      </c>
      <c r="BK59">
        <f t="shared" si="158"/>
        <v>2.1515671227643933</v>
      </c>
      <c r="BL59" s="460">
        <f t="shared" si="102"/>
        <v>2151.5671227643934</v>
      </c>
      <c r="BM59" s="173">
        <f t="shared" si="159"/>
        <v>3.3547499999999997</v>
      </c>
      <c r="BN59" s="173">
        <f t="shared" si="160"/>
        <v>5.9906250000000001E-2</v>
      </c>
      <c r="BO59" s="528"/>
      <c r="BQ59" s="460">
        <f t="shared" si="103"/>
        <v>3414.6562499999995</v>
      </c>
      <c r="BR59" s="528">
        <f t="shared" si="39"/>
        <v>0.28427708233979365</v>
      </c>
      <c r="BS59" s="528">
        <f t="shared" si="104"/>
        <v>1.3078472930301333</v>
      </c>
      <c r="BT59" s="528">
        <f t="shared" si="161"/>
        <v>1.3220403609237377E-4</v>
      </c>
      <c r="BU59" s="528">
        <f t="shared" si="41"/>
        <v>1.8544476640875127</v>
      </c>
      <c r="BV59" s="528">
        <f t="shared" si="162"/>
        <v>4.3877611469596669</v>
      </c>
      <c r="BW59" s="625">
        <f t="shared" si="163"/>
        <v>1.3448886439602414E-2</v>
      </c>
      <c r="BX59" s="460">
        <f t="shared" si="105"/>
        <v>4401.2100333992694</v>
      </c>
      <c r="BY59" s="173">
        <f t="shared" si="106"/>
        <v>9.9674334061636625</v>
      </c>
      <c r="BZ59" s="5">
        <f t="shared" si="107"/>
        <v>82.08</v>
      </c>
      <c r="CA59" s="173">
        <f t="shared" si="108"/>
        <v>0.89171416260807734</v>
      </c>
      <c r="CB59" s="5">
        <f t="shared" si="109"/>
        <v>89.171416260807732</v>
      </c>
      <c r="CC59">
        <f t="shared" si="173"/>
        <v>54</v>
      </c>
      <c r="CE59" s="562">
        <f t="shared" si="164"/>
        <v>-50</v>
      </c>
      <c r="CF59">
        <f t="shared" si="165"/>
        <v>-50</v>
      </c>
      <c r="CG59" s="173">
        <f t="shared" si="166"/>
        <v>0.82098061573546177</v>
      </c>
      <c r="CH59" s="173">
        <f t="shared" si="167"/>
        <v>9.6304191786782969E-2</v>
      </c>
      <c r="CI59" s="170">
        <v>54</v>
      </c>
      <c r="CJ59" s="217">
        <f t="shared" si="133"/>
        <v>5.4</v>
      </c>
      <c r="CK59" s="217">
        <f t="shared" si="111"/>
        <v>0.13500000000000001</v>
      </c>
      <c r="CL59" s="217">
        <f t="shared" si="48"/>
        <v>81</v>
      </c>
      <c r="CM59" s="217">
        <f t="shared" si="134"/>
        <v>1.08</v>
      </c>
      <c r="CN59" s="541">
        <f t="shared" si="112"/>
        <v>72</v>
      </c>
      <c r="CO59" s="443">
        <f t="shared" si="168"/>
        <v>15.7</v>
      </c>
      <c r="CP59" s="443">
        <f t="shared" si="169"/>
        <v>87.7</v>
      </c>
      <c r="CQ59" s="443"/>
      <c r="CR59" s="217">
        <f t="shared" si="113"/>
        <v>0.17620137299771166</v>
      </c>
      <c r="CS59" s="172">
        <f t="shared" si="114"/>
        <v>312.98928098277725</v>
      </c>
      <c r="CT59" s="172">
        <f t="shared" si="51"/>
        <v>4.2288329519450798</v>
      </c>
      <c r="CU59" s="217">
        <f t="shared" si="52"/>
        <v>20.865952065518481</v>
      </c>
      <c r="CV59" s="217">
        <f t="shared" si="53"/>
        <v>39.123660122847156</v>
      </c>
      <c r="CW59" s="443">
        <f t="shared" si="54"/>
        <v>15</v>
      </c>
      <c r="CX59" s="217">
        <f t="shared" si="55"/>
        <v>12.93974025974026</v>
      </c>
      <c r="CY59" s="217">
        <f t="shared" si="56"/>
        <v>2.1566233766233767</v>
      </c>
      <c r="CZ59" s="217">
        <f t="shared" si="57"/>
        <v>9.8902473322855489</v>
      </c>
      <c r="DA59" s="197">
        <f t="shared" si="58"/>
        <v>107.41163055872293</v>
      </c>
      <c r="DB59" s="443">
        <f t="shared" si="115"/>
        <v>83.00910868583307</v>
      </c>
      <c r="DD59" s="217">
        <f t="shared" si="59"/>
        <v>10</v>
      </c>
      <c r="DE59" s="173">
        <f t="shared" si="60"/>
        <v>7.6433121019108281</v>
      </c>
      <c r="DF59" s="173">
        <f t="shared" si="61"/>
        <v>4.1049030786773102</v>
      </c>
      <c r="DG59" s="173"/>
      <c r="DH59" s="173">
        <f t="shared" si="62"/>
        <v>7.6433121019108281</v>
      </c>
      <c r="DI59" s="545">
        <f t="shared" si="63"/>
        <v>141.30000000000004</v>
      </c>
      <c r="DJ59" s="528">
        <f t="shared" si="64"/>
        <v>4.1049030786773093</v>
      </c>
      <c r="DL59" s="173">
        <f t="shared" si="65"/>
        <v>6.2518568670207317</v>
      </c>
      <c r="DM59" s="173">
        <f t="shared" si="66"/>
        <v>12.93974025974026</v>
      </c>
      <c r="DN59" s="173">
        <f t="shared" si="67"/>
        <v>3.3775853775853779</v>
      </c>
      <c r="DP59" s="545">
        <f t="shared" si="68"/>
        <v>5400</v>
      </c>
      <c r="DQ59" s="460">
        <f t="shared" si="69"/>
        <v>83.00910868583307</v>
      </c>
      <c r="DS59">
        <f t="shared" si="116"/>
        <v>5400</v>
      </c>
      <c r="DT59" s="460">
        <f t="shared" si="70"/>
        <v>83.00910868583307</v>
      </c>
      <c r="DU59" s="460"/>
      <c r="DV59" s="5">
        <f t="shared" si="117"/>
        <v>12.046870708908928</v>
      </c>
      <c r="DW59" s="5">
        <f t="shared" si="71"/>
        <v>2.1566233766233767</v>
      </c>
      <c r="DX59" s="5">
        <f t="shared" si="118"/>
        <v>9.8902473322855506</v>
      </c>
      <c r="DY59" s="173">
        <f t="shared" si="119"/>
        <v>0.17901938426453817</v>
      </c>
      <c r="EA59" s="5">
        <f t="shared" si="72"/>
        <v>77.638441558441556</v>
      </c>
      <c r="EB59" s="5">
        <f t="shared" si="73"/>
        <v>3.6393019480519482</v>
      </c>
      <c r="EC59" s="5">
        <f t="shared" si="74"/>
        <v>3.0907022913392348</v>
      </c>
      <c r="ED59" s="5"/>
      <c r="EE59" s="173">
        <f t="shared" si="120"/>
        <v>3.1609306014139036</v>
      </c>
      <c r="EF59" s="173">
        <f t="shared" si="75"/>
        <v>6.7691070604789605</v>
      </c>
      <c r="EG59" s="173">
        <f t="shared" si="76"/>
        <v>0.16670585231297208</v>
      </c>
      <c r="EH59" s="173"/>
      <c r="EI59" s="528">
        <f t="shared" si="77"/>
        <v>0.19982964533909728</v>
      </c>
      <c r="EJ59" s="528">
        <f t="shared" si="78"/>
        <v>1.8840000000000001</v>
      </c>
      <c r="EK59" s="528">
        <f t="shared" si="79"/>
        <v>1.0376138585729134E-2</v>
      </c>
      <c r="EL59" s="528">
        <f t="shared" si="80"/>
        <v>6.3844712754426117E-2</v>
      </c>
      <c r="EM59">
        <f t="shared" si="81"/>
        <v>3.2399999999999998E-2</v>
      </c>
      <c r="EN59" s="460">
        <f t="shared" si="121"/>
        <v>42.776138585729129</v>
      </c>
      <c r="EO59">
        <f t="shared" si="82"/>
        <v>2.3562795308251911</v>
      </c>
      <c r="EP59" s="460">
        <f t="shared" si="122"/>
        <v>2356.2795308251912</v>
      </c>
      <c r="EQ59" s="173">
        <f t="shared" si="83"/>
        <v>3.3547499999999997</v>
      </c>
      <c r="ER59" s="173">
        <f t="shared" si="170"/>
        <v>5.9906250000000001E-2</v>
      </c>
      <c r="ES59" s="528"/>
      <c r="EU59" s="460">
        <f t="shared" si="123"/>
        <v>3414.6562499999995</v>
      </c>
      <c r="EV59" s="528">
        <f t="shared" si="85"/>
        <v>0.2997444680086459</v>
      </c>
      <c r="EW59" s="528">
        <f t="shared" si="124"/>
        <v>1.3746243118867834</v>
      </c>
      <c r="EX59" s="528">
        <f t="shared" si="86"/>
        <v>1.3895420597697229E-4</v>
      </c>
      <c r="EY59" s="528">
        <f t="shared" si="87"/>
        <v>1.8905940114174846</v>
      </c>
      <c r="EZ59" s="528">
        <f t="shared" si="88"/>
        <v>4.5806041705369278</v>
      </c>
      <c r="FA59" s="625">
        <f t="shared" si="89"/>
        <v>1.3898786003050541E-2</v>
      </c>
      <c r="FB59" s="460">
        <f t="shared" si="125"/>
        <v>4594.5029565399782</v>
      </c>
      <c r="FC59" s="173">
        <f t="shared" si="126"/>
        <v>10.365438737365169</v>
      </c>
      <c r="FD59" s="5">
        <f t="shared" si="127"/>
        <v>82.08</v>
      </c>
      <c r="FE59" s="173">
        <f t="shared" si="128"/>
        <v>0.88787506578001019</v>
      </c>
      <c r="FF59" s="5">
        <f t="shared" si="129"/>
        <v>88.787506578001015</v>
      </c>
      <c r="FG59">
        <f t="shared" si="130"/>
        <v>54</v>
      </c>
      <c r="FI59" s="562">
        <f t="shared" si="90"/>
        <v>-50</v>
      </c>
      <c r="FJ59">
        <f t="shared" si="91"/>
        <v>-50</v>
      </c>
      <c r="FL59">
        <f t="shared" si="92"/>
        <v>0.82098061573546177</v>
      </c>
    </row>
    <row r="60" spans="5:168">
      <c r="E60" s="170">
        <v>55</v>
      </c>
      <c r="F60" s="217">
        <f t="shared" si="174"/>
        <v>5.5</v>
      </c>
      <c r="G60" s="217">
        <f t="shared" si="171"/>
        <v>0.13750000000000001</v>
      </c>
      <c r="H60" s="217">
        <f t="shared" si="135"/>
        <v>82.5</v>
      </c>
      <c r="I60" s="217">
        <f t="shared" si="175"/>
        <v>1.1000000000000001</v>
      </c>
      <c r="J60" s="541">
        <f t="shared" si="136"/>
        <v>71.626384963692473</v>
      </c>
      <c r="K60" s="443">
        <f t="shared" si="137"/>
        <v>15.900979166666666</v>
      </c>
      <c r="L60" s="172">
        <f t="shared" si="138"/>
        <v>87.527364130359132</v>
      </c>
      <c r="M60" s="443"/>
      <c r="N60" s="217">
        <f t="shared" si="139"/>
        <v>0.1816686624194977</v>
      </c>
      <c r="O60" s="172">
        <f t="shared" si="172"/>
        <v>321.0263869316949</v>
      </c>
      <c r="P60" s="172">
        <f t="shared" si="140"/>
        <v>4.3374231834326782</v>
      </c>
      <c r="Q60" s="217">
        <f t="shared" si="6"/>
        <v>21.401759128779659</v>
      </c>
      <c r="R60" s="217">
        <f t="shared" si="141"/>
        <v>40.128298366461863</v>
      </c>
      <c r="S60" s="443">
        <f t="shared" si="142"/>
        <v>15</v>
      </c>
      <c r="T60" s="217">
        <f t="shared" si="143"/>
        <v>12.849411038842986</v>
      </c>
      <c r="U60" s="217">
        <f t="shared" si="10"/>
        <v>2.1527392809825106</v>
      </c>
      <c r="V60" s="217">
        <f t="shared" si="11"/>
        <v>9.6970715356543309</v>
      </c>
      <c r="W60" s="197">
        <f t="shared" si="12"/>
        <v>108.43557958581694</v>
      </c>
      <c r="X60" s="443">
        <f t="shared" si="95"/>
        <v>82.988854780966989</v>
      </c>
      <c r="Z60" s="217">
        <f t="shared" si="13"/>
        <v>9.9999999999999982</v>
      </c>
      <c r="AA60" s="173">
        <f t="shared" si="14"/>
        <v>7.5467050640225244</v>
      </c>
      <c r="AB60" s="173">
        <f t="shared" si="144"/>
        <v>4.0916566879025096</v>
      </c>
      <c r="AC60" s="173"/>
      <c r="AD60" s="173">
        <f t="shared" si="16"/>
        <v>7.5467050640225262</v>
      </c>
      <c r="AE60" s="545">
        <f t="shared" si="145"/>
        <v>145.75897569444442</v>
      </c>
      <c r="AF60" s="528">
        <f t="shared" si="146"/>
        <v>4.0916566879025122</v>
      </c>
      <c r="AH60" s="173">
        <f t="shared" si="147"/>
        <v>6.3094788857340509</v>
      </c>
      <c r="AI60" s="173">
        <f t="shared" si="148"/>
        <v>12.849411038842986</v>
      </c>
      <c r="AJ60" s="173">
        <f t="shared" si="149"/>
        <v>3.3106748435873969</v>
      </c>
      <c r="AL60" s="545">
        <f t="shared" si="150"/>
        <v>5500</v>
      </c>
      <c r="AM60" s="460">
        <f t="shared" si="151"/>
        <v>82.988854780966989</v>
      </c>
      <c r="AO60">
        <f t="shared" si="96"/>
        <v>5500</v>
      </c>
      <c r="AP60">
        <f t="shared" si="24"/>
        <v>82.988854780966989</v>
      </c>
      <c r="AR60" s="5">
        <f t="shared" si="97"/>
        <v>12.049810816636841</v>
      </c>
      <c r="AS60" s="5">
        <f t="shared" si="25"/>
        <v>2.1527392809825106</v>
      </c>
      <c r="AT60" s="5">
        <f t="shared" si="98"/>
        <v>9.8970715356543302</v>
      </c>
      <c r="AU60" s="173">
        <f t="shared" si="99"/>
        <v>0.17865336757074085</v>
      </c>
      <c r="AW60" s="5">
        <f t="shared" si="152"/>
        <v>78.933773636025393</v>
      </c>
      <c r="AX60" s="5">
        <f t="shared" si="153"/>
        <v>3.7000206391886907</v>
      </c>
      <c r="AY60" s="5">
        <f t="shared" si="28"/>
        <v>3.1665410654706965</v>
      </c>
      <c r="AZ60" s="5"/>
      <c r="BA60" s="173">
        <f t="shared" si="100"/>
        <v>3.1356544557392647</v>
      </c>
      <c r="BB60" s="173">
        <f t="shared" si="154"/>
        <v>6.7233517793767978</v>
      </c>
      <c r="BC60" s="173">
        <f t="shared" si="155"/>
        <v>0.16557901637053449</v>
      </c>
      <c r="BD60" s="173"/>
      <c r="BE60" s="528">
        <f t="shared" si="31"/>
        <v>0.19664657731595012</v>
      </c>
      <c r="BF60" s="528">
        <f t="shared" si="156"/>
        <v>1.7500405649076534</v>
      </c>
      <c r="BG60" s="528">
        <f t="shared" si="157"/>
        <v>0.14860479150593781</v>
      </c>
      <c r="BH60" s="528">
        <f t="shared" si="34"/>
        <v>6.3578089218057215E-2</v>
      </c>
      <c r="BI60">
        <f t="shared" si="35"/>
        <v>3.2231873233661612E-2</v>
      </c>
      <c r="BJ60" s="460">
        <f t="shared" si="101"/>
        <v>180.83666473959943</v>
      </c>
      <c r="BK60">
        <f t="shared" si="158"/>
        <v>2.1644918509094082</v>
      </c>
      <c r="BL60" s="460">
        <f t="shared" si="102"/>
        <v>2164.4918509094082</v>
      </c>
      <c r="BM60" s="173">
        <f t="shared" si="159"/>
        <v>3.4168749999999997</v>
      </c>
      <c r="BN60" s="173">
        <f t="shared" si="160"/>
        <v>6.1015625000000004E-2</v>
      </c>
      <c r="BO60" s="528"/>
      <c r="BQ60" s="460">
        <f t="shared" si="103"/>
        <v>3477.8906249999995</v>
      </c>
      <c r="BR60" s="528">
        <f t="shared" si="39"/>
        <v>0.29496986597392516</v>
      </c>
      <c r="BS60" s="528">
        <f t="shared" si="104"/>
        <v>1.3561037744774747</v>
      </c>
      <c r="BT60" s="528">
        <f t="shared" si="161"/>
        <v>1.3708205331116864E-4</v>
      </c>
      <c r="BU60" s="528">
        <f t="shared" si="41"/>
        <v>1.8566390817014331</v>
      </c>
      <c r="BV60" s="528">
        <f t="shared" si="162"/>
        <v>4.498359537808077</v>
      </c>
      <c r="BW60" s="625">
        <f t="shared" si="163"/>
        <v>1.3702071058010374E-2</v>
      </c>
      <c r="BX60" s="460">
        <f t="shared" si="105"/>
        <v>4512.0616088660872</v>
      </c>
      <c r="BY60" s="173">
        <f t="shared" si="106"/>
        <v>10.154444084775495</v>
      </c>
      <c r="BZ60" s="5">
        <f t="shared" si="107"/>
        <v>83.6</v>
      </c>
      <c r="CA60" s="173">
        <f t="shared" si="108"/>
        <v>0.89169106399272602</v>
      </c>
      <c r="CB60" s="5">
        <f t="shared" si="109"/>
        <v>89.169106399272607</v>
      </c>
      <c r="CC60">
        <f t="shared" si="173"/>
        <v>55.000000000000007</v>
      </c>
      <c r="CE60" s="562">
        <f t="shared" si="164"/>
        <v>-50</v>
      </c>
      <c r="CF60">
        <f t="shared" si="165"/>
        <v>-50</v>
      </c>
      <c r="CG60" s="173">
        <f t="shared" si="166"/>
        <v>0.82098061573546177</v>
      </c>
      <c r="CH60" s="173">
        <f t="shared" si="167"/>
        <v>9.6304191786782969E-2</v>
      </c>
      <c r="CI60" s="170">
        <v>55</v>
      </c>
      <c r="CJ60" s="217">
        <f t="shared" si="133"/>
        <v>5.5</v>
      </c>
      <c r="CK60" s="217">
        <f t="shared" si="111"/>
        <v>0.13750000000000001</v>
      </c>
      <c r="CL60" s="217">
        <f t="shared" si="48"/>
        <v>82.5</v>
      </c>
      <c r="CM60" s="217">
        <f t="shared" si="134"/>
        <v>1.1000000000000001</v>
      </c>
      <c r="CN60" s="541">
        <f t="shared" si="112"/>
        <v>72</v>
      </c>
      <c r="CO60" s="443">
        <f t="shared" si="168"/>
        <v>15.7</v>
      </c>
      <c r="CP60" s="443">
        <f t="shared" si="169"/>
        <v>87.7</v>
      </c>
      <c r="CQ60" s="443"/>
      <c r="CR60" s="217">
        <f t="shared" si="113"/>
        <v>0.17620137299771166</v>
      </c>
      <c r="CS60" s="172">
        <f t="shared" si="114"/>
        <v>312.98928098277725</v>
      </c>
      <c r="CT60" s="172">
        <f t="shared" si="51"/>
        <v>4.2288329519450798</v>
      </c>
      <c r="CU60" s="217">
        <f t="shared" si="52"/>
        <v>20.865952065518481</v>
      </c>
      <c r="CV60" s="217">
        <f t="shared" si="53"/>
        <v>39.123660122847156</v>
      </c>
      <c r="CW60" s="443">
        <f t="shared" si="54"/>
        <v>15</v>
      </c>
      <c r="CX60" s="217">
        <f t="shared" si="55"/>
        <v>13.179365079365079</v>
      </c>
      <c r="CY60" s="217">
        <f t="shared" si="56"/>
        <v>2.1965608465608462</v>
      </c>
      <c r="CZ60" s="217">
        <f t="shared" si="57"/>
        <v>10.073400060661207</v>
      </c>
      <c r="DA60" s="197">
        <f t="shared" si="58"/>
        <v>107.41163055872293</v>
      </c>
      <c r="DB60" s="443">
        <f t="shared" si="115"/>
        <v>81.499852164272482</v>
      </c>
      <c r="DD60" s="217">
        <f t="shared" si="59"/>
        <v>10</v>
      </c>
      <c r="DE60" s="173">
        <f t="shared" si="60"/>
        <v>7.6433121019108281</v>
      </c>
      <c r="DF60" s="173">
        <f t="shared" si="61"/>
        <v>4.1049030786773102</v>
      </c>
      <c r="DG60" s="173"/>
      <c r="DH60" s="173">
        <f t="shared" si="62"/>
        <v>7.6433121019108281</v>
      </c>
      <c r="DI60" s="545">
        <f t="shared" si="63"/>
        <v>143.91666666666669</v>
      </c>
      <c r="DJ60" s="528">
        <f t="shared" si="64"/>
        <v>4.1049030786773093</v>
      </c>
      <c r="DL60" s="173">
        <f t="shared" si="65"/>
        <v>6.3094788857340509</v>
      </c>
      <c r="DM60" s="173">
        <f t="shared" si="66"/>
        <v>13.179365079365079</v>
      </c>
      <c r="DN60" s="173">
        <f t="shared" si="67"/>
        <v>3.5550852439741325</v>
      </c>
      <c r="DP60" s="545">
        <f t="shared" si="68"/>
        <v>5500</v>
      </c>
      <c r="DQ60" s="460">
        <f t="shared" si="69"/>
        <v>81.499852164272482</v>
      </c>
      <c r="DS60">
        <f t="shared" si="116"/>
        <v>5500</v>
      </c>
      <c r="DT60">
        <f t="shared" si="70"/>
        <v>81.499852164272482</v>
      </c>
      <c r="DV60" s="5">
        <f t="shared" si="117"/>
        <v>12.269960907222053</v>
      </c>
      <c r="DW60" s="5">
        <f t="shared" si="71"/>
        <v>2.1965608465608462</v>
      </c>
      <c r="DX60" s="5">
        <f t="shared" si="118"/>
        <v>10.073400060661207</v>
      </c>
      <c r="DY60" s="173">
        <f t="shared" si="119"/>
        <v>0.17901938426453817</v>
      </c>
      <c r="EA60" s="5">
        <f t="shared" si="72"/>
        <v>80.540564373897681</v>
      </c>
      <c r="EB60" s="5">
        <f t="shared" si="73"/>
        <v>3.7753389550264544</v>
      </c>
      <c r="EC60" s="5">
        <f t="shared" si="74"/>
        <v>3.2062326581965643</v>
      </c>
      <c r="ED60" s="5"/>
      <c r="EE60" s="173">
        <f t="shared" si="120"/>
        <v>3.2194663532919385</v>
      </c>
      <c r="EF60" s="173">
        <f t="shared" si="75"/>
        <v>6.8944608949322745</v>
      </c>
      <c r="EG60" s="173">
        <f t="shared" si="76"/>
        <v>0.16979299772617523</v>
      </c>
      <c r="EH60" s="173"/>
      <c r="EI60" s="528">
        <f t="shared" si="77"/>
        <v>0.20729927199957787</v>
      </c>
      <c r="EJ60" s="528">
        <f t="shared" si="78"/>
        <v>1.8840000000000001</v>
      </c>
      <c r="EK60" s="528">
        <f t="shared" si="79"/>
        <v>1.018748152053406E-2</v>
      </c>
      <c r="EL60" s="528">
        <f t="shared" si="80"/>
        <v>6.2683899795254738E-2</v>
      </c>
      <c r="EM60">
        <f t="shared" si="81"/>
        <v>3.2399999999999998E-2</v>
      </c>
      <c r="EN60" s="460">
        <f t="shared" si="121"/>
        <v>42.587481520534055</v>
      </c>
      <c r="EO60">
        <f t="shared" si="82"/>
        <v>2.3692365617894611</v>
      </c>
      <c r="EP60" s="460">
        <f t="shared" si="122"/>
        <v>2369.2365617894611</v>
      </c>
      <c r="EQ60" s="173">
        <f t="shared" si="83"/>
        <v>3.4168749999999997</v>
      </c>
      <c r="ER60" s="173">
        <f t="shared" si="170"/>
        <v>6.1015625000000004E-2</v>
      </c>
      <c r="ES60" s="528"/>
      <c r="EU60" s="460">
        <f t="shared" si="123"/>
        <v>3477.8906249999995</v>
      </c>
      <c r="EV60" s="528">
        <f t="shared" si="85"/>
        <v>0.31094890799936675</v>
      </c>
      <c r="EW60" s="528">
        <f t="shared" si="124"/>
        <v>1.4260077309525101</v>
      </c>
      <c r="EX60" s="528">
        <f t="shared" si="86"/>
        <v>1.4414831038420475E-4</v>
      </c>
      <c r="EY60" s="528">
        <f t="shared" si="87"/>
        <v>1.8905940114174884</v>
      </c>
      <c r="EZ60" s="528">
        <f t="shared" si="88"/>
        <v>4.6973855599659959</v>
      </c>
      <c r="FA60" s="625">
        <f t="shared" si="89"/>
        <v>1.4156170929032959E-2</v>
      </c>
      <c r="FB60" s="460">
        <f t="shared" si="125"/>
        <v>4711.5417308950282</v>
      </c>
      <c r="FC60" s="173">
        <f t="shared" si="126"/>
        <v>10.558668917684489</v>
      </c>
      <c r="FD60" s="5">
        <f t="shared" si="127"/>
        <v>83.6</v>
      </c>
      <c r="FE60" s="173">
        <f t="shared" si="128"/>
        <v>0.88786301846604165</v>
      </c>
      <c r="FF60" s="5">
        <f t="shared" si="129"/>
        <v>88.786301846604161</v>
      </c>
      <c r="FG60">
        <f t="shared" si="130"/>
        <v>55.000000000000007</v>
      </c>
      <c r="FI60" s="562">
        <f t="shared" si="90"/>
        <v>-50</v>
      </c>
      <c r="FJ60">
        <f t="shared" si="91"/>
        <v>-50</v>
      </c>
      <c r="FL60">
        <f t="shared" si="92"/>
        <v>0.82098061573546177</v>
      </c>
    </row>
    <row r="61" spans="5:168">
      <c r="E61" s="170">
        <v>56</v>
      </c>
      <c r="F61" s="217">
        <f t="shared" si="174"/>
        <v>5.6000000000000005</v>
      </c>
      <c r="G61" s="217">
        <f t="shared" si="171"/>
        <v>0.14000000000000001</v>
      </c>
      <c r="H61" s="217">
        <f t="shared" si="135"/>
        <v>84.000000000000014</v>
      </c>
      <c r="I61" s="217">
        <f t="shared" si="175"/>
        <v>1.1200000000000001</v>
      </c>
      <c r="J61" s="541">
        <f t="shared" si="136"/>
        <v>71.619591963032335</v>
      </c>
      <c r="K61" s="443">
        <f t="shared" si="137"/>
        <v>15.904633333333333</v>
      </c>
      <c r="L61" s="172">
        <f t="shared" si="138"/>
        <v>87.524225296365671</v>
      </c>
      <c r="M61" s="443"/>
      <c r="N61" s="217">
        <f t="shared" si="139"/>
        <v>0.18171692785030286</v>
      </c>
      <c r="O61" s="172">
        <f t="shared" si="172"/>
        <v>321.08122266647553</v>
      </c>
      <c r="P61" s="172">
        <f t="shared" si="140"/>
        <v>4.3381640751381587</v>
      </c>
      <c r="Q61" s="217">
        <f t="shared" si="6"/>
        <v>21.4054148444317</v>
      </c>
      <c r="R61" s="217">
        <f t="shared" si="141"/>
        <v>40.135152833309441</v>
      </c>
      <c r="S61" s="443">
        <f t="shared" si="142"/>
        <v>15</v>
      </c>
      <c r="T61" s="217">
        <f t="shared" si="143"/>
        <v>13.080802312637161</v>
      </c>
      <c r="U61" s="217">
        <f t="shared" si="10"/>
        <v>2.1917135165007426</v>
      </c>
      <c r="V61" s="217">
        <f t="shared" si="11"/>
        <v>9.8694276354466481</v>
      </c>
      <c r="W61" s="197">
        <f t="shared" si="12"/>
        <v>108.45410187845397</v>
      </c>
      <c r="X61" s="443">
        <f t="shared" si="95"/>
        <v>81.558477111339158</v>
      </c>
      <c r="Z61" s="217">
        <f t="shared" si="13"/>
        <v>10</v>
      </c>
      <c r="AA61" s="173">
        <f t="shared" si="14"/>
        <v>7.544971171922648</v>
      </c>
      <c r="AB61" s="173">
        <f t="shared" si="144"/>
        <v>4.0914153607484858</v>
      </c>
      <c r="AC61" s="173"/>
      <c r="AD61" s="173">
        <f t="shared" si="16"/>
        <v>7.544971171922648</v>
      </c>
      <c r="AE61" s="545">
        <f t="shared" si="145"/>
        <v>148.44324444444442</v>
      </c>
      <c r="AF61" s="528">
        <f t="shared" si="146"/>
        <v>4.0914153607484858</v>
      </c>
      <c r="AH61" s="173">
        <f t="shared" si="147"/>
        <v>6.3665794060337717</v>
      </c>
      <c r="AI61" s="173">
        <f t="shared" si="148"/>
        <v>13.080802312637161</v>
      </c>
      <c r="AJ61" s="173">
        <f t="shared" si="149"/>
        <v>3.4820757871386379</v>
      </c>
      <c r="AL61" s="545">
        <f t="shared" si="150"/>
        <v>5600.0000000000009</v>
      </c>
      <c r="AM61" s="460">
        <f t="shared" si="151"/>
        <v>81.558477111339158</v>
      </c>
      <c r="AO61">
        <f t="shared" si="96"/>
        <v>5600.0000000000009</v>
      </c>
      <c r="AP61">
        <f t="shared" si="24"/>
        <v>81.558477111339158</v>
      </c>
      <c r="AR61" s="5">
        <f t="shared" si="97"/>
        <v>12.261141151947392</v>
      </c>
      <c r="AS61" s="5">
        <f t="shared" si="25"/>
        <v>2.1917135165007426</v>
      </c>
      <c r="AT61" s="5">
        <f t="shared" si="98"/>
        <v>10.069427635446649</v>
      </c>
      <c r="AU61" s="173">
        <f t="shared" si="99"/>
        <v>0.17875281667013848</v>
      </c>
      <c r="AW61" s="5">
        <f t="shared" si="152"/>
        <v>81.823971282694387</v>
      </c>
      <c r="AX61" s="5">
        <f t="shared" si="153"/>
        <v>3.8354986538763001</v>
      </c>
      <c r="AY61" s="5">
        <f t="shared" si="28"/>
        <v>3.2805731651617105</v>
      </c>
      <c r="AZ61" s="5"/>
      <c r="BA61" s="173">
        <f t="shared" si="100"/>
        <v>3.1930094353268292</v>
      </c>
      <c r="BB61" s="173">
        <f t="shared" si="154"/>
        <v>6.8440110408062909</v>
      </c>
      <c r="BC61" s="173">
        <f t="shared" si="155"/>
        <v>0.16855054641671965</v>
      </c>
      <c r="BD61" s="173"/>
      <c r="BE61" s="528">
        <f t="shared" si="31"/>
        <v>0.20390618508172315</v>
      </c>
      <c r="BF61" s="528">
        <f t="shared" si="156"/>
        <v>1.7507858890544179</v>
      </c>
      <c r="BG61" s="528">
        <f t="shared" si="157"/>
        <v>0.14602962129601055</v>
      </c>
      <c r="BH61" s="528">
        <f t="shared" si="34"/>
        <v>6.2477789944635681E-2</v>
      </c>
      <c r="BI61">
        <f t="shared" si="35"/>
        <v>3.2228816383364549E-2</v>
      </c>
      <c r="BJ61" s="460">
        <f t="shared" si="101"/>
        <v>178.25843767937511</v>
      </c>
      <c r="BK61">
        <f t="shared" si="158"/>
        <v>2.1777315088178901</v>
      </c>
      <c r="BL61" s="460">
        <f t="shared" si="102"/>
        <v>2177.7315088178902</v>
      </c>
      <c r="BM61" s="173">
        <f t="shared" si="159"/>
        <v>3.4789999999999996</v>
      </c>
      <c r="BN61" s="173">
        <f t="shared" si="160"/>
        <v>6.2125E-2</v>
      </c>
      <c r="BO61" s="528"/>
      <c r="BQ61" s="460">
        <f t="shared" si="103"/>
        <v>3541.1249999999995</v>
      </c>
      <c r="BR61" s="528">
        <f t="shared" si="39"/>
        <v>0.30585927762258469</v>
      </c>
      <c r="BS61" s="528">
        <f t="shared" si="104"/>
        <v>1.4052146138003523</v>
      </c>
      <c r="BT61" s="528">
        <f t="shared" si="161"/>
        <v>1.4204643348687384E-4</v>
      </c>
      <c r="BU61" s="528">
        <f t="shared" si="41"/>
        <v>1.8587831624315645</v>
      </c>
      <c r="BV61" s="528">
        <f t="shared" si="162"/>
        <v>4.6120708580835945</v>
      </c>
      <c r="BW61" s="625">
        <f t="shared" si="163"/>
        <v>1.3955258080942763E-2</v>
      </c>
      <c r="BX61" s="460">
        <f t="shared" si="105"/>
        <v>4626.0261161645367</v>
      </c>
      <c r="BY61" s="173">
        <f t="shared" si="106"/>
        <v>10.344882624982427</v>
      </c>
      <c r="BZ61" s="5">
        <f t="shared" si="107"/>
        <v>85.120000000000019</v>
      </c>
      <c r="CA61" s="173">
        <f t="shared" si="108"/>
        <v>0.89163677427205834</v>
      </c>
      <c r="CB61" s="5">
        <f t="shared" si="109"/>
        <v>89.16367742720584</v>
      </c>
      <c r="CC61">
        <f t="shared" si="173"/>
        <v>56.000000000000007</v>
      </c>
      <c r="CE61" s="562">
        <f t="shared" si="164"/>
        <v>-50</v>
      </c>
      <c r="CF61">
        <f t="shared" si="165"/>
        <v>-50</v>
      </c>
      <c r="CG61" s="173">
        <f t="shared" si="166"/>
        <v>0.82098061573546177</v>
      </c>
      <c r="CH61" s="173">
        <f t="shared" si="167"/>
        <v>9.6304191786782956E-2</v>
      </c>
      <c r="CI61" s="170">
        <v>56</v>
      </c>
      <c r="CJ61" s="217">
        <f t="shared" si="133"/>
        <v>5.6000000000000005</v>
      </c>
      <c r="CK61" s="217">
        <f t="shared" si="111"/>
        <v>0.14000000000000001</v>
      </c>
      <c r="CL61" s="217">
        <f t="shared" si="48"/>
        <v>84.000000000000014</v>
      </c>
      <c r="CM61" s="217">
        <f t="shared" si="134"/>
        <v>1.1200000000000001</v>
      </c>
      <c r="CN61" s="541">
        <f t="shared" si="112"/>
        <v>72</v>
      </c>
      <c r="CO61" s="443">
        <f t="shared" si="168"/>
        <v>15.7</v>
      </c>
      <c r="CP61" s="443">
        <f t="shared" si="169"/>
        <v>87.7</v>
      </c>
      <c r="CQ61" s="443"/>
      <c r="CR61" s="217">
        <f t="shared" si="113"/>
        <v>0.17620137299771166</v>
      </c>
      <c r="CS61" s="172">
        <f t="shared" si="114"/>
        <v>312.98928098277725</v>
      </c>
      <c r="CT61" s="172">
        <f t="shared" si="51"/>
        <v>4.2288329519450798</v>
      </c>
      <c r="CU61" s="217">
        <f t="shared" si="52"/>
        <v>20.865952065518481</v>
      </c>
      <c r="CV61" s="217">
        <f t="shared" si="53"/>
        <v>39.123660122847156</v>
      </c>
      <c r="CW61" s="443">
        <f t="shared" si="54"/>
        <v>15</v>
      </c>
      <c r="CX61" s="217">
        <f t="shared" si="55"/>
        <v>13.418989898989903</v>
      </c>
      <c r="CY61" s="217">
        <f t="shared" si="56"/>
        <v>2.236498316498317</v>
      </c>
      <c r="CZ61" s="217">
        <f t="shared" si="57"/>
        <v>10.256552789036869</v>
      </c>
      <c r="DA61" s="197">
        <f t="shared" si="58"/>
        <v>107.41163055872293</v>
      </c>
      <c r="DB61" s="443">
        <f t="shared" si="115"/>
        <v>80.044497661339022</v>
      </c>
      <c r="DD61" s="217">
        <f t="shared" si="59"/>
        <v>10</v>
      </c>
      <c r="DE61" s="173">
        <f t="shared" si="60"/>
        <v>7.6433121019108281</v>
      </c>
      <c r="DF61" s="173">
        <f t="shared" si="61"/>
        <v>4.1049030786773102</v>
      </c>
      <c r="DG61" s="173"/>
      <c r="DH61" s="173">
        <f t="shared" si="62"/>
        <v>7.6433121019108281</v>
      </c>
      <c r="DI61" s="545">
        <f t="shared" si="63"/>
        <v>146.53333333333336</v>
      </c>
      <c r="DJ61" s="528">
        <f t="shared" si="64"/>
        <v>4.1049030786773093</v>
      </c>
      <c r="DL61" s="173">
        <f t="shared" si="65"/>
        <v>6.3665794060337717</v>
      </c>
      <c r="DM61" s="173">
        <f t="shared" si="66"/>
        <v>13.418989898989903</v>
      </c>
      <c r="DN61" s="173">
        <f t="shared" si="67"/>
        <v>3.7325851103628906</v>
      </c>
      <c r="DP61" s="545">
        <f t="shared" si="68"/>
        <v>5600.0000000000009</v>
      </c>
      <c r="DQ61" s="460">
        <f t="shared" si="69"/>
        <v>80.044497661339022</v>
      </c>
      <c r="DS61">
        <f t="shared" si="116"/>
        <v>5600.0000000000009</v>
      </c>
      <c r="DT61">
        <f t="shared" si="70"/>
        <v>80.044497661339022</v>
      </c>
      <c r="DV61" s="5">
        <f t="shared" si="117"/>
        <v>12.493051105535185</v>
      </c>
      <c r="DW61" s="5">
        <f t="shared" si="71"/>
        <v>2.236498316498317</v>
      </c>
      <c r="DX61" s="5">
        <f t="shared" si="118"/>
        <v>10.256552789036869</v>
      </c>
      <c r="DY61" s="173">
        <f t="shared" si="119"/>
        <v>0.1790193842645382</v>
      </c>
      <c r="EA61" s="5">
        <f t="shared" si="72"/>
        <v>83.495937149270503</v>
      </c>
      <c r="EB61" s="5">
        <f t="shared" si="73"/>
        <v>3.9138720538720548</v>
      </c>
      <c r="EC61" s="5">
        <f t="shared" si="74"/>
        <v>3.3238828482989864</v>
      </c>
      <c r="ED61" s="5"/>
      <c r="EE61" s="173">
        <f t="shared" si="120"/>
        <v>3.2780021051699748</v>
      </c>
      <c r="EF61" s="173">
        <f t="shared" si="75"/>
        <v>7.0198147293855913</v>
      </c>
      <c r="EG61" s="173">
        <f t="shared" si="76"/>
        <v>0.17288014313937849</v>
      </c>
      <c r="EH61" s="173"/>
      <c r="EI61" s="528">
        <f t="shared" si="77"/>
        <v>0.21490595602997573</v>
      </c>
      <c r="EJ61" s="528">
        <f t="shared" si="78"/>
        <v>1.8840000000000001</v>
      </c>
      <c r="EK61" s="528">
        <f t="shared" si="79"/>
        <v>1.0005562207667377E-2</v>
      </c>
      <c r="EL61" s="528">
        <f t="shared" si="80"/>
        <v>6.1564544441768031E-2</v>
      </c>
      <c r="EM61">
        <f t="shared" si="81"/>
        <v>3.2399999999999998E-2</v>
      </c>
      <c r="EN61" s="460">
        <f t="shared" si="121"/>
        <v>42.40556220766738</v>
      </c>
      <c r="EO61">
        <f t="shared" si="82"/>
        <v>2.3825580271723283</v>
      </c>
      <c r="EP61" s="460">
        <f t="shared" si="122"/>
        <v>2382.5580271723284</v>
      </c>
      <c r="EQ61" s="173">
        <f t="shared" si="83"/>
        <v>3.4789999999999996</v>
      </c>
      <c r="ER61" s="173">
        <f t="shared" si="170"/>
        <v>6.2125E-2</v>
      </c>
      <c r="ES61" s="528"/>
      <c r="EU61" s="460">
        <f t="shared" si="123"/>
        <v>3541.1249999999995</v>
      </c>
      <c r="EV61" s="528">
        <f t="shared" si="85"/>
        <v>0.32235893404496357</v>
      </c>
      <c r="EW61" s="528">
        <f t="shared" si="124"/>
        <v>1.4783339650469671</v>
      </c>
      <c r="EX61" s="528">
        <f t="shared" si="86"/>
        <v>1.4943771945945998E-4</v>
      </c>
      <c r="EY61" s="528">
        <f t="shared" si="87"/>
        <v>1.8905940114174895</v>
      </c>
      <c r="EZ61" s="528">
        <f t="shared" si="88"/>
        <v>4.8177139720673443</v>
      </c>
      <c r="FA61" s="625">
        <f t="shared" si="89"/>
        <v>1.4413555855015381E-2</v>
      </c>
      <c r="FB61" s="460">
        <f t="shared" si="125"/>
        <v>4832.1275279223601</v>
      </c>
      <c r="FC61" s="173">
        <f t="shared" si="126"/>
        <v>10.755810555094687</v>
      </c>
      <c r="FD61" s="5">
        <f t="shared" si="127"/>
        <v>85.120000000000019</v>
      </c>
      <c r="FE61" s="173">
        <f t="shared" si="128"/>
        <v>0.88781517994141079</v>
      </c>
      <c r="FF61" s="5">
        <f t="shared" si="129"/>
        <v>88.781517994141083</v>
      </c>
      <c r="FG61">
        <f t="shared" si="130"/>
        <v>56.000000000000007</v>
      </c>
      <c r="FI61" s="562">
        <f t="shared" si="90"/>
        <v>-50</v>
      </c>
      <c r="FJ61">
        <f t="shared" si="91"/>
        <v>-50</v>
      </c>
      <c r="FL61">
        <f t="shared" si="92"/>
        <v>0.82098061573546177</v>
      </c>
    </row>
    <row r="62" spans="5:168">
      <c r="E62" s="170">
        <v>57</v>
      </c>
      <c r="F62" s="217">
        <f t="shared" si="174"/>
        <v>5.6999999999999993</v>
      </c>
      <c r="G62" s="217">
        <f t="shared" si="171"/>
        <v>0.14249999999999999</v>
      </c>
      <c r="H62" s="217">
        <f t="shared" si="135"/>
        <v>85.499999999999986</v>
      </c>
      <c r="I62" s="217">
        <f t="shared" si="175"/>
        <v>1.1399999999999999</v>
      </c>
      <c r="J62" s="541">
        <f t="shared" si="136"/>
        <v>71.612798962372196</v>
      </c>
      <c r="K62" s="443">
        <f t="shared" si="137"/>
        <v>15.9082875</v>
      </c>
      <c r="L62" s="172">
        <f t="shared" si="138"/>
        <v>87.521086462372196</v>
      </c>
      <c r="M62" s="443"/>
      <c r="N62" s="217">
        <f t="shared" si="139"/>
        <v>0.18176519674306632</v>
      </c>
      <c r="O62" s="172">
        <f t="shared" si="172"/>
        <v>321.13604834006344</v>
      </c>
      <c r="P62" s="172">
        <f t="shared" si="140"/>
        <v>4.3389048309057463</v>
      </c>
      <c r="Q62" s="217">
        <f t="shared" si="6"/>
        <v>21.409069889337562</v>
      </c>
      <c r="R62" s="217">
        <f t="shared" si="141"/>
        <v>40.14200604250793</v>
      </c>
      <c r="S62" s="443">
        <f t="shared" si="142"/>
        <v>15</v>
      </c>
      <c r="T62" s="217">
        <f t="shared" si="143"/>
        <v>13.312114980853957</v>
      </c>
      <c r="U62" s="217">
        <f t="shared" si="10"/>
        <v>2.2306819742401514</v>
      </c>
      <c r="V62" s="217">
        <f t="shared" si="11"/>
        <v>10.041645260072618</v>
      </c>
      <c r="W62" s="197">
        <f t="shared" si="12"/>
        <v>108.47262077264364</v>
      </c>
      <c r="X62" s="443">
        <f t="shared" si="95"/>
        <v>80.177498650683901</v>
      </c>
      <c r="Z62" s="217">
        <f t="shared" si="13"/>
        <v>10</v>
      </c>
      <c r="AA62" s="173">
        <f t="shared" si="14"/>
        <v>7.5432380763799998</v>
      </c>
      <c r="AB62" s="173">
        <f t="shared" si="144"/>
        <v>4.0911740162846684</v>
      </c>
      <c r="AC62" s="173"/>
      <c r="AD62" s="173">
        <f t="shared" si="16"/>
        <v>7.5432380763799998</v>
      </c>
      <c r="AE62" s="545">
        <f t="shared" si="145"/>
        <v>151.12873124999999</v>
      </c>
      <c r="AF62" s="528">
        <f t="shared" si="146"/>
        <v>4.0911740162846684</v>
      </c>
      <c r="AH62" s="173">
        <f t="shared" si="147"/>
        <v>6.4231723359367248</v>
      </c>
      <c r="AI62" s="173">
        <f t="shared" si="148"/>
        <v>13.312114980853957</v>
      </c>
      <c r="AJ62" s="173">
        <f t="shared" si="149"/>
        <v>3.6534185043362646</v>
      </c>
      <c r="AL62" s="545">
        <f t="shared" si="150"/>
        <v>5699.9999999999991</v>
      </c>
      <c r="AM62" s="460">
        <f t="shared" si="151"/>
        <v>80.177498650683901</v>
      </c>
      <c r="AO62">
        <f t="shared" si="96"/>
        <v>5699.9999999999991</v>
      </c>
      <c r="AP62">
        <f t="shared" si="24"/>
        <v>80.177498650683901</v>
      </c>
      <c r="AR62" s="5">
        <f t="shared" si="97"/>
        <v>12.472327234312766</v>
      </c>
      <c r="AS62" s="5">
        <f t="shared" si="25"/>
        <v>2.2306819742401514</v>
      </c>
      <c r="AT62" s="5">
        <f t="shared" si="98"/>
        <v>10.241645260072616</v>
      </c>
      <c r="AU62" s="173">
        <f t="shared" si="99"/>
        <v>0.17885050097974464</v>
      </c>
      <c r="AW62" s="5">
        <f t="shared" si="152"/>
        <v>84.765915021125736</v>
      </c>
      <c r="AX62" s="5">
        <f t="shared" si="153"/>
        <v>3.9734022666152691</v>
      </c>
      <c r="AY62" s="5">
        <f t="shared" si="28"/>
        <v>3.3965866220999219</v>
      </c>
      <c r="AZ62" s="5"/>
      <c r="BA62" s="173">
        <f t="shared" si="100"/>
        <v>3.2503603626469011</v>
      </c>
      <c r="BB62" s="173">
        <f t="shared" si="154"/>
        <v>6.9646219759170007</v>
      </c>
      <c r="BC62" s="173">
        <f t="shared" si="155"/>
        <v>0.17152088630885792</v>
      </c>
      <c r="BD62" s="173"/>
      <c r="BE62" s="528">
        <f t="shared" si="31"/>
        <v>0.2112968497413219</v>
      </c>
      <c r="BF62" s="528">
        <f t="shared" si="156"/>
        <v>1.7515136875844992</v>
      </c>
      <c r="BG62" s="528">
        <f t="shared" si="157"/>
        <v>0.14354337730443234</v>
      </c>
      <c r="BH62" s="528">
        <f t="shared" si="34"/>
        <v>6.1415487516080204E-2</v>
      </c>
      <c r="BI62">
        <f t="shared" si="35"/>
        <v>3.2225759533067486E-2</v>
      </c>
      <c r="BJ62" s="460">
        <f t="shared" si="101"/>
        <v>175.76913683749984</v>
      </c>
      <c r="BK62">
        <f t="shared" si="158"/>
        <v>2.1912878791058401</v>
      </c>
      <c r="BL62" s="460">
        <f t="shared" si="102"/>
        <v>2191.2878791058401</v>
      </c>
      <c r="BM62" s="173">
        <f t="shared" si="159"/>
        <v>3.5411249999999992</v>
      </c>
      <c r="BN62" s="173">
        <f t="shared" si="160"/>
        <v>6.3234374999999995E-2</v>
      </c>
      <c r="BO62" s="528"/>
      <c r="BQ62" s="460">
        <f t="shared" si="103"/>
        <v>3604.3593749999991</v>
      </c>
      <c r="BR62" s="528">
        <f t="shared" si="39"/>
        <v>0.31694527461198285</v>
      </c>
      <c r="BS62" s="528">
        <f t="shared" si="104"/>
        <v>1.4551787780227807</v>
      </c>
      <c r="BT62" s="528">
        <f t="shared" si="161"/>
        <v>1.4709707220088083E-4</v>
      </c>
      <c r="BU62" s="528">
        <f t="shared" si="41"/>
        <v>1.8608823317962175</v>
      </c>
      <c r="BV62" s="528">
        <f t="shared" si="162"/>
        <v>4.7289815650518516</v>
      </c>
      <c r="BW62" s="625">
        <f t="shared" si="163"/>
        <v>1.4208447383896825E-2</v>
      </c>
      <c r="BX62" s="460">
        <f t="shared" si="105"/>
        <v>4743.1900124357489</v>
      </c>
      <c r="BY62" s="173">
        <f t="shared" si="106"/>
        <v>10.538837266541588</v>
      </c>
      <c r="BZ62" s="5">
        <f t="shared" si="107"/>
        <v>86.639999999999986</v>
      </c>
      <c r="CA62" s="173">
        <f t="shared" si="108"/>
        <v>0.89155213662789845</v>
      </c>
      <c r="CB62" s="5">
        <f t="shared" si="109"/>
        <v>89.155213662789848</v>
      </c>
      <c r="CC62">
        <f t="shared" si="173"/>
        <v>56.999999999999993</v>
      </c>
      <c r="CE62" s="562">
        <f t="shared" si="164"/>
        <v>-50</v>
      </c>
      <c r="CF62">
        <f t="shared" si="165"/>
        <v>-50</v>
      </c>
      <c r="CG62" s="173">
        <f t="shared" si="166"/>
        <v>0.82098061573546177</v>
      </c>
      <c r="CH62" s="173">
        <f t="shared" si="167"/>
        <v>9.6304191786782956E-2</v>
      </c>
      <c r="CI62" s="170">
        <v>57</v>
      </c>
      <c r="CJ62" s="217">
        <f t="shared" si="133"/>
        <v>5.6999999999999993</v>
      </c>
      <c r="CK62" s="217">
        <f t="shared" si="111"/>
        <v>0.14249999999999999</v>
      </c>
      <c r="CL62" s="217">
        <f t="shared" si="48"/>
        <v>85.499999999999986</v>
      </c>
      <c r="CM62" s="217">
        <f t="shared" si="134"/>
        <v>1.1399999999999999</v>
      </c>
      <c r="CN62" s="541">
        <f t="shared" si="112"/>
        <v>72</v>
      </c>
      <c r="CO62" s="443">
        <f t="shared" si="168"/>
        <v>15.7</v>
      </c>
      <c r="CP62" s="443">
        <f t="shared" si="169"/>
        <v>87.7</v>
      </c>
      <c r="CQ62" s="443"/>
      <c r="CR62" s="217">
        <f t="shared" si="113"/>
        <v>0.17620137299771166</v>
      </c>
      <c r="CS62" s="172">
        <f t="shared" si="114"/>
        <v>312.98928098277725</v>
      </c>
      <c r="CT62" s="172">
        <f t="shared" si="51"/>
        <v>4.2288329519450798</v>
      </c>
      <c r="CU62" s="217">
        <f t="shared" si="52"/>
        <v>20.865952065518481</v>
      </c>
      <c r="CV62" s="217">
        <f t="shared" si="53"/>
        <v>39.123660122847156</v>
      </c>
      <c r="CW62" s="443">
        <f t="shared" si="54"/>
        <v>15</v>
      </c>
      <c r="CX62" s="217">
        <f t="shared" si="55"/>
        <v>13.658614718614718</v>
      </c>
      <c r="CY62" s="217">
        <f t="shared" si="56"/>
        <v>2.2764357864357865</v>
      </c>
      <c r="CZ62" s="217">
        <f t="shared" si="57"/>
        <v>10.439705517412525</v>
      </c>
      <c r="DA62" s="197">
        <f t="shared" si="58"/>
        <v>107.41163055872293</v>
      </c>
      <c r="DB62" s="443">
        <f t="shared" si="115"/>
        <v>78.64020822868396</v>
      </c>
      <c r="DD62" s="217">
        <f t="shared" si="59"/>
        <v>10</v>
      </c>
      <c r="DE62" s="173">
        <f t="shared" si="60"/>
        <v>7.6433121019108281</v>
      </c>
      <c r="DF62" s="173">
        <f t="shared" si="61"/>
        <v>4.1049030786773102</v>
      </c>
      <c r="DG62" s="173"/>
      <c r="DH62" s="173">
        <f t="shared" si="62"/>
        <v>7.6433121019108281</v>
      </c>
      <c r="DI62" s="545">
        <f t="shared" si="63"/>
        <v>149.15</v>
      </c>
      <c r="DJ62" s="528">
        <f t="shared" si="64"/>
        <v>4.1049030786773093</v>
      </c>
      <c r="DL62" s="173">
        <f t="shared" si="65"/>
        <v>6.4231723359367248</v>
      </c>
      <c r="DM62" s="173">
        <f t="shared" si="66"/>
        <v>13.658614718614718</v>
      </c>
      <c r="DN62" s="173">
        <f t="shared" si="67"/>
        <v>3.9100849767516435</v>
      </c>
      <c r="DP62" s="545">
        <f t="shared" si="68"/>
        <v>5699.9999999999991</v>
      </c>
      <c r="DQ62" s="460">
        <f t="shared" si="69"/>
        <v>78.64020822868396</v>
      </c>
      <c r="DS62">
        <f t="shared" si="116"/>
        <v>5699.9999999999991</v>
      </c>
      <c r="DT62">
        <f t="shared" si="70"/>
        <v>78.64020822868396</v>
      </c>
      <c r="DV62" s="5">
        <f t="shared" si="117"/>
        <v>12.716141303848312</v>
      </c>
      <c r="DW62" s="5">
        <f t="shared" si="71"/>
        <v>2.2764357864357865</v>
      </c>
      <c r="DX62" s="5">
        <f t="shared" si="118"/>
        <v>10.439705517412525</v>
      </c>
      <c r="DY62" s="173">
        <f t="shared" si="119"/>
        <v>0.17901938426453817</v>
      </c>
      <c r="EA62" s="5">
        <f t="shared" si="72"/>
        <v>86.504559884559868</v>
      </c>
      <c r="EB62" s="5">
        <f t="shared" si="73"/>
        <v>4.054901244588744</v>
      </c>
      <c r="EC62" s="5">
        <f t="shared" si="74"/>
        <v>3.4436528616464921</v>
      </c>
      <c r="ED62" s="5"/>
      <c r="EE62" s="173">
        <f t="shared" si="120"/>
        <v>3.3365378570480089</v>
      </c>
      <c r="EF62" s="173">
        <f t="shared" si="75"/>
        <v>7.1451685638389026</v>
      </c>
      <c r="EG62" s="173">
        <f t="shared" si="76"/>
        <v>0.17596728855258162</v>
      </c>
      <c r="EH62" s="173"/>
      <c r="EI62" s="528">
        <f t="shared" si="77"/>
        <v>0.22264969743029039</v>
      </c>
      <c r="EJ62" s="528">
        <f t="shared" si="78"/>
        <v>1.8839999999999997</v>
      </c>
      <c r="EK62" s="528">
        <f t="shared" si="79"/>
        <v>9.8300260285854955E-3</v>
      </c>
      <c r="EL62" s="528">
        <f t="shared" si="80"/>
        <v>6.048446471471948E-2</v>
      </c>
      <c r="EM62">
        <f t="shared" si="81"/>
        <v>3.2399999999999998E-2</v>
      </c>
      <c r="EN62" s="460">
        <f t="shared" si="121"/>
        <v>42.230026028585492</v>
      </c>
      <c r="EO62">
        <f t="shared" si="82"/>
        <v>2.3962447091687418</v>
      </c>
      <c r="EP62" s="460">
        <f t="shared" si="122"/>
        <v>2396.2447091687418</v>
      </c>
      <c r="EQ62" s="173">
        <f t="shared" si="83"/>
        <v>3.5411249999999992</v>
      </c>
      <c r="ER62" s="173">
        <f t="shared" si="170"/>
        <v>6.3234374999999995E-2</v>
      </c>
      <c r="ES62" s="528"/>
      <c r="EU62" s="460">
        <f t="shared" si="123"/>
        <v>3604.3593749999991</v>
      </c>
      <c r="EV62" s="528">
        <f t="shared" si="85"/>
        <v>0.33397454614543554</v>
      </c>
      <c r="EW62" s="528">
        <f t="shared" si="124"/>
        <v>1.5316030141701507</v>
      </c>
      <c r="EX62" s="528">
        <f t="shared" si="86"/>
        <v>1.5482243320273761E-4</v>
      </c>
      <c r="EY62" s="528">
        <f t="shared" si="87"/>
        <v>1.8905940114174831</v>
      </c>
      <c r="EZ62" s="528">
        <f t="shared" si="88"/>
        <v>4.941692175404218</v>
      </c>
      <c r="FA62" s="625">
        <f t="shared" si="89"/>
        <v>1.4670940780997791E-2</v>
      </c>
      <c r="FB62" s="460">
        <f t="shared" si="125"/>
        <v>4956.3631161852154</v>
      </c>
      <c r="FC62" s="173">
        <f t="shared" si="126"/>
        <v>10.956967200353958</v>
      </c>
      <c r="FD62" s="5">
        <f t="shared" si="127"/>
        <v>86.639999999999986</v>
      </c>
      <c r="FE62" s="173">
        <f t="shared" si="128"/>
        <v>0.8877325032256308</v>
      </c>
      <c r="FF62" s="5">
        <f t="shared" si="129"/>
        <v>88.773250322563086</v>
      </c>
      <c r="FG62">
        <f t="shared" si="130"/>
        <v>56.999999999999993</v>
      </c>
      <c r="FI62" s="562">
        <f t="shared" si="90"/>
        <v>-50</v>
      </c>
      <c r="FJ62">
        <f t="shared" si="91"/>
        <v>-50</v>
      </c>
      <c r="FL62">
        <f t="shared" si="92"/>
        <v>0.82098061573546177</v>
      </c>
    </row>
    <row r="63" spans="5:168">
      <c r="E63" s="170">
        <v>58</v>
      </c>
      <c r="F63" s="217">
        <f t="shared" si="174"/>
        <v>5.8</v>
      </c>
      <c r="G63" s="217">
        <f t="shared" si="171"/>
        <v>0.14499999999999999</v>
      </c>
      <c r="H63" s="217">
        <f t="shared" si="135"/>
        <v>87</v>
      </c>
      <c r="I63" s="217">
        <f t="shared" si="175"/>
        <v>1.1599999999999999</v>
      </c>
      <c r="J63" s="541">
        <f t="shared" si="136"/>
        <v>71.606005961712057</v>
      </c>
      <c r="K63" s="443">
        <f t="shared" si="137"/>
        <v>15.911941666666666</v>
      </c>
      <c r="L63" s="172">
        <f t="shared" si="138"/>
        <v>87.517947628378721</v>
      </c>
      <c r="M63" s="443"/>
      <c r="N63" s="217">
        <f t="shared" si="139"/>
        <v>0.18181346909816051</v>
      </c>
      <c r="O63" s="172">
        <f t="shared" si="172"/>
        <v>321.19086395137577</v>
      </c>
      <c r="P63" s="172">
        <f t="shared" si="140"/>
        <v>4.3396454507208109</v>
      </c>
      <c r="Q63" s="217">
        <f t="shared" si="6"/>
        <v>21.412724263425051</v>
      </c>
      <c r="R63" s="217">
        <f t="shared" si="141"/>
        <v>40.148857993921972</v>
      </c>
      <c r="S63" s="443">
        <f t="shared" si="142"/>
        <v>15</v>
      </c>
      <c r="T63" s="217">
        <f t="shared" si="143"/>
        <v>13.543349105529149</v>
      </c>
      <c r="U63" s="217">
        <f t="shared" si="10"/>
        <v>2.2696446629525715</v>
      </c>
      <c r="V63" s="217">
        <f t="shared" si="11"/>
        <v>10.213724551718743</v>
      </c>
      <c r="W63" s="197">
        <f t="shared" si="12"/>
        <v>108.49113626802028</v>
      </c>
      <c r="X63" s="443">
        <f t="shared" si="95"/>
        <v>78.843403757675347</v>
      </c>
      <c r="Z63" s="217">
        <f t="shared" si="13"/>
        <v>9.9999999999999982</v>
      </c>
      <c r="AA63" s="173">
        <f t="shared" si="14"/>
        <v>7.5415057768457956</v>
      </c>
      <c r="AB63" s="173">
        <f t="shared" si="144"/>
        <v>4.0909326545091966</v>
      </c>
      <c r="AC63" s="173"/>
      <c r="AD63" s="173">
        <f t="shared" si="16"/>
        <v>7.5415057768457974</v>
      </c>
      <c r="AE63" s="545">
        <f t="shared" si="145"/>
        <v>153.8154361111111</v>
      </c>
      <c r="AF63" s="528">
        <f t="shared" si="146"/>
        <v>4.0909326545091975</v>
      </c>
      <c r="AH63" s="173">
        <f t="shared" si="147"/>
        <v>6.4792709760398495</v>
      </c>
      <c r="AI63" s="173">
        <f t="shared" si="148"/>
        <v>13.543349105529149</v>
      </c>
      <c r="AJ63" s="173">
        <f t="shared" si="149"/>
        <v>3.824703041132703</v>
      </c>
      <c r="AL63" s="545">
        <f t="shared" si="150"/>
        <v>5800</v>
      </c>
      <c r="AM63" s="460">
        <f t="shared" si="151"/>
        <v>78.843403757675347</v>
      </c>
      <c r="AO63">
        <f t="shared" si="96"/>
        <v>5800</v>
      </c>
      <c r="AP63">
        <f t="shared" si="24"/>
        <v>78.843403757675347</v>
      </c>
      <c r="AR63" s="5">
        <f t="shared" si="97"/>
        <v>12.683369214671314</v>
      </c>
      <c r="AS63" s="5">
        <f t="shared" si="25"/>
        <v>2.2696446629525715</v>
      </c>
      <c r="AT63" s="5">
        <f t="shared" si="98"/>
        <v>10.413724551718744</v>
      </c>
      <c r="AU63" s="173">
        <f t="shared" si="99"/>
        <v>0.17894651054762256</v>
      </c>
      <c r="AW63" s="5">
        <f t="shared" si="152"/>
        <v>87.759593634166094</v>
      </c>
      <c r="AX63" s="5">
        <f t="shared" si="153"/>
        <v>4.1137309516015348</v>
      </c>
      <c r="AY63" s="5">
        <f t="shared" si="28"/>
        <v>3.5145796308543678</v>
      </c>
      <c r="AZ63" s="5"/>
      <c r="BA63" s="173">
        <f t="shared" si="100"/>
        <v>3.3077072338867657</v>
      </c>
      <c r="BB63" s="173">
        <f t="shared" si="154"/>
        <v>7.0851846261269404</v>
      </c>
      <c r="BC63" s="173">
        <f t="shared" si="155"/>
        <v>0.17449003706696939</v>
      </c>
      <c r="BD63" s="173"/>
      <c r="BE63" s="528">
        <f t="shared" si="31"/>
        <v>0.21881854290213679</v>
      </c>
      <c r="BF63" s="528">
        <f t="shared" si="156"/>
        <v>1.7522248490361987</v>
      </c>
      <c r="BG63" s="528">
        <f t="shared" si="157"/>
        <v>0.14114153098784427</v>
      </c>
      <c r="BH63" s="528">
        <f t="shared" si="34"/>
        <v>6.0389246953591366E-2</v>
      </c>
      <c r="BI63">
        <f t="shared" si="35"/>
        <v>3.2222702682770422E-2</v>
      </c>
      <c r="BJ63" s="460">
        <f t="shared" si="101"/>
        <v>173.36423367061468</v>
      </c>
      <c r="BK63">
        <f t="shared" si="158"/>
        <v>2.2051629000324176</v>
      </c>
      <c r="BL63" s="460">
        <f t="shared" si="102"/>
        <v>2205.1629000324174</v>
      </c>
      <c r="BM63" s="173">
        <f t="shared" si="159"/>
        <v>3.6032499999999996</v>
      </c>
      <c r="BN63" s="173">
        <f t="shared" si="160"/>
        <v>6.4343749999999991E-2</v>
      </c>
      <c r="BO63" s="528"/>
      <c r="BQ63" s="460">
        <f t="shared" si="103"/>
        <v>3667.5937499999995</v>
      </c>
      <c r="BR63" s="528">
        <f t="shared" si="39"/>
        <v>0.32822781435320514</v>
      </c>
      <c r="BS63" s="528">
        <f t="shared" si="104"/>
        <v>1.5059952355891666</v>
      </c>
      <c r="BT63" s="528">
        <f t="shared" si="161"/>
        <v>1.5223386517816177E-4</v>
      </c>
      <c r="BU63" s="528">
        <f t="shared" si="41"/>
        <v>1.8629388525936097</v>
      </c>
      <c r="BV63" s="528">
        <f t="shared" si="162"/>
        <v>4.8491817340916761</v>
      </c>
      <c r="BW63" s="625">
        <f t="shared" si="163"/>
        <v>1.4461638850824115E-2</v>
      </c>
      <c r="BX63" s="460">
        <f t="shared" si="105"/>
        <v>4863.6433729425007</v>
      </c>
      <c r="BY63" s="173">
        <f t="shared" si="106"/>
        <v>10.736400022974918</v>
      </c>
      <c r="BZ63" s="5">
        <f t="shared" si="107"/>
        <v>88.16</v>
      </c>
      <c r="CA63" s="173">
        <f t="shared" si="108"/>
        <v>0.89143790855399474</v>
      </c>
      <c r="CB63" s="5">
        <f t="shared" si="109"/>
        <v>89.143790855399473</v>
      </c>
      <c r="CC63">
        <f t="shared" si="173"/>
        <v>57.999999999999993</v>
      </c>
      <c r="CE63" s="562">
        <f t="shared" si="164"/>
        <v>-50</v>
      </c>
      <c r="CF63">
        <f t="shared" si="165"/>
        <v>-50</v>
      </c>
      <c r="CG63" s="173">
        <f t="shared" si="166"/>
        <v>0.82098061573546177</v>
      </c>
      <c r="CH63" s="173">
        <f t="shared" si="167"/>
        <v>9.6304191786782956E-2</v>
      </c>
      <c r="CI63" s="170">
        <v>58</v>
      </c>
      <c r="CJ63" s="217">
        <f t="shared" si="133"/>
        <v>5.8</v>
      </c>
      <c r="CK63" s="217">
        <f t="shared" si="111"/>
        <v>0.14499999999999999</v>
      </c>
      <c r="CL63" s="217">
        <f t="shared" si="48"/>
        <v>87</v>
      </c>
      <c r="CM63" s="217">
        <f t="shared" si="134"/>
        <v>1.1599999999999999</v>
      </c>
      <c r="CN63" s="541">
        <f t="shared" si="112"/>
        <v>72</v>
      </c>
      <c r="CO63" s="443">
        <f t="shared" si="168"/>
        <v>15.7</v>
      </c>
      <c r="CP63" s="443">
        <f t="shared" si="169"/>
        <v>87.7</v>
      </c>
      <c r="CQ63" s="443"/>
      <c r="CR63" s="217">
        <f t="shared" si="113"/>
        <v>0.17620137299771166</v>
      </c>
      <c r="CS63" s="172">
        <f t="shared" si="114"/>
        <v>312.98928098277725</v>
      </c>
      <c r="CT63" s="172">
        <f t="shared" si="51"/>
        <v>4.2288329519450798</v>
      </c>
      <c r="CU63" s="217">
        <f t="shared" si="52"/>
        <v>20.865952065518481</v>
      </c>
      <c r="CV63" s="217">
        <f t="shared" si="53"/>
        <v>39.123660122847156</v>
      </c>
      <c r="CW63" s="443">
        <f t="shared" si="54"/>
        <v>15</v>
      </c>
      <c r="CX63" s="217">
        <f t="shared" si="55"/>
        <v>13.898239538239539</v>
      </c>
      <c r="CY63" s="217">
        <f t="shared" si="56"/>
        <v>2.3163732563732564</v>
      </c>
      <c r="CZ63" s="217">
        <f t="shared" si="57"/>
        <v>10.622858245788183</v>
      </c>
      <c r="DA63" s="197">
        <f t="shared" si="58"/>
        <v>107.41163055872293</v>
      </c>
      <c r="DB63" s="443">
        <f t="shared" si="115"/>
        <v>77.284342569568722</v>
      </c>
      <c r="DD63" s="217">
        <f t="shared" si="59"/>
        <v>10</v>
      </c>
      <c r="DE63" s="173">
        <f t="shared" si="60"/>
        <v>7.6433121019108281</v>
      </c>
      <c r="DF63" s="173">
        <f t="shared" si="61"/>
        <v>4.1049030786773102</v>
      </c>
      <c r="DG63" s="173"/>
      <c r="DH63" s="173">
        <f t="shared" si="62"/>
        <v>7.6433121019108281</v>
      </c>
      <c r="DI63" s="545">
        <f t="shared" si="63"/>
        <v>151.76666666666668</v>
      </c>
      <c r="DJ63" s="528">
        <f t="shared" si="64"/>
        <v>4.1049030786773093</v>
      </c>
      <c r="DL63" s="173">
        <f t="shared" si="65"/>
        <v>6.4792709760398495</v>
      </c>
      <c r="DM63" s="173">
        <f t="shared" si="66"/>
        <v>13.898239538239539</v>
      </c>
      <c r="DN63" s="173">
        <f t="shared" si="67"/>
        <v>4.0875848431403989</v>
      </c>
      <c r="DP63" s="545">
        <f t="shared" si="68"/>
        <v>5800</v>
      </c>
      <c r="DQ63" s="460">
        <f t="shared" si="69"/>
        <v>77.284342569568722</v>
      </c>
      <c r="DS63">
        <f t="shared" si="116"/>
        <v>5800</v>
      </c>
      <c r="DT63">
        <f t="shared" si="70"/>
        <v>77.284342569568722</v>
      </c>
      <c r="DV63" s="5">
        <f t="shared" si="117"/>
        <v>12.939231502161439</v>
      </c>
      <c r="DW63" s="5">
        <f t="shared" si="71"/>
        <v>2.3163732563732564</v>
      </c>
      <c r="DX63" s="5">
        <f t="shared" si="118"/>
        <v>10.622858245788183</v>
      </c>
      <c r="DY63" s="173">
        <f t="shared" si="119"/>
        <v>0.1790193842645382</v>
      </c>
      <c r="EA63" s="5">
        <f t="shared" si="72"/>
        <v>89.566432579765902</v>
      </c>
      <c r="EB63" s="5">
        <f t="shared" si="73"/>
        <v>4.1984265271765269</v>
      </c>
      <c r="EC63" s="5">
        <f t="shared" si="74"/>
        <v>3.5655426982390894</v>
      </c>
      <c r="ED63" s="5"/>
      <c r="EE63" s="173">
        <f t="shared" si="120"/>
        <v>3.3950736089260443</v>
      </c>
      <c r="EF63" s="173">
        <f t="shared" si="75"/>
        <v>7.2705223982922176</v>
      </c>
      <c r="EG63" s="173">
        <f t="shared" si="76"/>
        <v>0.17905443396578483</v>
      </c>
      <c r="EH63" s="173"/>
      <c r="EI63" s="528">
        <f t="shared" si="77"/>
        <v>0.23053049620052229</v>
      </c>
      <c r="EJ63" s="528">
        <f t="shared" si="78"/>
        <v>1.8840000000000001</v>
      </c>
      <c r="EK63" s="528">
        <f t="shared" si="79"/>
        <v>9.6605428211960897E-3</v>
      </c>
      <c r="EL63" s="528">
        <f t="shared" si="80"/>
        <v>5.9441629116189831E-2</v>
      </c>
      <c r="EM63">
        <f t="shared" si="81"/>
        <v>3.2399999999999998E-2</v>
      </c>
      <c r="EN63" s="460">
        <f t="shared" si="121"/>
        <v>42.060542821196087</v>
      </c>
      <c r="EO63">
        <f t="shared" si="82"/>
        <v>2.4102976565795577</v>
      </c>
      <c r="EP63" s="460">
        <f t="shared" si="122"/>
        <v>2410.297656579558</v>
      </c>
      <c r="EQ63" s="173">
        <f t="shared" si="83"/>
        <v>3.6032499999999996</v>
      </c>
      <c r="ER63" s="173">
        <f t="shared" si="170"/>
        <v>6.4343749999999991E-2</v>
      </c>
      <c r="ES63" s="528"/>
      <c r="EU63" s="460">
        <f t="shared" si="123"/>
        <v>3667.5937499999995</v>
      </c>
      <c r="EV63" s="528">
        <f t="shared" si="85"/>
        <v>0.34579574430078341</v>
      </c>
      <c r="EW63" s="528">
        <f t="shared" si="124"/>
        <v>1.5858148783220645</v>
      </c>
      <c r="EX63" s="528">
        <f t="shared" si="86"/>
        <v>1.6030245161403799E-4</v>
      </c>
      <c r="EY63" s="528">
        <f t="shared" si="87"/>
        <v>1.8905940114174846</v>
      </c>
      <c r="EZ63" s="528">
        <f t="shared" si="88"/>
        <v>5.0694278200768661</v>
      </c>
      <c r="FA63" s="625">
        <f t="shared" si="89"/>
        <v>1.4928325706980211E-2</v>
      </c>
      <c r="FB63" s="460">
        <f t="shared" si="125"/>
        <v>5084.3561457838459</v>
      </c>
      <c r="FC63" s="173">
        <f t="shared" si="126"/>
        <v>11.162247552363405</v>
      </c>
      <c r="FD63" s="5">
        <f t="shared" si="127"/>
        <v>88.16</v>
      </c>
      <c r="FE63" s="173">
        <f t="shared" si="128"/>
        <v>0.88761583806811672</v>
      </c>
      <c r="FF63" s="5">
        <f t="shared" si="129"/>
        <v>88.761583806811672</v>
      </c>
      <c r="FG63">
        <f t="shared" si="130"/>
        <v>57.999999999999993</v>
      </c>
      <c r="FI63" s="562">
        <f t="shared" si="90"/>
        <v>-50</v>
      </c>
      <c r="FJ63">
        <f t="shared" si="91"/>
        <v>-50</v>
      </c>
      <c r="FL63">
        <f t="shared" si="92"/>
        <v>0.82098061573546177</v>
      </c>
    </row>
    <row r="64" spans="5:168">
      <c r="E64" s="170">
        <v>59</v>
      </c>
      <c r="F64" s="217">
        <f t="shared" si="174"/>
        <v>5.8999999999999995</v>
      </c>
      <c r="G64" s="217">
        <f t="shared" si="171"/>
        <v>0.14749999999999999</v>
      </c>
      <c r="H64" s="217">
        <f t="shared" si="135"/>
        <v>88.499999999999986</v>
      </c>
      <c r="I64" s="217">
        <f t="shared" si="175"/>
        <v>1.18</v>
      </c>
      <c r="J64" s="541">
        <f t="shared" si="136"/>
        <v>71.599212961051933</v>
      </c>
      <c r="K64" s="443">
        <f t="shared" si="137"/>
        <v>15.915595833333333</v>
      </c>
      <c r="L64" s="172">
        <f t="shared" si="138"/>
        <v>87.51480879438526</v>
      </c>
      <c r="M64" s="443"/>
      <c r="N64" s="217">
        <f t="shared" si="139"/>
        <v>0.18186174491595802</v>
      </c>
      <c r="O64" s="172">
        <f t="shared" si="172"/>
        <v>321.24566949933018</v>
      </c>
      <c r="P64" s="172">
        <f t="shared" si="140"/>
        <v>4.3403859345687277</v>
      </c>
      <c r="Q64" s="217">
        <f t="shared" si="6"/>
        <v>21.416377966622012</v>
      </c>
      <c r="R64" s="217">
        <f t="shared" si="141"/>
        <v>40.155708687416272</v>
      </c>
      <c r="S64" s="443">
        <f t="shared" si="142"/>
        <v>15</v>
      </c>
      <c r="T64" s="217">
        <f t="shared" si="143"/>
        <v>13.774504748644484</v>
      </c>
      <c r="U64" s="217">
        <f t="shared" si="10"/>
        <v>2.3086015913841034</v>
      </c>
      <c r="V64" s="217">
        <f t="shared" si="11"/>
        <v>10.385665652400204</v>
      </c>
      <c r="W64" s="197">
        <f t="shared" si="12"/>
        <v>108.50964836421819</v>
      </c>
      <c r="X64" s="443">
        <f t="shared" si="95"/>
        <v>77.553844750817532</v>
      </c>
      <c r="Z64" s="217">
        <f t="shared" si="13"/>
        <v>9.9999999999999982</v>
      </c>
      <c r="AA64" s="173">
        <f t="shared" si="14"/>
        <v>7.5397742727717532</v>
      </c>
      <c r="AB64" s="173">
        <f t="shared" si="144"/>
        <v>4.0906912754202089</v>
      </c>
      <c r="AC64" s="173"/>
      <c r="AD64" s="173">
        <f t="shared" si="16"/>
        <v>7.5397742727717549</v>
      </c>
      <c r="AE64" s="545">
        <f t="shared" si="145"/>
        <v>156.50335902777778</v>
      </c>
      <c r="AF64" s="528">
        <f t="shared" si="146"/>
        <v>4.0906912754202098</v>
      </c>
      <c r="AH64" s="173">
        <f t="shared" si="147"/>
        <v>6.5348880560237523</v>
      </c>
      <c r="AI64" s="173">
        <f t="shared" si="148"/>
        <v>13.774504748644484</v>
      </c>
      <c r="AJ64" s="173">
        <f t="shared" si="149"/>
        <v>3.9959294434403585</v>
      </c>
      <c r="AL64" s="545">
        <f t="shared" si="150"/>
        <v>5899.9999999999991</v>
      </c>
      <c r="AM64" s="460">
        <f t="shared" si="151"/>
        <v>77.553844750817532</v>
      </c>
      <c r="AO64">
        <f t="shared" si="96"/>
        <v>5899.9999999999991</v>
      </c>
      <c r="AP64">
        <f t="shared" si="24"/>
        <v>77.553844750817532</v>
      </c>
      <c r="AR64" s="5">
        <f t="shared" si="97"/>
        <v>12.894267243784306</v>
      </c>
      <c r="AS64" s="5">
        <f t="shared" si="25"/>
        <v>2.3086015913841034</v>
      </c>
      <c r="AT64" s="5">
        <f t="shared" si="98"/>
        <v>10.585665652400202</v>
      </c>
      <c r="AU64" s="173">
        <f t="shared" si="99"/>
        <v>0.17904092940969307</v>
      </c>
      <c r="AW64" s="5">
        <f t="shared" si="152"/>
        <v>90.804995927774712</v>
      </c>
      <c r="AX64" s="5">
        <f t="shared" si="153"/>
        <v>4.2564841841144405</v>
      </c>
      <c r="AY64" s="5">
        <f t="shared" si="28"/>
        <v>3.6345503885598616</v>
      </c>
      <c r="AZ64" s="5"/>
      <c r="BA64" s="173">
        <f t="shared" si="100"/>
        <v>3.3650500459002108</v>
      </c>
      <c r="BB64" s="173">
        <f t="shared" si="154"/>
        <v>7.2056990323907373</v>
      </c>
      <c r="BC64" s="173">
        <f t="shared" si="155"/>
        <v>0.17745799969966211</v>
      </c>
      <c r="BD64" s="173"/>
      <c r="BE64" s="528">
        <f t="shared" si="31"/>
        <v>0.22647123622826024</v>
      </c>
      <c r="BF64" s="528">
        <f t="shared" si="156"/>
        <v>1.7529202026234856</v>
      </c>
      <c r="BG64" s="528">
        <f t="shared" si="157"/>
        <v>0.13881985615655359</v>
      </c>
      <c r="BH64" s="528">
        <f t="shared" si="34"/>
        <v>5.9397262469565795E-2</v>
      </c>
      <c r="BI64">
        <f t="shared" si="35"/>
        <v>3.2219645832473366E-2</v>
      </c>
      <c r="BJ64" s="460">
        <f t="shared" si="101"/>
        <v>171.03950198902695</v>
      </c>
      <c r="BK64">
        <f t="shared" si="158"/>
        <v>2.2193586608368832</v>
      </c>
      <c r="BL64" s="460">
        <f t="shared" si="102"/>
        <v>2219.3586608368832</v>
      </c>
      <c r="BM64" s="173">
        <f t="shared" si="159"/>
        <v>3.6653749999999987</v>
      </c>
      <c r="BN64" s="173">
        <f t="shared" si="160"/>
        <v>6.5453124999999987E-2</v>
      </c>
      <c r="BO64" s="528"/>
      <c r="BQ64" s="460">
        <f t="shared" si="103"/>
        <v>3730.8281249999986</v>
      </c>
      <c r="BR64" s="528">
        <f t="shared" si="39"/>
        <v>0.33970685434239034</v>
      </c>
      <c r="BS64" s="528">
        <f t="shared" si="104"/>
        <v>1.5576629563619042</v>
      </c>
      <c r="BT64" s="528">
        <f t="shared" si="161"/>
        <v>1.5745670828702638E-4</v>
      </c>
      <c r="BU64" s="528">
        <f t="shared" si="41"/>
        <v>1.8649548383200969</v>
      </c>
      <c r="BV64" s="528">
        <f t="shared" si="162"/>
        <v>4.9727652646393175</v>
      </c>
      <c r="BW64" s="625">
        <f t="shared" si="163"/>
        <v>1.4714832373424891E-2</v>
      </c>
      <c r="BX64" s="460">
        <f t="shared" si="105"/>
        <v>4987.4800970127426</v>
      </c>
      <c r="BY64" s="173">
        <f t="shared" si="106"/>
        <v>10.937666882849625</v>
      </c>
      <c r="BZ64" s="5">
        <f t="shared" si="107"/>
        <v>89.679999999999993</v>
      </c>
      <c r="CA64" s="173">
        <f t="shared" si="108"/>
        <v>0.89129476739324032</v>
      </c>
      <c r="CB64" s="5">
        <f t="shared" si="109"/>
        <v>89.129476739324033</v>
      </c>
      <c r="CC64">
        <f t="shared" si="173"/>
        <v>59</v>
      </c>
      <c r="CE64" s="562">
        <f t="shared" si="164"/>
        <v>-50</v>
      </c>
      <c r="CF64">
        <f t="shared" si="165"/>
        <v>-50</v>
      </c>
      <c r="CG64" s="173">
        <f t="shared" si="166"/>
        <v>0.82098061573546177</v>
      </c>
      <c r="CH64" s="173">
        <f t="shared" si="167"/>
        <v>9.6304191786782956E-2</v>
      </c>
      <c r="CI64" s="170">
        <v>59</v>
      </c>
      <c r="CJ64" s="217">
        <f t="shared" si="133"/>
        <v>5.8999999999999995</v>
      </c>
      <c r="CK64" s="217">
        <f t="shared" si="111"/>
        <v>0.14749999999999999</v>
      </c>
      <c r="CL64" s="217">
        <f t="shared" si="48"/>
        <v>88.499999999999986</v>
      </c>
      <c r="CM64" s="217">
        <f t="shared" si="134"/>
        <v>1.18</v>
      </c>
      <c r="CN64" s="541">
        <f t="shared" si="112"/>
        <v>72</v>
      </c>
      <c r="CO64" s="443">
        <f t="shared" si="168"/>
        <v>15.7</v>
      </c>
      <c r="CP64" s="443">
        <f t="shared" si="169"/>
        <v>87.7</v>
      </c>
      <c r="CQ64" s="443"/>
      <c r="CR64" s="217">
        <f t="shared" si="113"/>
        <v>0.17620137299771166</v>
      </c>
      <c r="CS64" s="172">
        <f t="shared" si="114"/>
        <v>312.98928098277725</v>
      </c>
      <c r="CT64" s="172">
        <f t="shared" si="51"/>
        <v>4.2288329519450798</v>
      </c>
      <c r="CU64" s="217">
        <f t="shared" si="52"/>
        <v>20.865952065518481</v>
      </c>
      <c r="CV64" s="217">
        <f t="shared" si="53"/>
        <v>39.123660122847156</v>
      </c>
      <c r="CW64" s="443">
        <f t="shared" si="54"/>
        <v>15</v>
      </c>
      <c r="CX64" s="217">
        <f t="shared" si="55"/>
        <v>14.137864357864357</v>
      </c>
      <c r="CY64" s="217">
        <f t="shared" si="56"/>
        <v>2.3563107263107264</v>
      </c>
      <c r="CZ64" s="217">
        <f t="shared" si="57"/>
        <v>10.806010974163842</v>
      </c>
      <c r="DA64" s="197">
        <f t="shared" si="58"/>
        <v>107.41163055872293</v>
      </c>
      <c r="DB64" s="443">
        <f t="shared" si="115"/>
        <v>75.974438458220106</v>
      </c>
      <c r="DD64" s="217">
        <f t="shared" si="59"/>
        <v>10</v>
      </c>
      <c r="DE64" s="173">
        <f t="shared" si="60"/>
        <v>7.6433121019108281</v>
      </c>
      <c r="DF64" s="173">
        <f t="shared" si="61"/>
        <v>4.1049030786773102</v>
      </c>
      <c r="DG64" s="173"/>
      <c r="DH64" s="173">
        <f t="shared" si="62"/>
        <v>7.6433121019108281</v>
      </c>
      <c r="DI64" s="545">
        <f t="shared" si="63"/>
        <v>154.38333333333335</v>
      </c>
      <c r="DJ64" s="528">
        <f t="shared" si="64"/>
        <v>4.1049030786773093</v>
      </c>
      <c r="DL64" s="173">
        <f t="shared" si="65"/>
        <v>6.5348880560237523</v>
      </c>
      <c r="DM64" s="173">
        <f t="shared" si="66"/>
        <v>14.137864357864357</v>
      </c>
      <c r="DN64" s="173">
        <f t="shared" si="67"/>
        <v>4.2650847095291535</v>
      </c>
      <c r="DP64" s="545">
        <f t="shared" si="68"/>
        <v>5899.9999999999991</v>
      </c>
      <c r="DQ64" s="460">
        <f t="shared" si="69"/>
        <v>75.974438458220106</v>
      </c>
      <c r="DS64">
        <f t="shared" si="116"/>
        <v>5899.9999999999991</v>
      </c>
      <c r="DT64">
        <f t="shared" si="70"/>
        <v>75.974438458220106</v>
      </c>
      <c r="DV64" s="5">
        <f t="shared" si="117"/>
        <v>13.162321700474566</v>
      </c>
      <c r="DW64" s="5">
        <f t="shared" si="71"/>
        <v>2.3563107263107264</v>
      </c>
      <c r="DX64" s="5">
        <f t="shared" si="118"/>
        <v>10.80601097416384</v>
      </c>
      <c r="DY64" s="173">
        <f t="shared" si="119"/>
        <v>0.1790193842645382</v>
      </c>
      <c r="EA64" s="5">
        <f t="shared" si="72"/>
        <v>92.681555234888563</v>
      </c>
      <c r="EB64" s="5">
        <f t="shared" si="73"/>
        <v>4.3444479016354016</v>
      </c>
      <c r="EC64" s="5">
        <f t="shared" si="74"/>
        <v>3.6895523580767735</v>
      </c>
      <c r="ED64" s="5"/>
      <c r="EE64" s="173">
        <f t="shared" si="120"/>
        <v>3.4536093608040797</v>
      </c>
      <c r="EF64" s="173">
        <f t="shared" si="75"/>
        <v>7.3958762327455307</v>
      </c>
      <c r="EG64" s="173">
        <f t="shared" si="76"/>
        <v>0.18214157937898798</v>
      </c>
      <c r="EH64" s="173"/>
      <c r="EI64" s="528">
        <f t="shared" si="77"/>
        <v>0.23854835234067129</v>
      </c>
      <c r="EJ64" s="528">
        <f t="shared" si="78"/>
        <v>1.8840000000000001</v>
      </c>
      <c r="EK64" s="528">
        <f t="shared" si="79"/>
        <v>9.4968048072775132E-3</v>
      </c>
      <c r="EL64" s="528">
        <f t="shared" si="80"/>
        <v>5.8434143876932382E-2</v>
      </c>
      <c r="EM64">
        <f t="shared" si="81"/>
        <v>3.2399999999999998E-2</v>
      </c>
      <c r="EN64" s="460">
        <f t="shared" si="121"/>
        <v>41.896804807277512</v>
      </c>
      <c r="EO64">
        <f t="shared" si="82"/>
        <v>2.4247181720576179</v>
      </c>
      <c r="EP64" s="460">
        <f t="shared" si="122"/>
        <v>2424.7181720576177</v>
      </c>
      <c r="EQ64" s="173">
        <f t="shared" si="83"/>
        <v>3.6653749999999987</v>
      </c>
      <c r="ER64" s="173">
        <f t="shared" si="170"/>
        <v>6.5453124999999987E-2</v>
      </c>
      <c r="ES64" s="528"/>
      <c r="EU64" s="460">
        <f t="shared" si="123"/>
        <v>3730.8281249999986</v>
      </c>
      <c r="EV64" s="528">
        <f t="shared" si="85"/>
        <v>0.35782252851100693</v>
      </c>
      <c r="EW64" s="528">
        <f t="shared" si="124"/>
        <v>1.6409695575027066</v>
      </c>
      <c r="EX64" s="528">
        <f t="shared" si="86"/>
        <v>1.658777746933609E-4</v>
      </c>
      <c r="EY64" s="528">
        <f t="shared" si="87"/>
        <v>1.8905940114174864</v>
      </c>
      <c r="EZ64" s="528">
        <f t="shared" si="88"/>
        <v>5.2010337062837344</v>
      </c>
      <c r="FA64" s="625">
        <f t="shared" si="89"/>
        <v>1.5185710632962627E-2</v>
      </c>
      <c r="FB64" s="460">
        <f t="shared" si="125"/>
        <v>5216.2194169166969</v>
      </c>
      <c r="FC64" s="173">
        <f t="shared" si="126"/>
        <v>11.371765713974314</v>
      </c>
      <c r="FD64" s="5">
        <f t="shared" si="127"/>
        <v>89.679999999999993</v>
      </c>
      <c r="FE64" s="173">
        <f t="shared" si="128"/>
        <v>0.88746593754569369</v>
      </c>
      <c r="FF64" s="5">
        <f t="shared" si="129"/>
        <v>88.746593754569375</v>
      </c>
      <c r="FG64">
        <f t="shared" si="130"/>
        <v>59</v>
      </c>
      <c r="FI64" s="562">
        <f t="shared" si="90"/>
        <v>-50</v>
      </c>
      <c r="FJ64">
        <f t="shared" si="91"/>
        <v>-50</v>
      </c>
      <c r="FL64">
        <f t="shared" si="92"/>
        <v>0.82098061573546177</v>
      </c>
    </row>
    <row r="65" spans="5:168">
      <c r="E65" s="170">
        <v>60</v>
      </c>
      <c r="F65" s="217">
        <f t="shared" si="174"/>
        <v>6</v>
      </c>
      <c r="G65" s="217">
        <f t="shared" si="171"/>
        <v>0.15</v>
      </c>
      <c r="H65" s="217">
        <f t="shared" si="135"/>
        <v>90</v>
      </c>
      <c r="I65" s="217">
        <f t="shared" si="175"/>
        <v>1.2</v>
      </c>
      <c r="J65" s="541">
        <f t="shared" si="136"/>
        <v>71.592419960391794</v>
      </c>
      <c r="K65" s="443">
        <f t="shared" si="137"/>
        <v>15.91925</v>
      </c>
      <c r="L65" s="172">
        <f t="shared" si="138"/>
        <v>87.511669960391799</v>
      </c>
      <c r="M65" s="443"/>
      <c r="N65" s="217">
        <f t="shared" si="139"/>
        <v>0.18191002419683144</v>
      </c>
      <c r="O65" s="172">
        <f t="shared" si="172"/>
        <v>321.30046498284355</v>
      </c>
      <c r="P65" s="172">
        <f t="shared" si="140"/>
        <v>4.341126282434864</v>
      </c>
      <c r="Q65" s="217">
        <f t="shared" si="6"/>
        <v>21.420030998856237</v>
      </c>
      <c r="R65" s="217">
        <f t="shared" si="141"/>
        <v>40.162558122855444</v>
      </c>
      <c r="S65" s="443">
        <f t="shared" si="142"/>
        <v>15</v>
      </c>
      <c r="T65" s="217">
        <f t="shared" si="143"/>
        <v>14.005581972127823</v>
      </c>
      <c r="U65" s="217">
        <f t="shared" si="10"/>
        <v>2.3475527682751363</v>
      </c>
      <c r="V65" s="217">
        <f t="shared" si="11"/>
        <v>10.55746870396117</v>
      </c>
      <c r="W65" s="197">
        <f t="shared" si="12"/>
        <v>108.52815706087159</v>
      </c>
      <c r="X65" s="443">
        <f t="shared" si="95"/>
        <v>76.306628121026279</v>
      </c>
      <c r="Z65" s="217">
        <f t="shared" si="13"/>
        <v>9.9999999999999982</v>
      </c>
      <c r="AA65" s="173">
        <f t="shared" si="14"/>
        <v>7.5380435636100938</v>
      </c>
      <c r="AB65" s="173">
        <f t="shared" si="144"/>
        <v>4.0904498790158419</v>
      </c>
      <c r="AC65" s="173"/>
      <c r="AD65" s="173">
        <f t="shared" si="16"/>
        <v>7.5380435636100955</v>
      </c>
      <c r="AE65" s="545">
        <f t="shared" si="145"/>
        <v>159.1925</v>
      </c>
      <c r="AF65" s="528">
        <f t="shared" si="146"/>
        <v>4.0904498790158428</v>
      </c>
      <c r="AH65" s="173">
        <f t="shared" si="147"/>
        <v>6.590035768383312</v>
      </c>
      <c r="AI65" s="173">
        <f t="shared" si="148"/>
        <v>14.005581972127823</v>
      </c>
      <c r="AJ65" s="173">
        <f t="shared" si="149"/>
        <v>4.1670977571317209</v>
      </c>
      <c r="AL65" s="545">
        <f t="shared" si="150"/>
        <v>6000</v>
      </c>
      <c r="AM65" s="460">
        <f t="shared" si="151"/>
        <v>76.306628121026279</v>
      </c>
      <c r="AO65">
        <f t="shared" si="96"/>
        <v>6000</v>
      </c>
      <c r="AP65">
        <f t="shared" si="24"/>
        <v>76.306628121026279</v>
      </c>
      <c r="AR65" s="5">
        <f t="shared" si="97"/>
        <v>13.105021472236306</v>
      </c>
      <c r="AS65" s="5">
        <f t="shared" si="25"/>
        <v>2.3475527682751363</v>
      </c>
      <c r="AT65" s="5">
        <f t="shared" si="98"/>
        <v>10.75746870396117</v>
      </c>
      <c r="AU65" s="173">
        <f t="shared" si="99"/>
        <v>0.17913383608325659</v>
      </c>
      <c r="AW65" s="5">
        <f t="shared" si="152"/>
        <v>93.90211073100545</v>
      </c>
      <c r="AX65" s="5">
        <f t="shared" si="153"/>
        <v>4.4016614405158805</v>
      </c>
      <c r="AY65" s="5">
        <f t="shared" si="28"/>
        <v>3.7564970949133629</v>
      </c>
      <c r="AZ65" s="5"/>
      <c r="BA65" s="173">
        <f t="shared" si="100"/>
        <v>3.4223887961524273</v>
      </c>
      <c r="BB65" s="173">
        <f t="shared" si="154"/>
        <v>7.3261652352351181</v>
      </c>
      <c r="BC65" s="173">
        <f t="shared" si="155"/>
        <v>0.18042477520500605</v>
      </c>
      <c r="BD65" s="173"/>
      <c r="BE65" s="528">
        <f t="shared" si="31"/>
        <v>0.23425490144059322</v>
      </c>
      <c r="BF65" s="528">
        <f t="shared" si="156"/>
        <v>1.7536005231057894</v>
      </c>
      <c r="BG65" s="528">
        <f t="shared" si="157"/>
        <v>0.13657440415504887</v>
      </c>
      <c r="BH65" s="528">
        <f t="shared" si="34"/>
        <v>5.8437846862601846E-2</v>
      </c>
      <c r="BI65">
        <f t="shared" si="35"/>
        <v>3.221658898217631E-2</v>
      </c>
      <c r="BJ65" s="460">
        <f t="shared" si="101"/>
        <v>168.79099313722517</v>
      </c>
      <c r="BK65">
        <f t="shared" si="158"/>
        <v>2.2338773977610966</v>
      </c>
      <c r="BL65" s="460">
        <f t="shared" si="102"/>
        <v>2233.8773977610967</v>
      </c>
      <c r="BM65" s="173">
        <f t="shared" si="159"/>
        <v>3.7274999999999991</v>
      </c>
      <c r="BN65" s="173">
        <f t="shared" si="160"/>
        <v>6.6562499999999997E-2</v>
      </c>
      <c r="BO65" s="528"/>
      <c r="BQ65" s="460">
        <f t="shared" si="103"/>
        <v>3794.0624999999991</v>
      </c>
      <c r="BR65" s="528">
        <f t="shared" si="39"/>
        <v>0.35138235216088981</v>
      </c>
      <c r="BS65" s="528">
        <f t="shared" si="104"/>
        <v>1.6101809116190289</v>
      </c>
      <c r="BT65" s="528">
        <f t="shared" si="161"/>
        <v>1.6276549753888484E-4</v>
      </c>
      <c r="BU65" s="528">
        <f t="shared" si="41"/>
        <v>1.8669322652823115</v>
      </c>
      <c r="BV65" s="528">
        <f t="shared" si="162"/>
        <v>5.0998300973327844</v>
      </c>
      <c r="BW65" s="625">
        <f t="shared" si="163"/>
        <v>1.4968027850512086E-2</v>
      </c>
      <c r="BX65" s="460">
        <f t="shared" si="105"/>
        <v>5114.7981251832962</v>
      </c>
      <c r="BY65" s="173">
        <f t="shared" si="106"/>
        <v>11.142738022944393</v>
      </c>
      <c r="BZ65" s="5">
        <f t="shared" si="107"/>
        <v>91.2</v>
      </c>
      <c r="CA65" s="173">
        <f t="shared" si="108"/>
        <v>0.89112331526203381</v>
      </c>
      <c r="CB65" s="5">
        <f t="shared" si="109"/>
        <v>89.112331526203377</v>
      </c>
      <c r="CC65">
        <f t="shared" si="173"/>
        <v>60</v>
      </c>
      <c r="CE65" s="562">
        <f t="shared" si="164"/>
        <v>-50</v>
      </c>
      <c r="CF65">
        <f t="shared" si="165"/>
        <v>-50</v>
      </c>
      <c r="CG65" s="173">
        <f t="shared" si="166"/>
        <v>0.82098061573546177</v>
      </c>
      <c r="CH65" s="173">
        <f t="shared" si="167"/>
        <v>9.6304191786782956E-2</v>
      </c>
      <c r="CI65" s="170">
        <v>60</v>
      </c>
      <c r="CJ65" s="217">
        <f t="shared" si="133"/>
        <v>6</v>
      </c>
      <c r="CK65" s="217">
        <f t="shared" si="111"/>
        <v>0.15</v>
      </c>
      <c r="CL65" s="217">
        <f t="shared" si="48"/>
        <v>90</v>
      </c>
      <c r="CM65" s="217">
        <f t="shared" si="134"/>
        <v>1.2</v>
      </c>
      <c r="CN65" s="541">
        <f t="shared" si="112"/>
        <v>72</v>
      </c>
      <c r="CO65" s="443">
        <f t="shared" si="168"/>
        <v>15.7</v>
      </c>
      <c r="CP65" s="443">
        <f t="shared" si="169"/>
        <v>87.7</v>
      </c>
      <c r="CQ65" s="443"/>
      <c r="CR65" s="217">
        <f t="shared" si="113"/>
        <v>0.17620137299771166</v>
      </c>
      <c r="CS65" s="172">
        <f t="shared" si="114"/>
        <v>312.98928098277725</v>
      </c>
      <c r="CT65" s="172">
        <f t="shared" si="51"/>
        <v>4.2288329519450798</v>
      </c>
      <c r="CU65" s="217">
        <f t="shared" si="52"/>
        <v>20.865952065518481</v>
      </c>
      <c r="CV65" s="217">
        <f t="shared" si="53"/>
        <v>39.123660122847156</v>
      </c>
      <c r="CW65" s="443">
        <f t="shared" si="54"/>
        <v>15</v>
      </c>
      <c r="CX65" s="217">
        <f t="shared" si="55"/>
        <v>14.37748917748918</v>
      </c>
      <c r="CY65" s="217">
        <f t="shared" si="56"/>
        <v>2.3962481962481967</v>
      </c>
      <c r="CZ65" s="217">
        <f t="shared" si="57"/>
        <v>10.989163702539502</v>
      </c>
      <c r="DA65" s="197">
        <f t="shared" si="58"/>
        <v>107.41163055872293</v>
      </c>
      <c r="DB65" s="443">
        <f t="shared" si="115"/>
        <v>74.708197817249754</v>
      </c>
      <c r="DD65" s="217">
        <f t="shared" si="59"/>
        <v>10</v>
      </c>
      <c r="DE65" s="173">
        <f t="shared" si="60"/>
        <v>7.6433121019108281</v>
      </c>
      <c r="DF65" s="173">
        <f t="shared" si="61"/>
        <v>4.1049030786773102</v>
      </c>
      <c r="DG65" s="173"/>
      <c r="DH65" s="173">
        <f t="shared" si="62"/>
        <v>7.6433121019108281</v>
      </c>
      <c r="DI65" s="545">
        <f t="shared" si="63"/>
        <v>157.00000000000003</v>
      </c>
      <c r="DJ65" s="528">
        <f t="shared" si="64"/>
        <v>4.1049030786773093</v>
      </c>
      <c r="DL65" s="173">
        <f t="shared" si="65"/>
        <v>6.590035768383312</v>
      </c>
      <c r="DM65" s="173">
        <f t="shared" si="66"/>
        <v>14.37748917748918</v>
      </c>
      <c r="DN65" s="173">
        <f t="shared" si="67"/>
        <v>4.4425845759179108</v>
      </c>
      <c r="DP65" s="545">
        <f t="shared" si="68"/>
        <v>6000</v>
      </c>
      <c r="DQ65" s="460">
        <f t="shared" si="69"/>
        <v>74.708197817249754</v>
      </c>
      <c r="DS65">
        <f t="shared" si="116"/>
        <v>6000</v>
      </c>
      <c r="DT65">
        <f t="shared" si="70"/>
        <v>74.708197817249754</v>
      </c>
      <c r="DV65" s="5">
        <f t="shared" si="117"/>
        <v>13.385411898787698</v>
      </c>
      <c r="DW65" s="5">
        <f t="shared" si="71"/>
        <v>2.3962481962481967</v>
      </c>
      <c r="DX65" s="5">
        <f t="shared" si="118"/>
        <v>10.989163702539502</v>
      </c>
      <c r="DY65" s="173">
        <f t="shared" si="119"/>
        <v>0.1790193842645382</v>
      </c>
      <c r="EA65" s="5">
        <f t="shared" si="72"/>
        <v>95.84992784992788</v>
      </c>
      <c r="EB65" s="5">
        <f t="shared" si="73"/>
        <v>4.4929653679653692</v>
      </c>
      <c r="EC65" s="5">
        <f t="shared" si="74"/>
        <v>3.8156818411595488</v>
      </c>
      <c r="ED65" s="5"/>
      <c r="EE65" s="173">
        <f t="shared" si="120"/>
        <v>3.5121451126821155</v>
      </c>
      <c r="EF65" s="173">
        <f t="shared" si="75"/>
        <v>7.5212300671988466</v>
      </c>
      <c r="EG65" s="173">
        <f t="shared" si="76"/>
        <v>0.18522872479219124</v>
      </c>
      <c r="EH65" s="173"/>
      <c r="EI65" s="528">
        <f t="shared" si="77"/>
        <v>0.24670326585073737</v>
      </c>
      <c r="EJ65" s="528">
        <f t="shared" si="78"/>
        <v>1.8839999999999997</v>
      </c>
      <c r="EK65" s="528">
        <f t="shared" si="79"/>
        <v>9.3385247271562197E-3</v>
      </c>
      <c r="EL65" s="528">
        <f t="shared" si="80"/>
        <v>5.7460241478983501E-2</v>
      </c>
      <c r="EM65">
        <f t="shared" si="81"/>
        <v>3.2399999999999998E-2</v>
      </c>
      <c r="EN65" s="460">
        <f t="shared" si="121"/>
        <v>41.738524727156218</v>
      </c>
      <c r="EO65">
        <f t="shared" si="82"/>
        <v>2.4395078009095035</v>
      </c>
      <c r="EP65" s="460">
        <f t="shared" si="122"/>
        <v>2439.5078009095037</v>
      </c>
      <c r="EQ65" s="173">
        <f t="shared" si="83"/>
        <v>3.7274999999999991</v>
      </c>
      <c r="ER65" s="173">
        <f t="shared" si="170"/>
        <v>6.6562499999999997E-2</v>
      </c>
      <c r="ES65" s="528"/>
      <c r="EU65" s="460">
        <f t="shared" si="123"/>
        <v>3794.0624999999991</v>
      </c>
      <c r="EV65" s="528">
        <f t="shared" si="85"/>
        <v>0.37005489877610603</v>
      </c>
      <c r="EW65" s="528">
        <f t="shared" si="124"/>
        <v>1.6970670517120789</v>
      </c>
      <c r="EX65" s="528">
        <f t="shared" si="86"/>
        <v>1.7154840244070662E-4</v>
      </c>
      <c r="EY65" s="528">
        <f t="shared" si="87"/>
        <v>1.8905940114174897</v>
      </c>
      <c r="EZ65" s="528">
        <f t="shared" si="88"/>
        <v>5.3366280714983203</v>
      </c>
      <c r="FA65" s="625">
        <f t="shared" si="89"/>
        <v>1.5443095558945045E-2</v>
      </c>
      <c r="FB65" s="460">
        <f t="shared" si="125"/>
        <v>5352.0711670572655</v>
      </c>
      <c r="FC65" s="173">
        <f t="shared" si="126"/>
        <v>11.585641467966768</v>
      </c>
      <c r="FD65" s="5">
        <f t="shared" si="127"/>
        <v>91.2</v>
      </c>
      <c r="FE65" s="173">
        <f t="shared" si="128"/>
        <v>0.88728346389142843</v>
      </c>
      <c r="FF65" s="5">
        <f t="shared" si="129"/>
        <v>88.728346389142843</v>
      </c>
      <c r="FG65">
        <f t="shared" si="130"/>
        <v>60</v>
      </c>
      <c r="FI65" s="562">
        <f t="shared" si="90"/>
        <v>-50</v>
      </c>
      <c r="FJ65">
        <f t="shared" si="91"/>
        <v>-50</v>
      </c>
      <c r="FL65">
        <f t="shared" si="92"/>
        <v>0.82098061573546177</v>
      </c>
    </row>
    <row r="66" spans="5:168">
      <c r="E66" s="170">
        <v>61</v>
      </c>
      <c r="F66" s="217">
        <f t="shared" si="174"/>
        <v>6.1</v>
      </c>
      <c r="G66" s="217">
        <f t="shared" si="171"/>
        <v>0.1525</v>
      </c>
      <c r="H66" s="217">
        <f t="shared" si="135"/>
        <v>91.5</v>
      </c>
      <c r="I66" s="217">
        <f t="shared" si="175"/>
        <v>1.22</v>
      </c>
      <c r="J66" s="541">
        <f t="shared" si="136"/>
        <v>71.585626959731655</v>
      </c>
      <c r="K66" s="443">
        <f t="shared" si="137"/>
        <v>15.922904166666665</v>
      </c>
      <c r="L66" s="172">
        <f t="shared" si="138"/>
        <v>87.508531126398324</v>
      </c>
      <c r="M66" s="443"/>
      <c r="N66" s="217">
        <f t="shared" si="139"/>
        <v>0.18195830694115342</v>
      </c>
      <c r="O66" s="172">
        <f t="shared" si="172"/>
        <v>321.35525040083286</v>
      </c>
      <c r="P66" s="172">
        <f t="shared" si="140"/>
        <v>4.341866494304587</v>
      </c>
      <c r="Q66" s="217">
        <f t="shared" si="6"/>
        <v>21.423683360055524</v>
      </c>
      <c r="R66" s="217">
        <f t="shared" si="141"/>
        <v>40.169406300104107</v>
      </c>
      <c r="S66" s="443">
        <f t="shared" si="142"/>
        <v>15</v>
      </c>
      <c r="T66" s="217">
        <f t="shared" si="143"/>
        <v>14.236580837853154</v>
      </c>
      <c r="U66" s="217">
        <f t="shared" si="10"/>
        <v>2.3864982023603454</v>
      </c>
      <c r="V66" s="217">
        <f t="shared" si="11"/>
        <v>10.729133848075005</v>
      </c>
      <c r="W66" s="197">
        <f t="shared" si="12"/>
        <v>108.54666235761468</v>
      </c>
      <c r="X66" s="443">
        <f t="shared" si="95"/>
        <v>75.099702080405962</v>
      </c>
      <c r="Z66" s="217">
        <f t="shared" si="13"/>
        <v>10</v>
      </c>
      <c r="AA66" s="173">
        <f t="shared" si="14"/>
        <v>7.5363136488135414</v>
      </c>
      <c r="AB66" s="173">
        <f t="shared" si="144"/>
        <v>4.090208465294233</v>
      </c>
      <c r="AC66" s="173"/>
      <c r="AD66" s="173">
        <f t="shared" si="16"/>
        <v>7.5363136488135414</v>
      </c>
      <c r="AE66" s="545">
        <f t="shared" si="145"/>
        <v>161.88285902777778</v>
      </c>
      <c r="AF66" s="528">
        <f t="shared" si="146"/>
        <v>4.0902084652942321</v>
      </c>
      <c r="AH66" s="173">
        <f t="shared" si="147"/>
        <v>6.6447257996384588</v>
      </c>
      <c r="AI66" s="173">
        <f t="shared" si="148"/>
        <v>14.236580837853154</v>
      </c>
      <c r="AJ66" s="173">
        <f t="shared" si="149"/>
        <v>4.3382080280393733</v>
      </c>
      <c r="AL66" s="545">
        <f t="shared" si="150"/>
        <v>6100</v>
      </c>
      <c r="AM66" s="460">
        <f t="shared" si="151"/>
        <v>75.099702080405962</v>
      </c>
      <c r="AO66">
        <f t="shared" si="96"/>
        <v>6100</v>
      </c>
      <c r="AP66">
        <f t="shared" si="24"/>
        <v>75.099702080405962</v>
      </c>
      <c r="AR66" s="5">
        <f t="shared" si="97"/>
        <v>13.315632050435351</v>
      </c>
      <c r="AS66" s="5">
        <f t="shared" si="25"/>
        <v>2.3864982023603454</v>
      </c>
      <c r="AT66" s="5">
        <f t="shared" si="98"/>
        <v>10.929133848075006</v>
      </c>
      <c r="AU66" s="173">
        <f t="shared" si="99"/>
        <v>0.17922530401268633</v>
      </c>
      <c r="AW66" s="5">
        <f t="shared" si="152"/>
        <v>97.050926895987374</v>
      </c>
      <c r="AX66" s="5">
        <f t="shared" si="153"/>
        <v>4.5492621982494086</v>
      </c>
      <c r="AY66" s="5">
        <f t="shared" si="28"/>
        <v>3.8804179521702649</v>
      </c>
      <c r="AZ66" s="5"/>
      <c r="BA66" s="173">
        <f t="shared" si="100"/>
        <v>3.4797234826702348</v>
      </c>
      <c r="BB66" s="173">
        <f t="shared" si="154"/>
        <v>7.4465832747909211</v>
      </c>
      <c r="BC66" s="173">
        <f t="shared" si="155"/>
        <v>0.18339036457132152</v>
      </c>
      <c r="BD66" s="173"/>
      <c r="BE66" s="528">
        <f t="shared" si="31"/>
        <v>0.24216951031693335</v>
      </c>
      <c r="BF66" s="528">
        <f t="shared" si="156"/>
        <v>1.7542665351858384</v>
      </c>
      <c r="BG66" s="528">
        <f t="shared" si="157"/>
        <v>0.13440148144787312</v>
      </c>
      <c r="BH66" s="528">
        <f t="shared" si="34"/>
        <v>5.7509421940278506E-2</v>
      </c>
      <c r="BI66">
        <f t="shared" si="35"/>
        <v>3.2213532131879247E-2</v>
      </c>
      <c r="BJ66" s="460">
        <f t="shared" si="101"/>
        <v>166.61501357975237</v>
      </c>
      <c r="BK66">
        <f t="shared" si="158"/>
        <v>2.2487214906886654</v>
      </c>
      <c r="BL66" s="460">
        <f t="shared" si="102"/>
        <v>2248.7214906886657</v>
      </c>
      <c r="BM66" s="173">
        <f t="shared" si="159"/>
        <v>3.7896249999999996</v>
      </c>
      <c r="BN66" s="173">
        <f t="shared" si="160"/>
        <v>6.7671874999999992E-2</v>
      </c>
      <c r="BO66" s="528"/>
      <c r="BQ66" s="460">
        <f t="shared" si="103"/>
        <v>3857.2968749999995</v>
      </c>
      <c r="BR66" s="528">
        <f t="shared" si="39"/>
        <v>0.36325426547540002</v>
      </c>
      <c r="BS66" s="528">
        <f t="shared" si="104"/>
        <v>1.6635480740518762</v>
      </c>
      <c r="BT66" s="528">
        <f t="shared" si="161"/>
        <v>1.681601290880111E-4</v>
      </c>
      <c r="BU66" s="528">
        <f t="shared" si="41"/>
        <v>1.8688729835491198</v>
      </c>
      <c r="BV66" s="528">
        <f t="shared" si="162"/>
        <v>5.2304784434380007</v>
      </c>
      <c r="BW66" s="625">
        <f t="shared" si="163"/>
        <v>1.5221225187436824E-2</v>
      </c>
      <c r="BX66" s="460">
        <f t="shared" si="105"/>
        <v>5245.6996686254379</v>
      </c>
      <c r="BY66" s="173">
        <f t="shared" si="106"/>
        <v>11.351718034314104</v>
      </c>
      <c r="BZ66" s="5">
        <f t="shared" si="107"/>
        <v>92.72</v>
      </c>
      <c r="CA66" s="173">
        <f t="shared" si="108"/>
        <v>0.8909240834232095</v>
      </c>
      <c r="CB66" s="5">
        <f t="shared" si="109"/>
        <v>89.092408342320951</v>
      </c>
      <c r="CC66">
        <f t="shared" si="173"/>
        <v>61</v>
      </c>
      <c r="CE66" s="562">
        <f t="shared" si="164"/>
        <v>-50</v>
      </c>
      <c r="CF66">
        <f t="shared" si="165"/>
        <v>-50</v>
      </c>
      <c r="CG66" s="173">
        <f t="shared" si="166"/>
        <v>0.82098061573546177</v>
      </c>
      <c r="CH66" s="173">
        <f t="shared" si="167"/>
        <v>9.6304191786782956E-2</v>
      </c>
      <c r="CI66" s="170">
        <v>61</v>
      </c>
      <c r="CJ66" s="217">
        <f t="shared" si="133"/>
        <v>6.1</v>
      </c>
      <c r="CK66" s="217">
        <f t="shared" si="111"/>
        <v>0.1525</v>
      </c>
      <c r="CL66" s="217">
        <f t="shared" si="48"/>
        <v>91.5</v>
      </c>
      <c r="CM66" s="217">
        <f t="shared" si="134"/>
        <v>1.22</v>
      </c>
      <c r="CN66" s="541">
        <f t="shared" si="112"/>
        <v>72</v>
      </c>
      <c r="CO66" s="443">
        <f t="shared" si="168"/>
        <v>15.7</v>
      </c>
      <c r="CP66" s="443">
        <f t="shared" si="169"/>
        <v>87.7</v>
      </c>
      <c r="CQ66" s="443"/>
      <c r="CR66" s="217">
        <f t="shared" si="113"/>
        <v>0.17620137299771166</v>
      </c>
      <c r="CS66" s="172">
        <f t="shared" si="114"/>
        <v>312.98928098277725</v>
      </c>
      <c r="CT66" s="172">
        <f t="shared" si="51"/>
        <v>4.2288329519450798</v>
      </c>
      <c r="CU66" s="217">
        <f t="shared" si="52"/>
        <v>20.865952065518481</v>
      </c>
      <c r="CV66" s="217">
        <f t="shared" si="53"/>
        <v>39.123660122847156</v>
      </c>
      <c r="CW66" s="443">
        <f t="shared" si="54"/>
        <v>15</v>
      </c>
      <c r="CX66" s="217">
        <f t="shared" si="55"/>
        <v>14.617113997113998</v>
      </c>
      <c r="CY66" s="217">
        <f t="shared" si="56"/>
        <v>2.4361856661856662</v>
      </c>
      <c r="CZ66" s="217">
        <f t="shared" si="57"/>
        <v>11.17231643091516</v>
      </c>
      <c r="DA66" s="197">
        <f t="shared" si="58"/>
        <v>107.41163055872293</v>
      </c>
      <c r="DB66" s="443">
        <f t="shared" si="115"/>
        <v>73.483473262868614</v>
      </c>
      <c r="DD66" s="217">
        <f t="shared" si="59"/>
        <v>10</v>
      </c>
      <c r="DE66" s="173">
        <f t="shared" si="60"/>
        <v>7.6433121019108281</v>
      </c>
      <c r="DF66" s="173">
        <f t="shared" si="61"/>
        <v>4.1049030786773102</v>
      </c>
      <c r="DG66" s="173"/>
      <c r="DH66" s="173">
        <f t="shared" si="62"/>
        <v>7.6433121019108281</v>
      </c>
      <c r="DI66" s="545">
        <f t="shared" si="63"/>
        <v>159.61666666666667</v>
      </c>
      <c r="DJ66" s="528">
        <f t="shared" si="64"/>
        <v>4.1049030786773093</v>
      </c>
      <c r="DL66" s="173">
        <f t="shared" si="65"/>
        <v>6.6447257996384588</v>
      </c>
      <c r="DM66" s="173">
        <f t="shared" si="66"/>
        <v>14.617113997113998</v>
      </c>
      <c r="DN66" s="173">
        <f t="shared" si="67"/>
        <v>4.6200844423066654</v>
      </c>
      <c r="DP66" s="545">
        <f t="shared" si="68"/>
        <v>6100</v>
      </c>
      <c r="DQ66" s="460">
        <f t="shared" si="69"/>
        <v>73.483473262868614</v>
      </c>
      <c r="DS66">
        <f t="shared" si="116"/>
        <v>6100</v>
      </c>
      <c r="DT66">
        <f t="shared" si="70"/>
        <v>73.483473262868614</v>
      </c>
      <c r="DV66" s="5">
        <f t="shared" si="117"/>
        <v>13.608502097100825</v>
      </c>
      <c r="DW66" s="5">
        <f t="shared" si="71"/>
        <v>2.4361856661856662</v>
      </c>
      <c r="DX66" s="5">
        <f t="shared" si="118"/>
        <v>11.172316430915158</v>
      </c>
      <c r="DY66" s="173">
        <f t="shared" si="119"/>
        <v>0.17901938426453817</v>
      </c>
      <c r="EA66" s="5">
        <f t="shared" si="72"/>
        <v>99.071550424883768</v>
      </c>
      <c r="EB66" s="5">
        <f t="shared" si="73"/>
        <v>4.6439789261664268</v>
      </c>
      <c r="EC66" s="5">
        <f t="shared" si="74"/>
        <v>3.9439311474874108</v>
      </c>
      <c r="ED66" s="5"/>
      <c r="EE66" s="173">
        <f t="shared" si="120"/>
        <v>3.5706808645601504</v>
      </c>
      <c r="EF66" s="173">
        <f t="shared" si="75"/>
        <v>7.6465839016521597</v>
      </c>
      <c r="EG66" s="173">
        <f t="shared" si="76"/>
        <v>0.18831587020539439</v>
      </c>
      <c r="EH66" s="173"/>
      <c r="EI66" s="528">
        <f t="shared" si="77"/>
        <v>0.2549952367307205</v>
      </c>
      <c r="EJ66" s="528">
        <f t="shared" si="78"/>
        <v>1.8840000000000001</v>
      </c>
      <c r="EK66" s="528">
        <f t="shared" si="79"/>
        <v>9.1854341578585762E-3</v>
      </c>
      <c r="EL66" s="528">
        <f t="shared" si="80"/>
        <v>5.6518270307196881E-2</v>
      </c>
      <c r="EM66">
        <f t="shared" si="81"/>
        <v>3.2399999999999998E-2</v>
      </c>
      <c r="EN66" s="460">
        <f t="shared" si="121"/>
        <v>41.585434157858579</v>
      </c>
      <c r="EO66">
        <f t="shared" si="82"/>
        <v>2.4546683212854123</v>
      </c>
      <c r="EP66" s="460">
        <f t="shared" si="122"/>
        <v>2454.6683212854123</v>
      </c>
      <c r="EQ66" s="173">
        <f t="shared" si="83"/>
        <v>3.7896249999999996</v>
      </c>
      <c r="ER66" s="173">
        <f t="shared" si="170"/>
        <v>6.7671874999999992E-2</v>
      </c>
      <c r="ES66" s="528"/>
      <c r="EU66" s="460">
        <f t="shared" si="123"/>
        <v>3857.2968749999995</v>
      </c>
      <c r="EV66" s="528">
        <f t="shared" si="85"/>
        <v>0.38249285509608072</v>
      </c>
      <c r="EW66" s="528">
        <f t="shared" si="124"/>
        <v>1.7541073609501789</v>
      </c>
      <c r="EX66" s="528">
        <f t="shared" si="86"/>
        <v>1.7731433485607473E-4</v>
      </c>
      <c r="EY66" s="528">
        <f t="shared" si="87"/>
        <v>1.8905940114174846</v>
      </c>
      <c r="EZ66" s="528">
        <f t="shared" si="88"/>
        <v>5.4763348977601343</v>
      </c>
      <c r="FA66" s="625">
        <f t="shared" si="89"/>
        <v>1.5700480484927466E-2</v>
      </c>
      <c r="FB66" s="460">
        <f t="shared" si="125"/>
        <v>5492.0353782450611</v>
      </c>
      <c r="FC66" s="173">
        <f t="shared" si="126"/>
        <v>11.804000574530473</v>
      </c>
      <c r="FD66" s="5">
        <f t="shared" si="127"/>
        <v>92.72</v>
      </c>
      <c r="FE66" s="173">
        <f t="shared" si="128"/>
        <v>0.88706899363162361</v>
      </c>
      <c r="FF66" s="5">
        <f t="shared" si="129"/>
        <v>88.706899363162364</v>
      </c>
      <c r="FG66">
        <f t="shared" si="130"/>
        <v>61</v>
      </c>
      <c r="FI66" s="562">
        <f t="shared" si="90"/>
        <v>-50</v>
      </c>
      <c r="FJ66">
        <f t="shared" si="91"/>
        <v>-50</v>
      </c>
      <c r="FL66">
        <f t="shared" si="92"/>
        <v>0.82098061573546177</v>
      </c>
    </row>
    <row r="67" spans="5:168">
      <c r="E67" s="170">
        <v>62</v>
      </c>
      <c r="F67" s="217">
        <f t="shared" si="174"/>
        <v>6.2</v>
      </c>
      <c r="G67" s="217">
        <f t="shared" si="171"/>
        <v>0.155</v>
      </c>
      <c r="H67" s="217">
        <f t="shared" si="135"/>
        <v>93</v>
      </c>
      <c r="I67" s="217">
        <f t="shared" si="175"/>
        <v>1.24</v>
      </c>
      <c r="J67" s="541">
        <f t="shared" si="136"/>
        <v>71.578833959071517</v>
      </c>
      <c r="K67" s="443">
        <f t="shared" si="137"/>
        <v>15.926558333333332</v>
      </c>
      <c r="L67" s="172">
        <f t="shared" si="138"/>
        <v>87.505392292404849</v>
      </c>
      <c r="M67" s="443"/>
      <c r="N67" s="217">
        <f t="shared" si="139"/>
        <v>0.18200659314929671</v>
      </c>
      <c r="O67" s="172">
        <f t="shared" si="172"/>
        <v>321.41002575221523</v>
      </c>
      <c r="P67" s="172">
        <f t="shared" si="140"/>
        <v>4.3426065701632641</v>
      </c>
      <c r="Q67" s="217">
        <f t="shared" si="6"/>
        <v>21.427335050147683</v>
      </c>
      <c r="R67" s="217">
        <f t="shared" si="141"/>
        <v>40.176253219026904</v>
      </c>
      <c r="S67" s="443">
        <f t="shared" si="142"/>
        <v>15</v>
      </c>
      <c r="T67" s="217">
        <f t="shared" si="143"/>
        <v>14.467501407640674</v>
      </c>
      <c r="U67" s="217">
        <f t="shared" si="10"/>
        <v>2.4254379023687029</v>
      </c>
      <c r="V67" s="217">
        <f t="shared" si="11"/>
        <v>10.900661226244512</v>
      </c>
      <c r="W67" s="197">
        <f t="shared" si="12"/>
        <v>108.56516425408161</v>
      </c>
      <c r="X67" s="443">
        <f t="shared" si="95"/>
        <v>73.931145298543044</v>
      </c>
      <c r="Z67" s="217">
        <f t="shared" si="13"/>
        <v>9.9999999999999982</v>
      </c>
      <c r="AA67" s="173">
        <f t="shared" si="14"/>
        <v>7.5345845278353174</v>
      </c>
      <c r="AB67" s="173">
        <f t="shared" si="144"/>
        <v>4.0899670342535153</v>
      </c>
      <c r="AC67" s="173"/>
      <c r="AD67" s="173">
        <f t="shared" si="16"/>
        <v>7.5345845278353192</v>
      </c>
      <c r="AE67" s="545">
        <f t="shared" si="145"/>
        <v>164.57443611111111</v>
      </c>
      <c r="AF67" s="528">
        <f t="shared" si="146"/>
        <v>4.089967034253517</v>
      </c>
      <c r="AH67" s="173">
        <f t="shared" si="147"/>
        <v>6.6989693592515014</v>
      </c>
      <c r="AI67" s="173">
        <f t="shared" si="148"/>
        <v>14.467501407640674</v>
      </c>
      <c r="AJ67" s="173">
        <f t="shared" si="149"/>
        <v>4.5092603019560542</v>
      </c>
      <c r="AL67" s="545">
        <f t="shared" si="150"/>
        <v>6200</v>
      </c>
      <c r="AM67" s="460">
        <f t="shared" si="151"/>
        <v>73.931145298543044</v>
      </c>
      <c r="AO67">
        <f t="shared" si="96"/>
        <v>6200</v>
      </c>
      <c r="AP67">
        <f t="shared" si="24"/>
        <v>73.931145298543044</v>
      </c>
      <c r="AR67" s="5">
        <f t="shared" si="97"/>
        <v>13.526099128613213</v>
      </c>
      <c r="AS67" s="5">
        <f t="shared" si="25"/>
        <v>2.4254379023687029</v>
      </c>
      <c r="AT67" s="5">
        <f t="shared" si="98"/>
        <v>11.10066122624451</v>
      </c>
      <c r="AU67" s="173">
        <f t="shared" si="99"/>
        <v>0.17931540197261406</v>
      </c>
      <c r="AW67" s="5">
        <f t="shared" si="152"/>
        <v>100.25143329790639</v>
      </c>
      <c r="AX67" s="5">
        <f t="shared" si="153"/>
        <v>4.6992859358393622</v>
      </c>
      <c r="AY67" s="5">
        <f t="shared" si="28"/>
        <v>4.0063111651407368</v>
      </c>
      <c r="AZ67" s="5"/>
      <c r="BA67" s="173">
        <f t="shared" si="100"/>
        <v>3.5370541039970815</v>
      </c>
      <c r="BB67" s="173">
        <f t="shared" si="154"/>
        <v>7.5669531908220744</v>
      </c>
      <c r="BC67" s="173">
        <f t="shared" si="155"/>
        <v>0.18635476877789267</v>
      </c>
      <c r="BD67" s="173"/>
      <c r="BE67" s="528">
        <f t="shared" si="31"/>
        <v>0.25021503469205192</v>
      </c>
      <c r="BF67" s="528">
        <f t="shared" si="156"/>
        <v>1.7549189174880668</v>
      </c>
      <c r="BG67" s="528">
        <f t="shared" si="157"/>
        <v>0.13229762934321007</v>
      </c>
      <c r="BH67" s="528">
        <f t="shared" si="34"/>
        <v>5.6610509855347574E-2</v>
      </c>
      <c r="BI67">
        <f t="shared" si="35"/>
        <v>3.2210475281582183E-2</v>
      </c>
      <c r="BJ67" s="460">
        <f t="shared" si="101"/>
        <v>164.50810462479225</v>
      </c>
      <c r="BK67">
        <f t="shared" si="158"/>
        <v>2.2638934603409959</v>
      </c>
      <c r="BL67" s="460">
        <f t="shared" si="102"/>
        <v>2263.8934603409957</v>
      </c>
      <c r="BM67" s="173">
        <f t="shared" si="159"/>
        <v>3.8517499999999996</v>
      </c>
      <c r="BN67" s="173">
        <f t="shared" si="160"/>
        <v>6.8781250000000002E-2</v>
      </c>
      <c r="BO67" s="528"/>
      <c r="BQ67" s="460">
        <f t="shared" si="103"/>
        <v>3920.5312499999995</v>
      </c>
      <c r="BR67" s="528">
        <f t="shared" si="39"/>
        <v>0.37532255203807791</v>
      </c>
      <c r="BS67" s="528">
        <f t="shared" si="104"/>
        <v>1.717763417762771</v>
      </c>
      <c r="BT67" s="528">
        <f t="shared" si="161"/>
        <v>1.7364049923130923E-4</v>
      </c>
      <c r="BU67" s="528">
        <f t="shared" si="41"/>
        <v>1.8707787268710165</v>
      </c>
      <c r="BV67" s="528">
        <f t="shared" si="162"/>
        <v>5.3648170277022569</v>
      </c>
      <c r="BW67" s="625">
        <f t="shared" si="163"/>
        <v>1.5474424295568844E-2</v>
      </c>
      <c r="BX67" s="460">
        <f t="shared" si="105"/>
        <v>5380.2914519978258</v>
      </c>
      <c r="BY67" s="173">
        <f t="shared" si="106"/>
        <v>11.564716162338822</v>
      </c>
      <c r="BZ67" s="5">
        <f t="shared" si="107"/>
        <v>94.24</v>
      </c>
      <c r="CA67" s="173">
        <f t="shared" si="108"/>
        <v>0.89069753616091374</v>
      </c>
      <c r="CB67" s="5">
        <f t="shared" si="109"/>
        <v>89.069753616091376</v>
      </c>
      <c r="CC67">
        <f t="shared" si="173"/>
        <v>62</v>
      </c>
      <c r="CE67" s="562">
        <f t="shared" si="164"/>
        <v>-50</v>
      </c>
      <c r="CF67">
        <f t="shared" si="165"/>
        <v>-50</v>
      </c>
      <c r="CG67" s="173">
        <f t="shared" si="166"/>
        <v>0.82098061573546177</v>
      </c>
      <c r="CH67" s="173">
        <f t="shared" si="167"/>
        <v>9.6304191786782969E-2</v>
      </c>
      <c r="CI67" s="170">
        <v>62</v>
      </c>
      <c r="CJ67" s="217">
        <f t="shared" si="133"/>
        <v>6.2</v>
      </c>
      <c r="CK67" s="217">
        <f t="shared" si="111"/>
        <v>0.155</v>
      </c>
      <c r="CL67" s="217">
        <f t="shared" si="48"/>
        <v>93</v>
      </c>
      <c r="CM67" s="217">
        <f t="shared" si="134"/>
        <v>1.24</v>
      </c>
      <c r="CN67" s="541">
        <f t="shared" si="112"/>
        <v>72</v>
      </c>
      <c r="CO67" s="443">
        <f t="shared" si="168"/>
        <v>15.7</v>
      </c>
      <c r="CP67" s="443">
        <f t="shared" si="169"/>
        <v>87.7</v>
      </c>
      <c r="CQ67" s="443"/>
      <c r="CR67" s="217">
        <f t="shared" si="113"/>
        <v>0.17620137299771166</v>
      </c>
      <c r="CS67" s="172">
        <f t="shared" si="114"/>
        <v>312.98928098277725</v>
      </c>
      <c r="CT67" s="172">
        <f t="shared" si="51"/>
        <v>4.2288329519450798</v>
      </c>
      <c r="CU67" s="217">
        <f t="shared" si="52"/>
        <v>20.865952065518481</v>
      </c>
      <c r="CV67" s="217">
        <f t="shared" si="53"/>
        <v>39.123660122847156</v>
      </c>
      <c r="CW67" s="443">
        <f t="shared" si="54"/>
        <v>15</v>
      </c>
      <c r="CX67" s="217">
        <f t="shared" si="55"/>
        <v>14.856738816738817</v>
      </c>
      <c r="CY67" s="217">
        <f t="shared" si="56"/>
        <v>2.4761231361231362</v>
      </c>
      <c r="CZ67" s="217">
        <f t="shared" si="57"/>
        <v>11.355469159290816</v>
      </c>
      <c r="DA67" s="197">
        <f t="shared" si="58"/>
        <v>107.41163055872293</v>
      </c>
      <c r="DB67" s="443">
        <f t="shared" si="115"/>
        <v>72.2982559521772</v>
      </c>
      <c r="DD67" s="217">
        <f t="shared" si="59"/>
        <v>10</v>
      </c>
      <c r="DE67" s="173">
        <f t="shared" si="60"/>
        <v>7.6433121019108281</v>
      </c>
      <c r="DF67" s="173">
        <f t="shared" si="61"/>
        <v>4.1049030786773102</v>
      </c>
      <c r="DG67" s="173"/>
      <c r="DH67" s="173">
        <f t="shared" si="62"/>
        <v>7.6433121019108281</v>
      </c>
      <c r="DI67" s="545">
        <f t="shared" si="63"/>
        <v>162.23333333333335</v>
      </c>
      <c r="DJ67" s="528">
        <f t="shared" si="64"/>
        <v>4.1049030786773093</v>
      </c>
      <c r="DL67" s="173">
        <f t="shared" si="65"/>
        <v>6.6989693592515014</v>
      </c>
      <c r="DM67" s="173">
        <f t="shared" si="66"/>
        <v>14.856738816738817</v>
      </c>
      <c r="DN67" s="173">
        <f t="shared" si="67"/>
        <v>4.79758430869542</v>
      </c>
      <c r="DP67" s="545">
        <f t="shared" si="68"/>
        <v>6200</v>
      </c>
      <c r="DQ67" s="460">
        <f t="shared" si="69"/>
        <v>72.2982559521772</v>
      </c>
      <c r="DS67">
        <f t="shared" si="116"/>
        <v>6200</v>
      </c>
      <c r="DT67">
        <f t="shared" si="70"/>
        <v>72.2982559521772</v>
      </c>
      <c r="DV67" s="5">
        <f t="shared" si="117"/>
        <v>13.83159229541395</v>
      </c>
      <c r="DW67" s="5">
        <f t="shared" si="71"/>
        <v>2.4761231361231362</v>
      </c>
      <c r="DX67" s="5">
        <f t="shared" si="118"/>
        <v>11.355469159290813</v>
      </c>
      <c r="DY67" s="173">
        <f t="shared" si="119"/>
        <v>0.17901938426453823</v>
      </c>
      <c r="EA67" s="5">
        <f t="shared" si="72"/>
        <v>102.3464229597563</v>
      </c>
      <c r="EB67" s="5">
        <f t="shared" si="73"/>
        <v>4.7974885762385755</v>
      </c>
      <c r="EC67" s="5">
        <f t="shared" si="74"/>
        <v>4.0743002770603614</v>
      </c>
      <c r="ED67" s="5"/>
      <c r="EE67" s="173">
        <f t="shared" si="120"/>
        <v>3.6292166164381858</v>
      </c>
      <c r="EF67" s="173">
        <f t="shared" si="75"/>
        <v>7.7719377361054738</v>
      </c>
      <c r="EG67" s="173">
        <f t="shared" si="76"/>
        <v>0.19140301561859757</v>
      </c>
      <c r="EH67" s="173"/>
      <c r="EI67" s="528">
        <f t="shared" si="77"/>
        <v>0.26342426498062066</v>
      </c>
      <c r="EJ67" s="528">
        <f t="shared" si="78"/>
        <v>1.8840000000000003</v>
      </c>
      <c r="EK67" s="528">
        <f t="shared" si="79"/>
        <v>9.0372819940221488E-3</v>
      </c>
      <c r="EL67" s="528">
        <f t="shared" si="80"/>
        <v>5.5606685302242109E-2</v>
      </c>
      <c r="EM67">
        <f t="shared" si="81"/>
        <v>3.2399999999999998E-2</v>
      </c>
      <c r="EN67" s="460">
        <f t="shared" si="121"/>
        <v>41.43728199402215</v>
      </c>
      <c r="EO67">
        <f t="shared" si="82"/>
        <v>2.4702017356116817</v>
      </c>
      <c r="EP67" s="460">
        <f t="shared" si="122"/>
        <v>2470.2017356116817</v>
      </c>
      <c r="EQ67" s="173">
        <f t="shared" si="83"/>
        <v>3.8517499999999996</v>
      </c>
      <c r="ER67" s="173">
        <f t="shared" si="170"/>
        <v>6.8781250000000002E-2</v>
      </c>
      <c r="ES67" s="528"/>
      <c r="EU67" s="460">
        <f t="shared" si="123"/>
        <v>3920.5312499999995</v>
      </c>
      <c r="EV67" s="528">
        <f t="shared" si="85"/>
        <v>0.39513639747093099</v>
      </c>
      <c r="EW67" s="528">
        <f t="shared" si="124"/>
        <v>1.8120904852170083</v>
      </c>
      <c r="EX67" s="528">
        <f t="shared" si="86"/>
        <v>1.8317557193946551E-4</v>
      </c>
      <c r="EY67" s="528">
        <f t="shared" si="87"/>
        <v>1.890594011417488</v>
      </c>
      <c r="EZ67" s="528">
        <f t="shared" si="88"/>
        <v>5.6202842407191778</v>
      </c>
      <c r="FA67" s="625">
        <f t="shared" si="89"/>
        <v>1.5957865410909884E-2</v>
      </c>
      <c r="FB67" s="460">
        <f t="shared" si="125"/>
        <v>5636.2421061300884</v>
      </c>
      <c r="FC67" s="173">
        <f t="shared" si="126"/>
        <v>12.026975091741768</v>
      </c>
      <c r="FD67" s="5">
        <f t="shared" si="127"/>
        <v>94.24</v>
      </c>
      <c r="FE67" s="173">
        <f t="shared" si="128"/>
        <v>0.88682302209732888</v>
      </c>
      <c r="FF67" s="5">
        <f t="shared" si="129"/>
        <v>88.682302209732882</v>
      </c>
      <c r="FG67">
        <f t="shared" si="130"/>
        <v>62</v>
      </c>
      <c r="FI67" s="562">
        <f t="shared" si="90"/>
        <v>-50</v>
      </c>
      <c r="FJ67">
        <f t="shared" si="91"/>
        <v>-50</v>
      </c>
      <c r="FL67">
        <f t="shared" si="92"/>
        <v>0.82098061573546177</v>
      </c>
    </row>
    <row r="68" spans="5:168">
      <c r="E68" s="170">
        <v>63</v>
      </c>
      <c r="F68" s="217">
        <f t="shared" si="174"/>
        <v>6.3</v>
      </c>
      <c r="G68" s="217">
        <f t="shared" si="171"/>
        <v>0.1575</v>
      </c>
      <c r="H68" s="217">
        <f t="shared" si="135"/>
        <v>94.5</v>
      </c>
      <c r="I68" s="217">
        <f t="shared" si="175"/>
        <v>1.26</v>
      </c>
      <c r="J68" s="541">
        <f t="shared" si="136"/>
        <v>71.572040958411378</v>
      </c>
      <c r="K68" s="443">
        <f t="shared" si="137"/>
        <v>15.9302125</v>
      </c>
      <c r="L68" s="172">
        <f t="shared" si="138"/>
        <v>87.502253458411374</v>
      </c>
      <c r="M68" s="443"/>
      <c r="N68" s="217">
        <f t="shared" si="139"/>
        <v>0.18205488282163398</v>
      </c>
      <c r="O68" s="172">
        <f t="shared" si="172"/>
        <v>321.46479103590718</v>
      </c>
      <c r="P68" s="172">
        <f t="shared" si="140"/>
        <v>4.3433465099962572</v>
      </c>
      <c r="Q68" s="217">
        <f t="shared" si="6"/>
        <v>21.430986069060477</v>
      </c>
      <c r="R68" s="217">
        <f t="shared" si="141"/>
        <v>40.183098879488398</v>
      </c>
      <c r="S68" s="443">
        <f t="shared" si="142"/>
        <v>15</v>
      </c>
      <c r="T68" s="217">
        <f t="shared" si="143"/>
        <v>14.69834374325686</v>
      </c>
      <c r="U68" s="217">
        <f t="shared" si="10"/>
        <v>2.4643718770234901</v>
      </c>
      <c r="V68" s="217">
        <f t="shared" si="11"/>
        <v>11.072050979802206</v>
      </c>
      <c r="W68" s="197">
        <f t="shared" si="12"/>
        <v>108.58366274990642</v>
      </c>
      <c r="X68" s="443">
        <f t="shared" si="95"/>
        <v>72.79915669624971</v>
      </c>
      <c r="Z68" s="217">
        <f t="shared" si="13"/>
        <v>10</v>
      </c>
      <c r="AA68" s="173">
        <f t="shared" si="14"/>
        <v>7.5328562001291575</v>
      </c>
      <c r="AB68" s="173">
        <f t="shared" si="144"/>
        <v>4.0897255858918298</v>
      </c>
      <c r="AC68" s="173"/>
      <c r="AD68" s="173">
        <f t="shared" si="16"/>
        <v>7.5328562001291575</v>
      </c>
      <c r="AE68" s="545">
        <f t="shared" si="145"/>
        <v>167.26723125000001</v>
      </c>
      <c r="AF68" s="528">
        <f t="shared" si="146"/>
        <v>4.0897255858918298</v>
      </c>
      <c r="AH68" s="173">
        <f t="shared" si="147"/>
        <v>6.7527772064536533</v>
      </c>
      <c r="AI68" s="173">
        <f t="shared" si="148"/>
        <v>14.69834374325686</v>
      </c>
      <c r="AJ68" s="173">
        <f t="shared" si="149"/>
        <v>4.6802546246347108</v>
      </c>
      <c r="AL68" s="545">
        <f t="shared" si="150"/>
        <v>6300</v>
      </c>
      <c r="AM68" s="460">
        <f t="shared" si="151"/>
        <v>72.79915669624971</v>
      </c>
      <c r="AO68">
        <f t="shared" si="96"/>
        <v>6300</v>
      </c>
      <c r="AP68">
        <f t="shared" si="24"/>
        <v>72.79915669624971</v>
      </c>
      <c r="AR68" s="5">
        <f t="shared" si="97"/>
        <v>13.736422856825698</v>
      </c>
      <c r="AS68" s="5">
        <f t="shared" si="25"/>
        <v>2.4643718770234901</v>
      </c>
      <c r="AT68" s="5">
        <f t="shared" si="98"/>
        <v>11.272050979802207</v>
      </c>
      <c r="AU68" s="173">
        <f t="shared" si="99"/>
        <v>0.17940419443326408</v>
      </c>
      <c r="AW68" s="5">
        <f t="shared" si="152"/>
        <v>103.50361883498658</v>
      </c>
      <c r="AX68" s="5">
        <f t="shared" si="153"/>
        <v>4.8517321328899969</v>
      </c>
      <c r="AY68" s="5">
        <f t="shared" si="28"/>
        <v>4.1341749411860782</v>
      </c>
      <c r="AZ68" s="5"/>
      <c r="BA68" s="173">
        <f t="shared" si="100"/>
        <v>3.5943806591522791</v>
      </c>
      <c r="BB68" s="173">
        <f t="shared" si="154"/>
        <v>7.6872750227518667</v>
      </c>
      <c r="BC68" s="173">
        <f t="shared" si="155"/>
        <v>0.18931798879561465</v>
      </c>
      <c r="BD68" s="173"/>
      <c r="BE68" s="528">
        <f t="shared" si="31"/>
        <v>0.25839144645775947</v>
      </c>
      <c r="BF68" s="528">
        <f t="shared" si="156"/>
        <v>1.7555583061635132</v>
      </c>
      <c r="BG68" s="528">
        <f t="shared" si="157"/>
        <v>0.13025960562004482</v>
      </c>
      <c r="BH68" s="528">
        <f t="shared" si="34"/>
        <v>5.5739725255294109E-2</v>
      </c>
      <c r="BI68">
        <f t="shared" si="35"/>
        <v>3.220741843128512E-2</v>
      </c>
      <c r="BJ68" s="460">
        <f t="shared" si="101"/>
        <v>162.46702405132996</v>
      </c>
      <c r="BK68">
        <f t="shared" si="158"/>
        <v>2.2793959659782694</v>
      </c>
      <c r="BL68" s="460">
        <f t="shared" si="102"/>
        <v>2279.3959659782695</v>
      </c>
      <c r="BM68" s="173">
        <f t="shared" si="159"/>
        <v>3.9138749999999991</v>
      </c>
      <c r="BN68" s="173">
        <f t="shared" si="160"/>
        <v>6.9890624999999998E-2</v>
      </c>
      <c r="BO68" s="528"/>
      <c r="BQ68" s="460">
        <f t="shared" si="103"/>
        <v>3983.7656249999991</v>
      </c>
      <c r="BR68" s="528">
        <f t="shared" si="39"/>
        <v>0.3875871696866392</v>
      </c>
      <c r="BS68" s="528">
        <f t="shared" si="104"/>
        <v>1.7728259182627413</v>
      </c>
      <c r="BT68" s="528">
        <f t="shared" si="161"/>
        <v>1.7920650440808236E-4</v>
      </c>
      <c r="BU68" s="528">
        <f t="shared" si="41"/>
        <v>1.8726511216787696</v>
      </c>
      <c r="BV68" s="528">
        <f t="shared" si="162"/>
        <v>5.5029573458543251</v>
      </c>
      <c r="BW68" s="625">
        <f t="shared" si="163"/>
        <v>1.5727625091825567E-2</v>
      </c>
      <c r="BX68" s="460">
        <f t="shared" si="105"/>
        <v>5518.6849709461503</v>
      </c>
      <c r="BY68" s="173">
        <f t="shared" si="106"/>
        <v>11.78184656192442</v>
      </c>
      <c r="BZ68" s="5">
        <f t="shared" si="107"/>
        <v>95.76</v>
      </c>
      <c r="CA68" s="173">
        <f t="shared" si="108"/>
        <v>0.89044407420380089</v>
      </c>
      <c r="CB68" s="5">
        <f t="shared" si="109"/>
        <v>89.044407420380082</v>
      </c>
      <c r="CC68">
        <f t="shared" si="173"/>
        <v>63</v>
      </c>
      <c r="CE68" s="562">
        <f t="shared" si="164"/>
        <v>-50</v>
      </c>
      <c r="CF68">
        <f t="shared" si="165"/>
        <v>-50</v>
      </c>
      <c r="CG68" s="173">
        <f t="shared" si="166"/>
        <v>0.82098061573546177</v>
      </c>
      <c r="CH68" s="173">
        <f t="shared" si="167"/>
        <v>9.6304191786782969E-2</v>
      </c>
      <c r="CI68" s="170">
        <v>63</v>
      </c>
      <c r="CJ68" s="217">
        <f t="shared" si="133"/>
        <v>6.3</v>
      </c>
      <c r="CK68" s="217">
        <f t="shared" si="111"/>
        <v>0.1575</v>
      </c>
      <c r="CL68" s="217">
        <f t="shared" si="48"/>
        <v>94.5</v>
      </c>
      <c r="CM68" s="217">
        <f t="shared" si="134"/>
        <v>1.26</v>
      </c>
      <c r="CN68" s="541">
        <f t="shared" si="112"/>
        <v>72</v>
      </c>
      <c r="CO68" s="443">
        <f t="shared" si="168"/>
        <v>15.7</v>
      </c>
      <c r="CP68" s="443">
        <f t="shared" si="169"/>
        <v>87.7</v>
      </c>
      <c r="CQ68" s="443"/>
      <c r="CR68" s="217">
        <f t="shared" si="113"/>
        <v>0.17620137299771166</v>
      </c>
      <c r="CS68" s="172">
        <f t="shared" si="114"/>
        <v>312.98928098277725</v>
      </c>
      <c r="CT68" s="172">
        <f t="shared" si="51"/>
        <v>4.2288329519450798</v>
      </c>
      <c r="CU68" s="217">
        <f t="shared" si="52"/>
        <v>20.865952065518481</v>
      </c>
      <c r="CV68" s="217">
        <f t="shared" si="53"/>
        <v>39.123660122847156</v>
      </c>
      <c r="CW68" s="443">
        <f t="shared" si="54"/>
        <v>15</v>
      </c>
      <c r="CX68" s="217">
        <f t="shared" si="55"/>
        <v>15.096363636363638</v>
      </c>
      <c r="CY68" s="217">
        <f t="shared" si="56"/>
        <v>2.5160606060606066</v>
      </c>
      <c r="CZ68" s="217">
        <f t="shared" si="57"/>
        <v>11.538621887666475</v>
      </c>
      <c r="DA68" s="197">
        <f t="shared" si="58"/>
        <v>107.41163055872293</v>
      </c>
      <c r="DB68" s="443">
        <f t="shared" si="115"/>
        <v>71.150664587856923</v>
      </c>
      <c r="DD68" s="217">
        <f t="shared" si="59"/>
        <v>10</v>
      </c>
      <c r="DE68" s="173">
        <f t="shared" si="60"/>
        <v>7.6433121019108281</v>
      </c>
      <c r="DF68" s="173">
        <f t="shared" si="61"/>
        <v>4.1049030786773102</v>
      </c>
      <c r="DG68" s="173"/>
      <c r="DH68" s="173">
        <f t="shared" si="62"/>
        <v>7.6433121019108281</v>
      </c>
      <c r="DI68" s="545">
        <f t="shared" si="63"/>
        <v>164.85</v>
      </c>
      <c r="DJ68" s="528">
        <f t="shared" si="64"/>
        <v>4.1049030786773093</v>
      </c>
      <c r="DL68" s="173">
        <f t="shared" si="65"/>
        <v>6.7527772064536533</v>
      </c>
      <c r="DM68" s="173">
        <f t="shared" si="66"/>
        <v>15.096363636363638</v>
      </c>
      <c r="DN68" s="173">
        <f t="shared" si="67"/>
        <v>4.9750841750841763</v>
      </c>
      <c r="DP68" s="545">
        <f t="shared" si="68"/>
        <v>6300</v>
      </c>
      <c r="DQ68" s="460">
        <f t="shared" si="69"/>
        <v>71.150664587856923</v>
      </c>
      <c r="DS68">
        <f t="shared" si="116"/>
        <v>6300</v>
      </c>
      <c r="DT68">
        <f t="shared" si="70"/>
        <v>71.150664587856923</v>
      </c>
      <c r="DV68" s="5">
        <f t="shared" si="117"/>
        <v>14.05468249372708</v>
      </c>
      <c r="DW68" s="5">
        <f t="shared" si="71"/>
        <v>2.5160606060606066</v>
      </c>
      <c r="DX68" s="5">
        <f t="shared" si="118"/>
        <v>11.538621887666473</v>
      </c>
      <c r="DY68" s="173">
        <f t="shared" si="119"/>
        <v>0.17901938426453823</v>
      </c>
      <c r="EA68" s="5">
        <f t="shared" si="72"/>
        <v>105.67454545454548</v>
      </c>
      <c r="EB68" s="5">
        <f t="shared" si="73"/>
        <v>4.9534943181818187</v>
      </c>
      <c r="EC68" s="5">
        <f t="shared" si="74"/>
        <v>4.2067892298784013</v>
      </c>
      <c r="ED68" s="5"/>
      <c r="EE68" s="173">
        <f t="shared" si="120"/>
        <v>3.6877523683162212</v>
      </c>
      <c r="EF68" s="173">
        <f t="shared" si="75"/>
        <v>7.8972915705587878</v>
      </c>
      <c r="EG68" s="173">
        <f t="shared" si="76"/>
        <v>0.19449016103180078</v>
      </c>
      <c r="EH68" s="173"/>
      <c r="EI68" s="528">
        <f t="shared" si="77"/>
        <v>0.27199035060043797</v>
      </c>
      <c r="EJ68" s="528">
        <f t="shared" si="78"/>
        <v>1.8840000000000003</v>
      </c>
      <c r="EK68" s="528">
        <f t="shared" si="79"/>
        <v>8.8938330734821148E-3</v>
      </c>
      <c r="EL68" s="528">
        <f t="shared" si="80"/>
        <v>5.4724039503793814E-2</v>
      </c>
      <c r="EM68">
        <f t="shared" si="81"/>
        <v>3.2399999999999998E-2</v>
      </c>
      <c r="EN68" s="460">
        <f t="shared" si="121"/>
        <v>41.293833073482112</v>
      </c>
      <c r="EO68">
        <f t="shared" si="82"/>
        <v>2.4861102631394192</v>
      </c>
      <c r="EP68" s="460">
        <f t="shared" si="122"/>
        <v>2486.1102631394192</v>
      </c>
      <c r="EQ68" s="173">
        <f t="shared" si="83"/>
        <v>3.9138749999999991</v>
      </c>
      <c r="ER68" s="173">
        <f t="shared" si="170"/>
        <v>6.9890624999999998E-2</v>
      </c>
      <c r="ES68" s="528"/>
      <c r="EU68" s="460">
        <f t="shared" si="123"/>
        <v>3983.7656249999991</v>
      </c>
      <c r="EV68" s="528">
        <f t="shared" si="85"/>
        <v>0.40798552590065695</v>
      </c>
      <c r="EW68" s="528">
        <f t="shared" si="124"/>
        <v>1.8710164245125667</v>
      </c>
      <c r="EX68" s="528">
        <f t="shared" si="86"/>
        <v>1.8913211369087898E-4</v>
      </c>
      <c r="EY68" s="528">
        <f t="shared" si="87"/>
        <v>1.890594011417488</v>
      </c>
      <c r="EZ68" s="528">
        <f t="shared" si="88"/>
        <v>5.7686125822282346</v>
      </c>
      <c r="FA68" s="625">
        <f t="shared" si="89"/>
        <v>1.6215250336892303E-2</v>
      </c>
      <c r="FB68" s="460">
        <f t="shared" si="125"/>
        <v>5784.8278325651272</v>
      </c>
      <c r="FC68" s="173">
        <f t="shared" si="126"/>
        <v>12.254703720704544</v>
      </c>
      <c r="FD68" s="5">
        <f t="shared" si="127"/>
        <v>95.76</v>
      </c>
      <c r="FE68" s="173">
        <f t="shared" si="128"/>
        <v>0.88654596736763047</v>
      </c>
      <c r="FF68" s="5">
        <f t="shared" si="129"/>
        <v>88.654596736763054</v>
      </c>
      <c r="FG68">
        <f t="shared" si="130"/>
        <v>63</v>
      </c>
      <c r="FI68" s="562">
        <f t="shared" si="90"/>
        <v>-50</v>
      </c>
      <c r="FJ68">
        <f t="shared" si="91"/>
        <v>-50</v>
      </c>
      <c r="FL68">
        <f t="shared" si="92"/>
        <v>0.82098061573546177</v>
      </c>
    </row>
    <row r="69" spans="5:168">
      <c r="E69" s="170">
        <v>64</v>
      </c>
      <c r="F69" s="217">
        <f t="shared" si="174"/>
        <v>6.4</v>
      </c>
      <c r="G69" s="217">
        <f t="shared" si="171"/>
        <v>0.16</v>
      </c>
      <c r="H69" s="217">
        <f t="shared" ref="H69:H105" si="176">F69*Vout</f>
        <v>96</v>
      </c>
      <c r="I69" s="217">
        <f t="shared" si="175"/>
        <v>1.28</v>
      </c>
      <c r="J69" s="541">
        <f t="shared" ref="J69:J105" si="177">Vin-(F69/CG69/Nps+G69/CH69/(Nps/Nsec1sec2))*(Rdcr_pri+RON/1000)</f>
        <v>71.565247957751239</v>
      </c>
      <c r="K69" s="443">
        <f t="shared" ref="K69:K105" si="178">MAX((S69+Vfwd2+Rdcr_sec*F69/CG69)*Nps,(Vout2+Vfwd22+Rdcr_sec2*G69/CH69)*Nps/Nsec1sec2)</f>
        <v>15.933866666666667</v>
      </c>
      <c r="L69" s="172">
        <f t="shared" ref="L69:L105" si="179">MAX((Vout+Vfwd2+F69/CG69*Rdcr_sec)*Nps+J69, (Vout2+Vfwd22+G69/CH69*Rdcr_sec2)*Nps/Nsec1sec2+J69)</f>
        <v>87.499114624417899</v>
      </c>
      <c r="M69" s="443"/>
      <c r="N69" s="217">
        <f t="shared" ref="N69:N105" si="180">MAX((Vout+Vfwd2+F69/CG69*Rdcr_sec)*Nps/((Vout+Vfwd2+F69/CG69*Rdcr_sec)*Nps+J69), (Vout2+Vfwd22+G69/CH69*Rdcr_sec2)*Nps/Nsec1sec2/((Vout2+Vfwd22+G69/CH69*Rdcr_sec2)*Nps/Nsec1sec2+J69))</f>
        <v>0.18210317595853809</v>
      </c>
      <c r="O69" s="172">
        <f t="shared" si="172"/>
        <v>321.51954625082527</v>
      </c>
      <c r="P69" s="172">
        <f t="shared" ref="P69:P105" si="181">N69*J69*Isw_max*0.5*Efficiency*(Pout2/Pout_total)</f>
        <v>4.3440863137889281</v>
      </c>
      <c r="Q69" s="217">
        <f t="shared" ref="Q69:Q105" si="182">O69/Vout</f>
        <v>21.434636416721684</v>
      </c>
      <c r="R69" s="217">
        <f t="shared" ref="R69:R105" si="183">O69/Vout2</f>
        <v>40.189943281353159</v>
      </c>
      <c r="S69" s="443">
        <f t="shared" ref="S69:S105" si="184">MIN(Vout,O69/F69)</f>
        <v>15</v>
      </c>
      <c r="T69" s="217">
        <f t="shared" ref="T69:T105" si="185">MIN(2*(Vout*F69+Vout2*G69)/(Efficiency*J69*N69), Isw_max)</f>
        <v>14.929107906414508</v>
      </c>
      <c r="U69" s="217">
        <f t="shared" ref="U69:U105" si="186">L*T69/J69*1000000</f>
        <v>2.5033001350422968</v>
      </c>
      <c r="V69" s="217">
        <f t="shared" ref="V69:V105" si="187">L*T69/K69*1000000</f>
        <v>11.243303249910511</v>
      </c>
      <c r="W69" s="197">
        <f t="shared" ref="W69:W105" si="188">IF(1/((350000*L)*(1/J69+1/K69))&gt;Isw_min, 350, 0.001/((Isw_min*L)*(1/J69+1/K69)))</f>
        <v>108.60215784472319</v>
      </c>
      <c r="X69" s="443">
        <f t="shared" si="95"/>
        <v>71.702046182722498</v>
      </c>
      <c r="Z69" s="217">
        <f t="shared" ref="Z69:Z105" si="189">1/((W69*1000*L)*(1/J69+1/K69))</f>
        <v>10</v>
      </c>
      <c r="AA69" s="173">
        <f t="shared" ref="AA69:AA105" si="190">L*Z69/K69*1000000</f>
        <v>7.5311286651492839</v>
      </c>
      <c r="AB69" s="173">
        <f t="shared" ref="AB69:AB100" si="191">0.5*AA69*Z69*Nps*W69/1000*(Pout/Pout_total)</f>
        <v>4.0894841202073096</v>
      </c>
      <c r="AC69" s="173"/>
      <c r="AD69" s="173">
        <f t="shared" ref="AD69:AD105" si="192">L*Isw_min/K69*1000000</f>
        <v>7.5311286651492839</v>
      </c>
      <c r="AE69" s="545">
        <f t="shared" ref="AE69:AE100" si="193">MAX(10, F69/(0.5*AD69/1000000*Isw_min*Nps)/1000*Pout_total/Pout)</f>
        <v>169.96124444444445</v>
      </c>
      <c r="AF69" s="528">
        <f t="shared" ref="AF69:AF105" si="194">0.5*AD69/1000000*Isw_min*Nps*W69*1000*(Pout/Pout_total)</f>
        <v>4.0894841202073104</v>
      </c>
      <c r="AH69" s="173">
        <f t="shared" ref="AH69:AH105" si="195">SQRT((H69+I69)/(0.5*L*Fsw_DCM))</f>
        <v>6.8061596751626041</v>
      </c>
      <c r="AI69" s="173">
        <f t="shared" ref="AI69:AI100" si="196">MAX(IF(F69&gt;AB69,T69,AH69),Isw_min)</f>
        <v>14.929107906414508</v>
      </c>
      <c r="AJ69" s="173">
        <f t="shared" ref="AJ69:AJ100" si="197">IF(F69&gt;AF69, (AI69-Isw_min)/1.08*0.8+1.2, AE69*0.2/350+1)</f>
        <v>4.8511910417885238</v>
      </c>
      <c r="AL69" s="545">
        <f t="shared" ref="AL69:AL105" si="198">F69*1000</f>
        <v>6400</v>
      </c>
      <c r="AM69" s="460">
        <f t="shared" ref="AM69:AM105" si="199">IF(F69&gt;AF69, X69, AE69)</f>
        <v>71.702046182722498</v>
      </c>
      <c r="AO69">
        <f t="shared" si="96"/>
        <v>6400</v>
      </c>
      <c r="AP69">
        <f t="shared" ref="AP69:AP105" si="200">IF(H69&gt;O69, "",AM69)</f>
        <v>71.702046182722498</v>
      </c>
      <c r="AR69" s="5">
        <f t="shared" si="97"/>
        <v>13.946603384952805</v>
      </c>
      <c r="AS69" s="5">
        <f t="shared" ref="AS69:AS105" si="201">L*AI69/J69*1000000</f>
        <v>2.5033001350422968</v>
      </c>
      <c r="AT69" s="5">
        <f t="shared" si="98"/>
        <v>11.443303249910509</v>
      </c>
      <c r="AU69" s="173">
        <f t="shared" si="99"/>
        <v>0.17949174189201825</v>
      </c>
      <c r="AW69" s="5">
        <f t="shared" ref="AW69:AW105" si="202">F69*AS69/Vout_ripple*1000</f>
        <v>106.80747242847133</v>
      </c>
      <c r="AX69" s="5">
        <f t="shared" ref="AX69:AX105" si="203">G69*AS69/Vout_ripple2*1000</f>
        <v>5.0066002700845935</v>
      </c>
      <c r="AY69" s="5">
        <f t="shared" ref="AY69:AY105" si="204">H69/Efficiency/J69*AT69/Vinripple1</f>
        <v>4.2640074902150262</v>
      </c>
      <c r="AZ69" s="5"/>
      <c r="BA69" s="173">
        <f t="shared" si="100"/>
        <v>3.6517031475940067</v>
      </c>
      <c r="BB69" s="173">
        <f t="shared" ref="BB69:BB105" si="205">AI69*Npri_sec1*SQRT((1-AU69)/3)*(Pout/Pout_total)</f>
        <v>7.8075488096867769</v>
      </c>
      <c r="BC69" s="173">
        <f t="shared" ref="BC69:BC105" si="206">AI69*Npri_sec2*SQRT((1-AU69)/3)*(Pout2/Pout_total)</f>
        <v>0.19228002558758028</v>
      </c>
      <c r="BD69" s="173"/>
      <c r="BE69" s="528">
        <f t="shared" ref="BE69:BE105" si="207">Rdson*BA69^2</f>
        <v>0.26669871756295949</v>
      </c>
      <c r="BF69" s="528">
        <f t="shared" ref="BF69:BF105" si="208">0.5*L69*AI69*AM69*1000*Tfall</f>
        <v>1.7561852981615156</v>
      </c>
      <c r="BG69" s="528">
        <f t="shared" ref="BG69:BG105" si="209">Qg*Vdd*AM69*1000*0+Qg*J69*AM69*1000</f>
        <v>0.12828436785361666</v>
      </c>
      <c r="BH69" s="528">
        <f t="shared" ref="BH69:BH105" si="210">0.5*(Coss+Csw)*L69^2*AM69*1000</f>
        <v>5.4895768157552219E-2</v>
      </c>
      <c r="BI69">
        <f t="shared" ref="BI69:BI105" si="211">J69*IQ</f>
        <v>3.2204361580988057E-2</v>
      </c>
      <c r="BJ69" s="460">
        <f t="shared" si="101"/>
        <v>160.48872943460472</v>
      </c>
      <c r="BK69">
        <f t="shared" ref="BK69:BK105" si="212">(BF69+BG69*0+BH69+BI69*0+BE69*(1+RdsonTC*(Ta-25)))/(1-BE69*RdsonTC*ThetaJA)</f>
        <v>2.2952318035601937</v>
      </c>
      <c r="BL69" s="460">
        <f t="shared" si="102"/>
        <v>2295.2318035601938</v>
      </c>
      <c r="BM69" s="173">
        <f t="shared" ref="BM69:BM105" si="213">Vfwd2*F69*(1+Diode_TC/1000*(Ta-25))</f>
        <v>3.9759999999999995</v>
      </c>
      <c r="BN69" s="173">
        <f t="shared" ref="BN69:BN105" si="214">Vfwd22*G69*(1+Diode_TC/1000*(Ta-25))</f>
        <v>7.0999999999999994E-2</v>
      </c>
      <c r="BO69" s="528"/>
      <c r="BQ69" s="460">
        <f t="shared" si="103"/>
        <v>4046.9999999999995</v>
      </c>
      <c r="BR69" s="528">
        <f t="shared" ref="BR69:BR105" si="215">Rdcr_pri*BA69^2</f>
        <v>0.40004807634443923</v>
      </c>
      <c r="BS69" s="528">
        <f t="shared" ref="BS69:BS105" si="216">Rdcr_sec*BB69^2</f>
        <v>1.828734552469242</v>
      </c>
      <c r="BT69" s="528">
        <f t="shared" ref="BT69:BT105" si="217">Rdcr_sec2*BC69^2</f>
        <v>1.8485804119980264E-4</v>
      </c>
      <c r="BU69" s="528">
        <f t="shared" ref="BU69:BU105" si="218">AI69^2.5*AM69^2.5*k_core</f>
        <v>1.8744916952594795</v>
      </c>
      <c r="BV69" s="528">
        <f t="shared" ref="BV69:BV100" si="219">(BU69+(BR69+BS69+BT69)*(1+Ltc*(Ta-25)))/(1-(BR69+BS69+BT69)*Ltc*ThetaCa)</f>
        <v>5.6450159380558613</v>
      </c>
      <c r="BW69" s="625">
        <f t="shared" ref="BW69:BW105" si="220">0.5*Lleak*0.000000001*AI69^2*AM69*1000</f>
        <v>1.598082749824483E-2</v>
      </c>
      <c r="BX69" s="460">
        <f t="shared" si="105"/>
        <v>5660.9967655541059</v>
      </c>
      <c r="BY69" s="173">
        <f t="shared" si="106"/>
        <v>12.003228569114299</v>
      </c>
      <c r="BZ69" s="5">
        <f t="shared" si="107"/>
        <v>97.28</v>
      </c>
      <c r="CA69" s="173">
        <f t="shared" si="108"/>
        <v>0.89016403773683295</v>
      </c>
      <c r="CB69" s="5">
        <f t="shared" si="109"/>
        <v>89.016403773683294</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0.82098061573546177</v>
      </c>
      <c r="CH69" s="173">
        <f t="shared" ref="CH69:CH105" si="224">MIN(SQRT(2*DT69*1000*Ls2_*(CM69+CK69*Vfwd22))/(Vout2+Vfwd22), 1-DY69)</f>
        <v>9.6304191786782969E-2</v>
      </c>
      <c r="CI69" s="170">
        <v>64</v>
      </c>
      <c r="CJ69" s="217">
        <f t="shared" si="133"/>
        <v>6.4</v>
      </c>
      <c r="CK69" s="217">
        <f t="shared" si="111"/>
        <v>0.16</v>
      </c>
      <c r="CL69" s="217">
        <f t="shared" ref="CL69:CL105" si="225">CJ69*Vout</f>
        <v>96</v>
      </c>
      <c r="CM69" s="217">
        <f t="shared" si="134"/>
        <v>1.28</v>
      </c>
      <c r="CN69" s="541">
        <f t="shared" si="112"/>
        <v>72</v>
      </c>
      <c r="CO69" s="443">
        <f t="shared" ref="CO69:CO105" si="226">(CW69+Vfwd2)*Nps</f>
        <v>15.7</v>
      </c>
      <c r="CP69" s="443">
        <f t="shared" ref="CP69:CP105" si="227">(Vout+Vfwd2)*Nps+CN69</f>
        <v>87.7</v>
      </c>
      <c r="CQ69" s="443"/>
      <c r="CR69" s="217">
        <f t="shared" ref="CR69:CR105" si="228">(Vout+Vfwd1)*Nps/((Vout+Vfwd1)*Nps+CN69)</f>
        <v>0.17620137299771166</v>
      </c>
      <c r="CS69" s="172">
        <f t="shared" si="114"/>
        <v>312.98928098277725</v>
      </c>
      <c r="CT69" s="172">
        <f t="shared" ref="CT69:CT105" si="229">CR69*CN69*Isw_max*0.5*Efficiency*(Pout2/Pout_total)</f>
        <v>4.2288329519450798</v>
      </c>
      <c r="CU69" s="217">
        <f t="shared" ref="CU69:CU105" si="230">CS69/Vout</f>
        <v>20.865952065518481</v>
      </c>
      <c r="CV69" s="217">
        <f t="shared" ref="CV69:CV105" si="231">CS69/Vout2</f>
        <v>39.123660122847156</v>
      </c>
      <c r="CW69" s="443">
        <f t="shared" ref="CW69:CW105" si="232">MIN(Vout,CS69/CJ69)</f>
        <v>15</v>
      </c>
      <c r="CX69" s="217">
        <f t="shared" ref="CX69:CX105" si="233">MIN(2*(Vout*CJ69+Vout2*CK69)/(Efficiency*CN69*CR69), Isw_max)</f>
        <v>15.335988455988458</v>
      </c>
      <c r="CY69" s="217">
        <f t="shared" ref="CY69:CY105" si="234">L*CX69/CN69*1000000</f>
        <v>2.5559980759980765</v>
      </c>
      <c r="CZ69" s="217">
        <f t="shared" ref="CZ69:CZ105" si="235">L*CX69/CO69*1000000</f>
        <v>11.721774616042135</v>
      </c>
      <c r="DA69" s="197">
        <f t="shared" ref="DA69:DA105" si="236">IF(1/((350000*L)*(1/CN69+1/CO69))&gt;Isw_min, 350, 0.001/((Isw_min*L)*(1/CN69+1/CO69)))</f>
        <v>107.41163055872293</v>
      </c>
      <c r="DB69" s="443">
        <f t="shared" si="115"/>
        <v>70.038935453671655</v>
      </c>
      <c r="DD69" s="217">
        <f t="shared" ref="DD69:DD105" si="237">1/((DA69*1000*L)*(1/CN69+1/CO69))</f>
        <v>10</v>
      </c>
      <c r="DE69" s="173">
        <f t="shared" ref="DE69:DE105" si="238">L*DD69/CO69*1000000</f>
        <v>7.6433121019108281</v>
      </c>
      <c r="DF69" s="173">
        <f t="shared" ref="DF69:DF105" si="239">0.5*DE69*DD69*Nps*DA69/1000*(Pout/Pout_total)</f>
        <v>4.1049030786773102</v>
      </c>
      <c r="DG69" s="173"/>
      <c r="DH69" s="173">
        <f t="shared" ref="DH69:DH105" si="240">L*Isw_min/CO69*1000000</f>
        <v>7.6433121019108281</v>
      </c>
      <c r="DI69" s="545">
        <f t="shared" ref="DI69:DI105" si="241">MAX(10, CJ69/(0.5*DH69/1000000*Isw_min*Nps)/1000*Pout_total/Pout)</f>
        <v>167.4666666666667</v>
      </c>
      <c r="DJ69" s="528">
        <f t="shared" ref="DJ69:DJ105" si="242">0.5*DH69/1000000*Isw_min*Nps*DA69*1000*(Pout/Pout_total)</f>
        <v>4.1049030786773093</v>
      </c>
      <c r="DL69" s="173">
        <f t="shared" ref="DL69:DL105" si="243">SQRT((CL69+CM69)/(0.5*L*Fsw_DCM))</f>
        <v>6.8061596751626041</v>
      </c>
      <c r="DM69" s="173">
        <f t="shared" ref="DM69:DM105" si="244">MAX(IF(CJ69&gt;DF69,CX69,DL69),Isw_min)</f>
        <v>15.335988455988458</v>
      </c>
      <c r="DN69" s="173">
        <f t="shared" ref="DN69:DN105" si="245">IF(CJ69&gt;DJ69, (DM69-Isw_min)/1.08*0.8+1.2, DI69*0.2/350+1)</f>
        <v>5.1525840414729318</v>
      </c>
      <c r="DP69" s="545">
        <f t="shared" ref="DP69:DP105" si="246">CJ69*1000</f>
        <v>6400</v>
      </c>
      <c r="DQ69" s="460">
        <f t="shared" ref="DQ69:DQ105" si="247">IF(CJ69&gt;DJ69, DB69, DI69)</f>
        <v>70.038935453671655</v>
      </c>
      <c r="DS69">
        <f t="shared" si="116"/>
        <v>6400</v>
      </c>
      <c r="DT69">
        <f t="shared" ref="DT69:DT90" si="248">IF(CL69&gt;CS69, "",DQ69)</f>
        <v>70.038935453671655</v>
      </c>
      <c r="DV69" s="5">
        <f t="shared" si="117"/>
        <v>14.277772692040209</v>
      </c>
      <c r="DW69" s="5">
        <f t="shared" ref="DW69:DW105" si="249">L*DM69/CN69*1000000</f>
        <v>2.5559980759980765</v>
      </c>
      <c r="DX69" s="5">
        <f t="shared" si="118"/>
        <v>11.721774616042133</v>
      </c>
      <c r="DY69" s="173">
        <f t="shared" si="119"/>
        <v>0.17901938426453823</v>
      </c>
      <c r="EA69" s="5">
        <f t="shared" ref="EA69:EA105" si="250">CJ69*DW69/Vout_ripple*1000</f>
        <v>109.05591790925128</v>
      </c>
      <c r="EB69" s="5">
        <f t="shared" ref="EB69:EB105" si="251">CK69*DW69/Vout_ripple2*1000</f>
        <v>5.111996151996153</v>
      </c>
      <c r="EC69" s="5">
        <f t="shared" ref="EC69:EC105" si="252">CL69/Efficiency/CN69*DX69/Vinripple1</f>
        <v>4.3413980059415307</v>
      </c>
      <c r="ED69" s="5"/>
      <c r="EE69" s="173">
        <f t="shared" si="120"/>
        <v>3.7462881201942566</v>
      </c>
      <c r="EF69" s="173">
        <f t="shared" ref="EF69:EF105" si="253">DM69*Npri_sec1*SQRT((1-DY69)/3)*(Pout/Pout_total)</f>
        <v>8.0226454050121028</v>
      </c>
      <c r="EG69" s="173">
        <f t="shared" ref="EG69:EG105" si="254">DM69*Npri_sec2*SQRT((1-DY69)/3)*(Pout2/Pout_total)</f>
        <v>0.19757730644500399</v>
      </c>
      <c r="EH69" s="173"/>
      <c r="EI69" s="528">
        <f t="shared" ref="EI69:EI105" si="255">Rdson*EE69^2</f>
        <v>0.28069349359017237</v>
      </c>
      <c r="EJ69" s="528">
        <f t="shared" ref="EJ69:EJ105" si="256">0.5*CP69*DM69*DQ69*1000*Trise</f>
        <v>1.8840000000000003</v>
      </c>
      <c r="EK69" s="528">
        <f t="shared" ref="EK69:EK105" si="257">Qg*Vdd*DQ69*1000</f>
        <v>8.7548669317089566E-3</v>
      </c>
      <c r="EL69" s="528">
        <f t="shared" ref="EL69:EL105" si="258">0.5*(Coss+Csw)*CP69^2*DQ69*1000</f>
        <v>5.3868976386547036E-2</v>
      </c>
      <c r="EM69">
        <f t="shared" ref="EM69:EM105" si="259">CN69*IQ</f>
        <v>3.2399999999999998E-2</v>
      </c>
      <c r="EN69" s="460">
        <f t="shared" si="121"/>
        <v>41.154866931708959</v>
      </c>
      <c r="EO69">
        <f t="shared" ref="EO69:EO105" si="260">(EJ69+EK69+EL69+EM69+EI69*(1+RdsonTC*(Ta-25)))/(1-EI69*RdsonTC*ThetaJA)</f>
        <v>2.5023963334989996</v>
      </c>
      <c r="EP69" s="460">
        <f t="shared" si="122"/>
        <v>2502.3963334989994</v>
      </c>
      <c r="EQ69" s="173">
        <f t="shared" ref="EQ69:EQ105" si="261">Vfwd2*CJ69*(1+Diode_TC/1000*(Ta-25))</f>
        <v>3.9759999999999995</v>
      </c>
      <c r="ER69" s="173">
        <f t="shared" ref="ER69:ER105" si="262">Vfwd22*CK69*(1+Diode_TC/1000*(Ta-25))</f>
        <v>7.0999999999999994E-2</v>
      </c>
      <c r="ES69" s="528"/>
      <c r="EU69" s="460">
        <f t="shared" si="123"/>
        <v>4046.9999999999995</v>
      </c>
      <c r="EV69" s="528">
        <f t="shared" ref="EV69:EV105" si="263">Rdcr_pri*EE69^2</f>
        <v>0.4210402403852585</v>
      </c>
      <c r="EW69" s="528">
        <f t="shared" si="124"/>
        <v>1.9308851788368542</v>
      </c>
      <c r="EX69" s="528">
        <f t="shared" ref="EX69:EX105" si="264">Rdcr_sec2*EG69^2</f>
        <v>1.9518396011031507E-4</v>
      </c>
      <c r="EY69" s="528">
        <f t="shared" ref="EY69:EY105" si="265">DM69^2.5*DQ69^2.5*k_core</f>
        <v>1.8905940114174897</v>
      </c>
      <c r="EZ69" s="528">
        <f t="shared" ref="EZ69:EZ105" si="266">(EY69+(EV69+EW69+EX69)*(1+Ltc*(Ta-25)))/(1-(EV69+EW69+EX69)*Ltc*ThetaCa)</f>
        <v>5.9214632084498859</v>
      </c>
      <c r="FA69" s="625">
        <f t="shared" ref="FA69:FA105" si="267">0.5*Lleak*0.000000001*DM69^2*DQ69*1000</f>
        <v>1.6472635262874721E-2</v>
      </c>
      <c r="FB69" s="460">
        <f t="shared" si="125"/>
        <v>5937.9358437127603</v>
      </c>
      <c r="FC69" s="173">
        <f t="shared" si="126"/>
        <v>12.48733217721176</v>
      </c>
      <c r="FD69" s="5">
        <f t="shared" si="127"/>
        <v>97.28</v>
      </c>
      <c r="FE69" s="173">
        <f t="shared" si="128"/>
        <v>0.88623817369404745</v>
      </c>
      <c r="FF69" s="5">
        <f t="shared" si="129"/>
        <v>88.623817369404748</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0.82098061573546177</v>
      </c>
    </row>
    <row r="70" spans="5:168">
      <c r="E70" s="170">
        <v>65</v>
      </c>
      <c r="F70" s="217">
        <f t="shared" si="174"/>
        <v>6.5</v>
      </c>
      <c r="G70" s="217">
        <f t="shared" ref="G70:G105" si="271">IF(PLOT_TYPE=1, E70/100*Iout2, min_I*EXP(Q70*rr/100))</f>
        <v>0.16250000000000001</v>
      </c>
      <c r="H70" s="217">
        <f t="shared" si="176"/>
        <v>97.5</v>
      </c>
      <c r="I70" s="217">
        <f t="shared" si="175"/>
        <v>1.3</v>
      </c>
      <c r="J70" s="541">
        <f t="shared" si="177"/>
        <v>71.558454957091101</v>
      </c>
      <c r="K70" s="443">
        <f t="shared" si="178"/>
        <v>15.937520833333332</v>
      </c>
      <c r="L70" s="172">
        <f t="shared" si="179"/>
        <v>87.495975790424438</v>
      </c>
      <c r="M70" s="443"/>
      <c r="N70" s="217">
        <f t="shared" si="180"/>
        <v>0.18215147256038186</v>
      </c>
      <c r="O70" s="172">
        <f t="shared" ref="O70:O101" si="272">N70*J70*Isw_max*0.5*Efficiency*Pout/(Pout+Pout2)</f>
        <v>321.57429139588572</v>
      </c>
      <c r="P70" s="172">
        <f t="shared" si="181"/>
        <v>4.3448259815266335</v>
      </c>
      <c r="Q70" s="217">
        <f t="shared" si="182"/>
        <v>21.438286093059048</v>
      </c>
      <c r="R70" s="217">
        <f t="shared" si="183"/>
        <v>40.196786424485715</v>
      </c>
      <c r="S70" s="443">
        <f t="shared" si="184"/>
        <v>15</v>
      </c>
      <c r="T70" s="217">
        <f t="shared" si="185"/>
        <v>15.159793958772823</v>
      </c>
      <c r="U70" s="217">
        <f t="shared" si="186"/>
        <v>2.5422226851370375</v>
      </c>
      <c r="V70" s="217">
        <f t="shared" si="187"/>
        <v>11.414418177562053</v>
      </c>
      <c r="W70" s="197">
        <f t="shared" si="188"/>
        <v>108.62064953816585</v>
      </c>
      <c r="X70" s="443">
        <f t="shared" ref="X70:X105" si="273">MIN(1/(U70+V70+0.2)*1000, 350)</f>
        <v>70.638226235919433</v>
      </c>
      <c r="Z70" s="217">
        <f t="shared" si="189"/>
        <v>10</v>
      </c>
      <c r="AA70" s="173">
        <f t="shared" si="190"/>
        <v>7.5294019223504289</v>
      </c>
      <c r="AB70" s="173">
        <f t="shared" si="191"/>
        <v>4.0892426371980912</v>
      </c>
      <c r="AC70" s="173"/>
      <c r="AD70" s="173">
        <f t="shared" si="192"/>
        <v>7.5294019223504289</v>
      </c>
      <c r="AE70" s="545">
        <f t="shared" si="193"/>
        <v>172.65647569444442</v>
      </c>
      <c r="AF70" s="528">
        <f t="shared" si="194"/>
        <v>4.0892426371980912</v>
      </c>
      <c r="AH70" s="173">
        <f t="shared" si="195"/>
        <v>6.859126697154605</v>
      </c>
      <c r="AI70" s="173">
        <f t="shared" si="196"/>
        <v>15.159793958772823</v>
      </c>
      <c r="AJ70" s="173">
        <f t="shared" si="197"/>
        <v>5.0220695990909805</v>
      </c>
      <c r="AL70" s="545">
        <f t="shared" si="198"/>
        <v>6500</v>
      </c>
      <c r="AM70" s="460">
        <f t="shared" si="199"/>
        <v>70.638226235919433</v>
      </c>
      <c r="AO70">
        <f t="shared" ref="AO70:AO105" si="274">IF(H70&gt;O70, "",AL70)</f>
        <v>6500</v>
      </c>
      <c r="AP70">
        <f t="shared" si="200"/>
        <v>70.638226235919433</v>
      </c>
      <c r="AR70" s="5">
        <f t="shared" ref="AR70:AR133" si="275">1/AM70*1000</f>
        <v>14.15664086269909</v>
      </c>
      <c r="AS70" s="5">
        <f t="shared" si="201"/>
        <v>2.5422226851370375</v>
      </c>
      <c r="AT70" s="5">
        <f t="shared" ref="AT70:AT105" si="276">AR70-AS70</f>
        <v>11.614418177562053</v>
      </c>
      <c r="AU70" s="173">
        <f t="shared" ref="AU70:AU105" si="277">AS70/AR70</f>
        <v>0.17957810117479664</v>
      </c>
      <c r="AW70" s="5">
        <f t="shared" si="202"/>
        <v>110.16298302260495</v>
      </c>
      <c r="AX70" s="5">
        <f t="shared" si="203"/>
        <v>5.1638898291846074</v>
      </c>
      <c r="AY70" s="5">
        <f t="shared" si="204"/>
        <v>4.3958070246801464</v>
      </c>
      <c r="AZ70" s="5"/>
      <c r="BA70" s="173">
        <f t="shared" ref="BA70:BA105" si="278">AI70*SQRT(AU70/3)</f>
        <v>3.709021569185698</v>
      </c>
      <c r="BB70" s="173">
        <f t="shared" si="205"/>
        <v>7.9277745904381591</v>
      </c>
      <c r="BC70" s="173">
        <f t="shared" si="206"/>
        <v>0.19524088010961432</v>
      </c>
      <c r="BD70" s="173"/>
      <c r="BE70" s="528">
        <f t="shared" si="207"/>
        <v>0.27513682001369477</v>
      </c>
      <c r="BF70" s="528">
        <f t="shared" si="208"/>
        <v>1.7568004542035593</v>
      </c>
      <c r="BG70" s="528">
        <f t="shared" si="209"/>
        <v>0.1263690582587963</v>
      </c>
      <c r="BH70" s="528">
        <f t="shared" si="210"/>
        <v>5.4077417473306875E-2</v>
      </c>
      <c r="BI70">
        <f t="shared" si="211"/>
        <v>3.2201304730690994E-2</v>
      </c>
      <c r="BJ70" s="460">
        <f t="shared" ref="BJ70:BJ105" si="279">(BG70+BI70)*1000</f>
        <v>158.57036298948728</v>
      </c>
      <c r="BK70">
        <f t="shared" si="212"/>
        <v>2.311403904327165</v>
      </c>
      <c r="BL70" s="460">
        <f t="shared" ref="BL70:BL105" si="280">BK70*1000</f>
        <v>2311.403904327165</v>
      </c>
      <c r="BM70" s="173">
        <f t="shared" si="213"/>
        <v>4.038125</v>
      </c>
      <c r="BN70" s="173">
        <f t="shared" si="214"/>
        <v>7.2109375000000003E-2</v>
      </c>
      <c r="BO70" s="528"/>
      <c r="BQ70" s="460">
        <f t="shared" ref="BQ70:BQ105" si="281">SUM(BM70:BP70)*1000</f>
        <v>4110.234375</v>
      </c>
      <c r="BR70" s="528">
        <f t="shared" si="215"/>
        <v>0.4127052300205421</v>
      </c>
      <c r="BS70" s="528">
        <f t="shared" si="216"/>
        <v>1.8854882987039074</v>
      </c>
      <c r="BT70" s="528">
        <f t="shared" si="217"/>
        <v>1.9059500632988399E-4</v>
      </c>
      <c r="BU70" s="528">
        <f t="shared" si="218"/>
        <v>1.8763018831964204</v>
      </c>
      <c r="BV70" s="528">
        <f t="shared" si="219"/>
        <v>5.7911146797057897</v>
      </c>
      <c r="BW70" s="625">
        <f t="shared" si="220"/>
        <v>1.623403144159637E-2</v>
      </c>
      <c r="BX70" s="460">
        <f t="shared" ref="BX70:BX105" si="282">(BV70+BW70)*1000</f>
        <v>5807.3487111473869</v>
      </c>
      <c r="BY70" s="173">
        <f t="shared" ref="BY70:BY104" si="283">SUM(BK70,BM70:BP70,BV70:BW70)</f>
        <v>12.228986990474551</v>
      </c>
      <c r="BZ70" s="5">
        <f t="shared" ref="BZ70:BZ105" si="284">MIN(H70+I70,O70+P70)</f>
        <v>98.8</v>
      </c>
      <c r="CA70" s="173">
        <f t="shared" ref="CA70:CA105" si="285">BZ70/(BZ70+BY70)</f>
        <v>0.88985770903661665</v>
      </c>
      <c r="CB70" s="5">
        <f t="shared" ref="CB70:CB105" si="286">CA70*100</f>
        <v>88.98577090366166</v>
      </c>
      <c r="CC70">
        <f t="shared" ref="CC70:CC105" si="287">F70/Iout*100</f>
        <v>65</v>
      </c>
      <c r="CE70" s="562">
        <f t="shared" si="221"/>
        <v>-50</v>
      </c>
      <c r="CF70">
        <f t="shared" si="222"/>
        <v>-50</v>
      </c>
      <c r="CG70" s="173">
        <f t="shared" si="223"/>
        <v>0.82098061573546177</v>
      </c>
      <c r="CH70" s="173">
        <f t="shared" si="224"/>
        <v>9.6304191786782969E-2</v>
      </c>
      <c r="CI70" s="170">
        <v>65</v>
      </c>
      <c r="CJ70" s="217">
        <f t="shared" si="133"/>
        <v>6.5</v>
      </c>
      <c r="CK70" s="217">
        <f t="shared" ref="CK70:CK105" si="288">IF(PLOT_TYPE=1, CI70/100*Iout2, min_I*EXP(CU70*rr/100))</f>
        <v>0.16250000000000001</v>
      </c>
      <c r="CL70" s="217">
        <f t="shared" si="225"/>
        <v>97.5</v>
      </c>
      <c r="CM70" s="217">
        <f t="shared" si="134"/>
        <v>1.3</v>
      </c>
      <c r="CN70" s="541">
        <f t="shared" ref="CN70:CN105" si="289">Vin</f>
        <v>72</v>
      </c>
      <c r="CO70" s="443">
        <f t="shared" si="226"/>
        <v>15.7</v>
      </c>
      <c r="CP70" s="443">
        <f t="shared" si="227"/>
        <v>87.7</v>
      </c>
      <c r="CQ70" s="443"/>
      <c r="CR70" s="217">
        <f t="shared" si="228"/>
        <v>0.17620137299771166</v>
      </c>
      <c r="CS70" s="172">
        <f t="shared" ref="CS70:CS105" si="290">CR70*CN70*Isw_max*0.5*Efficiency*Pout/(Pout+Pout2)</f>
        <v>312.98928098277725</v>
      </c>
      <c r="CT70" s="172">
        <f t="shared" si="229"/>
        <v>4.2288329519450798</v>
      </c>
      <c r="CU70" s="217">
        <f t="shared" si="230"/>
        <v>20.865952065518481</v>
      </c>
      <c r="CV70" s="217">
        <f t="shared" si="231"/>
        <v>39.123660122847156</v>
      </c>
      <c r="CW70" s="443">
        <f t="shared" si="232"/>
        <v>15</v>
      </c>
      <c r="CX70" s="217">
        <f t="shared" si="233"/>
        <v>15.575613275613277</v>
      </c>
      <c r="CY70" s="217">
        <f t="shared" si="234"/>
        <v>2.5959355459355464</v>
      </c>
      <c r="CZ70" s="217">
        <f t="shared" si="235"/>
        <v>11.904927344417791</v>
      </c>
      <c r="DA70" s="197">
        <f t="shared" si="236"/>
        <v>107.41163055872293</v>
      </c>
      <c r="DB70" s="443">
        <f t="shared" ref="DB70:DB105" si="291">MIN(1/(CY70+CZ70)*1000, 350)</f>
        <v>68.961413369769019</v>
      </c>
      <c r="DD70" s="217">
        <f t="shared" si="237"/>
        <v>10</v>
      </c>
      <c r="DE70" s="173">
        <f t="shared" si="238"/>
        <v>7.6433121019108281</v>
      </c>
      <c r="DF70" s="173">
        <f t="shared" si="239"/>
        <v>4.1049030786773102</v>
      </c>
      <c r="DG70" s="173"/>
      <c r="DH70" s="173">
        <f t="shared" si="240"/>
        <v>7.6433121019108281</v>
      </c>
      <c r="DI70" s="545">
        <f t="shared" si="241"/>
        <v>170.08333333333334</v>
      </c>
      <c r="DJ70" s="528">
        <f t="shared" si="242"/>
        <v>4.1049030786773093</v>
      </c>
      <c r="DL70" s="173">
        <f t="shared" si="243"/>
        <v>6.859126697154605</v>
      </c>
      <c r="DM70" s="173">
        <f t="shared" si="244"/>
        <v>15.575613275613277</v>
      </c>
      <c r="DN70" s="173">
        <f t="shared" si="245"/>
        <v>5.3300839078616864</v>
      </c>
      <c r="DP70" s="545">
        <f t="shared" si="246"/>
        <v>6500</v>
      </c>
      <c r="DQ70" s="460">
        <f t="shared" si="247"/>
        <v>68.961413369769019</v>
      </c>
      <c r="DS70">
        <f t="shared" ref="DS70:DS90" si="292">IF(CL70&gt;CS70, "",DP70)</f>
        <v>6500</v>
      </c>
      <c r="DT70">
        <f t="shared" si="248"/>
        <v>68.961413369769019</v>
      </c>
      <c r="DV70" s="5">
        <f t="shared" ref="DV70:DV105" si="293">1/DQ70*1000</f>
        <v>14.500862890353336</v>
      </c>
      <c r="DW70" s="5">
        <f t="shared" si="249"/>
        <v>2.5959355459355464</v>
      </c>
      <c r="DX70" s="5">
        <f t="shared" ref="DX70:DX105" si="294">DV70-DW70</f>
        <v>11.904927344417789</v>
      </c>
      <c r="DY70" s="173">
        <f t="shared" ref="DY70:DY105" si="295">DW70/DV70</f>
        <v>0.17901938426453823</v>
      </c>
      <c r="EA70" s="5">
        <f t="shared" si="250"/>
        <v>112.49054032387367</v>
      </c>
      <c r="EB70" s="5">
        <f t="shared" si="251"/>
        <v>5.2729940776815782</v>
      </c>
      <c r="EC70" s="5">
        <f t="shared" si="252"/>
        <v>4.4781266052497477</v>
      </c>
      <c r="ED70" s="5"/>
      <c r="EE70" s="173">
        <f t="shared" ref="EE70:EE105" si="296">DM70*SQRT(DY70/3)</f>
        <v>3.804823872072292</v>
      </c>
      <c r="EF70" s="173">
        <f t="shared" si="253"/>
        <v>8.1479992394654168</v>
      </c>
      <c r="EG70" s="173">
        <f t="shared" si="254"/>
        <v>0.20066445185820714</v>
      </c>
      <c r="EH70" s="173"/>
      <c r="EI70" s="528">
        <f t="shared" si="255"/>
        <v>0.28953369394982381</v>
      </c>
      <c r="EJ70" s="528">
        <f t="shared" si="256"/>
        <v>1.8840000000000003</v>
      </c>
      <c r="EK70" s="528">
        <f t="shared" si="257"/>
        <v>8.6201766712211275E-3</v>
      </c>
      <c r="EL70" s="528">
        <f t="shared" si="258"/>
        <v>5.3040222903677083E-2</v>
      </c>
      <c r="EM70">
        <f t="shared" si="259"/>
        <v>3.2399999999999998E-2</v>
      </c>
      <c r="EN70" s="460">
        <f t="shared" ref="EN70:EN105" si="297">(EK70+EM70)*1000</f>
        <v>41.020176671221122</v>
      </c>
      <c r="EO70">
        <f t="shared" si="260"/>
        <v>2.5190625811642402</v>
      </c>
      <c r="EP70" s="460">
        <f t="shared" ref="EP70:EP105" si="298">EO70*1000</f>
        <v>2519.0625811642403</v>
      </c>
      <c r="EQ70" s="173">
        <f t="shared" si="261"/>
        <v>4.038125</v>
      </c>
      <c r="ER70" s="173">
        <f t="shared" si="262"/>
        <v>7.2109375000000003E-2</v>
      </c>
      <c r="ES70" s="528"/>
      <c r="EU70" s="460">
        <f t="shared" ref="EU70:EU105" si="299">SUM(EQ70:ET70)*1000</f>
        <v>4110.234375</v>
      </c>
      <c r="EV70" s="528">
        <f t="shared" si="263"/>
        <v>0.43430054092473563</v>
      </c>
      <c r="EW70" s="528">
        <f t="shared" ref="EW70:EW105" si="300">Rdcr_sec*EF70^2</f>
        <v>1.9916967481898704</v>
      </c>
      <c r="EX70" s="528">
        <f t="shared" si="264"/>
        <v>2.0133111119777363E-4</v>
      </c>
      <c r="EY70" s="528">
        <f t="shared" si="265"/>
        <v>1.890594011417488</v>
      </c>
      <c r="EZ70" s="528">
        <f t="shared" si="266"/>
        <v>6.0789866156355776</v>
      </c>
      <c r="FA70" s="625">
        <f t="shared" si="267"/>
        <v>1.6730020188857136E-2</v>
      </c>
      <c r="FB70" s="460">
        <f t="shared" ref="FB70:FB105" si="301">(EZ70+FA70)*1000</f>
        <v>6095.716635824434</v>
      </c>
      <c r="FC70" s="173">
        <f t="shared" ref="FC70:FC105" si="302">SUM(EO70,EQ70:ET70,EZ70:FA70)</f>
        <v>12.725013591988676</v>
      </c>
      <c r="FD70" s="5">
        <f t="shared" ref="FD70:FD105" si="303">MIN(CL70+CM70,CS70+CT70)</f>
        <v>98.8</v>
      </c>
      <c r="FE70" s="173">
        <f t="shared" ref="FE70:FE105" si="304">FD70/(FD70+FC70)</f>
        <v>0.88589991444840532</v>
      </c>
      <c r="FF70" s="5">
        <f t="shared" ref="FF70:FF105" si="305">FE70*100</f>
        <v>88.589991444840535</v>
      </c>
      <c r="FG70">
        <f t="shared" ref="FG70:FG105" si="306">CJ70/Iout*100</f>
        <v>65</v>
      </c>
      <c r="FI70" s="562">
        <f t="shared" si="268"/>
        <v>-50</v>
      </c>
      <c r="FJ70">
        <f t="shared" si="269"/>
        <v>-50</v>
      </c>
      <c r="FL70">
        <f t="shared" si="270"/>
        <v>0.82098061573546177</v>
      </c>
    </row>
    <row r="71" spans="5:168">
      <c r="E71" s="170">
        <v>66</v>
      </c>
      <c r="F71" s="217">
        <f t="shared" si="174"/>
        <v>6.6000000000000005</v>
      </c>
      <c r="G71" s="217">
        <f t="shared" si="271"/>
        <v>0.16500000000000001</v>
      </c>
      <c r="H71" s="217">
        <f t="shared" si="176"/>
        <v>99.000000000000014</v>
      </c>
      <c r="I71" s="217">
        <f t="shared" si="175"/>
        <v>1.32</v>
      </c>
      <c r="J71" s="541">
        <f t="shared" si="177"/>
        <v>71.551661956430962</v>
      </c>
      <c r="K71" s="443">
        <f t="shared" si="178"/>
        <v>15.941174999999999</v>
      </c>
      <c r="L71" s="172">
        <f t="shared" si="179"/>
        <v>87.492836956430963</v>
      </c>
      <c r="M71" s="443"/>
      <c r="N71" s="217">
        <f t="shared" si="180"/>
        <v>0.18219977262753828</v>
      </c>
      <c r="O71" s="172">
        <f t="shared" si="272"/>
        <v>321.62902647000499</v>
      </c>
      <c r="P71" s="172">
        <f t="shared" si="181"/>
        <v>4.3455655131947344</v>
      </c>
      <c r="Q71" s="217">
        <f t="shared" si="182"/>
        <v>21.441935098000332</v>
      </c>
      <c r="R71" s="217">
        <f t="shared" si="183"/>
        <v>40.203628308750623</v>
      </c>
      <c r="S71" s="443">
        <f t="shared" si="184"/>
        <v>15</v>
      </c>
      <c r="T71" s="217">
        <f t="shared" si="185"/>
        <v>15.39040196193746</v>
      </c>
      <c r="U71" s="217">
        <f t="shared" si="186"/>
        <v>2.5811395360139544</v>
      </c>
      <c r="V71" s="217">
        <f t="shared" si="187"/>
        <v>11.585395903579851</v>
      </c>
      <c r="W71" s="197">
        <f t="shared" si="188"/>
        <v>108.63913782986836</v>
      </c>
      <c r="X71" s="443">
        <f t="shared" si="273"/>
        <v>69.606204237942123</v>
      </c>
      <c r="Z71" s="217">
        <f t="shared" si="189"/>
        <v>10</v>
      </c>
      <c r="AA71" s="173">
        <f t="shared" si="190"/>
        <v>7.5276759711878203</v>
      </c>
      <c r="AB71" s="173">
        <f t="shared" si="191"/>
        <v>4.0890011368623087</v>
      </c>
      <c r="AC71" s="173"/>
      <c r="AD71" s="173">
        <f t="shared" si="192"/>
        <v>7.5276759711878203</v>
      </c>
      <c r="AE71" s="545">
        <f t="shared" si="193"/>
        <v>175.352925</v>
      </c>
      <c r="AF71" s="528">
        <f t="shared" si="194"/>
        <v>4.0890011368623087</v>
      </c>
      <c r="AH71" s="173">
        <f t="shared" si="195"/>
        <v>6.9116878236382009</v>
      </c>
      <c r="AI71" s="173">
        <f t="shared" si="196"/>
        <v>15.39040196193746</v>
      </c>
      <c r="AJ71" s="173">
        <f t="shared" si="197"/>
        <v>5.1928903421758958</v>
      </c>
      <c r="AL71" s="545">
        <f t="shared" si="198"/>
        <v>6600.0000000000009</v>
      </c>
      <c r="AM71" s="460">
        <f t="shared" si="199"/>
        <v>69.606204237942123</v>
      </c>
      <c r="AO71">
        <f t="shared" si="274"/>
        <v>6600.0000000000009</v>
      </c>
      <c r="AP71">
        <f t="shared" si="200"/>
        <v>69.606204237942123</v>
      </c>
      <c r="AR71" s="5">
        <f t="shared" si="275"/>
        <v>14.366535439593806</v>
      </c>
      <c r="AS71" s="5">
        <f t="shared" si="201"/>
        <v>2.5811395360139544</v>
      </c>
      <c r="AT71" s="5">
        <f t="shared" si="276"/>
        <v>11.78539590357985</v>
      </c>
      <c r="AU71" s="173">
        <f t="shared" si="277"/>
        <v>0.17966332571041446</v>
      </c>
      <c r="AW71" s="5">
        <f t="shared" si="202"/>
        <v>113.57013958461401</v>
      </c>
      <c r="AX71" s="5">
        <f t="shared" si="203"/>
        <v>5.3236002930287816</v>
      </c>
      <c r="AY71" s="5">
        <f t="shared" si="204"/>
        <v>4.5295717595741527</v>
      </c>
      <c r="AZ71" s="5"/>
      <c r="BA71" s="173">
        <f t="shared" si="278"/>
        <v>3.7663359241654524</v>
      </c>
      <c r="BB71" s="173">
        <f t="shared" si="205"/>
        <v>8.0479524035419665</v>
      </c>
      <c r="BC71" s="173">
        <f t="shared" si="206"/>
        <v>0.19820055331075903</v>
      </c>
      <c r="BD71" s="173"/>
      <c r="BE71" s="528">
        <f t="shared" si="207"/>
        <v>0.28370572587318466</v>
      </c>
      <c r="BF71" s="528">
        <f t="shared" si="208"/>
        <v>1.7574043014904692</v>
      </c>
      <c r="BG71" s="528">
        <f t="shared" si="209"/>
        <v>0.12451098989258819</v>
      </c>
      <c r="BH71" s="528">
        <f t="shared" si="210"/>
        <v>5.3283525112029703E-2</v>
      </c>
      <c r="BI71">
        <f t="shared" si="211"/>
        <v>3.2198247880393931E-2</v>
      </c>
      <c r="BJ71" s="460">
        <f t="shared" si="279"/>
        <v>156.70923777298214</v>
      </c>
      <c r="BK71">
        <f t="shared" si="212"/>
        <v>2.3279153337676401</v>
      </c>
      <c r="BL71" s="460">
        <f t="shared" si="280"/>
        <v>2327.9153337676403</v>
      </c>
      <c r="BM71" s="173">
        <f t="shared" si="213"/>
        <v>4.10025</v>
      </c>
      <c r="BN71" s="173">
        <f t="shared" si="214"/>
        <v>7.3218749999999999E-2</v>
      </c>
      <c r="BO71" s="528"/>
      <c r="BQ71" s="460">
        <f t="shared" si="281"/>
        <v>4173.46875</v>
      </c>
      <c r="BR71" s="528">
        <f t="shared" si="215"/>
        <v>0.42555858880977693</v>
      </c>
      <c r="BS71" s="528">
        <f t="shared" si="216"/>
        <v>1.9430861366903072</v>
      </c>
      <c r="BT71" s="528">
        <f t="shared" si="217"/>
        <v>1.9641729666345517E-4</v>
      </c>
      <c r="BU71" s="528">
        <f t="shared" si="218"/>
        <v>1.8780830361489944</v>
      </c>
      <c r="BV71" s="528">
        <f t="shared" si="219"/>
        <v>5.9413810911093101</v>
      </c>
      <c r="BW71" s="625">
        <f t="shared" si="220"/>
        <v>1.6487236853028324E-2</v>
      </c>
      <c r="BX71" s="460">
        <f t="shared" si="282"/>
        <v>5957.8683279623383</v>
      </c>
      <c r="BY71" s="173">
        <f t="shared" si="283"/>
        <v>12.459252411729977</v>
      </c>
      <c r="BZ71" s="5">
        <f t="shared" si="284"/>
        <v>100.32000000000001</v>
      </c>
      <c r="CA71" s="173">
        <f t="shared" si="285"/>
        <v>0.88952531476051788</v>
      </c>
      <c r="CB71" s="5">
        <f t="shared" si="286"/>
        <v>88.952531476051789</v>
      </c>
      <c r="CC71">
        <f t="shared" si="287"/>
        <v>66</v>
      </c>
      <c r="CE71" s="562">
        <f t="shared" si="221"/>
        <v>-50</v>
      </c>
      <c r="CF71">
        <f t="shared" si="222"/>
        <v>-50</v>
      </c>
      <c r="CG71" s="173">
        <f t="shared" si="223"/>
        <v>0.82098061573546177</v>
      </c>
      <c r="CH71" s="173">
        <f t="shared" si="224"/>
        <v>9.6304191786782969E-2</v>
      </c>
      <c r="CI71" s="170">
        <v>66</v>
      </c>
      <c r="CJ71" s="217">
        <f t="shared" si="133"/>
        <v>6.6000000000000005</v>
      </c>
      <c r="CK71" s="217">
        <f t="shared" si="288"/>
        <v>0.16500000000000001</v>
      </c>
      <c r="CL71" s="217">
        <f t="shared" si="225"/>
        <v>99.000000000000014</v>
      </c>
      <c r="CM71" s="217">
        <f t="shared" si="134"/>
        <v>1.32</v>
      </c>
      <c r="CN71" s="541">
        <f t="shared" si="289"/>
        <v>72</v>
      </c>
      <c r="CO71" s="443">
        <f t="shared" si="226"/>
        <v>15.7</v>
      </c>
      <c r="CP71" s="443">
        <f t="shared" si="227"/>
        <v>87.7</v>
      </c>
      <c r="CQ71" s="443"/>
      <c r="CR71" s="217">
        <f t="shared" si="228"/>
        <v>0.17620137299771166</v>
      </c>
      <c r="CS71" s="172">
        <f t="shared" si="290"/>
        <v>312.98928098277725</v>
      </c>
      <c r="CT71" s="172">
        <f t="shared" si="229"/>
        <v>4.2288329519450798</v>
      </c>
      <c r="CU71" s="217">
        <f t="shared" si="230"/>
        <v>20.865952065518481</v>
      </c>
      <c r="CV71" s="217">
        <f t="shared" si="231"/>
        <v>39.123660122847156</v>
      </c>
      <c r="CW71" s="443">
        <f t="shared" si="232"/>
        <v>15</v>
      </c>
      <c r="CX71" s="217">
        <f t="shared" si="233"/>
        <v>15.815238095238097</v>
      </c>
      <c r="CY71" s="217">
        <f t="shared" si="234"/>
        <v>2.6358730158730164</v>
      </c>
      <c r="CZ71" s="217">
        <f t="shared" si="235"/>
        <v>12.088080072793451</v>
      </c>
      <c r="DA71" s="197">
        <f t="shared" si="236"/>
        <v>107.41163055872293</v>
      </c>
      <c r="DB71" s="443">
        <f t="shared" si="291"/>
        <v>67.916543470227055</v>
      </c>
      <c r="DD71" s="217">
        <f t="shared" si="237"/>
        <v>10</v>
      </c>
      <c r="DE71" s="173">
        <f t="shared" si="238"/>
        <v>7.6433121019108281</v>
      </c>
      <c r="DF71" s="173">
        <f t="shared" si="239"/>
        <v>4.1049030786773102</v>
      </c>
      <c r="DG71" s="173"/>
      <c r="DH71" s="173">
        <f t="shared" si="240"/>
        <v>7.6433121019108281</v>
      </c>
      <c r="DI71" s="545">
        <f t="shared" si="241"/>
        <v>172.70000000000002</v>
      </c>
      <c r="DJ71" s="528">
        <f t="shared" si="242"/>
        <v>4.1049030786773093</v>
      </c>
      <c r="DL71" s="173">
        <f t="shared" si="243"/>
        <v>6.9116878236382009</v>
      </c>
      <c r="DM71" s="173">
        <f t="shared" si="244"/>
        <v>15.815238095238097</v>
      </c>
      <c r="DN71" s="173">
        <f t="shared" si="245"/>
        <v>5.5075837742504419</v>
      </c>
      <c r="DP71" s="545">
        <f t="shared" si="246"/>
        <v>6600.0000000000009</v>
      </c>
      <c r="DQ71" s="460">
        <f t="shared" si="247"/>
        <v>67.916543470227055</v>
      </c>
      <c r="DS71">
        <f t="shared" si="292"/>
        <v>6600.0000000000009</v>
      </c>
      <c r="DT71">
        <f t="shared" si="248"/>
        <v>67.916543470227055</v>
      </c>
      <c r="DV71" s="5">
        <f t="shared" si="293"/>
        <v>14.723953088666466</v>
      </c>
      <c r="DW71" s="5">
        <f t="shared" si="249"/>
        <v>2.6358730158730164</v>
      </c>
      <c r="DX71" s="5">
        <f t="shared" si="294"/>
        <v>12.088080072793449</v>
      </c>
      <c r="DY71" s="173">
        <f t="shared" si="295"/>
        <v>0.1790193842645382</v>
      </c>
      <c r="EA71" s="5">
        <f t="shared" si="250"/>
        <v>115.97841269841274</v>
      </c>
      <c r="EB71" s="5">
        <f t="shared" si="251"/>
        <v>5.4364880952380963</v>
      </c>
      <c r="EC71" s="5">
        <f t="shared" si="252"/>
        <v>4.6169750278030541</v>
      </c>
      <c r="ED71" s="5"/>
      <c r="EE71" s="173">
        <f t="shared" si="296"/>
        <v>3.8633596239503269</v>
      </c>
      <c r="EF71" s="173">
        <f t="shared" si="253"/>
        <v>8.2733530739187309</v>
      </c>
      <c r="EG71" s="173">
        <f t="shared" si="254"/>
        <v>0.20375159727141035</v>
      </c>
      <c r="EH71" s="173"/>
      <c r="EI71" s="528">
        <f t="shared" si="255"/>
        <v>0.29851095167939223</v>
      </c>
      <c r="EJ71" s="528">
        <f t="shared" si="256"/>
        <v>1.8840000000000003</v>
      </c>
      <c r="EK71" s="528">
        <f t="shared" si="257"/>
        <v>8.489567933778381E-3</v>
      </c>
      <c r="EL71" s="528">
        <f t="shared" si="258"/>
        <v>5.223658316271227E-2</v>
      </c>
      <c r="EM71">
        <f t="shared" si="259"/>
        <v>3.2399999999999998E-2</v>
      </c>
      <c r="EN71" s="460">
        <f t="shared" si="297"/>
        <v>40.889567933778373</v>
      </c>
      <c r="EO71">
        <f t="shared" si="260"/>
        <v>2.5361118407422532</v>
      </c>
      <c r="EP71" s="460">
        <f t="shared" si="298"/>
        <v>2536.1118407422532</v>
      </c>
      <c r="EQ71" s="173">
        <f t="shared" si="261"/>
        <v>4.10025</v>
      </c>
      <c r="ER71" s="173">
        <f t="shared" si="262"/>
        <v>7.3218749999999999E-2</v>
      </c>
      <c r="ES71" s="528"/>
      <c r="EU71" s="460">
        <f t="shared" si="299"/>
        <v>4173.46875</v>
      </c>
      <c r="EV71" s="528">
        <f t="shared" si="263"/>
        <v>0.44776642751908835</v>
      </c>
      <c r="EW71" s="528">
        <f t="shared" si="300"/>
        <v>2.0534511325716154</v>
      </c>
      <c r="EX71" s="528">
        <f t="shared" si="264"/>
        <v>2.0757356695325497E-4</v>
      </c>
      <c r="EY71" s="528">
        <f t="shared" si="265"/>
        <v>1.890594011417488</v>
      </c>
      <c r="EZ71" s="528">
        <f t="shared" si="266"/>
        <v>6.2413409459463258</v>
      </c>
      <c r="FA71" s="625">
        <f t="shared" si="267"/>
        <v>1.6987405114839555E-2</v>
      </c>
      <c r="FB71" s="460">
        <f t="shared" si="301"/>
        <v>6258.3283510611654</v>
      </c>
      <c r="FC71" s="173">
        <f t="shared" si="302"/>
        <v>12.967908941803419</v>
      </c>
      <c r="FD71" s="5">
        <f t="shared" si="303"/>
        <v>100.32000000000001</v>
      </c>
      <c r="FE71" s="173">
        <f t="shared" si="304"/>
        <v>0.88553139463042696</v>
      </c>
      <c r="FF71" s="5">
        <f t="shared" si="305"/>
        <v>88.553139463042697</v>
      </c>
      <c r="FG71">
        <f t="shared" si="306"/>
        <v>66</v>
      </c>
      <c r="FI71" s="562">
        <f t="shared" si="268"/>
        <v>-50</v>
      </c>
      <c r="FJ71">
        <f t="shared" si="269"/>
        <v>-50</v>
      </c>
      <c r="FL71">
        <f t="shared" si="270"/>
        <v>0.82098061573546177</v>
      </c>
    </row>
    <row r="72" spans="5:168">
      <c r="E72" s="170">
        <v>67</v>
      </c>
      <c r="F72" s="217">
        <f t="shared" ref="F72:F103" si="307">IF(PLOT_TYPE=1, E72/100*Iout_max, min_I*EXP(O72*rr/100))</f>
        <v>6.7</v>
      </c>
      <c r="G72" s="217">
        <f t="shared" si="271"/>
        <v>0.16750000000000001</v>
      </c>
      <c r="H72" s="217">
        <f t="shared" si="176"/>
        <v>100.5</v>
      </c>
      <c r="I72" s="217">
        <f t="shared" ref="I72:I105" si="308">Vout2*G72</f>
        <v>1.34</v>
      </c>
      <c r="J72" s="541">
        <f t="shared" si="177"/>
        <v>71.544868955770838</v>
      </c>
      <c r="K72" s="443">
        <f t="shared" si="178"/>
        <v>15.944829166666667</v>
      </c>
      <c r="L72" s="172">
        <f t="shared" si="179"/>
        <v>87.489698122437503</v>
      </c>
      <c r="M72" s="443"/>
      <c r="N72" s="217">
        <f t="shared" si="180"/>
        <v>0.18224807616038025</v>
      </c>
      <c r="O72" s="172">
        <f t="shared" si="272"/>
        <v>321.683751472099</v>
      </c>
      <c r="P72" s="172">
        <f t="shared" si="181"/>
        <v>4.346304908778583</v>
      </c>
      <c r="Q72" s="217">
        <f t="shared" si="182"/>
        <v>21.445583431473267</v>
      </c>
      <c r="R72" s="217">
        <f t="shared" si="183"/>
        <v>40.210468934012376</v>
      </c>
      <c r="S72" s="443">
        <f t="shared" si="184"/>
        <v>15</v>
      </c>
      <c r="T72" s="217">
        <f t="shared" si="185"/>
        <v>15.6209319774606</v>
      </c>
      <c r="U72" s="217">
        <f t="shared" si="186"/>
        <v>2.6200506963736263</v>
      </c>
      <c r="V72" s="217">
        <f t="shared" si="187"/>
        <v>11.756236568617602</v>
      </c>
      <c r="W72" s="197">
        <f t="shared" si="188"/>
        <v>108.65762271946457</v>
      </c>
      <c r="X72" s="443">
        <f t="shared" si="273"/>
        <v>68.604575487597714</v>
      </c>
      <c r="Z72" s="217">
        <f t="shared" si="189"/>
        <v>10</v>
      </c>
      <c r="AA72" s="173">
        <f t="shared" si="190"/>
        <v>7.5259508111171884</v>
      </c>
      <c r="AB72" s="173">
        <f t="shared" si="191"/>
        <v>4.0887596191980986</v>
      </c>
      <c r="AC72" s="173"/>
      <c r="AD72" s="173">
        <f t="shared" si="192"/>
        <v>7.5259508111171884</v>
      </c>
      <c r="AE72" s="545">
        <f t="shared" si="193"/>
        <v>178.05059236111111</v>
      </c>
      <c r="AF72" s="528">
        <f t="shared" si="194"/>
        <v>4.0887596191980986</v>
      </c>
      <c r="AH72" s="173">
        <f t="shared" si="195"/>
        <v>6.9638522453623395</v>
      </c>
      <c r="AI72" s="173">
        <f t="shared" si="196"/>
        <v>15.6209319774606</v>
      </c>
      <c r="AJ72" s="173">
        <f t="shared" si="197"/>
        <v>5.3636533166374818</v>
      </c>
      <c r="AL72" s="545">
        <f t="shared" si="198"/>
        <v>6700</v>
      </c>
      <c r="AM72" s="460">
        <f t="shared" si="199"/>
        <v>68.604575487597714</v>
      </c>
      <c r="AO72">
        <f t="shared" si="274"/>
        <v>6700</v>
      </c>
      <c r="AP72">
        <f t="shared" si="200"/>
        <v>68.604575487597714</v>
      </c>
      <c r="AR72" s="5">
        <f t="shared" si="275"/>
        <v>14.57628726499123</v>
      </c>
      <c r="AS72" s="5">
        <f t="shared" si="201"/>
        <v>2.6200506963736263</v>
      </c>
      <c r="AT72" s="5">
        <f t="shared" si="276"/>
        <v>11.956236568617603</v>
      </c>
      <c r="AU72" s="173">
        <f t="shared" si="277"/>
        <v>0.17974746578069739</v>
      </c>
      <c r="AW72" s="5">
        <f t="shared" si="202"/>
        <v>117.02893110468864</v>
      </c>
      <c r="AX72" s="5">
        <f t="shared" si="203"/>
        <v>5.4857311455322808</v>
      </c>
      <c r="AY72" s="5">
        <f t="shared" si="204"/>
        <v>4.6652999124262902</v>
      </c>
      <c r="AZ72" s="5"/>
      <c r="BA72" s="173">
        <f t="shared" si="278"/>
        <v>3.8236462131181428</v>
      </c>
      <c r="BB72" s="173">
        <f t="shared" si="205"/>
        <v>8.1680822872767589</v>
      </c>
      <c r="BC72" s="173">
        <f t="shared" si="206"/>
        <v>0.20115904613371785</v>
      </c>
      <c r="BD72" s="173"/>
      <c r="BE72" s="528">
        <f t="shared" si="207"/>
        <v>0.29240540726185432</v>
      </c>
      <c r="BF72" s="528">
        <f t="shared" si="208"/>
        <v>1.757997336170408</v>
      </c>
      <c r="BG72" s="528">
        <f t="shared" si="209"/>
        <v>0.12270763407566167</v>
      </c>
      <c r="BH72" s="528">
        <f t="shared" si="210"/>
        <v>5.251301060688756E-2</v>
      </c>
      <c r="BI72">
        <f t="shared" si="211"/>
        <v>3.2195191030096874E-2</v>
      </c>
      <c r="BJ72" s="460">
        <f t="shared" si="279"/>
        <v>154.90282510575852</v>
      </c>
      <c r="BK72">
        <f t="shared" si="212"/>
        <v>2.3447692909418709</v>
      </c>
      <c r="BL72" s="460">
        <f t="shared" si="280"/>
        <v>2344.7692909418711</v>
      </c>
      <c r="BM72" s="173">
        <f t="shared" si="213"/>
        <v>4.162374999999999</v>
      </c>
      <c r="BN72" s="173">
        <f t="shared" si="214"/>
        <v>7.4328124999999995E-2</v>
      </c>
      <c r="BO72" s="528"/>
      <c r="BQ72" s="460">
        <f t="shared" si="281"/>
        <v>4236.7031249999991</v>
      </c>
      <c r="BR72" s="528">
        <f t="shared" si="215"/>
        <v>0.4386081108927814</v>
      </c>
      <c r="BS72" s="528">
        <f t="shared" si="216"/>
        <v>2.0015270475517299</v>
      </c>
      <c r="BT72" s="528">
        <f t="shared" si="217"/>
        <v>2.0232480920713615E-4</v>
      </c>
      <c r="BU72" s="528">
        <f t="shared" si="218"/>
        <v>1.8798364260398697</v>
      </c>
      <c r="BV72" s="528">
        <f t="shared" si="219"/>
        <v>6.0959486676463088</v>
      </c>
      <c r="BW72" s="625">
        <f t="shared" si="220"/>
        <v>1.674044366774477E-2</v>
      </c>
      <c r="BX72" s="460">
        <f t="shared" si="282"/>
        <v>6112.6891113140537</v>
      </c>
      <c r="BY72" s="173">
        <f t="shared" si="283"/>
        <v>12.694161527255924</v>
      </c>
      <c r="BZ72" s="5">
        <f t="shared" si="284"/>
        <v>101.84</v>
      </c>
      <c r="CA72" s="173">
        <f t="shared" si="285"/>
        <v>0.88916702791564006</v>
      </c>
      <c r="CB72" s="5">
        <f t="shared" si="286"/>
        <v>88.916702791564006</v>
      </c>
      <c r="CC72">
        <f t="shared" si="287"/>
        <v>67</v>
      </c>
      <c r="CE72" s="562">
        <f t="shared" si="221"/>
        <v>-50</v>
      </c>
      <c r="CF72">
        <f t="shared" si="222"/>
        <v>-50</v>
      </c>
      <c r="CG72" s="173">
        <f t="shared" si="223"/>
        <v>0.82098061573546177</v>
      </c>
      <c r="CH72" s="173">
        <f t="shared" si="224"/>
        <v>9.6304191786782969E-2</v>
      </c>
      <c r="CI72" s="170">
        <v>67</v>
      </c>
      <c r="CJ72" s="217">
        <f t="shared" ref="CJ72:CJ105" si="309">IF(PLOT_TYPE=1, CI72/100*Iout_max, min_I*EXP(CS72*rr/100))</f>
        <v>6.7</v>
      </c>
      <c r="CK72" s="217">
        <f t="shared" si="288"/>
        <v>0.16750000000000001</v>
      </c>
      <c r="CL72" s="217">
        <f t="shared" si="225"/>
        <v>100.5</v>
      </c>
      <c r="CM72" s="217">
        <f t="shared" ref="CM72:CM105" si="310">Vout2*CK72</f>
        <v>1.34</v>
      </c>
      <c r="CN72" s="541">
        <f t="shared" si="289"/>
        <v>72</v>
      </c>
      <c r="CO72" s="443">
        <f t="shared" si="226"/>
        <v>15.7</v>
      </c>
      <c r="CP72" s="443">
        <f t="shared" si="227"/>
        <v>87.7</v>
      </c>
      <c r="CQ72" s="443"/>
      <c r="CR72" s="217">
        <f t="shared" si="228"/>
        <v>0.17620137299771166</v>
      </c>
      <c r="CS72" s="172">
        <f t="shared" si="290"/>
        <v>312.98928098277725</v>
      </c>
      <c r="CT72" s="172">
        <f t="shared" si="229"/>
        <v>4.2288329519450798</v>
      </c>
      <c r="CU72" s="217">
        <f t="shared" si="230"/>
        <v>20.865952065518481</v>
      </c>
      <c r="CV72" s="217">
        <f t="shared" si="231"/>
        <v>39.123660122847156</v>
      </c>
      <c r="CW72" s="443">
        <f t="shared" si="232"/>
        <v>15</v>
      </c>
      <c r="CX72" s="217">
        <f t="shared" si="233"/>
        <v>16.054862914862916</v>
      </c>
      <c r="CY72" s="217">
        <f t="shared" si="234"/>
        <v>2.6758104858104863</v>
      </c>
      <c r="CZ72" s="217">
        <f t="shared" si="235"/>
        <v>12.271232801169107</v>
      </c>
      <c r="DA72" s="197">
        <f t="shared" si="236"/>
        <v>107.41163055872293</v>
      </c>
      <c r="DB72" s="443">
        <f t="shared" si="291"/>
        <v>66.902863716940104</v>
      </c>
      <c r="DD72" s="217">
        <f t="shared" si="237"/>
        <v>10</v>
      </c>
      <c r="DE72" s="173">
        <f t="shared" si="238"/>
        <v>7.6433121019108281</v>
      </c>
      <c r="DF72" s="173">
        <f t="shared" si="239"/>
        <v>4.1049030786773102</v>
      </c>
      <c r="DG72" s="173"/>
      <c r="DH72" s="173">
        <f t="shared" si="240"/>
        <v>7.6433121019108281</v>
      </c>
      <c r="DI72" s="545">
        <f t="shared" si="241"/>
        <v>175.31666666666669</v>
      </c>
      <c r="DJ72" s="528">
        <f t="shared" si="242"/>
        <v>4.1049030786773093</v>
      </c>
      <c r="DL72" s="173">
        <f t="shared" si="243"/>
        <v>6.9638522453623395</v>
      </c>
      <c r="DM72" s="173">
        <f t="shared" si="244"/>
        <v>16.054862914862916</v>
      </c>
      <c r="DN72" s="173">
        <f t="shared" si="245"/>
        <v>5.6850836406391974</v>
      </c>
      <c r="DP72" s="545">
        <f t="shared" si="246"/>
        <v>6700</v>
      </c>
      <c r="DQ72" s="460">
        <f t="shared" si="247"/>
        <v>66.902863716940104</v>
      </c>
      <c r="DS72">
        <f t="shared" si="292"/>
        <v>6700</v>
      </c>
      <c r="DT72">
        <f t="shared" si="248"/>
        <v>66.902863716940104</v>
      </c>
      <c r="DV72" s="5">
        <f t="shared" si="293"/>
        <v>14.947043286979591</v>
      </c>
      <c r="DW72" s="5">
        <f t="shared" si="249"/>
        <v>2.6758104858104863</v>
      </c>
      <c r="DX72" s="5">
        <f t="shared" si="294"/>
        <v>12.271232801169106</v>
      </c>
      <c r="DY72" s="173">
        <f t="shared" si="295"/>
        <v>0.17901938426453826</v>
      </c>
      <c r="EA72" s="5">
        <f t="shared" si="250"/>
        <v>119.5195350328684</v>
      </c>
      <c r="EB72" s="5">
        <f t="shared" si="251"/>
        <v>5.6024782046657062</v>
      </c>
      <c r="EC72" s="5">
        <f t="shared" si="252"/>
        <v>4.7579432736014473</v>
      </c>
      <c r="ED72" s="5"/>
      <c r="EE72" s="173">
        <f t="shared" si="296"/>
        <v>3.9218953758283628</v>
      </c>
      <c r="EF72" s="173">
        <f t="shared" si="253"/>
        <v>8.3987069083720449</v>
      </c>
      <c r="EG72" s="173">
        <f t="shared" si="254"/>
        <v>0.20683874268461352</v>
      </c>
      <c r="EH72" s="173"/>
      <c r="EI72" s="528">
        <f t="shared" si="255"/>
        <v>0.30762526677887791</v>
      </c>
      <c r="EJ72" s="528">
        <f t="shared" si="256"/>
        <v>1.8840000000000006</v>
      </c>
      <c r="EK72" s="528">
        <f t="shared" si="257"/>
        <v>8.3628579646175122E-3</v>
      </c>
      <c r="EL72" s="528">
        <f t="shared" si="258"/>
        <v>5.1456932667746438E-2</v>
      </c>
      <c r="EM72">
        <f t="shared" si="259"/>
        <v>3.2399999999999998E-2</v>
      </c>
      <c r="EN72" s="460">
        <f t="shared" si="297"/>
        <v>40.76285796461751</v>
      </c>
      <c r="EO72">
        <f t="shared" si="260"/>
        <v>2.553547143015515</v>
      </c>
      <c r="EP72" s="460">
        <f t="shared" si="298"/>
        <v>2553.5471430155148</v>
      </c>
      <c r="EQ72" s="173">
        <f t="shared" si="261"/>
        <v>4.162374999999999</v>
      </c>
      <c r="ER72" s="173">
        <f t="shared" si="262"/>
        <v>7.4328124999999995E-2</v>
      </c>
      <c r="ES72" s="528"/>
      <c r="EU72" s="460">
        <f t="shared" si="299"/>
        <v>4236.7031249999991</v>
      </c>
      <c r="EV72" s="528">
        <f t="shared" si="263"/>
        <v>0.46143790016831687</v>
      </c>
      <c r="EW72" s="528">
        <f t="shared" si="300"/>
        <v>2.1161483319820893</v>
      </c>
      <c r="EX72" s="528">
        <f t="shared" si="264"/>
        <v>2.1391132737675882E-4</v>
      </c>
      <c r="EY72" s="528">
        <f t="shared" si="265"/>
        <v>1.890594011417488</v>
      </c>
      <c r="EZ72" s="528">
        <f t="shared" si="266"/>
        <v>6.4086924559199794</v>
      </c>
      <c r="FA72" s="625">
        <f t="shared" si="267"/>
        <v>1.7244790040821974E-2</v>
      </c>
      <c r="FB72" s="460">
        <f t="shared" si="301"/>
        <v>6425.9372459608012</v>
      </c>
      <c r="FC72" s="173">
        <f t="shared" si="302"/>
        <v>13.216187513976315</v>
      </c>
      <c r="FD72" s="5">
        <f t="shared" si="303"/>
        <v>101.84</v>
      </c>
      <c r="FE72" s="173">
        <f t="shared" si="304"/>
        <v>0.88513275296584215</v>
      </c>
      <c r="FF72" s="5">
        <f t="shared" si="305"/>
        <v>88.513275296584212</v>
      </c>
      <c r="FG72">
        <f t="shared" si="306"/>
        <v>67</v>
      </c>
      <c r="FI72" s="562">
        <f t="shared" si="268"/>
        <v>-50</v>
      </c>
      <c r="FJ72">
        <f t="shared" si="269"/>
        <v>-50</v>
      </c>
      <c r="FL72">
        <f t="shared" si="270"/>
        <v>0.82098061573546177</v>
      </c>
    </row>
    <row r="73" spans="5:168">
      <c r="E73" s="170">
        <v>68</v>
      </c>
      <c r="F73" s="217">
        <f t="shared" si="307"/>
        <v>6.8000000000000007</v>
      </c>
      <c r="G73" s="217">
        <f t="shared" si="271"/>
        <v>0.17</v>
      </c>
      <c r="H73" s="217">
        <f t="shared" si="176"/>
        <v>102.00000000000001</v>
      </c>
      <c r="I73" s="217">
        <f t="shared" si="308"/>
        <v>1.36</v>
      </c>
      <c r="J73" s="541">
        <f t="shared" si="177"/>
        <v>71.538075955110699</v>
      </c>
      <c r="K73" s="443">
        <f t="shared" si="178"/>
        <v>15.948483333333332</v>
      </c>
      <c r="L73" s="172">
        <f t="shared" si="179"/>
        <v>87.486559288444028</v>
      </c>
      <c r="M73" s="443"/>
      <c r="N73" s="217">
        <f t="shared" si="180"/>
        <v>0.18229638315928084</v>
      </c>
      <c r="O73" s="172">
        <f t="shared" si="272"/>
        <v>321.73846640108377</v>
      </c>
      <c r="P73" s="172">
        <f t="shared" si="181"/>
        <v>4.3470441682635323</v>
      </c>
      <c r="Q73" s="217">
        <f t="shared" si="182"/>
        <v>21.449231093405583</v>
      </c>
      <c r="R73" s="217">
        <f t="shared" si="183"/>
        <v>40.217308300135471</v>
      </c>
      <c r="S73" s="443">
        <f t="shared" si="184"/>
        <v>15</v>
      </c>
      <c r="T73" s="217">
        <f t="shared" si="185"/>
        <v>15.851384066841009</v>
      </c>
      <c r="U73" s="217">
        <f t="shared" si="186"/>
        <v>2.6589561749109771</v>
      </c>
      <c r="V73" s="217">
        <f t="shared" si="187"/>
        <v>11.9269403131599</v>
      </c>
      <c r="W73" s="197">
        <f t="shared" si="188"/>
        <v>108.67610420658829</v>
      </c>
      <c r="X73" s="443">
        <f t="shared" si="273"/>
        <v>67.632016821353432</v>
      </c>
      <c r="Z73" s="217">
        <f t="shared" si="189"/>
        <v>9.9999999999999982</v>
      </c>
      <c r="AA73" s="173">
        <f t="shared" si="190"/>
        <v>7.5242264415947586</v>
      </c>
      <c r="AB73" s="173">
        <f t="shared" si="191"/>
        <v>4.088518084203594</v>
      </c>
      <c r="AC73" s="173"/>
      <c r="AD73" s="173">
        <f t="shared" si="192"/>
        <v>7.5242264415947604</v>
      </c>
      <c r="AE73" s="545">
        <f t="shared" si="193"/>
        <v>180.7494777777778</v>
      </c>
      <c r="AF73" s="528">
        <f t="shared" si="194"/>
        <v>4.0885180842035957</v>
      </c>
      <c r="AH73" s="173">
        <f t="shared" si="195"/>
        <v>7.0156288113787504</v>
      </c>
      <c r="AI73" s="173">
        <f t="shared" si="196"/>
        <v>15.851384066841009</v>
      </c>
      <c r="AJ73" s="173">
        <f t="shared" si="197"/>
        <v>5.5343585680303775</v>
      </c>
      <c r="AL73" s="545">
        <f t="shared" si="198"/>
        <v>6800.0000000000009</v>
      </c>
      <c r="AM73" s="460">
        <f t="shared" si="199"/>
        <v>67.632016821353432</v>
      </c>
      <c r="AO73">
        <f t="shared" si="274"/>
        <v>6800.0000000000009</v>
      </c>
      <c r="AP73">
        <f t="shared" si="200"/>
        <v>67.632016821353432</v>
      </c>
      <c r="AR73" s="5">
        <f t="shared" si="275"/>
        <v>14.785896488070875</v>
      </c>
      <c r="AS73" s="5">
        <f t="shared" si="201"/>
        <v>2.6589561749109771</v>
      </c>
      <c r="AT73" s="5">
        <f t="shared" si="276"/>
        <v>12.126940313159899</v>
      </c>
      <c r="AU73" s="173">
        <f t="shared" si="277"/>
        <v>0.17983056874882078</v>
      </c>
      <c r="AW73" s="5">
        <f t="shared" si="202"/>
        <v>120.53934659596432</v>
      </c>
      <c r="AX73" s="5">
        <f t="shared" si="203"/>
        <v>5.6502818716858272</v>
      </c>
      <c r="AY73" s="5">
        <f t="shared" si="204"/>
        <v>4.802989703298703</v>
      </c>
      <c r="AZ73" s="5"/>
      <c r="BA73" s="173">
        <f t="shared" si="278"/>
        <v>3.8809524369499746</v>
      </c>
      <c r="BB73" s="173">
        <f t="shared" si="205"/>
        <v>8.2881642796801351</v>
      </c>
      <c r="BC73" s="173">
        <f t="shared" si="206"/>
        <v>0.2041163595152598</v>
      </c>
      <c r="BD73" s="173"/>
      <c r="BE73" s="528">
        <f t="shared" si="207"/>
        <v>0.30123583635735895</v>
      </c>
      <c r="BF73" s="528">
        <f t="shared" si="208"/>
        <v>1.758580025591989</v>
      </c>
      <c r="BG73" s="528">
        <f t="shared" si="209"/>
        <v>0.12095660890908266</v>
      </c>
      <c r="BH73" s="528">
        <f t="shared" si="210"/>
        <v>5.1764856208113767E-2</v>
      </c>
      <c r="BI73">
        <f t="shared" si="211"/>
        <v>3.2192134179799811E-2</v>
      </c>
      <c r="BJ73" s="460">
        <f t="shared" si="279"/>
        <v>153.1487430888825</v>
      </c>
      <c r="BK73">
        <f t="shared" si="212"/>
        <v>2.3619691081360821</v>
      </c>
      <c r="BL73" s="460">
        <f t="shared" si="280"/>
        <v>2361.969108136082</v>
      </c>
      <c r="BM73" s="173">
        <f t="shared" si="213"/>
        <v>4.2244999999999999</v>
      </c>
      <c r="BN73" s="173">
        <f t="shared" si="214"/>
        <v>7.5437500000000005E-2</v>
      </c>
      <c r="BO73" s="528"/>
      <c r="BQ73" s="460">
        <f t="shared" si="281"/>
        <v>4299.9374999999991</v>
      </c>
      <c r="BR73" s="528">
        <f t="shared" si="215"/>
        <v>0.45185375453603838</v>
      </c>
      <c r="BS73" s="528">
        <f t="shared" si="216"/>
        <v>2.0608100138089718</v>
      </c>
      <c r="BT73" s="528">
        <f t="shared" si="217"/>
        <v>2.0831744110881396E-4</v>
      </c>
      <c r="BU73" s="528">
        <f t="shared" si="218"/>
        <v>1.8815632517090939</v>
      </c>
      <c r="BV73" s="528">
        <f t="shared" si="219"/>
        <v>6.2549572322130063</v>
      </c>
      <c r="BW73" s="625">
        <f t="shared" si="220"/>
        <v>1.6993651824711502E-2</v>
      </c>
      <c r="BX73" s="460">
        <f t="shared" si="282"/>
        <v>6271.9508840377184</v>
      </c>
      <c r="BY73" s="173">
        <f t="shared" si="283"/>
        <v>12.933857492173798</v>
      </c>
      <c r="BZ73" s="5">
        <f t="shared" si="284"/>
        <v>103.36000000000001</v>
      </c>
      <c r="CA73" s="173">
        <f t="shared" si="285"/>
        <v>0.88878296953006131</v>
      </c>
      <c r="CB73" s="5">
        <f t="shared" si="286"/>
        <v>88.878296953006128</v>
      </c>
      <c r="CC73">
        <f t="shared" si="287"/>
        <v>68</v>
      </c>
      <c r="CE73" s="562">
        <f t="shared" si="221"/>
        <v>-50</v>
      </c>
      <c r="CF73">
        <f t="shared" si="222"/>
        <v>-50</v>
      </c>
      <c r="CG73" s="173">
        <f t="shared" si="223"/>
        <v>0.82098061573546177</v>
      </c>
      <c r="CH73" s="173">
        <f t="shared" si="224"/>
        <v>9.6304191786782956E-2</v>
      </c>
      <c r="CI73" s="170">
        <v>68</v>
      </c>
      <c r="CJ73" s="217">
        <f t="shared" si="309"/>
        <v>6.8000000000000007</v>
      </c>
      <c r="CK73" s="217">
        <f t="shared" si="288"/>
        <v>0.17</v>
      </c>
      <c r="CL73" s="217">
        <f t="shared" si="225"/>
        <v>102.00000000000001</v>
      </c>
      <c r="CM73" s="217">
        <f t="shared" si="310"/>
        <v>1.36</v>
      </c>
      <c r="CN73" s="541">
        <f t="shared" si="289"/>
        <v>72</v>
      </c>
      <c r="CO73" s="443">
        <f t="shared" si="226"/>
        <v>15.7</v>
      </c>
      <c r="CP73" s="443">
        <f t="shared" si="227"/>
        <v>87.7</v>
      </c>
      <c r="CQ73" s="443"/>
      <c r="CR73" s="217">
        <f t="shared" si="228"/>
        <v>0.17620137299771166</v>
      </c>
      <c r="CS73" s="172">
        <f t="shared" si="290"/>
        <v>312.98928098277725</v>
      </c>
      <c r="CT73" s="172">
        <f t="shared" si="229"/>
        <v>4.2288329519450798</v>
      </c>
      <c r="CU73" s="217">
        <f t="shared" si="230"/>
        <v>20.865952065518481</v>
      </c>
      <c r="CV73" s="217">
        <f t="shared" si="231"/>
        <v>39.123660122847156</v>
      </c>
      <c r="CW73" s="443">
        <f t="shared" si="232"/>
        <v>15</v>
      </c>
      <c r="CX73" s="217">
        <f t="shared" si="233"/>
        <v>16.294487734487738</v>
      </c>
      <c r="CY73" s="217">
        <f t="shared" si="234"/>
        <v>2.7157479557479562</v>
      </c>
      <c r="CZ73" s="217">
        <f t="shared" si="235"/>
        <v>12.454385529544769</v>
      </c>
      <c r="DA73" s="197">
        <f t="shared" si="236"/>
        <v>107.41163055872293</v>
      </c>
      <c r="DB73" s="443">
        <f t="shared" si="291"/>
        <v>65.918998074043898</v>
      </c>
      <c r="DD73" s="217">
        <f t="shared" si="237"/>
        <v>10</v>
      </c>
      <c r="DE73" s="173">
        <f t="shared" si="238"/>
        <v>7.6433121019108281</v>
      </c>
      <c r="DF73" s="173">
        <f t="shared" si="239"/>
        <v>4.1049030786773102</v>
      </c>
      <c r="DG73" s="173"/>
      <c r="DH73" s="173">
        <f t="shared" si="240"/>
        <v>7.6433121019108281</v>
      </c>
      <c r="DI73" s="545">
        <f t="shared" si="241"/>
        <v>177.93333333333337</v>
      </c>
      <c r="DJ73" s="528">
        <f t="shared" si="242"/>
        <v>4.1049030786773093</v>
      </c>
      <c r="DL73" s="173">
        <f t="shared" si="243"/>
        <v>7.0156288113787504</v>
      </c>
      <c r="DM73" s="173">
        <f t="shared" si="244"/>
        <v>16.294487734487738</v>
      </c>
      <c r="DN73" s="173">
        <f t="shared" si="245"/>
        <v>5.8625835070279546</v>
      </c>
      <c r="DP73" s="545">
        <f t="shared" si="246"/>
        <v>6800.0000000000009</v>
      </c>
      <c r="DQ73" s="460">
        <f t="shared" si="247"/>
        <v>65.918998074043898</v>
      </c>
      <c r="DS73">
        <f t="shared" si="292"/>
        <v>6800.0000000000009</v>
      </c>
      <c r="DT73">
        <f t="shared" si="248"/>
        <v>65.918998074043898</v>
      </c>
      <c r="DV73" s="5">
        <f t="shared" si="293"/>
        <v>15.170133485292725</v>
      </c>
      <c r="DW73" s="5">
        <f t="shared" si="249"/>
        <v>2.7157479557479562</v>
      </c>
      <c r="DX73" s="5">
        <f t="shared" si="294"/>
        <v>12.454385529544769</v>
      </c>
      <c r="DY73" s="173">
        <f t="shared" si="295"/>
        <v>0.17901938426453817</v>
      </c>
      <c r="EA73" s="5">
        <f t="shared" si="250"/>
        <v>123.11390732724068</v>
      </c>
      <c r="EB73" s="5">
        <f t="shared" si="251"/>
        <v>5.7709644059644072</v>
      </c>
      <c r="EC73" s="5">
        <f t="shared" si="252"/>
        <v>4.9010313426449335</v>
      </c>
      <c r="ED73" s="5"/>
      <c r="EE73" s="173">
        <f t="shared" si="296"/>
        <v>3.9804311277063977</v>
      </c>
      <c r="EF73" s="173">
        <f t="shared" si="253"/>
        <v>8.5240607428253607</v>
      </c>
      <c r="EG73" s="173">
        <f t="shared" si="254"/>
        <v>0.20992588809781673</v>
      </c>
      <c r="EH73" s="173"/>
      <c r="EI73" s="528">
        <f t="shared" si="255"/>
        <v>0.31687663924828052</v>
      </c>
      <c r="EJ73" s="528">
        <f t="shared" si="256"/>
        <v>1.8840000000000001</v>
      </c>
      <c r="EK73" s="528">
        <f t="shared" si="257"/>
        <v>8.2398747592554861E-3</v>
      </c>
      <c r="EL73" s="528">
        <f t="shared" si="258"/>
        <v>5.0700213069691316E-2</v>
      </c>
      <c r="EM73">
        <f t="shared" si="259"/>
        <v>3.2399999999999998E-2</v>
      </c>
      <c r="EN73" s="460">
        <f t="shared" si="297"/>
        <v>40.639874759255484</v>
      </c>
      <c r="EO73">
        <f t="shared" si="260"/>
        <v>2.5713717116719028</v>
      </c>
      <c r="EP73" s="460">
        <f t="shared" si="298"/>
        <v>2571.3717116719026</v>
      </c>
      <c r="EQ73" s="173">
        <f t="shared" si="261"/>
        <v>4.2244999999999999</v>
      </c>
      <c r="ER73" s="173">
        <f t="shared" si="262"/>
        <v>7.5437500000000005E-2</v>
      </c>
      <c r="ES73" s="528"/>
      <c r="EU73" s="460">
        <f t="shared" si="299"/>
        <v>4299.9374999999991</v>
      </c>
      <c r="EV73" s="528">
        <f t="shared" si="263"/>
        <v>0.47531495887242076</v>
      </c>
      <c r="EW73" s="528">
        <f t="shared" si="300"/>
        <v>2.1797883464212933</v>
      </c>
      <c r="EX73" s="528">
        <f t="shared" si="264"/>
        <v>2.2034439246828536E-4</v>
      </c>
      <c r="EY73" s="528">
        <f t="shared" si="265"/>
        <v>1.8905940114174846</v>
      </c>
      <c r="EZ73" s="528">
        <f t="shared" si="266"/>
        <v>6.5812160204524224</v>
      </c>
      <c r="FA73" s="625">
        <f t="shared" si="267"/>
        <v>1.7502174966804392E-2</v>
      </c>
      <c r="FB73" s="460">
        <f t="shared" si="301"/>
        <v>6598.7181954192265</v>
      </c>
      <c r="FC73" s="173">
        <f t="shared" si="302"/>
        <v>13.470027407091129</v>
      </c>
      <c r="FD73" s="5">
        <f t="shared" si="303"/>
        <v>103.36000000000001</v>
      </c>
      <c r="FE73" s="173">
        <f t="shared" si="304"/>
        <v>0.88470406362094589</v>
      </c>
      <c r="FF73" s="5">
        <f t="shared" si="305"/>
        <v>88.470406362094593</v>
      </c>
      <c r="FG73">
        <f t="shared" si="306"/>
        <v>68</v>
      </c>
      <c r="FI73" s="562">
        <f t="shared" si="268"/>
        <v>-50</v>
      </c>
      <c r="FJ73">
        <f t="shared" si="269"/>
        <v>-50</v>
      </c>
      <c r="FL73">
        <f t="shared" si="270"/>
        <v>0.82098061573546177</v>
      </c>
    </row>
    <row r="74" spans="5:168">
      <c r="E74" s="170">
        <v>69</v>
      </c>
      <c r="F74" s="217">
        <f t="shared" si="307"/>
        <v>6.8999999999999995</v>
      </c>
      <c r="G74" s="217">
        <f t="shared" si="271"/>
        <v>0.17249999999999999</v>
      </c>
      <c r="H74" s="217">
        <f t="shared" si="176"/>
        <v>103.49999999999999</v>
      </c>
      <c r="I74" s="217">
        <f t="shared" si="308"/>
        <v>1.38</v>
      </c>
      <c r="J74" s="541">
        <f t="shared" si="177"/>
        <v>71.53128295445056</v>
      </c>
      <c r="K74" s="443">
        <f t="shared" si="178"/>
        <v>15.952137499999999</v>
      </c>
      <c r="L74" s="172">
        <f t="shared" si="179"/>
        <v>87.483420454450567</v>
      </c>
      <c r="M74" s="443"/>
      <c r="N74" s="217">
        <f t="shared" si="180"/>
        <v>0.18234469362461309</v>
      </c>
      <c r="O74" s="172">
        <f t="shared" si="272"/>
        <v>321.79317125587488</v>
      </c>
      <c r="P74" s="172">
        <f t="shared" si="181"/>
        <v>4.3477832916349319</v>
      </c>
      <c r="Q74" s="217">
        <f t="shared" si="182"/>
        <v>21.452878083724993</v>
      </c>
      <c r="R74" s="217">
        <f t="shared" si="183"/>
        <v>40.22414640698436</v>
      </c>
      <c r="S74" s="443">
        <f t="shared" si="184"/>
        <v>15</v>
      </c>
      <c r="T74" s="217">
        <f t="shared" si="185"/>
        <v>16.081758291524096</v>
      </c>
      <c r="U74" s="217">
        <f t="shared" si="186"/>
        <v>2.6978559803152837</v>
      </c>
      <c r="V74" s="217">
        <f t="shared" si="187"/>
        <v>12.097507277522475</v>
      </c>
      <c r="W74" s="197">
        <f t="shared" si="188"/>
        <v>108.69458229087331</v>
      </c>
      <c r="X74" s="443">
        <f t="shared" si="273"/>
        <v>66.687280781765736</v>
      </c>
      <c r="Z74" s="217">
        <f t="shared" si="189"/>
        <v>10</v>
      </c>
      <c r="AA74" s="173">
        <f t="shared" si="190"/>
        <v>7.5225028620772614</v>
      </c>
      <c r="AB74" s="173">
        <f t="shared" si="191"/>
        <v>4.088276531876935</v>
      </c>
      <c r="AC74" s="173"/>
      <c r="AD74" s="173">
        <f t="shared" si="192"/>
        <v>7.5225028620772614</v>
      </c>
      <c r="AE74" s="545">
        <f t="shared" si="193"/>
        <v>183.44958124999999</v>
      </c>
      <c r="AF74" s="528">
        <f t="shared" si="194"/>
        <v>4.0882765318769341</v>
      </c>
      <c r="AH74" s="173">
        <f t="shared" si="195"/>
        <v>7.0670260465670518</v>
      </c>
      <c r="AI74" s="173">
        <f t="shared" si="196"/>
        <v>16.081758291524096</v>
      </c>
      <c r="AJ74" s="173">
        <f t="shared" si="197"/>
        <v>5.7050061418697009</v>
      </c>
      <c r="AL74" s="545">
        <f t="shared" si="198"/>
        <v>6899.9999999999991</v>
      </c>
      <c r="AM74" s="460">
        <f t="shared" si="199"/>
        <v>66.687280781765736</v>
      </c>
      <c r="AO74">
        <f t="shared" si="274"/>
        <v>6899.9999999999991</v>
      </c>
      <c r="AP74">
        <f t="shared" si="200"/>
        <v>66.687280781765736</v>
      </c>
      <c r="AR74" s="5">
        <f t="shared" si="275"/>
        <v>14.995363257837759</v>
      </c>
      <c r="AS74" s="5">
        <f t="shared" si="201"/>
        <v>2.6978559803152837</v>
      </c>
      <c r="AT74" s="5">
        <f t="shared" si="276"/>
        <v>12.297507277522476</v>
      </c>
      <c r="AU74" s="173">
        <f t="shared" si="277"/>
        <v>0.17991267926805118</v>
      </c>
      <c r="AW74" s="5">
        <f t="shared" si="202"/>
        <v>124.10137509450303</v>
      </c>
      <c r="AX74" s="5">
        <f t="shared" si="203"/>
        <v>5.8172519575548307</v>
      </c>
      <c r="AY74" s="5">
        <f t="shared" si="204"/>
        <v>4.9426393547827967</v>
      </c>
      <c r="AZ74" s="5"/>
      <c r="BA74" s="173">
        <f t="shared" si="278"/>
        <v>3.9382545968652178</v>
      </c>
      <c r="BB74" s="173">
        <f t="shared" si="205"/>
        <v>8.4081984185637531</v>
      </c>
      <c r="BC74" s="173">
        <f t="shared" si="206"/>
        <v>0.20707249438658967</v>
      </c>
      <c r="BD74" s="173"/>
      <c r="BE74" s="528">
        <f t="shared" si="207"/>
        <v>0.31019698539460039</v>
      </c>
      <c r="BF74" s="528">
        <f t="shared" si="208"/>
        <v>1.7591528103640208</v>
      </c>
      <c r="BG74" s="528">
        <f t="shared" si="209"/>
        <v>0.11925566877658444</v>
      </c>
      <c r="BH74" s="528">
        <f t="shared" si="210"/>
        <v>5.1038102397485678E-2</v>
      </c>
      <c r="BI74">
        <f t="shared" si="211"/>
        <v>3.2189077329502748E-2</v>
      </c>
      <c r="BJ74" s="460">
        <f t="shared" si="279"/>
        <v>151.44474610608719</v>
      </c>
      <c r="BK74">
        <f t="shared" si="212"/>
        <v>2.3795182508245456</v>
      </c>
      <c r="BL74" s="460">
        <f t="shared" si="280"/>
        <v>2379.5182508245457</v>
      </c>
      <c r="BM74" s="173">
        <f t="shared" si="213"/>
        <v>4.286624999999999</v>
      </c>
      <c r="BN74" s="173">
        <f t="shared" si="214"/>
        <v>7.6546874999999986E-2</v>
      </c>
      <c r="BO74" s="528"/>
      <c r="BQ74" s="460">
        <f t="shared" si="281"/>
        <v>4363.1718749999991</v>
      </c>
      <c r="BR74" s="528">
        <f t="shared" si="215"/>
        <v>0.46529547809190053</v>
      </c>
      <c r="BS74" s="528">
        <f t="shared" si="216"/>
        <v>2.1209340193781401</v>
      </c>
      <c r="BT74" s="528">
        <f t="shared" si="217"/>
        <v>2.1439508965742106E-4</v>
      </c>
      <c r="BU74" s="528">
        <f t="shared" si="218"/>
        <v>1.883264644087902</v>
      </c>
      <c r="BV74" s="528">
        <f t="shared" si="219"/>
        <v>6.4185533118653675</v>
      </c>
      <c r="BW74" s="625">
        <f t="shared" si="220"/>
        <v>1.7246861266386949E-2</v>
      </c>
      <c r="BX74" s="460">
        <f t="shared" si="282"/>
        <v>6435.8001731317545</v>
      </c>
      <c r="BY74" s="173">
        <f t="shared" si="283"/>
        <v>13.178490298956298</v>
      </c>
      <c r="BZ74" s="5">
        <f t="shared" si="284"/>
        <v>104.87999999999998</v>
      </c>
      <c r="CA74" s="173">
        <f t="shared" si="285"/>
        <v>0.88837321004542091</v>
      </c>
      <c r="CB74" s="5">
        <f t="shared" si="286"/>
        <v>88.83732100454209</v>
      </c>
      <c r="CC74">
        <f t="shared" si="287"/>
        <v>69</v>
      </c>
      <c r="CE74" s="562">
        <f t="shared" si="221"/>
        <v>-50</v>
      </c>
      <c r="CF74">
        <f t="shared" si="222"/>
        <v>-50</v>
      </c>
      <c r="CG74" s="173">
        <f t="shared" si="223"/>
        <v>0.82098061573546177</v>
      </c>
      <c r="CH74" s="173">
        <f t="shared" si="224"/>
        <v>9.6304191786782969E-2</v>
      </c>
      <c r="CI74" s="170">
        <v>69</v>
      </c>
      <c r="CJ74" s="217">
        <f t="shared" si="309"/>
        <v>6.8999999999999995</v>
      </c>
      <c r="CK74" s="217">
        <f t="shared" si="288"/>
        <v>0.17249999999999999</v>
      </c>
      <c r="CL74" s="217">
        <f t="shared" si="225"/>
        <v>103.49999999999999</v>
      </c>
      <c r="CM74" s="217">
        <f t="shared" si="310"/>
        <v>1.38</v>
      </c>
      <c r="CN74" s="541">
        <f t="shared" si="289"/>
        <v>72</v>
      </c>
      <c r="CO74" s="443">
        <f t="shared" si="226"/>
        <v>15.7</v>
      </c>
      <c r="CP74" s="443">
        <f t="shared" si="227"/>
        <v>87.7</v>
      </c>
      <c r="CQ74" s="443"/>
      <c r="CR74" s="217">
        <f t="shared" si="228"/>
        <v>0.17620137299771166</v>
      </c>
      <c r="CS74" s="172">
        <f t="shared" si="290"/>
        <v>312.98928098277725</v>
      </c>
      <c r="CT74" s="172">
        <f t="shared" si="229"/>
        <v>4.2288329519450798</v>
      </c>
      <c r="CU74" s="217">
        <f t="shared" si="230"/>
        <v>20.865952065518481</v>
      </c>
      <c r="CV74" s="217">
        <f t="shared" si="231"/>
        <v>39.123660122847156</v>
      </c>
      <c r="CW74" s="443">
        <f t="shared" si="232"/>
        <v>15</v>
      </c>
      <c r="CX74" s="217">
        <f t="shared" si="233"/>
        <v>16.534112554112554</v>
      </c>
      <c r="CY74" s="217">
        <f t="shared" si="234"/>
        <v>2.7556854256854257</v>
      </c>
      <c r="CZ74" s="217">
        <f t="shared" si="235"/>
        <v>12.637538257920424</v>
      </c>
      <c r="DA74" s="197">
        <f t="shared" si="236"/>
        <v>107.41163055872293</v>
      </c>
      <c r="DB74" s="443">
        <f t="shared" si="291"/>
        <v>64.963650275869369</v>
      </c>
      <c r="DD74" s="217">
        <f t="shared" si="237"/>
        <v>10</v>
      </c>
      <c r="DE74" s="173">
        <f t="shared" si="238"/>
        <v>7.6433121019108281</v>
      </c>
      <c r="DF74" s="173">
        <f t="shared" si="239"/>
        <v>4.1049030786773102</v>
      </c>
      <c r="DG74" s="173"/>
      <c r="DH74" s="173">
        <f t="shared" si="240"/>
        <v>7.6433121019108281</v>
      </c>
      <c r="DI74" s="545">
        <f t="shared" si="241"/>
        <v>180.55</v>
      </c>
      <c r="DJ74" s="528">
        <f t="shared" si="242"/>
        <v>4.1049030786773093</v>
      </c>
      <c r="DL74" s="173">
        <f t="shared" si="243"/>
        <v>7.0670260465670518</v>
      </c>
      <c r="DM74" s="173">
        <f t="shared" si="244"/>
        <v>16.534112554112554</v>
      </c>
      <c r="DN74" s="173">
        <f t="shared" si="245"/>
        <v>6.0400833734167065</v>
      </c>
      <c r="DP74" s="545">
        <f t="shared" si="246"/>
        <v>6899.9999999999991</v>
      </c>
      <c r="DQ74" s="460">
        <f t="shared" si="247"/>
        <v>64.963650275869369</v>
      </c>
      <c r="DS74">
        <f t="shared" si="292"/>
        <v>6899.9999999999991</v>
      </c>
      <c r="DT74">
        <f t="shared" si="248"/>
        <v>64.963650275869369</v>
      </c>
      <c r="DV74" s="5">
        <f t="shared" si="293"/>
        <v>15.393223683605848</v>
      </c>
      <c r="DW74" s="5">
        <f t="shared" si="249"/>
        <v>2.7556854256854257</v>
      </c>
      <c r="DX74" s="5">
        <f t="shared" si="294"/>
        <v>12.637538257920422</v>
      </c>
      <c r="DY74" s="173">
        <f t="shared" si="295"/>
        <v>0.1790193842645382</v>
      </c>
      <c r="EA74" s="5">
        <f t="shared" si="250"/>
        <v>126.76152958152956</v>
      </c>
      <c r="EB74" s="5">
        <f t="shared" si="251"/>
        <v>5.9419466991341983</v>
      </c>
      <c r="EC74" s="5">
        <f t="shared" si="252"/>
        <v>5.046239234933501</v>
      </c>
      <c r="ED74" s="5"/>
      <c r="EE74" s="173">
        <f t="shared" si="296"/>
        <v>4.0389668795844322</v>
      </c>
      <c r="EF74" s="173">
        <f t="shared" si="253"/>
        <v>8.6494145772786712</v>
      </c>
      <c r="EG74" s="173">
        <f t="shared" si="254"/>
        <v>0.21301303351101986</v>
      </c>
      <c r="EH74" s="173"/>
      <c r="EI74" s="528">
        <f t="shared" si="255"/>
        <v>0.32626506908760017</v>
      </c>
      <c r="EJ74" s="528">
        <f t="shared" si="256"/>
        <v>1.8840000000000001</v>
      </c>
      <c r="EK74" s="528">
        <f t="shared" si="257"/>
        <v>8.1204562844836709E-3</v>
      </c>
      <c r="EL74" s="528">
        <f t="shared" si="258"/>
        <v>4.9965427373029142E-2</v>
      </c>
      <c r="EM74">
        <f t="shared" si="259"/>
        <v>3.2399999999999998E-2</v>
      </c>
      <c r="EN74" s="460">
        <f t="shared" si="297"/>
        <v>40.520456284483672</v>
      </c>
      <c r="EO74">
        <f t="shared" si="260"/>
        <v>2.5895889606664597</v>
      </c>
      <c r="EP74" s="460">
        <f t="shared" si="298"/>
        <v>2589.5889606664596</v>
      </c>
      <c r="EQ74" s="173">
        <f t="shared" si="261"/>
        <v>4.286624999999999</v>
      </c>
      <c r="ER74" s="173">
        <f t="shared" si="262"/>
        <v>7.6546874999999986E-2</v>
      </c>
      <c r="ES74" s="528"/>
      <c r="EU74" s="460">
        <f t="shared" si="299"/>
        <v>4363.1718749999991</v>
      </c>
      <c r="EV74" s="528">
        <f t="shared" si="263"/>
        <v>0.48939760363140017</v>
      </c>
      <c r="EW74" s="528">
        <f t="shared" si="300"/>
        <v>2.2443711758892229</v>
      </c>
      <c r="EX74" s="528">
        <f t="shared" si="264"/>
        <v>2.2687276222783435E-4</v>
      </c>
      <c r="EY74" s="528">
        <f t="shared" si="265"/>
        <v>1.890594011417488</v>
      </c>
      <c r="EZ74" s="528">
        <f t="shared" si="266"/>
        <v>6.7590956754522429</v>
      </c>
      <c r="FA74" s="625">
        <f t="shared" si="267"/>
        <v>1.7759559892786804E-2</v>
      </c>
      <c r="FB74" s="460">
        <f t="shared" si="301"/>
        <v>6776.8552353450295</v>
      </c>
      <c r="FC74" s="173">
        <f t="shared" si="302"/>
        <v>13.729616071011487</v>
      </c>
      <c r="FD74" s="5">
        <f t="shared" si="303"/>
        <v>104.87999999999998</v>
      </c>
      <c r="FE74" s="173">
        <f t="shared" si="304"/>
        <v>0.88424533755516432</v>
      </c>
      <c r="FF74" s="5">
        <f t="shared" si="305"/>
        <v>88.424533755516435</v>
      </c>
      <c r="FG74">
        <f t="shared" si="306"/>
        <v>69</v>
      </c>
      <c r="FI74" s="562">
        <f t="shared" si="268"/>
        <v>-50</v>
      </c>
      <c r="FJ74">
        <f t="shared" si="269"/>
        <v>-50</v>
      </c>
      <c r="FL74">
        <f t="shared" si="270"/>
        <v>0.82098061573546177</v>
      </c>
    </row>
    <row r="75" spans="5:168">
      <c r="E75" s="170">
        <v>70</v>
      </c>
      <c r="F75" s="217">
        <f t="shared" si="307"/>
        <v>7</v>
      </c>
      <c r="G75" s="217">
        <f t="shared" si="271"/>
        <v>0.17499999999999999</v>
      </c>
      <c r="H75" s="217">
        <f t="shared" si="176"/>
        <v>105</v>
      </c>
      <c r="I75" s="217">
        <f t="shared" si="308"/>
        <v>1.4</v>
      </c>
      <c r="J75" s="541">
        <f t="shared" si="177"/>
        <v>71.524489953790422</v>
      </c>
      <c r="K75" s="443">
        <f t="shared" si="178"/>
        <v>15.955791666666666</v>
      </c>
      <c r="L75" s="172">
        <f t="shared" si="179"/>
        <v>87.480281620457092</v>
      </c>
      <c r="M75" s="443"/>
      <c r="N75" s="217">
        <f t="shared" si="180"/>
        <v>0.1823930075567502</v>
      </c>
      <c r="O75" s="172">
        <f t="shared" si="272"/>
        <v>321.84786603538817</v>
      </c>
      <c r="P75" s="172">
        <f t="shared" si="181"/>
        <v>4.3485222788781339</v>
      </c>
      <c r="Q75" s="217">
        <f t="shared" si="182"/>
        <v>21.456524402359211</v>
      </c>
      <c r="R75" s="217">
        <f t="shared" si="183"/>
        <v>40.230983254423521</v>
      </c>
      <c r="S75" s="443">
        <f t="shared" si="184"/>
        <v>15</v>
      </c>
      <c r="T75" s="217">
        <f t="shared" si="185"/>
        <v>16.312054712901986</v>
      </c>
      <c r="U75" s="217">
        <f t="shared" si="186"/>
        <v>2.7367501212701817</v>
      </c>
      <c r="V75" s="217">
        <f t="shared" si="187"/>
        <v>12.267937601852442</v>
      </c>
      <c r="W75" s="197">
        <f t="shared" si="188"/>
        <v>108.71305697195335</v>
      </c>
      <c r="X75" s="443">
        <f t="shared" si="273"/>
        <v>65.769190279340222</v>
      </c>
      <c r="Z75" s="217">
        <f t="shared" si="189"/>
        <v>9.9999999999999982</v>
      </c>
      <c r="AA75" s="173">
        <f t="shared" si="190"/>
        <v>7.5207800720219131</v>
      </c>
      <c r="AB75" s="173">
        <f t="shared" si="191"/>
        <v>4.0880349622162475</v>
      </c>
      <c r="AC75" s="173"/>
      <c r="AD75" s="173">
        <f t="shared" si="192"/>
        <v>7.5207800720219149</v>
      </c>
      <c r="AE75" s="545">
        <f t="shared" si="193"/>
        <v>186.15090277777779</v>
      </c>
      <c r="AF75" s="528">
        <f t="shared" si="194"/>
        <v>4.0880349622162493</v>
      </c>
      <c r="AH75" s="173">
        <f t="shared" si="195"/>
        <v>7.1180521680208741</v>
      </c>
      <c r="AI75" s="173">
        <f t="shared" si="196"/>
        <v>16.312054712901986</v>
      </c>
      <c r="AJ75" s="173">
        <f t="shared" si="197"/>
        <v>5.875596083631101</v>
      </c>
      <c r="AL75" s="545">
        <f t="shared" si="198"/>
        <v>7000</v>
      </c>
      <c r="AM75" s="460">
        <f t="shared" si="199"/>
        <v>65.769190279340222</v>
      </c>
      <c r="AO75">
        <f t="shared" si="274"/>
        <v>7000</v>
      </c>
      <c r="AP75">
        <f t="shared" si="200"/>
        <v>65.769190279340222</v>
      </c>
      <c r="AR75" s="5">
        <f t="shared" si="275"/>
        <v>15.204687723122623</v>
      </c>
      <c r="AS75" s="5">
        <f t="shared" si="201"/>
        <v>2.7367501212701817</v>
      </c>
      <c r="AT75" s="5">
        <f t="shared" si="276"/>
        <v>12.467937601852441</v>
      </c>
      <c r="AU75" s="173">
        <f t="shared" si="277"/>
        <v>0.17999383947282599</v>
      </c>
      <c r="AW75" s="5">
        <f t="shared" si="202"/>
        <v>127.71500565927515</v>
      </c>
      <c r="AX75" s="5">
        <f t="shared" si="203"/>
        <v>5.9866408902785215</v>
      </c>
      <c r="AY75" s="5">
        <f t="shared" si="204"/>
        <v>5.0842470919956284</v>
      </c>
      <c r="AZ75" s="5"/>
      <c r="BA75" s="173">
        <f t="shared" si="278"/>
        <v>3.9955526943449238</v>
      </c>
      <c r="BB75" s="173">
        <f t="shared" si="205"/>
        <v>8.5281847415271006</v>
      </c>
      <c r="BC75" s="173">
        <f t="shared" si="206"/>
        <v>0.21002745167368705</v>
      </c>
      <c r="BD75" s="173"/>
      <c r="BE75" s="528">
        <f t="shared" si="207"/>
        <v>0.3192888266657396</v>
      </c>
      <c r="BF75" s="528">
        <f t="shared" si="208"/>
        <v>1.7597161062409679</v>
      </c>
      <c r="BG75" s="528">
        <f t="shared" si="209"/>
        <v>0.11760269473509</v>
      </c>
      <c r="BH75" s="528">
        <f t="shared" si="210"/>
        <v>5.0331843782338521E-2</v>
      </c>
      <c r="BI75">
        <f t="shared" si="211"/>
        <v>3.2186020479205692E-2</v>
      </c>
      <c r="BJ75" s="460">
        <f t="shared" si="279"/>
        <v>149.78871521429568</v>
      </c>
      <c r="BK75">
        <f t="shared" si="212"/>
        <v>2.3974203179199822</v>
      </c>
      <c r="BL75" s="460">
        <f t="shared" si="280"/>
        <v>2397.4203179199822</v>
      </c>
      <c r="BM75" s="173">
        <f t="shared" si="213"/>
        <v>4.348749999999999</v>
      </c>
      <c r="BN75" s="173">
        <f t="shared" si="214"/>
        <v>7.7656249999999996E-2</v>
      </c>
      <c r="BO75" s="528"/>
      <c r="BQ75" s="460">
        <f t="shared" si="281"/>
        <v>4426.4062499999991</v>
      </c>
      <c r="BR75" s="528">
        <f t="shared" si="215"/>
        <v>0.47893323999860937</v>
      </c>
      <c r="BS75" s="528">
        <f t="shared" si="216"/>
        <v>2.1818980495684697</v>
      </c>
      <c r="BT75" s="528">
        <f t="shared" si="217"/>
        <v>2.2055765228271476E-4</v>
      </c>
      <c r="BU75" s="528">
        <f t="shared" si="218"/>
        <v>1.8849416709391358</v>
      </c>
      <c r="BV75" s="528">
        <f t="shared" si="219"/>
        <v>6.5868905407661433</v>
      </c>
      <c r="BW75" s="625">
        <f t="shared" si="220"/>
        <v>1.7500071938475949E-2</v>
      </c>
      <c r="BX75" s="460">
        <f t="shared" si="282"/>
        <v>6604.3906127046193</v>
      </c>
      <c r="BY75" s="173">
        <f t="shared" si="283"/>
        <v>13.428217180624602</v>
      </c>
      <c r="BZ75" s="5">
        <f t="shared" si="284"/>
        <v>106.4</v>
      </c>
      <c r="CA75" s="173">
        <f t="shared" si="285"/>
        <v>0.88793777044697741</v>
      </c>
      <c r="CB75" s="5">
        <f t="shared" si="286"/>
        <v>88.793777044697748</v>
      </c>
      <c r="CC75">
        <f t="shared" si="287"/>
        <v>70</v>
      </c>
      <c r="CE75" s="562">
        <f t="shared" si="221"/>
        <v>-50</v>
      </c>
      <c r="CF75">
        <f t="shared" si="222"/>
        <v>-50</v>
      </c>
      <c r="CG75" s="173">
        <f t="shared" si="223"/>
        <v>0.82098061573546177</v>
      </c>
      <c r="CH75" s="173">
        <f t="shared" si="224"/>
        <v>9.6304191786782956E-2</v>
      </c>
      <c r="CI75" s="170">
        <v>70</v>
      </c>
      <c r="CJ75" s="217">
        <f t="shared" si="309"/>
        <v>7</v>
      </c>
      <c r="CK75" s="217">
        <f t="shared" si="288"/>
        <v>0.17499999999999999</v>
      </c>
      <c r="CL75" s="217">
        <f t="shared" si="225"/>
        <v>105</v>
      </c>
      <c r="CM75" s="217">
        <f t="shared" si="310"/>
        <v>1.4</v>
      </c>
      <c r="CN75" s="541">
        <f t="shared" si="289"/>
        <v>72</v>
      </c>
      <c r="CO75" s="443">
        <f t="shared" si="226"/>
        <v>15.7</v>
      </c>
      <c r="CP75" s="443">
        <f t="shared" si="227"/>
        <v>87.7</v>
      </c>
      <c r="CQ75" s="443"/>
      <c r="CR75" s="217">
        <f t="shared" si="228"/>
        <v>0.17620137299771166</v>
      </c>
      <c r="CS75" s="172">
        <f t="shared" si="290"/>
        <v>312.98928098277725</v>
      </c>
      <c r="CT75" s="172">
        <f t="shared" si="229"/>
        <v>4.2288329519450798</v>
      </c>
      <c r="CU75" s="217">
        <f t="shared" si="230"/>
        <v>20.865952065518481</v>
      </c>
      <c r="CV75" s="217">
        <f t="shared" si="231"/>
        <v>39.123660122847156</v>
      </c>
      <c r="CW75" s="443">
        <f t="shared" si="232"/>
        <v>15</v>
      </c>
      <c r="CX75" s="217">
        <f t="shared" si="233"/>
        <v>16.773737373737376</v>
      </c>
      <c r="CY75" s="217">
        <f t="shared" si="234"/>
        <v>2.7956228956228961</v>
      </c>
      <c r="CZ75" s="217">
        <f t="shared" si="235"/>
        <v>12.820690986296086</v>
      </c>
      <c r="DA75" s="197">
        <f t="shared" si="236"/>
        <v>107.41163055872293</v>
      </c>
      <c r="DB75" s="443">
        <f t="shared" si="291"/>
        <v>64.035598129071218</v>
      </c>
      <c r="DD75" s="217">
        <f t="shared" si="237"/>
        <v>10</v>
      </c>
      <c r="DE75" s="173">
        <f t="shared" si="238"/>
        <v>7.6433121019108281</v>
      </c>
      <c r="DF75" s="173">
        <f t="shared" si="239"/>
        <v>4.1049030786773102</v>
      </c>
      <c r="DG75" s="173"/>
      <c r="DH75" s="173">
        <f t="shared" si="240"/>
        <v>7.6433121019108281</v>
      </c>
      <c r="DI75" s="545">
        <f t="shared" si="241"/>
        <v>183.16666666666669</v>
      </c>
      <c r="DJ75" s="528">
        <f t="shared" si="242"/>
        <v>4.1049030786773093</v>
      </c>
      <c r="DL75" s="173">
        <f t="shared" si="243"/>
        <v>7.1180521680208741</v>
      </c>
      <c r="DM75" s="173">
        <f t="shared" si="244"/>
        <v>16.773737373737376</v>
      </c>
      <c r="DN75" s="173">
        <f t="shared" si="245"/>
        <v>6.2175832398054638</v>
      </c>
      <c r="DP75" s="545">
        <f t="shared" si="246"/>
        <v>7000</v>
      </c>
      <c r="DQ75" s="460">
        <f t="shared" si="247"/>
        <v>64.035598129071218</v>
      </c>
      <c r="DS75">
        <f t="shared" si="292"/>
        <v>7000</v>
      </c>
      <c r="DT75">
        <f t="shared" si="248"/>
        <v>64.035598129071218</v>
      </c>
      <c r="DV75" s="5">
        <f t="shared" si="293"/>
        <v>15.616313881918982</v>
      </c>
      <c r="DW75" s="5">
        <f t="shared" si="249"/>
        <v>2.7956228956228961</v>
      </c>
      <c r="DX75" s="5">
        <f t="shared" si="294"/>
        <v>12.820690986296086</v>
      </c>
      <c r="DY75" s="173">
        <f t="shared" si="295"/>
        <v>0.17901938426453817</v>
      </c>
      <c r="EA75" s="5">
        <f t="shared" si="250"/>
        <v>130.46240179573516</v>
      </c>
      <c r="EB75" s="5">
        <f t="shared" si="251"/>
        <v>6.1154250841750848</v>
      </c>
      <c r="EC75" s="5">
        <f t="shared" si="252"/>
        <v>5.1935669504671642</v>
      </c>
      <c r="ED75" s="5"/>
      <c r="EE75" s="173">
        <f t="shared" si="296"/>
        <v>4.0975026314624676</v>
      </c>
      <c r="EF75" s="173">
        <f t="shared" si="253"/>
        <v>8.7747684117319871</v>
      </c>
      <c r="EG75" s="173">
        <f t="shared" si="254"/>
        <v>0.21610017892422306</v>
      </c>
      <c r="EH75" s="173"/>
      <c r="EI75" s="528">
        <f t="shared" si="255"/>
        <v>0.33579055629683696</v>
      </c>
      <c r="EJ75" s="528">
        <f t="shared" si="256"/>
        <v>1.8840000000000001</v>
      </c>
      <c r="EK75" s="528">
        <f t="shared" si="257"/>
        <v>8.0044497661339031E-3</v>
      </c>
      <c r="EL75" s="528">
        <f t="shared" si="258"/>
        <v>4.9251635553414427E-2</v>
      </c>
      <c r="EM75">
        <f t="shared" si="259"/>
        <v>3.2399999999999998E-2</v>
      </c>
      <c r="EN75" s="460">
        <f t="shared" si="297"/>
        <v>40.404449766133901</v>
      </c>
      <c r="EO75">
        <f t="shared" si="260"/>
        <v>2.6082024921656455</v>
      </c>
      <c r="EP75" s="460">
        <f t="shared" si="298"/>
        <v>2608.2024921656457</v>
      </c>
      <c r="EQ75" s="173">
        <f t="shared" si="261"/>
        <v>4.348749999999999</v>
      </c>
      <c r="ER75" s="173">
        <f t="shared" si="262"/>
        <v>7.7656249999999996E-2</v>
      </c>
      <c r="ES75" s="528"/>
      <c r="EU75" s="460">
        <f t="shared" si="299"/>
        <v>4426.4062499999991</v>
      </c>
      <c r="EV75" s="528">
        <f t="shared" si="263"/>
        <v>0.50368583444525539</v>
      </c>
      <c r="EW75" s="528">
        <f t="shared" si="300"/>
        <v>2.3098968203858847</v>
      </c>
      <c r="EX75" s="528">
        <f t="shared" si="264"/>
        <v>2.3349643665540612E-4</v>
      </c>
      <c r="EY75" s="528">
        <f t="shared" si="265"/>
        <v>1.8905940114174831</v>
      </c>
      <c r="EZ75" s="528">
        <f t="shared" si="266"/>
        <v>6.9425252026546103</v>
      </c>
      <c r="FA75" s="625">
        <f t="shared" si="267"/>
        <v>1.8016944818769219E-2</v>
      </c>
      <c r="FB75" s="460">
        <f t="shared" si="301"/>
        <v>6960.5421474733794</v>
      </c>
      <c r="FC75" s="173">
        <f t="shared" si="302"/>
        <v>13.995150889639024</v>
      </c>
      <c r="FD75" s="5">
        <f t="shared" si="303"/>
        <v>106.4</v>
      </c>
      <c r="FE75" s="173">
        <f t="shared" si="304"/>
        <v>0.88375652352919298</v>
      </c>
      <c r="FF75" s="5">
        <f t="shared" si="305"/>
        <v>88.375652352919303</v>
      </c>
      <c r="FG75">
        <f t="shared" si="306"/>
        <v>70</v>
      </c>
      <c r="FI75" s="562">
        <f t="shared" si="268"/>
        <v>-50</v>
      </c>
      <c r="FJ75">
        <f t="shared" si="269"/>
        <v>-50</v>
      </c>
      <c r="FL75">
        <f t="shared" si="270"/>
        <v>0.82098061573546177</v>
      </c>
    </row>
    <row r="76" spans="5:168">
      <c r="E76" s="170">
        <v>71</v>
      </c>
      <c r="F76" s="217">
        <f t="shared" si="307"/>
        <v>7.1</v>
      </c>
      <c r="G76" s="217">
        <f t="shared" si="271"/>
        <v>0.17749999999999999</v>
      </c>
      <c r="H76" s="217">
        <f t="shared" si="176"/>
        <v>106.5</v>
      </c>
      <c r="I76" s="217">
        <f t="shared" si="308"/>
        <v>1.42</v>
      </c>
      <c r="J76" s="541">
        <f t="shared" si="177"/>
        <v>71.517696953130283</v>
      </c>
      <c r="K76" s="443">
        <f t="shared" si="178"/>
        <v>15.959445833333332</v>
      </c>
      <c r="L76" s="172">
        <f t="shared" si="179"/>
        <v>87.477142786463617</v>
      </c>
      <c r="M76" s="443"/>
      <c r="N76" s="217">
        <f t="shared" si="180"/>
        <v>0.1824413249560653</v>
      </c>
      <c r="O76" s="172">
        <f t="shared" si="272"/>
        <v>321.90255073853893</v>
      </c>
      <c r="P76" s="172">
        <f t="shared" si="181"/>
        <v>4.3492611299784816</v>
      </c>
      <c r="Q76" s="217">
        <f t="shared" si="182"/>
        <v>21.460170049235931</v>
      </c>
      <c r="R76" s="217">
        <f t="shared" si="183"/>
        <v>40.237818842317367</v>
      </c>
      <c r="S76" s="443">
        <f t="shared" si="184"/>
        <v>15</v>
      </c>
      <c r="T76" s="217">
        <f t="shared" si="185"/>
        <v>16.542273392313568</v>
      </c>
      <c r="U76" s="217">
        <f t="shared" si="186"/>
        <v>2.7756386064536751</v>
      </c>
      <c r="V76" s="217">
        <f t="shared" si="187"/>
        <v>12.438231426128539</v>
      </c>
      <c r="W76" s="197">
        <f t="shared" si="188"/>
        <v>108.73152824946203</v>
      </c>
      <c r="X76" s="443">
        <f t="shared" si="273"/>
        <v>64.876633699789579</v>
      </c>
      <c r="Z76" s="217">
        <f t="shared" si="189"/>
        <v>10</v>
      </c>
      <c r="AA76" s="173">
        <f t="shared" si="190"/>
        <v>7.5190580708864427</v>
      </c>
      <c r="AB76" s="173">
        <f t="shared" si="191"/>
        <v>4.0877933752196736</v>
      </c>
      <c r="AC76" s="173"/>
      <c r="AD76" s="173">
        <f t="shared" si="192"/>
        <v>7.5190580708864427</v>
      </c>
      <c r="AE76" s="545">
        <f t="shared" si="193"/>
        <v>188.85344236111106</v>
      </c>
      <c r="AF76" s="528">
        <f t="shared" si="194"/>
        <v>4.0877933752196745</v>
      </c>
      <c r="AH76" s="173">
        <f t="shared" si="195"/>
        <v>7.1687151003841816</v>
      </c>
      <c r="AI76" s="173">
        <f t="shared" si="196"/>
        <v>16.542273392313568</v>
      </c>
      <c r="AJ76" s="173">
        <f t="shared" si="197"/>
        <v>6.0461284387507916</v>
      </c>
      <c r="AL76" s="545">
        <f t="shared" si="198"/>
        <v>7100</v>
      </c>
      <c r="AM76" s="460">
        <f t="shared" si="199"/>
        <v>64.876633699789579</v>
      </c>
      <c r="AO76">
        <f t="shared" si="274"/>
        <v>7100</v>
      </c>
      <c r="AP76">
        <f t="shared" si="200"/>
        <v>64.876633699789579</v>
      </c>
      <c r="AR76" s="5">
        <f t="shared" si="275"/>
        <v>15.413870032582214</v>
      </c>
      <c r="AS76" s="5">
        <f t="shared" si="201"/>
        <v>2.7756386064536751</v>
      </c>
      <c r="AT76" s="5">
        <f t="shared" si="276"/>
        <v>12.638231426128538</v>
      </c>
      <c r="AU76" s="173">
        <f t="shared" si="277"/>
        <v>0.1800740891538895</v>
      </c>
      <c r="AW76" s="5">
        <f t="shared" si="202"/>
        <v>131.38022737214061</v>
      </c>
      <c r="AX76" s="5">
        <f t="shared" si="203"/>
        <v>6.1584481580690911</v>
      </c>
      <c r="AY76" s="5">
        <f t="shared" si="204"/>
        <v>5.2278111425762948</v>
      </c>
      <c r="AZ76" s="5"/>
      <c r="BA76" s="173">
        <f t="shared" si="278"/>
        <v>4.0528467311274152</v>
      </c>
      <c r="BB76" s="173">
        <f t="shared" si="205"/>
        <v>8.6481232859701009</v>
      </c>
      <c r="BC76" s="173">
        <f t="shared" si="206"/>
        <v>0.21298123229761665</v>
      </c>
      <c r="BD76" s="173"/>
      <c r="BE76" s="528">
        <f t="shared" si="207"/>
        <v>0.32851133252020348</v>
      </c>
      <c r="BF76" s="528">
        <f t="shared" si="208"/>
        <v>1.7602703058510916</v>
      </c>
      <c r="BG76" s="528">
        <f t="shared" si="209"/>
        <v>0.11599568570701978</v>
      </c>
      <c r="BH76" s="528">
        <f t="shared" si="210"/>
        <v>4.9645225332170501E-2</v>
      </c>
      <c r="BI76">
        <f t="shared" si="211"/>
        <v>3.2182963628908628E-2</v>
      </c>
      <c r="BJ76" s="460">
        <f t="shared" si="279"/>
        <v>148.17864933592838</v>
      </c>
      <c r="BK76">
        <f t="shared" si="212"/>
        <v>2.4156790422953573</v>
      </c>
      <c r="BL76" s="460">
        <f t="shared" si="280"/>
        <v>2415.6790422953572</v>
      </c>
      <c r="BM76" s="173">
        <f t="shared" si="213"/>
        <v>4.4108749999999999</v>
      </c>
      <c r="BN76" s="173">
        <f t="shared" si="214"/>
        <v>7.8765624999999992E-2</v>
      </c>
      <c r="BO76" s="528"/>
      <c r="BQ76" s="460">
        <f t="shared" si="281"/>
        <v>4489.640625</v>
      </c>
      <c r="BR76" s="528">
        <f t="shared" si="215"/>
        <v>0.49276699878030517</v>
      </c>
      <c r="BS76" s="528">
        <f t="shared" si="216"/>
        <v>2.2437010910801489</v>
      </c>
      <c r="BT76" s="528">
        <f t="shared" si="217"/>
        <v>2.2680502655505672E-4</v>
      </c>
      <c r="BU76" s="528">
        <f t="shared" si="218"/>
        <v>1.8865953412060952</v>
      </c>
      <c r="BV76" s="528">
        <f t="shared" si="219"/>
        <v>6.7601300917309608</v>
      </c>
      <c r="BW76" s="625">
        <f t="shared" si="220"/>
        <v>1.775328378970396E-2</v>
      </c>
      <c r="BX76" s="460">
        <f t="shared" si="282"/>
        <v>6777.8833755206642</v>
      </c>
      <c r="BY76" s="173">
        <f t="shared" si="283"/>
        <v>13.683203042816022</v>
      </c>
      <c r="BZ76" s="5">
        <f t="shared" si="284"/>
        <v>107.92</v>
      </c>
      <c r="CA76" s="173">
        <f t="shared" si="285"/>
        <v>0.88747662314455467</v>
      </c>
      <c r="CB76" s="5">
        <f t="shared" si="286"/>
        <v>88.747662314455468</v>
      </c>
      <c r="CC76">
        <f t="shared" si="287"/>
        <v>71</v>
      </c>
      <c r="CE76" s="562">
        <f t="shared" si="221"/>
        <v>-50</v>
      </c>
      <c r="CF76">
        <f t="shared" si="222"/>
        <v>-50</v>
      </c>
      <c r="CG76" s="173">
        <f t="shared" si="223"/>
        <v>0.82098061573546177</v>
      </c>
      <c r="CH76" s="173">
        <f t="shared" si="224"/>
        <v>9.6304191786782956E-2</v>
      </c>
      <c r="CI76" s="170">
        <v>71</v>
      </c>
      <c r="CJ76" s="217">
        <f t="shared" si="309"/>
        <v>7.1</v>
      </c>
      <c r="CK76" s="217">
        <f t="shared" si="288"/>
        <v>0.17749999999999999</v>
      </c>
      <c r="CL76" s="217">
        <f t="shared" si="225"/>
        <v>106.5</v>
      </c>
      <c r="CM76" s="217">
        <f t="shared" si="310"/>
        <v>1.42</v>
      </c>
      <c r="CN76" s="541">
        <f t="shared" si="289"/>
        <v>72</v>
      </c>
      <c r="CO76" s="443">
        <f t="shared" si="226"/>
        <v>15.7</v>
      </c>
      <c r="CP76" s="443">
        <f t="shared" si="227"/>
        <v>87.7</v>
      </c>
      <c r="CQ76" s="443"/>
      <c r="CR76" s="217">
        <f t="shared" si="228"/>
        <v>0.17620137299771166</v>
      </c>
      <c r="CS76" s="172">
        <f t="shared" si="290"/>
        <v>312.98928098277725</v>
      </c>
      <c r="CT76" s="172">
        <f t="shared" si="229"/>
        <v>4.2288329519450798</v>
      </c>
      <c r="CU76" s="217">
        <f t="shared" si="230"/>
        <v>20.865952065518481</v>
      </c>
      <c r="CV76" s="217">
        <f t="shared" si="231"/>
        <v>39.123660122847156</v>
      </c>
      <c r="CW76" s="443">
        <f t="shared" si="232"/>
        <v>15</v>
      </c>
      <c r="CX76" s="217">
        <f t="shared" si="233"/>
        <v>17.013362193362195</v>
      </c>
      <c r="CY76" s="217">
        <f t="shared" si="234"/>
        <v>2.8355603655603656</v>
      </c>
      <c r="CZ76" s="217">
        <f t="shared" si="235"/>
        <v>13.003843714671742</v>
      </c>
      <c r="DA76" s="197">
        <f t="shared" si="236"/>
        <v>107.41163055872293</v>
      </c>
      <c r="DB76" s="443">
        <f t="shared" si="291"/>
        <v>63.133688296267408</v>
      </c>
      <c r="DD76" s="217">
        <f t="shared" si="237"/>
        <v>10</v>
      </c>
      <c r="DE76" s="173">
        <f t="shared" si="238"/>
        <v>7.6433121019108281</v>
      </c>
      <c r="DF76" s="173">
        <f t="shared" si="239"/>
        <v>4.1049030786773102</v>
      </c>
      <c r="DG76" s="173"/>
      <c r="DH76" s="173">
        <f t="shared" si="240"/>
        <v>7.6433121019108281</v>
      </c>
      <c r="DI76" s="545">
        <f t="shared" si="241"/>
        <v>185.78333333333333</v>
      </c>
      <c r="DJ76" s="528">
        <f t="shared" si="242"/>
        <v>4.1049030786773093</v>
      </c>
      <c r="DL76" s="173">
        <f t="shared" si="243"/>
        <v>7.1687151003841816</v>
      </c>
      <c r="DM76" s="173">
        <f t="shared" si="244"/>
        <v>17.013362193362195</v>
      </c>
      <c r="DN76" s="173">
        <f t="shared" si="245"/>
        <v>6.3950831061942184</v>
      </c>
      <c r="DP76" s="545">
        <f t="shared" si="246"/>
        <v>7100</v>
      </c>
      <c r="DQ76" s="460">
        <f t="shared" si="247"/>
        <v>63.133688296267408</v>
      </c>
      <c r="DS76">
        <f t="shared" si="292"/>
        <v>7100</v>
      </c>
      <c r="DT76">
        <f t="shared" si="248"/>
        <v>63.133688296267408</v>
      </c>
      <c r="DV76" s="5">
        <f t="shared" si="293"/>
        <v>15.839404080232107</v>
      </c>
      <c r="DW76" s="5">
        <f t="shared" si="249"/>
        <v>2.8355603655603656</v>
      </c>
      <c r="DX76" s="5">
        <f t="shared" si="294"/>
        <v>13.003843714671742</v>
      </c>
      <c r="DY76" s="173">
        <f t="shared" si="295"/>
        <v>0.17901938426453817</v>
      </c>
      <c r="EA76" s="5">
        <f t="shared" si="250"/>
        <v>134.21652396985732</v>
      </c>
      <c r="EB76" s="5">
        <f t="shared" si="251"/>
        <v>6.2913995610870597</v>
      </c>
      <c r="EC76" s="5">
        <f t="shared" si="252"/>
        <v>5.3430144892459124</v>
      </c>
      <c r="ED76" s="5"/>
      <c r="EE76" s="173">
        <f t="shared" si="296"/>
        <v>4.156038383340503</v>
      </c>
      <c r="EF76" s="173">
        <f t="shared" si="253"/>
        <v>8.9001222461853011</v>
      </c>
      <c r="EG76" s="173">
        <f t="shared" si="254"/>
        <v>0.21918732433742624</v>
      </c>
      <c r="EH76" s="173"/>
      <c r="EI76" s="528">
        <f t="shared" si="255"/>
        <v>0.34545310087599085</v>
      </c>
      <c r="EJ76" s="528">
        <f t="shared" si="256"/>
        <v>1.8840000000000001</v>
      </c>
      <c r="EK76" s="528">
        <f t="shared" si="257"/>
        <v>7.8917110370334258E-3</v>
      </c>
      <c r="EL76" s="528">
        <f t="shared" si="258"/>
        <v>4.8557950545619864E-2</v>
      </c>
      <c r="EM76">
        <f t="shared" si="259"/>
        <v>3.2399999999999998E-2</v>
      </c>
      <c r="EN76" s="460">
        <f t="shared" si="297"/>
        <v>40.291711037033423</v>
      </c>
      <c r="EO76">
        <f t="shared" si="260"/>
        <v>2.6272160950310299</v>
      </c>
      <c r="EP76" s="460">
        <f t="shared" si="298"/>
        <v>2627.2160950310299</v>
      </c>
      <c r="EQ76" s="173">
        <f t="shared" si="261"/>
        <v>4.4108749999999999</v>
      </c>
      <c r="ER76" s="173">
        <f t="shared" si="262"/>
        <v>7.8765624999999992E-2</v>
      </c>
      <c r="ES76" s="528"/>
      <c r="EU76" s="460">
        <f t="shared" si="299"/>
        <v>4489.640625</v>
      </c>
      <c r="EV76" s="528">
        <f t="shared" si="263"/>
        <v>0.51817965131398624</v>
      </c>
      <c r="EW76" s="528">
        <f t="shared" si="300"/>
        <v>2.3763652799112749</v>
      </c>
      <c r="EX76" s="528">
        <f t="shared" si="264"/>
        <v>2.4021541575100044E-4</v>
      </c>
      <c r="EY76" s="528">
        <f t="shared" si="265"/>
        <v>1.8905940114174846</v>
      </c>
      <c r="EZ76" s="528">
        <f t="shared" si="266"/>
        <v>7.1317087604447407</v>
      </c>
      <c r="FA76" s="625">
        <f t="shared" si="267"/>
        <v>1.8274329744751641E-2</v>
      </c>
      <c r="FB76" s="460">
        <f t="shared" si="301"/>
        <v>7149.983090189492</v>
      </c>
      <c r="FC76" s="173">
        <f t="shared" si="302"/>
        <v>14.266839810220523</v>
      </c>
      <c r="FD76" s="5">
        <f t="shared" si="303"/>
        <v>107.92</v>
      </c>
      <c r="FE76" s="173">
        <f t="shared" si="304"/>
        <v>0.8832375087826182</v>
      </c>
      <c r="FF76" s="5">
        <f t="shared" si="305"/>
        <v>88.323750878261819</v>
      </c>
      <c r="FG76">
        <f t="shared" si="306"/>
        <v>71</v>
      </c>
      <c r="FI76" s="562">
        <f t="shared" si="268"/>
        <v>-50</v>
      </c>
      <c r="FJ76">
        <f t="shared" si="269"/>
        <v>-50</v>
      </c>
      <c r="FL76">
        <f t="shared" si="270"/>
        <v>0.82098061573546177</v>
      </c>
    </row>
    <row r="77" spans="5:168">
      <c r="E77" s="170">
        <v>72</v>
      </c>
      <c r="F77" s="217">
        <f t="shared" si="307"/>
        <v>7.1999999999999993</v>
      </c>
      <c r="G77" s="217">
        <f t="shared" si="271"/>
        <v>0.18</v>
      </c>
      <c r="H77" s="217">
        <f t="shared" si="176"/>
        <v>107.99999999999999</v>
      </c>
      <c r="I77" s="217">
        <f t="shared" si="308"/>
        <v>1.44</v>
      </c>
      <c r="J77" s="541">
        <f t="shared" si="177"/>
        <v>71.510903952470144</v>
      </c>
      <c r="K77" s="443">
        <f t="shared" si="178"/>
        <v>15.963099999999999</v>
      </c>
      <c r="L77" s="172">
        <f t="shared" si="179"/>
        <v>87.474003952470142</v>
      </c>
      <c r="M77" s="443"/>
      <c r="N77" s="217">
        <f t="shared" si="180"/>
        <v>0.18248964582293165</v>
      </c>
      <c r="O77" s="172">
        <f t="shared" si="272"/>
        <v>321.95722536424239</v>
      </c>
      <c r="P77" s="172">
        <f t="shared" si="181"/>
        <v>4.34999984492132</v>
      </c>
      <c r="Q77" s="217">
        <f t="shared" si="182"/>
        <v>21.463815024282827</v>
      </c>
      <c r="R77" s="217">
        <f t="shared" si="183"/>
        <v>40.244653170530299</v>
      </c>
      <c r="S77" s="443">
        <f t="shared" si="184"/>
        <v>15</v>
      </c>
      <c r="T77" s="217">
        <f t="shared" si="185"/>
        <v>16.77241439104457</v>
      </c>
      <c r="U77" s="217">
        <f t="shared" si="186"/>
        <v>2.8145214445381455</v>
      </c>
      <c r="V77" s="217">
        <f t="shared" si="187"/>
        <v>12.608388890161365</v>
      </c>
      <c r="W77" s="197">
        <f t="shared" si="188"/>
        <v>108.749996123033</v>
      </c>
      <c r="X77" s="443">
        <f t="shared" si="273"/>
        <v>64.008560413928393</v>
      </c>
      <c r="Z77" s="217">
        <f t="shared" si="189"/>
        <v>10</v>
      </c>
      <c r="AA77" s="173">
        <f t="shared" si="190"/>
        <v>7.5173368581290614</v>
      </c>
      <c r="AB77" s="173">
        <f t="shared" si="191"/>
        <v>4.0875517708853426</v>
      </c>
      <c r="AC77" s="173"/>
      <c r="AD77" s="173">
        <f t="shared" si="192"/>
        <v>7.5173368581290614</v>
      </c>
      <c r="AE77" s="545">
        <f t="shared" si="193"/>
        <v>191.55719999999997</v>
      </c>
      <c r="AF77" s="528">
        <f t="shared" si="194"/>
        <v>4.0875517708853426</v>
      </c>
      <c r="AH77" s="173">
        <f t="shared" si="195"/>
        <v>7.21902249021886</v>
      </c>
      <c r="AI77" s="173">
        <f t="shared" si="196"/>
        <v>16.77241439104457</v>
      </c>
      <c r="AJ77" s="173">
        <f t="shared" si="197"/>
        <v>6.2166032526256076</v>
      </c>
      <c r="AL77" s="545">
        <f t="shared" si="198"/>
        <v>7199.9999999999991</v>
      </c>
      <c r="AM77" s="460">
        <f t="shared" si="199"/>
        <v>64.008560413928393</v>
      </c>
      <c r="AO77">
        <f t="shared" si="274"/>
        <v>7199.9999999999991</v>
      </c>
      <c r="AP77">
        <f t="shared" si="200"/>
        <v>64.008560413928393</v>
      </c>
      <c r="AR77" s="5">
        <f t="shared" si="275"/>
        <v>15.622910334699514</v>
      </c>
      <c r="AS77" s="5">
        <f t="shared" si="201"/>
        <v>2.8145214445381455</v>
      </c>
      <c r="AT77" s="5">
        <f t="shared" si="276"/>
        <v>12.808388890161368</v>
      </c>
      <c r="AU77" s="173">
        <f t="shared" si="277"/>
        <v>0.18015346591901688</v>
      </c>
      <c r="AW77" s="5">
        <f t="shared" si="202"/>
        <v>135.09702933783097</v>
      </c>
      <c r="AX77" s="5">
        <f t="shared" si="203"/>
        <v>6.3326732502108261</v>
      </c>
      <c r="AY77" s="5">
        <f t="shared" si="204"/>
        <v>5.3733297366823178</v>
      </c>
      <c r="AZ77" s="5"/>
      <c r="BA77" s="173">
        <f t="shared" si="278"/>
        <v>4.110136709190388</v>
      </c>
      <c r="BB77" s="173">
        <f t="shared" si="205"/>
        <v>8.7680140891047049</v>
      </c>
      <c r="BC77" s="173">
        <f t="shared" si="206"/>
        <v>0.21593383717481393</v>
      </c>
      <c r="BD77" s="173"/>
      <c r="BE77" s="528">
        <f t="shared" si="207"/>
        <v>0.33786447536468783</v>
      </c>
      <c r="BF77" s="528">
        <f t="shared" si="208"/>
        <v>1.7608157802823825</v>
      </c>
      <c r="BG77" s="528">
        <f t="shared" si="209"/>
        <v>0.1144327503974079</v>
      </c>
      <c r="BH77" s="528">
        <f t="shared" si="210"/>
        <v>4.8977438924947492E-2</v>
      </c>
      <c r="BI77">
        <f t="shared" si="211"/>
        <v>3.2179906778611565E-2</v>
      </c>
      <c r="BJ77" s="460">
        <f t="shared" si="279"/>
        <v>146.61265717601947</v>
      </c>
      <c r="BK77">
        <f t="shared" si="212"/>
        <v>2.4342982915624791</v>
      </c>
      <c r="BL77" s="460">
        <f t="shared" si="280"/>
        <v>2434.2982915624793</v>
      </c>
      <c r="BM77" s="173">
        <f t="shared" si="213"/>
        <v>4.472999999999999</v>
      </c>
      <c r="BN77" s="173">
        <f t="shared" si="214"/>
        <v>7.9874999999999988E-2</v>
      </c>
      <c r="BO77" s="528"/>
      <c r="BQ77" s="460">
        <f t="shared" si="281"/>
        <v>4552.8749999999991</v>
      </c>
      <c r="BR77" s="528">
        <f t="shared" si="215"/>
        <v>0.50679671304703178</v>
      </c>
      <c r="BS77" s="528">
        <f t="shared" si="216"/>
        <v>2.3063421320021584</v>
      </c>
      <c r="BT77" s="528">
        <f t="shared" si="217"/>
        <v>2.3313711018519526E-4</v>
      </c>
      <c r="BU77" s="528">
        <f t="shared" si="218"/>
        <v>1.8882266090070303</v>
      </c>
      <c r="BV77" s="528">
        <f t="shared" si="219"/>
        <v>6.9384411388846639</v>
      </c>
      <c r="BW77" s="625">
        <f t="shared" si="220"/>
        <v>1.8006496771609985E-2</v>
      </c>
      <c r="BX77" s="460">
        <f t="shared" si="282"/>
        <v>6956.4476356562745</v>
      </c>
      <c r="BY77" s="173">
        <f t="shared" si="283"/>
        <v>13.943620927218753</v>
      </c>
      <c r="BZ77" s="5">
        <f t="shared" si="284"/>
        <v>109.43999999999998</v>
      </c>
      <c r="CA77" s="173">
        <f t="shared" si="285"/>
        <v>0.88698969261532867</v>
      </c>
      <c r="CB77" s="5">
        <f t="shared" si="286"/>
        <v>88.698969261532866</v>
      </c>
      <c r="CC77">
        <f t="shared" si="287"/>
        <v>72</v>
      </c>
      <c r="CE77" s="562">
        <f t="shared" si="221"/>
        <v>-50</v>
      </c>
      <c r="CF77">
        <f t="shared" si="222"/>
        <v>-50</v>
      </c>
      <c r="CG77" s="173">
        <f t="shared" si="223"/>
        <v>0.82098061573546177</v>
      </c>
      <c r="CH77" s="173">
        <f t="shared" si="224"/>
        <v>9.6304191786782969E-2</v>
      </c>
      <c r="CI77" s="170">
        <v>72</v>
      </c>
      <c r="CJ77" s="217">
        <f t="shared" si="309"/>
        <v>7.1999999999999993</v>
      </c>
      <c r="CK77" s="217">
        <f t="shared" si="288"/>
        <v>0.18</v>
      </c>
      <c r="CL77" s="217">
        <f t="shared" si="225"/>
        <v>107.99999999999999</v>
      </c>
      <c r="CM77" s="217">
        <f t="shared" si="310"/>
        <v>1.44</v>
      </c>
      <c r="CN77" s="541">
        <f t="shared" si="289"/>
        <v>72</v>
      </c>
      <c r="CO77" s="443">
        <f t="shared" si="226"/>
        <v>15.7</v>
      </c>
      <c r="CP77" s="443">
        <f t="shared" si="227"/>
        <v>87.7</v>
      </c>
      <c r="CQ77" s="443"/>
      <c r="CR77" s="217">
        <f t="shared" si="228"/>
        <v>0.17620137299771166</v>
      </c>
      <c r="CS77" s="172">
        <f t="shared" si="290"/>
        <v>312.98928098277725</v>
      </c>
      <c r="CT77" s="172">
        <f t="shared" si="229"/>
        <v>4.2288329519450798</v>
      </c>
      <c r="CU77" s="217">
        <f t="shared" si="230"/>
        <v>20.865952065518481</v>
      </c>
      <c r="CV77" s="217">
        <f t="shared" si="231"/>
        <v>39.123660122847156</v>
      </c>
      <c r="CW77" s="443">
        <f t="shared" si="232"/>
        <v>15</v>
      </c>
      <c r="CX77" s="217">
        <f t="shared" si="233"/>
        <v>17.252987012987013</v>
      </c>
      <c r="CY77" s="217">
        <f t="shared" si="234"/>
        <v>2.8754978354978356</v>
      </c>
      <c r="CZ77" s="217">
        <f t="shared" si="235"/>
        <v>13.186996443047398</v>
      </c>
      <c r="DA77" s="197">
        <f t="shared" si="236"/>
        <v>107.41163055872293</v>
      </c>
      <c r="DB77" s="443">
        <f t="shared" si="291"/>
        <v>62.256831514374809</v>
      </c>
      <c r="DD77" s="217">
        <f t="shared" si="237"/>
        <v>10</v>
      </c>
      <c r="DE77" s="173">
        <f t="shared" si="238"/>
        <v>7.6433121019108281</v>
      </c>
      <c r="DF77" s="173">
        <f t="shared" si="239"/>
        <v>4.1049030786773102</v>
      </c>
      <c r="DG77" s="173"/>
      <c r="DH77" s="173">
        <f t="shared" si="240"/>
        <v>7.6433121019108281</v>
      </c>
      <c r="DI77" s="545">
        <f t="shared" si="241"/>
        <v>188.4</v>
      </c>
      <c r="DJ77" s="528">
        <f t="shared" si="242"/>
        <v>4.1049030786773093</v>
      </c>
      <c r="DL77" s="173">
        <f t="shared" si="243"/>
        <v>7.21902249021886</v>
      </c>
      <c r="DM77" s="173">
        <f t="shared" si="244"/>
        <v>17.252987012987013</v>
      </c>
      <c r="DN77" s="173">
        <f t="shared" si="245"/>
        <v>6.572582972582973</v>
      </c>
      <c r="DP77" s="545">
        <f t="shared" si="246"/>
        <v>7199.9999999999991</v>
      </c>
      <c r="DQ77" s="460">
        <f t="shared" si="247"/>
        <v>62.256831514374809</v>
      </c>
      <c r="DS77">
        <f t="shared" si="292"/>
        <v>7199.9999999999991</v>
      </c>
      <c r="DT77">
        <f t="shared" si="248"/>
        <v>62.256831514374809</v>
      </c>
      <c r="DV77" s="5">
        <f t="shared" si="293"/>
        <v>16.062494278545234</v>
      </c>
      <c r="DW77" s="5">
        <f t="shared" si="249"/>
        <v>2.8754978354978356</v>
      </c>
      <c r="DX77" s="5">
        <f t="shared" si="294"/>
        <v>13.186996443047398</v>
      </c>
      <c r="DY77" s="173">
        <f t="shared" si="295"/>
        <v>0.1790193842645382</v>
      </c>
      <c r="EA77" s="5">
        <f t="shared" si="250"/>
        <v>138.02389610389611</v>
      </c>
      <c r="EB77" s="5">
        <f t="shared" si="251"/>
        <v>6.4698701298701291</v>
      </c>
      <c r="EC77" s="5">
        <f t="shared" si="252"/>
        <v>5.4945818512697482</v>
      </c>
      <c r="ED77" s="5"/>
      <c r="EE77" s="173">
        <f t="shared" si="296"/>
        <v>4.2145741352185375</v>
      </c>
      <c r="EF77" s="173">
        <f t="shared" si="253"/>
        <v>9.0254760806386152</v>
      </c>
      <c r="EG77" s="173">
        <f t="shared" si="254"/>
        <v>0.22227446975062942</v>
      </c>
      <c r="EH77" s="173"/>
      <c r="EI77" s="528">
        <f t="shared" si="255"/>
        <v>0.35525270282506166</v>
      </c>
      <c r="EJ77" s="528">
        <f t="shared" si="256"/>
        <v>1.8840000000000001</v>
      </c>
      <c r="EK77" s="528">
        <f t="shared" si="257"/>
        <v>7.7821039392968507E-3</v>
      </c>
      <c r="EL77" s="528">
        <f t="shared" si="258"/>
        <v>4.7883534565819591E-2</v>
      </c>
      <c r="EM77">
        <f t="shared" si="259"/>
        <v>3.2399999999999998E-2</v>
      </c>
      <c r="EN77" s="460">
        <f t="shared" si="297"/>
        <v>40.182103939296844</v>
      </c>
      <c r="EO77">
        <f t="shared" si="260"/>
        <v>2.6466337438047622</v>
      </c>
      <c r="EP77" s="460">
        <f t="shared" si="298"/>
        <v>2646.6337438047622</v>
      </c>
      <c r="EQ77" s="173">
        <f t="shared" si="261"/>
        <v>4.472999999999999</v>
      </c>
      <c r="ER77" s="173">
        <f t="shared" si="262"/>
        <v>7.9874999999999988E-2</v>
      </c>
      <c r="ES77" s="528"/>
      <c r="EU77" s="460">
        <f t="shared" si="299"/>
        <v>4552.8749999999991</v>
      </c>
      <c r="EV77" s="528">
        <f t="shared" si="263"/>
        <v>0.53287905423759241</v>
      </c>
      <c r="EW77" s="528">
        <f t="shared" si="300"/>
        <v>2.4437765544653933</v>
      </c>
      <c r="EX77" s="528">
        <f t="shared" si="264"/>
        <v>2.4702969951461736E-4</v>
      </c>
      <c r="EY77" s="528">
        <f t="shared" si="265"/>
        <v>1.8905940114174884</v>
      </c>
      <c r="EZ77" s="528">
        <f t="shared" si="266"/>
        <v>7.3268615649491489</v>
      </c>
      <c r="FA77" s="625">
        <f t="shared" si="267"/>
        <v>1.8531714670734056E-2</v>
      </c>
      <c r="FB77" s="460">
        <f t="shared" si="301"/>
        <v>7345.3932796198833</v>
      </c>
      <c r="FC77" s="173">
        <f t="shared" si="302"/>
        <v>14.544902023424646</v>
      </c>
      <c r="FD77" s="5">
        <f t="shared" si="303"/>
        <v>109.43999999999998</v>
      </c>
      <c r="FE77" s="173">
        <f t="shared" si="304"/>
        <v>0.88268811939153158</v>
      </c>
      <c r="FF77" s="5">
        <f t="shared" si="305"/>
        <v>88.268811939153153</v>
      </c>
      <c r="FG77">
        <f t="shared" si="306"/>
        <v>72</v>
      </c>
      <c r="FI77" s="562">
        <f t="shared" si="268"/>
        <v>-50</v>
      </c>
      <c r="FJ77">
        <f t="shared" si="269"/>
        <v>-50</v>
      </c>
      <c r="FL77">
        <f t="shared" si="270"/>
        <v>0.82098061573546177</v>
      </c>
    </row>
    <row r="78" spans="5:168">
      <c r="E78" s="170">
        <v>73</v>
      </c>
      <c r="F78" s="217">
        <f t="shared" si="307"/>
        <v>7.3</v>
      </c>
      <c r="G78" s="217">
        <f t="shared" si="271"/>
        <v>0.1825</v>
      </c>
      <c r="H78" s="217">
        <f t="shared" si="176"/>
        <v>109.5</v>
      </c>
      <c r="I78" s="217">
        <f t="shared" si="308"/>
        <v>1.46</v>
      </c>
      <c r="J78" s="541">
        <f t="shared" si="177"/>
        <v>71.504110951810006</v>
      </c>
      <c r="K78" s="443">
        <f t="shared" si="178"/>
        <v>15.966754166666666</v>
      </c>
      <c r="L78" s="172">
        <f t="shared" si="179"/>
        <v>87.470865118476667</v>
      </c>
      <c r="M78" s="443"/>
      <c r="N78" s="217">
        <f t="shared" si="180"/>
        <v>0.18253797015772252</v>
      </c>
      <c r="O78" s="172">
        <f t="shared" si="272"/>
        <v>322.01188991141385</v>
      </c>
      <c r="P78" s="172">
        <f t="shared" si="181"/>
        <v>4.3507384236919915</v>
      </c>
      <c r="Q78" s="217">
        <f t="shared" si="182"/>
        <v>21.467459327427591</v>
      </c>
      <c r="R78" s="217">
        <f t="shared" si="183"/>
        <v>40.251486238926731</v>
      </c>
      <c r="S78" s="443">
        <f t="shared" si="184"/>
        <v>15</v>
      </c>
      <c r="T78" s="217">
        <f t="shared" si="185"/>
        <v>17.002477770327623</v>
      </c>
      <c r="U78" s="217">
        <f t="shared" si="186"/>
        <v>2.853398644190356</v>
      </c>
      <c r="V78" s="217">
        <f t="shared" si="187"/>
        <v>12.778410133593621</v>
      </c>
      <c r="W78" s="197">
        <f t="shared" si="188"/>
        <v>108.76846059229979</v>
      </c>
      <c r="X78" s="443">
        <f t="shared" si="273"/>
        <v>63.163976652071021</v>
      </c>
      <c r="Z78" s="217">
        <f t="shared" si="189"/>
        <v>10</v>
      </c>
      <c r="AA78" s="173">
        <f t="shared" si="190"/>
        <v>7.5156164332084821</v>
      </c>
      <c r="AB78" s="173">
        <f t="shared" si="191"/>
        <v>4.0873101492113868</v>
      </c>
      <c r="AC78" s="173"/>
      <c r="AD78" s="173">
        <f t="shared" si="192"/>
        <v>7.5156164332084821</v>
      </c>
      <c r="AE78" s="545">
        <f t="shared" si="193"/>
        <v>194.26217569444441</v>
      </c>
      <c r="AF78" s="528">
        <f t="shared" si="194"/>
        <v>4.0873101492113886</v>
      </c>
      <c r="AH78" s="173">
        <f t="shared" si="195"/>
        <v>7.2689817194773045</v>
      </c>
      <c r="AI78" s="173">
        <f t="shared" si="196"/>
        <v>17.002477770327623</v>
      </c>
      <c r="AJ78" s="173">
        <f t="shared" si="197"/>
        <v>6.3870205706130543</v>
      </c>
      <c r="AL78" s="545">
        <f t="shared" si="198"/>
        <v>7300</v>
      </c>
      <c r="AM78" s="460">
        <f t="shared" si="199"/>
        <v>63.163976652071021</v>
      </c>
      <c r="AO78">
        <f t="shared" si="274"/>
        <v>7300</v>
      </c>
      <c r="AP78">
        <f t="shared" si="200"/>
        <v>63.163976652071021</v>
      </c>
      <c r="AR78" s="5">
        <f t="shared" si="275"/>
        <v>15.831808777783975</v>
      </c>
      <c r="AS78" s="5">
        <f t="shared" si="201"/>
        <v>2.853398644190356</v>
      </c>
      <c r="AT78" s="5">
        <f t="shared" si="276"/>
        <v>12.978410133593618</v>
      </c>
      <c r="AU78" s="173">
        <f t="shared" si="277"/>
        <v>0.18023200534069075</v>
      </c>
      <c r="AW78" s="5">
        <f t="shared" si="202"/>
        <v>138.86540068393066</v>
      </c>
      <c r="AX78" s="5">
        <f t="shared" si="203"/>
        <v>6.5093156570592487</v>
      </c>
      <c r="AY78" s="5">
        <f t="shared" si="204"/>
        <v>5.5208011069860481</v>
      </c>
      <c r="AZ78" s="5"/>
      <c r="BA78" s="173">
        <f t="shared" si="278"/>
        <v>4.1674226307344746</v>
      </c>
      <c r="BB78" s="173">
        <f t="shared" si="205"/>
        <v>8.8878571879655262</v>
      </c>
      <c r="BC78" s="173">
        <f t="shared" si="206"/>
        <v>0.21888526721734713</v>
      </c>
      <c r="BD78" s="173"/>
      <c r="BE78" s="528">
        <f t="shared" si="207"/>
        <v>0.34734822766315693</v>
      </c>
      <c r="BF78" s="528">
        <f t="shared" si="208"/>
        <v>1.7613528805397454</v>
      </c>
      <c r="BG78" s="528">
        <f t="shared" si="209"/>
        <v>0.11291209986718057</v>
      </c>
      <c r="BH78" s="528">
        <f t="shared" si="210"/>
        <v>4.8327720173775957E-2</v>
      </c>
      <c r="BI78">
        <f t="shared" si="211"/>
        <v>3.2176849928314502E-2</v>
      </c>
      <c r="BJ78" s="460">
        <f t="shared" si="279"/>
        <v>145.08894979549507</v>
      </c>
      <c r="BK78">
        <f t="shared" si="212"/>
        <v>2.4532820690948469</v>
      </c>
      <c r="BL78" s="460">
        <f t="shared" si="280"/>
        <v>2453.282069094847</v>
      </c>
      <c r="BM78" s="173">
        <f t="shared" si="213"/>
        <v>4.535124999999999</v>
      </c>
      <c r="BN78" s="173">
        <f t="shared" si="214"/>
        <v>8.0984374999999997E-2</v>
      </c>
      <c r="BO78" s="528"/>
      <c r="BQ78" s="460">
        <f t="shared" si="281"/>
        <v>4616.1093749999991</v>
      </c>
      <c r="BR78" s="528">
        <f t="shared" si="215"/>
        <v>0.52102234149473536</v>
      </c>
      <c r="BS78" s="528">
        <f t="shared" si="216"/>
        <v>2.369820161810114</v>
      </c>
      <c r="BT78" s="528">
        <f t="shared" si="217"/>
        <v>2.3955380102404729E-4</v>
      </c>
      <c r="BU78" s="528">
        <f t="shared" si="218"/>
        <v>1.8898363773084665</v>
      </c>
      <c r="BV78" s="528">
        <f t="shared" si="219"/>
        <v>7.1220013541800418</v>
      </c>
      <c r="BW78" s="625">
        <f t="shared" si="220"/>
        <v>1.8259710838356206E-2</v>
      </c>
      <c r="BX78" s="460">
        <f t="shared" si="282"/>
        <v>7140.2610650183988</v>
      </c>
      <c r="BY78" s="173">
        <f t="shared" si="283"/>
        <v>14.209652509113242</v>
      </c>
      <c r="BZ78" s="5">
        <f t="shared" si="284"/>
        <v>110.96</v>
      </c>
      <c r="CA78" s="173">
        <f t="shared" si="285"/>
        <v>0.88647685581711844</v>
      </c>
      <c r="CB78" s="5">
        <f t="shared" si="286"/>
        <v>88.647685581711841</v>
      </c>
      <c r="CC78">
        <f t="shared" si="287"/>
        <v>73</v>
      </c>
      <c r="CE78" s="562">
        <f t="shared" si="221"/>
        <v>-50</v>
      </c>
      <c r="CF78">
        <f t="shared" si="222"/>
        <v>-50</v>
      </c>
      <c r="CG78" s="173">
        <f t="shared" si="223"/>
        <v>0.82098061573546177</v>
      </c>
      <c r="CH78" s="173">
        <f t="shared" si="224"/>
        <v>9.6304191786782956E-2</v>
      </c>
      <c r="CI78" s="170">
        <v>73</v>
      </c>
      <c r="CJ78" s="217">
        <f t="shared" si="309"/>
        <v>7.3</v>
      </c>
      <c r="CK78" s="217">
        <f t="shared" si="288"/>
        <v>0.1825</v>
      </c>
      <c r="CL78" s="217">
        <f t="shared" si="225"/>
        <v>109.5</v>
      </c>
      <c r="CM78" s="217">
        <f t="shared" si="310"/>
        <v>1.46</v>
      </c>
      <c r="CN78" s="541">
        <f t="shared" si="289"/>
        <v>72</v>
      </c>
      <c r="CO78" s="443">
        <f t="shared" si="226"/>
        <v>15.7</v>
      </c>
      <c r="CP78" s="443">
        <f t="shared" si="227"/>
        <v>87.7</v>
      </c>
      <c r="CQ78" s="443"/>
      <c r="CR78" s="217">
        <f t="shared" si="228"/>
        <v>0.17620137299771166</v>
      </c>
      <c r="CS78" s="172">
        <f t="shared" si="290"/>
        <v>312.98928098277725</v>
      </c>
      <c r="CT78" s="172">
        <f t="shared" si="229"/>
        <v>4.2288329519450798</v>
      </c>
      <c r="CU78" s="217">
        <f t="shared" si="230"/>
        <v>20.865952065518481</v>
      </c>
      <c r="CV78" s="217">
        <f t="shared" si="231"/>
        <v>39.123660122847156</v>
      </c>
      <c r="CW78" s="443">
        <f t="shared" si="232"/>
        <v>15</v>
      </c>
      <c r="CX78" s="217">
        <f t="shared" si="233"/>
        <v>17.492611832611832</v>
      </c>
      <c r="CY78" s="217">
        <f t="shared" si="234"/>
        <v>2.9154353054353055</v>
      </c>
      <c r="CZ78" s="217">
        <f t="shared" si="235"/>
        <v>13.370149171423058</v>
      </c>
      <c r="DA78" s="197">
        <f t="shared" si="236"/>
        <v>107.41163055872293</v>
      </c>
      <c r="DB78" s="443">
        <f t="shared" si="291"/>
        <v>61.403998205958708</v>
      </c>
      <c r="DD78" s="217">
        <f t="shared" si="237"/>
        <v>10</v>
      </c>
      <c r="DE78" s="173">
        <f t="shared" si="238"/>
        <v>7.6433121019108281</v>
      </c>
      <c r="DF78" s="173">
        <f t="shared" si="239"/>
        <v>4.1049030786773102</v>
      </c>
      <c r="DG78" s="173"/>
      <c r="DH78" s="173">
        <f t="shared" si="240"/>
        <v>7.6433121019108281</v>
      </c>
      <c r="DI78" s="545">
        <f t="shared" si="241"/>
        <v>191.01666666666668</v>
      </c>
      <c r="DJ78" s="528">
        <f t="shared" si="242"/>
        <v>4.1049030786773093</v>
      </c>
      <c r="DL78" s="173">
        <f t="shared" si="243"/>
        <v>7.2689817194773045</v>
      </c>
      <c r="DM78" s="173">
        <f t="shared" si="244"/>
        <v>17.492611832611832</v>
      </c>
      <c r="DN78" s="173">
        <f t="shared" si="245"/>
        <v>6.7500828389717276</v>
      </c>
      <c r="DP78" s="545">
        <f t="shared" si="246"/>
        <v>7300</v>
      </c>
      <c r="DQ78" s="460">
        <f t="shared" si="247"/>
        <v>61.403998205958708</v>
      </c>
      <c r="DS78">
        <f t="shared" si="292"/>
        <v>7300</v>
      </c>
      <c r="DT78">
        <f t="shared" si="248"/>
        <v>61.403998205958708</v>
      </c>
      <c r="DV78" s="5">
        <f t="shared" si="293"/>
        <v>16.285584476858364</v>
      </c>
      <c r="DW78" s="5">
        <f t="shared" si="249"/>
        <v>2.9154353054353055</v>
      </c>
      <c r="DX78" s="5">
        <f t="shared" si="294"/>
        <v>13.370149171423058</v>
      </c>
      <c r="DY78" s="173">
        <f t="shared" si="295"/>
        <v>0.17901938426453817</v>
      </c>
      <c r="EA78" s="5">
        <f t="shared" si="250"/>
        <v>141.88451819785152</v>
      </c>
      <c r="EB78" s="5">
        <f t="shared" si="251"/>
        <v>6.6508367905242904</v>
      </c>
      <c r="EC78" s="5">
        <f t="shared" si="252"/>
        <v>5.6482690365386761</v>
      </c>
      <c r="ED78" s="5"/>
      <c r="EE78" s="173">
        <f t="shared" si="296"/>
        <v>4.2731098870965729</v>
      </c>
      <c r="EF78" s="173">
        <f t="shared" si="253"/>
        <v>9.1508299150919274</v>
      </c>
      <c r="EG78" s="173">
        <f t="shared" si="254"/>
        <v>0.2253616151638326</v>
      </c>
      <c r="EH78" s="173"/>
      <c r="EI78" s="528">
        <f t="shared" si="255"/>
        <v>0.36518936214404973</v>
      </c>
      <c r="EJ78" s="528">
        <f t="shared" si="256"/>
        <v>1.8839999999999997</v>
      </c>
      <c r="EK78" s="528">
        <f t="shared" si="257"/>
        <v>7.6754997757448387E-3</v>
      </c>
      <c r="EL78" s="528">
        <f t="shared" si="258"/>
        <v>4.7227595736150818E-2</v>
      </c>
      <c r="EM78">
        <f t="shared" si="259"/>
        <v>3.2399999999999998E-2</v>
      </c>
      <c r="EN78" s="460">
        <f t="shared" si="297"/>
        <v>40.075499775744838</v>
      </c>
      <c r="EO78">
        <f t="shared" si="260"/>
        <v>2.6664595981639616</v>
      </c>
      <c r="EP78" s="460">
        <f t="shared" si="298"/>
        <v>2666.4595981639618</v>
      </c>
      <c r="EQ78" s="173">
        <f t="shared" si="261"/>
        <v>4.535124999999999</v>
      </c>
      <c r="ER78" s="173">
        <f t="shared" si="262"/>
        <v>8.0984374999999997E-2</v>
      </c>
      <c r="ES78" s="528"/>
      <c r="EU78" s="460">
        <f t="shared" si="299"/>
        <v>4616.1093749999991</v>
      </c>
      <c r="EV78" s="528">
        <f t="shared" si="263"/>
        <v>0.54778404321607455</v>
      </c>
      <c r="EW78" s="528">
        <f t="shared" si="300"/>
        <v>2.51213064404824</v>
      </c>
      <c r="EX78" s="528">
        <f t="shared" si="264"/>
        <v>2.5393928794625691E-4</v>
      </c>
      <c r="EY78" s="528">
        <f t="shared" si="265"/>
        <v>1.8905940114174864</v>
      </c>
      <c r="EZ78" s="528">
        <f t="shared" si="266"/>
        <v>7.5282106261102975</v>
      </c>
      <c r="FA78" s="625">
        <f t="shared" si="267"/>
        <v>1.8789099596716471E-2</v>
      </c>
      <c r="FB78" s="460">
        <f t="shared" si="301"/>
        <v>7546.9997257070145</v>
      </c>
      <c r="FC78" s="173">
        <f t="shared" si="302"/>
        <v>14.829568698870975</v>
      </c>
      <c r="FD78" s="5">
        <f t="shared" si="303"/>
        <v>110.96</v>
      </c>
      <c r="FE78" s="173">
        <f t="shared" si="304"/>
        <v>0.88210812031344477</v>
      </c>
      <c r="FF78" s="5">
        <f t="shared" si="305"/>
        <v>88.210812031344474</v>
      </c>
      <c r="FG78">
        <f t="shared" si="306"/>
        <v>73</v>
      </c>
      <c r="FI78" s="562">
        <f t="shared" si="268"/>
        <v>-50</v>
      </c>
      <c r="FJ78">
        <f t="shared" si="269"/>
        <v>-50</v>
      </c>
      <c r="FL78">
        <f t="shared" si="270"/>
        <v>0.82098061573546177</v>
      </c>
    </row>
    <row r="79" spans="5:168">
      <c r="E79" s="170">
        <v>74</v>
      </c>
      <c r="F79" s="217">
        <f t="shared" si="307"/>
        <v>7.4</v>
      </c>
      <c r="G79" s="217">
        <f t="shared" si="271"/>
        <v>0.185</v>
      </c>
      <c r="H79" s="217">
        <f t="shared" si="176"/>
        <v>111</v>
      </c>
      <c r="I79" s="217">
        <f t="shared" si="308"/>
        <v>1.48</v>
      </c>
      <c r="J79" s="541">
        <f t="shared" si="177"/>
        <v>71.497317951149867</v>
      </c>
      <c r="K79" s="443">
        <f t="shared" si="178"/>
        <v>15.970408333333333</v>
      </c>
      <c r="L79" s="172">
        <f t="shared" si="179"/>
        <v>87.467726284483206</v>
      </c>
      <c r="M79" s="443"/>
      <c r="N79" s="217">
        <f t="shared" si="180"/>
        <v>0.18258629796081127</v>
      </c>
      <c r="O79" s="172">
        <f t="shared" si="272"/>
        <v>322.06654437896816</v>
      </c>
      <c r="P79" s="172">
        <f t="shared" si="181"/>
        <v>4.3514768662758367</v>
      </c>
      <c r="Q79" s="217">
        <f t="shared" si="182"/>
        <v>21.471102958597879</v>
      </c>
      <c r="R79" s="217">
        <f t="shared" si="183"/>
        <v>40.25831804737102</v>
      </c>
      <c r="S79" s="443">
        <f t="shared" si="184"/>
        <v>15</v>
      </c>
      <c r="T79" s="217">
        <f t="shared" si="185"/>
        <v>17.232463591342306</v>
      </c>
      <c r="U79" s="217">
        <f t="shared" si="186"/>
        <v>2.8922702140714627</v>
      </c>
      <c r="V79" s="217">
        <f t="shared" si="187"/>
        <v>12.948295295900344</v>
      </c>
      <c r="W79" s="197">
        <f t="shared" si="188"/>
        <v>108.78692165689593</v>
      </c>
      <c r="X79" s="443">
        <f t="shared" si="273"/>
        <v>62.341941708871687</v>
      </c>
      <c r="Z79" s="217">
        <f t="shared" si="189"/>
        <v>10</v>
      </c>
      <c r="AA79" s="173">
        <f t="shared" si="190"/>
        <v>7.513896795583916</v>
      </c>
      <c r="AB79" s="173">
        <f t="shared" si="191"/>
        <v>4.0870685101959445</v>
      </c>
      <c r="AC79" s="173"/>
      <c r="AD79" s="173">
        <f t="shared" si="192"/>
        <v>7.513896795583916</v>
      </c>
      <c r="AE79" s="545">
        <f t="shared" si="193"/>
        <v>196.96836944444442</v>
      </c>
      <c r="AF79" s="528">
        <f t="shared" si="194"/>
        <v>4.0870685101959445</v>
      </c>
      <c r="AH79" s="173">
        <f t="shared" si="195"/>
        <v>7.3185999181472381</v>
      </c>
      <c r="AI79" s="173">
        <f t="shared" si="196"/>
        <v>17.232463591342306</v>
      </c>
      <c r="AJ79" s="173">
        <f t="shared" si="197"/>
        <v>6.5573804380313385</v>
      </c>
      <c r="AL79" s="545">
        <f t="shared" si="198"/>
        <v>7400</v>
      </c>
      <c r="AM79" s="460">
        <f t="shared" si="199"/>
        <v>62.341941708871687</v>
      </c>
      <c r="AO79">
        <f t="shared" si="274"/>
        <v>7400</v>
      </c>
      <c r="AP79">
        <f t="shared" si="200"/>
        <v>62.341941708871687</v>
      </c>
      <c r="AR79" s="5">
        <f t="shared" si="275"/>
        <v>16.040565509971806</v>
      </c>
      <c r="AS79" s="5">
        <f t="shared" si="201"/>
        <v>2.8922702140714627</v>
      </c>
      <c r="AT79" s="5">
        <f t="shared" si="276"/>
        <v>13.148295295900343</v>
      </c>
      <c r="AU79" s="173">
        <f t="shared" si="277"/>
        <v>0.18030974109194897</v>
      </c>
      <c r="AW79" s="5">
        <f t="shared" si="202"/>
        <v>142.68533056085883</v>
      </c>
      <c r="AX79" s="5">
        <f t="shared" si="203"/>
        <v>6.6883748700402572</v>
      </c>
      <c r="AY79" s="5">
        <f t="shared" si="204"/>
        <v>5.6702234886710734</v>
      </c>
      <c r="AZ79" s="5"/>
      <c r="BA79" s="173">
        <f t="shared" si="278"/>
        <v>4.2247044981681112</v>
      </c>
      <c r="BB79" s="173">
        <f t="shared" si="205"/>
        <v>9.0076526194196394</v>
      </c>
      <c r="BC79" s="173">
        <f t="shared" si="206"/>
        <v>0.22183552333315823</v>
      </c>
      <c r="BD79" s="173"/>
      <c r="BE79" s="528">
        <f t="shared" si="207"/>
        <v>0.35696256193683745</v>
      </c>
      <c r="BF79" s="528">
        <f t="shared" si="208"/>
        <v>1.7618819388854661</v>
      </c>
      <c r="BG79" s="528">
        <f t="shared" si="209"/>
        <v>0.11143204070128125</v>
      </c>
      <c r="BH79" s="528">
        <f t="shared" si="210"/>
        <v>4.769534550774527E-2</v>
      </c>
      <c r="BI79">
        <f t="shared" si="211"/>
        <v>3.2173793078017439E-2</v>
      </c>
      <c r="BJ79" s="460">
        <f t="shared" si="279"/>
        <v>143.60583377929871</v>
      </c>
      <c r="BK79">
        <f t="shared" si="212"/>
        <v>2.4726345152840734</v>
      </c>
      <c r="BL79" s="460">
        <f t="shared" si="280"/>
        <v>2472.6345152840736</v>
      </c>
      <c r="BM79" s="173">
        <f t="shared" si="213"/>
        <v>4.5972499999999998</v>
      </c>
      <c r="BN79" s="173">
        <f t="shared" si="214"/>
        <v>8.2093749999999993E-2</v>
      </c>
      <c r="BO79" s="528"/>
      <c r="BQ79" s="460">
        <f t="shared" si="281"/>
        <v>4679.34375</v>
      </c>
      <c r="BR79" s="528">
        <f t="shared" si="215"/>
        <v>0.53544384290525615</v>
      </c>
      <c r="BS79" s="528">
        <f t="shared" si="216"/>
        <v>2.4341341713641245</v>
      </c>
      <c r="BT79" s="528">
        <f t="shared" si="217"/>
        <v>2.4605499706248097E-4</v>
      </c>
      <c r="BU79" s="528">
        <f t="shared" si="218"/>
        <v>1.8914255013071284</v>
      </c>
      <c r="BV79" s="528">
        <f t="shared" si="219"/>
        <v>7.3109974408002296</v>
      </c>
      <c r="BW79" s="625">
        <f t="shared" si="220"/>
        <v>1.8512925946552874E-2</v>
      </c>
      <c r="BX79" s="460">
        <f t="shared" si="282"/>
        <v>7329.510366746782</v>
      </c>
      <c r="BY79" s="173">
        <f t="shared" si="283"/>
        <v>14.481488632030857</v>
      </c>
      <c r="BZ79" s="5">
        <f t="shared" si="284"/>
        <v>112.48</v>
      </c>
      <c r="CA79" s="173">
        <f t="shared" si="285"/>
        <v>0.8859379423787147</v>
      </c>
      <c r="CB79" s="5">
        <f t="shared" si="286"/>
        <v>88.593794237871464</v>
      </c>
      <c r="CC79">
        <f t="shared" si="287"/>
        <v>74</v>
      </c>
      <c r="CE79" s="562">
        <f t="shared" si="221"/>
        <v>-50</v>
      </c>
      <c r="CF79">
        <f t="shared" si="222"/>
        <v>-50</v>
      </c>
      <c r="CG79" s="173">
        <f t="shared" si="223"/>
        <v>0.82098061573546177</v>
      </c>
      <c r="CH79" s="173">
        <f t="shared" si="224"/>
        <v>9.6304191786782969E-2</v>
      </c>
      <c r="CI79" s="170">
        <v>74</v>
      </c>
      <c r="CJ79" s="217">
        <f t="shared" si="309"/>
        <v>7.4</v>
      </c>
      <c r="CK79" s="217">
        <f t="shared" si="288"/>
        <v>0.185</v>
      </c>
      <c r="CL79" s="217">
        <f t="shared" si="225"/>
        <v>111</v>
      </c>
      <c r="CM79" s="217">
        <f t="shared" si="310"/>
        <v>1.48</v>
      </c>
      <c r="CN79" s="541">
        <f t="shared" si="289"/>
        <v>72</v>
      </c>
      <c r="CO79" s="443">
        <f t="shared" si="226"/>
        <v>15.7</v>
      </c>
      <c r="CP79" s="443">
        <f t="shared" si="227"/>
        <v>87.7</v>
      </c>
      <c r="CQ79" s="443"/>
      <c r="CR79" s="217">
        <f t="shared" si="228"/>
        <v>0.17620137299771166</v>
      </c>
      <c r="CS79" s="172">
        <f t="shared" si="290"/>
        <v>312.98928098277725</v>
      </c>
      <c r="CT79" s="172">
        <f t="shared" si="229"/>
        <v>4.2288329519450798</v>
      </c>
      <c r="CU79" s="217">
        <f t="shared" si="230"/>
        <v>20.865952065518481</v>
      </c>
      <c r="CV79" s="217">
        <f t="shared" si="231"/>
        <v>39.123660122847156</v>
      </c>
      <c r="CW79" s="443">
        <f t="shared" si="232"/>
        <v>15</v>
      </c>
      <c r="CX79" s="217">
        <f t="shared" si="233"/>
        <v>17.732236652236654</v>
      </c>
      <c r="CY79" s="217">
        <f t="shared" si="234"/>
        <v>2.9553727753727754</v>
      </c>
      <c r="CZ79" s="217">
        <f t="shared" si="235"/>
        <v>13.553301899798717</v>
      </c>
      <c r="DA79" s="197">
        <f t="shared" si="236"/>
        <v>107.41163055872293</v>
      </c>
      <c r="DB79" s="443">
        <f t="shared" si="291"/>
        <v>60.574214446418729</v>
      </c>
      <c r="DD79" s="217">
        <f t="shared" si="237"/>
        <v>10</v>
      </c>
      <c r="DE79" s="173">
        <f t="shared" si="238"/>
        <v>7.6433121019108281</v>
      </c>
      <c r="DF79" s="173">
        <f t="shared" si="239"/>
        <v>4.1049030786773102</v>
      </c>
      <c r="DG79" s="173"/>
      <c r="DH79" s="173">
        <f t="shared" si="240"/>
        <v>7.6433121019108281</v>
      </c>
      <c r="DI79" s="545">
        <f t="shared" si="241"/>
        <v>193.63333333333338</v>
      </c>
      <c r="DJ79" s="528">
        <f t="shared" si="242"/>
        <v>4.1049030786773093</v>
      </c>
      <c r="DL79" s="173">
        <f t="shared" si="243"/>
        <v>7.3185999181472381</v>
      </c>
      <c r="DM79" s="173">
        <f t="shared" si="244"/>
        <v>17.732236652236654</v>
      </c>
      <c r="DN79" s="173">
        <f t="shared" si="245"/>
        <v>6.9275827053604848</v>
      </c>
      <c r="DP79" s="545">
        <f t="shared" si="246"/>
        <v>7400</v>
      </c>
      <c r="DQ79" s="460">
        <f t="shared" si="247"/>
        <v>60.574214446418729</v>
      </c>
      <c r="DS79">
        <f t="shared" si="292"/>
        <v>7400</v>
      </c>
      <c r="DT79">
        <f t="shared" si="248"/>
        <v>60.574214446418729</v>
      </c>
      <c r="DV79" s="5">
        <f t="shared" si="293"/>
        <v>16.508674675171491</v>
      </c>
      <c r="DW79" s="5">
        <f t="shared" si="249"/>
        <v>2.9553727753727754</v>
      </c>
      <c r="DX79" s="5">
        <f t="shared" si="294"/>
        <v>13.553301899798715</v>
      </c>
      <c r="DY79" s="173">
        <f t="shared" si="295"/>
        <v>0.1790193842645382</v>
      </c>
      <c r="EA79" s="5">
        <f t="shared" si="250"/>
        <v>145.79839025172359</v>
      </c>
      <c r="EB79" s="5">
        <f t="shared" si="251"/>
        <v>6.8342995430495428</v>
      </c>
      <c r="EC79" s="5">
        <f t="shared" si="252"/>
        <v>5.8040760450526907</v>
      </c>
      <c r="ED79" s="5"/>
      <c r="EE79" s="173">
        <f t="shared" si="296"/>
        <v>4.3316456389746092</v>
      </c>
      <c r="EF79" s="173">
        <f t="shared" si="253"/>
        <v>9.2761837495452433</v>
      </c>
      <c r="EG79" s="173">
        <f t="shared" si="254"/>
        <v>0.22844876057703584</v>
      </c>
      <c r="EH79" s="173"/>
      <c r="EI79" s="528">
        <f t="shared" si="255"/>
        <v>0.37526307883295501</v>
      </c>
      <c r="EJ79" s="528">
        <f t="shared" si="256"/>
        <v>1.8840000000000003</v>
      </c>
      <c r="EK79" s="528">
        <f t="shared" si="257"/>
        <v>7.5717768058023403E-3</v>
      </c>
      <c r="EL79" s="528">
        <f t="shared" si="258"/>
        <v>4.65893849829596E-2</v>
      </c>
      <c r="EM79">
        <f t="shared" si="259"/>
        <v>3.2399999999999998E-2</v>
      </c>
      <c r="EN79" s="460">
        <f t="shared" si="297"/>
        <v>39.971776805802342</v>
      </c>
      <c r="EO79">
        <f t="shared" si="260"/>
        <v>2.6866980028153855</v>
      </c>
      <c r="EP79" s="460">
        <f t="shared" si="298"/>
        <v>2686.6980028153857</v>
      </c>
      <c r="EQ79" s="173">
        <f t="shared" si="261"/>
        <v>4.5972499999999998</v>
      </c>
      <c r="ER79" s="173">
        <f t="shared" si="262"/>
        <v>8.2093749999999993E-2</v>
      </c>
      <c r="ES79" s="528"/>
      <c r="EU79" s="460">
        <f t="shared" si="299"/>
        <v>4679.34375</v>
      </c>
      <c r="EV79" s="528">
        <f t="shared" si="263"/>
        <v>0.56289461824943254</v>
      </c>
      <c r="EW79" s="528">
        <f t="shared" si="300"/>
        <v>2.5814275486598173</v>
      </c>
      <c r="EX79" s="528">
        <f t="shared" si="264"/>
        <v>2.6094418104591924E-4</v>
      </c>
      <c r="EY79" s="528">
        <f t="shared" si="265"/>
        <v>1.8905940114174897</v>
      </c>
      <c r="EZ79" s="528">
        <f t="shared" si="266"/>
        <v>7.7359955439733197</v>
      </c>
      <c r="FA79" s="625">
        <f t="shared" si="267"/>
        <v>1.9046484522698894E-2</v>
      </c>
      <c r="FB79" s="460">
        <f t="shared" si="301"/>
        <v>7755.0420284960182</v>
      </c>
      <c r="FC79" s="173">
        <f t="shared" si="302"/>
        <v>15.121083781311404</v>
      </c>
      <c r="FD79" s="5">
        <f t="shared" si="303"/>
        <v>112.48</v>
      </c>
      <c r="FE79" s="173">
        <f t="shared" si="304"/>
        <v>0.88149721512376333</v>
      </c>
      <c r="FF79" s="5">
        <f t="shared" si="305"/>
        <v>88.149721512376331</v>
      </c>
      <c r="FG79">
        <f t="shared" si="306"/>
        <v>74</v>
      </c>
      <c r="FI79" s="562">
        <f t="shared" si="268"/>
        <v>-50</v>
      </c>
      <c r="FJ79">
        <f t="shared" si="269"/>
        <v>-50</v>
      </c>
      <c r="FL79">
        <f t="shared" si="270"/>
        <v>0.82098061573546177</v>
      </c>
    </row>
    <row r="80" spans="5:168">
      <c r="E80" s="170">
        <v>75</v>
      </c>
      <c r="F80" s="217">
        <f t="shared" si="307"/>
        <v>7.5</v>
      </c>
      <c r="G80" s="217">
        <f t="shared" si="271"/>
        <v>0.1875</v>
      </c>
      <c r="H80" s="217">
        <f t="shared" si="176"/>
        <v>112.5</v>
      </c>
      <c r="I80" s="217">
        <f t="shared" si="308"/>
        <v>1.5</v>
      </c>
      <c r="J80" s="541">
        <f t="shared" si="177"/>
        <v>71.490524950489743</v>
      </c>
      <c r="K80" s="443">
        <f t="shared" si="178"/>
        <v>15.974062499999999</v>
      </c>
      <c r="L80" s="172">
        <f t="shared" si="179"/>
        <v>87.464587450489745</v>
      </c>
      <c r="M80" s="443"/>
      <c r="N80" s="217">
        <f t="shared" si="180"/>
        <v>0.18263462923257126</v>
      </c>
      <c r="O80" s="172">
        <f t="shared" si="272"/>
        <v>322.12118876582019</v>
      </c>
      <c r="P80" s="172">
        <f t="shared" si="181"/>
        <v>4.3522151726581928</v>
      </c>
      <c r="Q80" s="217">
        <f t="shared" si="182"/>
        <v>21.474745917721346</v>
      </c>
      <c r="R80" s="217">
        <f t="shared" si="183"/>
        <v>40.265148595727524</v>
      </c>
      <c r="S80" s="443">
        <f t="shared" si="184"/>
        <v>15</v>
      </c>
      <c r="T80" s="217">
        <f t="shared" si="185"/>
        <v>17.462371915215222</v>
      </c>
      <c r="U80" s="217">
        <f t="shared" si="186"/>
        <v>2.9311361628370189</v>
      </c>
      <c r="V80" s="217">
        <f t="shared" si="187"/>
        <v>13.118044516389158</v>
      </c>
      <c r="W80" s="197">
        <f t="shared" si="188"/>
        <v>108.80537931645482</v>
      </c>
      <c r="X80" s="443">
        <f t="shared" si="273"/>
        <v>61.541564448135759</v>
      </c>
      <c r="Z80" s="217">
        <f t="shared" si="189"/>
        <v>10</v>
      </c>
      <c r="AA80" s="173">
        <f t="shared" si="190"/>
        <v>7.5121779447150665</v>
      </c>
      <c r="AB80" s="173">
        <f t="shared" si="191"/>
        <v>4.0868268538371435</v>
      </c>
      <c r="AC80" s="173"/>
      <c r="AD80" s="173">
        <f t="shared" si="192"/>
        <v>7.5121779447150665</v>
      </c>
      <c r="AE80" s="545">
        <f t="shared" si="193"/>
        <v>199.67578124999997</v>
      </c>
      <c r="AF80" s="528">
        <f t="shared" si="194"/>
        <v>4.0868268538371435</v>
      </c>
      <c r="AH80" s="173">
        <f t="shared" si="195"/>
        <v>7.3678839761300727</v>
      </c>
      <c r="AI80" s="173">
        <f t="shared" si="196"/>
        <v>17.462371915215222</v>
      </c>
      <c r="AJ80" s="173">
        <f t="shared" si="197"/>
        <v>6.7276829001594232</v>
      </c>
      <c r="AL80" s="545">
        <f t="shared" si="198"/>
        <v>7500</v>
      </c>
      <c r="AM80" s="460">
        <f t="shared" si="199"/>
        <v>61.541564448135759</v>
      </c>
      <c r="AO80">
        <f t="shared" si="274"/>
        <v>7500</v>
      </c>
      <c r="AP80">
        <f t="shared" si="200"/>
        <v>61.541564448135759</v>
      </c>
      <c r="AR80" s="5">
        <f t="shared" si="275"/>
        <v>16.249180679226175</v>
      </c>
      <c r="AS80" s="5">
        <f t="shared" si="201"/>
        <v>2.9311361628370189</v>
      </c>
      <c r="AT80" s="5">
        <f t="shared" si="276"/>
        <v>13.318044516389156</v>
      </c>
      <c r="AU80" s="173">
        <f t="shared" si="277"/>
        <v>0.18038670507149573</v>
      </c>
      <c r="AW80" s="5">
        <f t="shared" si="202"/>
        <v>146.55680814185092</v>
      </c>
      <c r="AX80" s="5">
        <f t="shared" si="203"/>
        <v>6.8698503816492629</v>
      </c>
      <c r="AY80" s="5">
        <f t="shared" si="204"/>
        <v>5.8215951194286211</v>
      </c>
      <c r="AZ80" s="5"/>
      <c r="BA80" s="173">
        <f t="shared" si="278"/>
        <v>4.2819823140936206</v>
      </c>
      <c r="BB80" s="173">
        <f t="shared" si="205"/>
        <v>9.1274004201756096</v>
      </c>
      <c r="BC80" s="173">
        <f t="shared" si="206"/>
        <v>0.22478460642628564</v>
      </c>
      <c r="BD80" s="173"/>
      <c r="BE80" s="528">
        <f t="shared" si="207"/>
        <v>0.36670745076421113</v>
      </c>
      <c r="BF80" s="528">
        <f t="shared" si="208"/>
        <v>1.7624032700737378</v>
      </c>
      <c r="BG80" s="528">
        <f t="shared" si="209"/>
        <v>0.10999096871679054</v>
      </c>
      <c r="BH80" s="528">
        <f t="shared" si="210"/>
        <v>4.7079629483501334E-2</v>
      </c>
      <c r="BI80">
        <f t="shared" si="211"/>
        <v>3.2170736227720383E-2</v>
      </c>
      <c r="BJ80" s="460">
        <f t="shared" si="279"/>
        <v>142.16170494451092</v>
      </c>
      <c r="BK80">
        <f t="shared" si="212"/>
        <v>2.4923599090208386</v>
      </c>
      <c r="BL80" s="460">
        <f t="shared" si="280"/>
        <v>2492.3599090208386</v>
      </c>
      <c r="BM80" s="173">
        <f t="shared" si="213"/>
        <v>4.6593749999999998</v>
      </c>
      <c r="BN80" s="173">
        <f t="shared" si="214"/>
        <v>8.3203124999999989E-2</v>
      </c>
      <c r="BO80" s="528"/>
      <c r="BQ80" s="460">
        <f t="shared" si="281"/>
        <v>4742.578125</v>
      </c>
      <c r="BR80" s="528">
        <f t="shared" si="215"/>
        <v>0.55006117614631667</v>
      </c>
      <c r="BS80" s="528">
        <f t="shared" si="216"/>
        <v>2.4992831529066564</v>
      </c>
      <c r="BT80" s="528">
        <f t="shared" si="217"/>
        <v>2.5264059643110068E-4</v>
      </c>
      <c r="BU80" s="528">
        <f t="shared" si="218"/>
        <v>1.8929947915470811</v>
      </c>
      <c r="BV80" s="528">
        <f t="shared" si="219"/>
        <v>7.505625706766585</v>
      </c>
      <c r="BW80" s="625">
        <f t="shared" si="220"/>
        <v>1.876614205509709E-2</v>
      </c>
      <c r="BX80" s="460">
        <f t="shared" si="282"/>
        <v>7524.3918488216823</v>
      </c>
      <c r="BY80" s="173">
        <f t="shared" si="283"/>
        <v>14.75932988284252</v>
      </c>
      <c r="BZ80" s="5">
        <f t="shared" si="284"/>
        <v>114</v>
      </c>
      <c r="CA80" s="173">
        <f t="shared" si="285"/>
        <v>0.88537273457176302</v>
      </c>
      <c r="CB80" s="5">
        <f t="shared" si="286"/>
        <v>88.537273457176298</v>
      </c>
      <c r="CC80">
        <f t="shared" si="287"/>
        <v>75</v>
      </c>
      <c r="CE80" s="562">
        <f t="shared" si="221"/>
        <v>-50</v>
      </c>
      <c r="CF80">
        <f t="shared" si="222"/>
        <v>-50</v>
      </c>
      <c r="CG80" s="173">
        <f t="shared" si="223"/>
        <v>0.82098061573546177</v>
      </c>
      <c r="CH80" s="173">
        <f t="shared" si="224"/>
        <v>9.6304191786782956E-2</v>
      </c>
      <c r="CI80" s="170">
        <v>75</v>
      </c>
      <c r="CJ80" s="217">
        <f t="shared" si="309"/>
        <v>7.5</v>
      </c>
      <c r="CK80" s="217">
        <f t="shared" si="288"/>
        <v>0.1875</v>
      </c>
      <c r="CL80" s="217">
        <f t="shared" si="225"/>
        <v>112.5</v>
      </c>
      <c r="CM80" s="217">
        <f t="shared" si="310"/>
        <v>1.5</v>
      </c>
      <c r="CN80" s="541">
        <f t="shared" si="289"/>
        <v>72</v>
      </c>
      <c r="CO80" s="443">
        <f t="shared" si="226"/>
        <v>15.7</v>
      </c>
      <c r="CP80" s="443">
        <f t="shared" si="227"/>
        <v>87.7</v>
      </c>
      <c r="CQ80" s="443"/>
      <c r="CR80" s="217">
        <f t="shared" si="228"/>
        <v>0.17620137299771166</v>
      </c>
      <c r="CS80" s="172">
        <f t="shared" si="290"/>
        <v>312.98928098277725</v>
      </c>
      <c r="CT80" s="172">
        <f t="shared" si="229"/>
        <v>4.2288329519450798</v>
      </c>
      <c r="CU80" s="217">
        <f t="shared" si="230"/>
        <v>20.865952065518481</v>
      </c>
      <c r="CV80" s="217">
        <f t="shared" si="231"/>
        <v>39.123660122847156</v>
      </c>
      <c r="CW80" s="443">
        <f t="shared" si="232"/>
        <v>15</v>
      </c>
      <c r="CX80" s="217">
        <f t="shared" si="233"/>
        <v>17.971861471861473</v>
      </c>
      <c r="CY80" s="217">
        <f t="shared" si="234"/>
        <v>2.9953102453102458</v>
      </c>
      <c r="CZ80" s="217">
        <f t="shared" si="235"/>
        <v>13.736454628174377</v>
      </c>
      <c r="DA80" s="197">
        <f t="shared" si="236"/>
        <v>107.41163055872293</v>
      </c>
      <c r="DB80" s="443">
        <f t="shared" si="291"/>
        <v>59.766558253799808</v>
      </c>
      <c r="DD80" s="217">
        <f t="shared" si="237"/>
        <v>10</v>
      </c>
      <c r="DE80" s="173">
        <f t="shared" si="238"/>
        <v>7.6433121019108281</v>
      </c>
      <c r="DF80" s="173">
        <f t="shared" si="239"/>
        <v>4.1049030786773102</v>
      </c>
      <c r="DG80" s="173"/>
      <c r="DH80" s="173">
        <f t="shared" si="240"/>
        <v>7.6433121019108281</v>
      </c>
      <c r="DI80" s="545">
        <f t="shared" si="241"/>
        <v>196.25000000000003</v>
      </c>
      <c r="DJ80" s="528">
        <f t="shared" si="242"/>
        <v>4.1049030786773093</v>
      </c>
      <c r="DL80" s="173">
        <f t="shared" si="243"/>
        <v>7.3678839761300727</v>
      </c>
      <c r="DM80" s="173">
        <f t="shared" si="244"/>
        <v>17.971861471861473</v>
      </c>
      <c r="DN80" s="173">
        <f t="shared" si="245"/>
        <v>7.1050825717492394</v>
      </c>
      <c r="DP80" s="545">
        <f t="shared" si="246"/>
        <v>7500</v>
      </c>
      <c r="DQ80" s="460">
        <f t="shared" si="247"/>
        <v>59.766558253799808</v>
      </c>
      <c r="DS80">
        <f t="shared" si="292"/>
        <v>7500</v>
      </c>
      <c r="DT80">
        <f t="shared" si="248"/>
        <v>59.766558253799808</v>
      </c>
      <c r="DV80" s="5">
        <f t="shared" si="293"/>
        <v>16.731764873484622</v>
      </c>
      <c r="DW80" s="5">
        <f t="shared" si="249"/>
        <v>2.9953102453102458</v>
      </c>
      <c r="DX80" s="5">
        <f t="shared" si="294"/>
        <v>13.736454628174375</v>
      </c>
      <c r="DY80" s="173">
        <f t="shared" si="295"/>
        <v>0.1790193842645382</v>
      </c>
      <c r="EA80" s="5">
        <f t="shared" si="250"/>
        <v>149.76551226551229</v>
      </c>
      <c r="EB80" s="5">
        <f t="shared" si="251"/>
        <v>7.0202583874458879</v>
      </c>
      <c r="EC80" s="5">
        <f t="shared" si="252"/>
        <v>5.9620028768117939</v>
      </c>
      <c r="ED80" s="5"/>
      <c r="EE80" s="173">
        <f t="shared" si="296"/>
        <v>4.3901813908526437</v>
      </c>
      <c r="EF80" s="173">
        <f t="shared" si="253"/>
        <v>9.4015375839985573</v>
      </c>
      <c r="EG80" s="173">
        <f t="shared" si="254"/>
        <v>0.23153590599023902</v>
      </c>
      <c r="EH80" s="173"/>
      <c r="EI80" s="528">
        <f t="shared" si="255"/>
        <v>0.38547385289177705</v>
      </c>
      <c r="EJ80" s="528">
        <f t="shared" si="256"/>
        <v>1.8840000000000001</v>
      </c>
      <c r="EK80" s="528">
        <f t="shared" si="257"/>
        <v>7.4708197817249756E-3</v>
      </c>
      <c r="EL80" s="528">
        <f t="shared" si="258"/>
        <v>4.5968193183186797E-2</v>
      </c>
      <c r="EM80">
        <f t="shared" si="259"/>
        <v>3.2399999999999998E-2</v>
      </c>
      <c r="EN80" s="460">
        <f t="shared" si="297"/>
        <v>39.870819781724968</v>
      </c>
      <c r="EO80">
        <f t="shared" si="260"/>
        <v>2.7073534878055181</v>
      </c>
      <c r="EP80" s="460">
        <f t="shared" si="298"/>
        <v>2707.3534878055179</v>
      </c>
      <c r="EQ80" s="173">
        <f t="shared" si="261"/>
        <v>4.6593749999999998</v>
      </c>
      <c r="ER80" s="173">
        <f t="shared" si="262"/>
        <v>8.3203124999999989E-2</v>
      </c>
      <c r="ES80" s="528"/>
      <c r="EU80" s="460">
        <f t="shared" si="299"/>
        <v>4742.578125</v>
      </c>
      <c r="EV80" s="528">
        <f t="shared" si="263"/>
        <v>0.57821077933766551</v>
      </c>
      <c r="EW80" s="528">
        <f t="shared" si="300"/>
        <v>2.6516672683001228</v>
      </c>
      <c r="EX80" s="528">
        <f t="shared" si="264"/>
        <v>2.6804437881360396E-4</v>
      </c>
      <c r="EY80" s="528">
        <f t="shared" si="265"/>
        <v>1.8905940114174897</v>
      </c>
      <c r="EZ80" s="528">
        <f t="shared" si="266"/>
        <v>7.9504693709902137</v>
      </c>
      <c r="FA80" s="625">
        <f t="shared" si="267"/>
        <v>1.9303869448681309E-2</v>
      </c>
      <c r="FB80" s="460">
        <f t="shared" si="301"/>
        <v>7969.7732404388944</v>
      </c>
      <c r="FC80" s="173">
        <f t="shared" si="302"/>
        <v>15.419704853244411</v>
      </c>
      <c r="FD80" s="5">
        <f t="shared" si="303"/>
        <v>114</v>
      </c>
      <c r="FE80" s="173">
        <f t="shared" si="304"/>
        <v>0.8808550454451306</v>
      </c>
      <c r="FF80" s="5">
        <f t="shared" si="305"/>
        <v>88.085504544513057</v>
      </c>
      <c r="FG80">
        <f t="shared" si="306"/>
        <v>75</v>
      </c>
      <c r="FI80" s="562">
        <f t="shared" si="268"/>
        <v>-50</v>
      </c>
      <c r="FJ80">
        <f t="shared" si="269"/>
        <v>-50</v>
      </c>
      <c r="FL80">
        <f t="shared" si="270"/>
        <v>0.82098061573546177</v>
      </c>
    </row>
    <row r="81" spans="5:168">
      <c r="E81" s="170">
        <v>76</v>
      </c>
      <c r="F81" s="217">
        <f t="shared" si="307"/>
        <v>7.6</v>
      </c>
      <c r="G81" s="217">
        <f t="shared" si="271"/>
        <v>0.19</v>
      </c>
      <c r="H81" s="217">
        <f t="shared" si="176"/>
        <v>114</v>
      </c>
      <c r="I81" s="217">
        <f t="shared" si="308"/>
        <v>1.52</v>
      </c>
      <c r="J81" s="541">
        <f t="shared" si="177"/>
        <v>71.483731949829604</v>
      </c>
      <c r="K81" s="443">
        <f t="shared" si="178"/>
        <v>15.977716666666666</v>
      </c>
      <c r="L81" s="172">
        <f t="shared" si="179"/>
        <v>87.46144861649627</v>
      </c>
      <c r="M81" s="443"/>
      <c r="N81" s="217">
        <f t="shared" si="180"/>
        <v>0.18268296397337602</v>
      </c>
      <c r="O81" s="172">
        <f t="shared" si="272"/>
        <v>322.17582307088458</v>
      </c>
      <c r="P81" s="172">
        <f t="shared" si="181"/>
        <v>4.3529533428243967</v>
      </c>
      <c r="Q81" s="217">
        <f t="shared" si="182"/>
        <v>21.47838820472564</v>
      </c>
      <c r="R81" s="217">
        <f t="shared" si="183"/>
        <v>40.271977883860572</v>
      </c>
      <c r="S81" s="443">
        <f t="shared" si="184"/>
        <v>15</v>
      </c>
      <c r="T81" s="217">
        <f t="shared" si="185"/>
        <v>17.692202803020059</v>
      </c>
      <c r="U81" s="217">
        <f t="shared" si="186"/>
        <v>2.9699964991369869</v>
      </c>
      <c r="V81" s="217">
        <f t="shared" si="187"/>
        <v>13.287657934200489</v>
      </c>
      <c r="W81" s="197">
        <f t="shared" si="188"/>
        <v>108.82383357060991</v>
      </c>
      <c r="X81" s="443">
        <f t="shared" si="273"/>
        <v>60.76200008029992</v>
      </c>
      <c r="Z81" s="217">
        <f t="shared" si="189"/>
        <v>10</v>
      </c>
      <c r="AA81" s="173">
        <f t="shared" si="190"/>
        <v>7.5104598800621289</v>
      </c>
      <c r="AB81" s="173">
        <f t="shared" si="191"/>
        <v>4.0865851801331194</v>
      </c>
      <c r="AC81" s="173"/>
      <c r="AD81" s="173">
        <f t="shared" si="192"/>
        <v>7.5104598800621289</v>
      </c>
      <c r="AE81" s="545">
        <f t="shared" si="193"/>
        <v>202.38441111111109</v>
      </c>
      <c r="AF81" s="528">
        <f t="shared" si="194"/>
        <v>4.0865851801331194</v>
      </c>
      <c r="AH81" s="173">
        <f t="shared" si="195"/>
        <v>7.4168405544088518</v>
      </c>
      <c r="AI81" s="173">
        <f t="shared" si="196"/>
        <v>17.692202803020059</v>
      </c>
      <c r="AJ81" s="173">
        <f t="shared" si="197"/>
        <v>6.897928002237081</v>
      </c>
      <c r="AL81" s="545">
        <f t="shared" si="198"/>
        <v>7600</v>
      </c>
      <c r="AM81" s="460">
        <f t="shared" si="199"/>
        <v>60.76200008029992</v>
      </c>
      <c r="AO81">
        <f t="shared" si="274"/>
        <v>7600</v>
      </c>
      <c r="AP81">
        <f t="shared" si="200"/>
        <v>60.76200008029992</v>
      </c>
      <c r="AR81" s="5">
        <f t="shared" si="275"/>
        <v>16.457654433337474</v>
      </c>
      <c r="AS81" s="5">
        <f t="shared" si="201"/>
        <v>2.9699964991369869</v>
      </c>
      <c r="AT81" s="5">
        <f t="shared" si="276"/>
        <v>13.487657934200488</v>
      </c>
      <c r="AU81" s="173">
        <f t="shared" si="277"/>
        <v>0.1804629275190521</v>
      </c>
      <c r="AW81" s="5">
        <f t="shared" si="202"/>
        <v>150.47982262294065</v>
      </c>
      <c r="AX81" s="5">
        <f t="shared" si="203"/>
        <v>7.053741685450345</v>
      </c>
      <c r="AY81" s="5">
        <f t="shared" si="204"/>
        <v>5.9749142394539865</v>
      </c>
      <c r="AZ81" s="5"/>
      <c r="BA81" s="173">
        <f t="shared" si="278"/>
        <v>4.339256081294379</v>
      </c>
      <c r="BB81" s="173">
        <f t="shared" si="205"/>
        <v>9.2471006267918039</v>
      </c>
      <c r="BC81" s="173">
        <f t="shared" si="206"/>
        <v>0.22773251739706876</v>
      </c>
      <c r="BD81" s="173"/>
      <c r="BE81" s="528">
        <f t="shared" si="207"/>
        <v>0.37658286678100505</v>
      </c>
      <c r="BF81" s="528">
        <f t="shared" si="208"/>
        <v>1.7629171724888681</v>
      </c>
      <c r="BG81" s="528">
        <f t="shared" si="209"/>
        <v>0.1085873631618921</v>
      </c>
      <c r="BH81" s="528">
        <f t="shared" si="210"/>
        <v>4.647992230655168E-2</v>
      </c>
      <c r="BI81">
        <f t="shared" si="211"/>
        <v>3.2167679377423319E-2</v>
      </c>
      <c r="BJ81" s="460">
        <f t="shared" si="279"/>
        <v>140.75504253931541</v>
      </c>
      <c r="BK81">
        <f t="shared" si="212"/>
        <v>2.5124626693928165</v>
      </c>
      <c r="BL81" s="460">
        <f t="shared" si="280"/>
        <v>2512.4626693928167</v>
      </c>
      <c r="BM81" s="173">
        <f t="shared" si="213"/>
        <v>4.7214999999999989</v>
      </c>
      <c r="BN81" s="173">
        <f t="shared" si="214"/>
        <v>8.4312499999999999E-2</v>
      </c>
      <c r="BO81" s="528"/>
      <c r="BQ81" s="460">
        <f t="shared" si="281"/>
        <v>4805.8124999999991</v>
      </c>
      <c r="BR81" s="528">
        <f t="shared" si="215"/>
        <v>0.56487430017150753</v>
      </c>
      <c r="BS81" s="528">
        <f t="shared" si="216"/>
        <v>2.5652661000604011</v>
      </c>
      <c r="BT81" s="528">
        <f t="shared" si="217"/>
        <v>2.5931049740003111E-4</v>
      </c>
      <c r="BU81" s="528">
        <f t="shared" si="218"/>
        <v>1.8945450167958993</v>
      </c>
      <c r="BV81" s="528">
        <f t="shared" si="219"/>
        <v>7.7060926824097375</v>
      </c>
      <c r="BW81" s="625">
        <f t="shared" si="220"/>
        <v>1.9019359125024126E-2</v>
      </c>
      <c r="BX81" s="460">
        <f t="shared" si="282"/>
        <v>7725.1120415347614</v>
      </c>
      <c r="BY81" s="173">
        <f t="shared" si="283"/>
        <v>15.043387210927577</v>
      </c>
      <c r="BZ81" s="5">
        <f t="shared" si="284"/>
        <v>115.52</v>
      </c>
      <c r="CA81" s="173">
        <f t="shared" si="285"/>
        <v>0.88478096706678799</v>
      </c>
      <c r="CB81" s="5">
        <f t="shared" si="286"/>
        <v>88.478096706678798</v>
      </c>
      <c r="CC81">
        <f t="shared" si="287"/>
        <v>76</v>
      </c>
      <c r="CE81" s="562">
        <f t="shared" si="221"/>
        <v>-50</v>
      </c>
      <c r="CF81">
        <f t="shared" si="222"/>
        <v>-50</v>
      </c>
      <c r="CG81" s="173">
        <f t="shared" si="223"/>
        <v>0.82098061573546177</v>
      </c>
      <c r="CH81" s="173">
        <f t="shared" si="224"/>
        <v>9.6304191786782969E-2</v>
      </c>
      <c r="CI81" s="170">
        <v>76</v>
      </c>
      <c r="CJ81" s="217">
        <f t="shared" si="309"/>
        <v>7.6</v>
      </c>
      <c r="CK81" s="217">
        <f t="shared" si="288"/>
        <v>0.19</v>
      </c>
      <c r="CL81" s="217">
        <f t="shared" si="225"/>
        <v>114</v>
      </c>
      <c r="CM81" s="217">
        <f t="shared" si="310"/>
        <v>1.52</v>
      </c>
      <c r="CN81" s="541">
        <f t="shared" si="289"/>
        <v>72</v>
      </c>
      <c r="CO81" s="443">
        <f t="shared" si="226"/>
        <v>15.7</v>
      </c>
      <c r="CP81" s="443">
        <f t="shared" si="227"/>
        <v>87.7</v>
      </c>
      <c r="CQ81" s="443"/>
      <c r="CR81" s="217">
        <f t="shared" si="228"/>
        <v>0.17620137299771166</v>
      </c>
      <c r="CS81" s="172">
        <f t="shared" si="290"/>
        <v>312.98928098277725</v>
      </c>
      <c r="CT81" s="172">
        <f t="shared" si="229"/>
        <v>4.2288329519450798</v>
      </c>
      <c r="CU81" s="217">
        <f t="shared" si="230"/>
        <v>20.865952065518481</v>
      </c>
      <c r="CV81" s="217">
        <f t="shared" si="231"/>
        <v>39.123660122847156</v>
      </c>
      <c r="CW81" s="443">
        <f t="shared" si="232"/>
        <v>15</v>
      </c>
      <c r="CX81" s="217">
        <f t="shared" si="233"/>
        <v>18.211486291486292</v>
      </c>
      <c r="CY81" s="217">
        <f t="shared" si="234"/>
        <v>3.0352477152477153</v>
      </c>
      <c r="CZ81" s="217">
        <f t="shared" si="235"/>
        <v>13.919607356550033</v>
      </c>
      <c r="DA81" s="197">
        <f t="shared" si="236"/>
        <v>107.41163055872293</v>
      </c>
      <c r="DB81" s="443">
        <f t="shared" si="291"/>
        <v>58.980156171512974</v>
      </c>
      <c r="DD81" s="217">
        <f t="shared" si="237"/>
        <v>10</v>
      </c>
      <c r="DE81" s="173">
        <f t="shared" si="238"/>
        <v>7.6433121019108281</v>
      </c>
      <c r="DF81" s="173">
        <f t="shared" si="239"/>
        <v>4.1049030786773102</v>
      </c>
      <c r="DG81" s="173"/>
      <c r="DH81" s="173">
        <f t="shared" si="240"/>
        <v>7.6433121019108281</v>
      </c>
      <c r="DI81" s="545">
        <f t="shared" si="241"/>
        <v>198.86666666666667</v>
      </c>
      <c r="DJ81" s="528">
        <f t="shared" si="242"/>
        <v>4.1049030786773093</v>
      </c>
      <c r="DL81" s="173">
        <f t="shared" si="243"/>
        <v>7.4168405544088518</v>
      </c>
      <c r="DM81" s="173">
        <f t="shared" si="244"/>
        <v>18.211486291486292</v>
      </c>
      <c r="DN81" s="173">
        <f t="shared" si="245"/>
        <v>7.282582438137994</v>
      </c>
      <c r="DP81" s="545">
        <f t="shared" si="246"/>
        <v>7600</v>
      </c>
      <c r="DQ81" s="460">
        <f t="shared" si="247"/>
        <v>58.980156171512974</v>
      </c>
      <c r="DS81">
        <f t="shared" si="292"/>
        <v>7600</v>
      </c>
      <c r="DT81">
        <f t="shared" si="248"/>
        <v>58.980156171512974</v>
      </c>
      <c r="DV81" s="5">
        <f t="shared" si="293"/>
        <v>16.954855071797748</v>
      </c>
      <c r="DW81" s="5">
        <f t="shared" si="249"/>
        <v>3.0352477152477153</v>
      </c>
      <c r="DX81" s="5">
        <f t="shared" si="294"/>
        <v>13.919607356550033</v>
      </c>
      <c r="DY81" s="173">
        <f t="shared" si="295"/>
        <v>0.17901938426453817</v>
      </c>
      <c r="EA81" s="5">
        <f t="shared" si="250"/>
        <v>153.78588423921758</v>
      </c>
      <c r="EB81" s="5">
        <f t="shared" si="251"/>
        <v>7.2087133237133241</v>
      </c>
      <c r="EC81" s="5">
        <f t="shared" si="252"/>
        <v>6.1220495318159864</v>
      </c>
      <c r="ED81" s="5"/>
      <c r="EE81" s="173">
        <f t="shared" si="296"/>
        <v>4.4487171427306791</v>
      </c>
      <c r="EF81" s="173">
        <f t="shared" si="253"/>
        <v>9.5268914184518714</v>
      </c>
      <c r="EG81" s="173">
        <f t="shared" si="254"/>
        <v>0.2346230514034422</v>
      </c>
      <c r="EH81" s="173"/>
      <c r="EI81" s="528">
        <f t="shared" si="255"/>
        <v>0.39582168432051634</v>
      </c>
      <c r="EJ81" s="528">
        <f t="shared" si="256"/>
        <v>1.8840000000000001</v>
      </c>
      <c r="EK81" s="528">
        <f t="shared" si="257"/>
        <v>7.3725195214391212E-3</v>
      </c>
      <c r="EL81" s="528">
        <f t="shared" si="258"/>
        <v>4.5363348536039606E-2</v>
      </c>
      <c r="EM81">
        <f t="shared" si="259"/>
        <v>3.2399999999999998E-2</v>
      </c>
      <c r="EN81" s="460">
        <f t="shared" si="297"/>
        <v>39.772519521439122</v>
      </c>
      <c r="EO81">
        <f t="shared" si="260"/>
        <v>2.7284307692245648</v>
      </c>
      <c r="EP81" s="460">
        <f t="shared" si="298"/>
        <v>2728.4307692245648</v>
      </c>
      <c r="EQ81" s="173">
        <f t="shared" si="261"/>
        <v>4.7214999999999989</v>
      </c>
      <c r="ER81" s="173">
        <f t="shared" si="262"/>
        <v>8.4312499999999999E-2</v>
      </c>
      <c r="ES81" s="528"/>
      <c r="EU81" s="460">
        <f t="shared" si="299"/>
        <v>4805.8124999999991</v>
      </c>
      <c r="EV81" s="528">
        <f t="shared" si="263"/>
        <v>0.59373252648077446</v>
      </c>
      <c r="EW81" s="528">
        <f t="shared" si="300"/>
        <v>2.7228498029691575</v>
      </c>
      <c r="EX81" s="528">
        <f t="shared" si="264"/>
        <v>2.7523988124931141E-4</v>
      </c>
      <c r="EY81" s="528">
        <f t="shared" si="265"/>
        <v>1.8905940114174864</v>
      </c>
      <c r="EZ81" s="528">
        <f t="shared" si="266"/>
        <v>8.1718995467966806</v>
      </c>
      <c r="FA81" s="625">
        <f t="shared" si="267"/>
        <v>1.9561254374663727E-2</v>
      </c>
      <c r="FB81" s="460">
        <f t="shared" si="301"/>
        <v>8191.4608011713435</v>
      </c>
      <c r="FC81" s="173">
        <f t="shared" si="302"/>
        <v>15.725704070395908</v>
      </c>
      <c r="FD81" s="5">
        <f t="shared" si="303"/>
        <v>115.52</v>
      </c>
      <c r="FE81" s="173">
        <f t="shared" si="304"/>
        <v>0.88018119006804862</v>
      </c>
      <c r="FF81" s="5">
        <f t="shared" si="305"/>
        <v>88.018119006804866</v>
      </c>
      <c r="FG81">
        <f t="shared" si="306"/>
        <v>76</v>
      </c>
      <c r="FI81" s="562">
        <f t="shared" si="268"/>
        <v>-50</v>
      </c>
      <c r="FJ81">
        <f t="shared" si="269"/>
        <v>-50</v>
      </c>
      <c r="FL81">
        <f t="shared" si="270"/>
        <v>0.82098061573546177</v>
      </c>
    </row>
    <row r="82" spans="5:168">
      <c r="E82" s="170">
        <v>77</v>
      </c>
      <c r="F82" s="217">
        <f t="shared" si="307"/>
        <v>7.7</v>
      </c>
      <c r="G82" s="217">
        <f t="shared" si="271"/>
        <v>0.1925</v>
      </c>
      <c r="H82" s="217">
        <f t="shared" si="176"/>
        <v>115.5</v>
      </c>
      <c r="I82" s="217">
        <f t="shared" si="308"/>
        <v>1.54</v>
      </c>
      <c r="J82" s="541">
        <f t="shared" si="177"/>
        <v>71.476938949169465</v>
      </c>
      <c r="K82" s="443">
        <f t="shared" si="178"/>
        <v>15.981370833333333</v>
      </c>
      <c r="L82" s="172">
        <f t="shared" si="179"/>
        <v>87.458309782502795</v>
      </c>
      <c r="M82" s="443"/>
      <c r="N82" s="217">
        <f t="shared" si="180"/>
        <v>0.18273130218359904</v>
      </c>
      <c r="O82" s="172">
        <f t="shared" si="272"/>
        <v>322.23044729307594</v>
      </c>
      <c r="P82" s="172">
        <f t="shared" si="181"/>
        <v>4.353691376759782</v>
      </c>
      <c r="Q82" s="217">
        <f t="shared" si="182"/>
        <v>21.482029819538397</v>
      </c>
      <c r="R82" s="217">
        <f t="shared" si="183"/>
        <v>40.278805911634493</v>
      </c>
      <c r="S82" s="443">
        <f t="shared" si="184"/>
        <v>15</v>
      </c>
      <c r="T82" s="217">
        <f t="shared" si="185"/>
        <v>17.921956315777649</v>
      </c>
      <c r="U82" s="217">
        <f t="shared" si="186"/>
        <v>3.008851231615743</v>
      </c>
      <c r="V82" s="217">
        <f t="shared" si="187"/>
        <v>13.457135688307828</v>
      </c>
      <c r="W82" s="197">
        <f t="shared" si="188"/>
        <v>108.84228441899454</v>
      </c>
      <c r="X82" s="443">
        <f t="shared" si="273"/>
        <v>60.002447188083245</v>
      </c>
      <c r="Z82" s="217">
        <f t="shared" si="189"/>
        <v>10</v>
      </c>
      <c r="AA82" s="173">
        <f t="shared" si="190"/>
        <v>7.5087426010857952</v>
      </c>
      <c r="AB82" s="173">
        <f t="shared" si="191"/>
        <v>4.0863434890820045</v>
      </c>
      <c r="AC82" s="173"/>
      <c r="AD82" s="173">
        <f t="shared" si="192"/>
        <v>7.5087426010857952</v>
      </c>
      <c r="AE82" s="545">
        <f t="shared" si="193"/>
        <v>205.09425902777778</v>
      </c>
      <c r="AF82" s="528">
        <f t="shared" si="194"/>
        <v>4.0863434890820045</v>
      </c>
      <c r="AH82" s="173">
        <f t="shared" si="195"/>
        <v>7.4654760955570234</v>
      </c>
      <c r="AI82" s="173">
        <f t="shared" si="196"/>
        <v>17.921956315777649</v>
      </c>
      <c r="AJ82" s="173">
        <f t="shared" si="197"/>
        <v>7.0681157894649251</v>
      </c>
      <c r="AL82" s="545">
        <f t="shared" si="198"/>
        <v>7700</v>
      </c>
      <c r="AM82" s="460">
        <f t="shared" si="199"/>
        <v>60.002447188083245</v>
      </c>
      <c r="AO82">
        <f t="shared" si="274"/>
        <v>7700</v>
      </c>
      <c r="AP82">
        <f t="shared" si="200"/>
        <v>60.002447188083245</v>
      </c>
      <c r="AR82" s="5">
        <f t="shared" si="275"/>
        <v>16.665986919923569</v>
      </c>
      <c r="AS82" s="5">
        <f t="shared" si="201"/>
        <v>3.008851231615743</v>
      </c>
      <c r="AT82" s="5">
        <f t="shared" si="276"/>
        <v>13.657135688307825</v>
      </c>
      <c r="AU82" s="173">
        <f t="shared" si="277"/>
        <v>0.18053843712182283</v>
      </c>
      <c r="AW82" s="5">
        <f t="shared" si="202"/>
        <v>154.45436322294148</v>
      </c>
      <c r="AX82" s="5">
        <f t="shared" si="203"/>
        <v>7.2400482760753819</v>
      </c>
      <c r="AY82" s="5">
        <f t="shared" si="204"/>
        <v>6.1301790914429466</v>
      </c>
      <c r="AZ82" s="5"/>
      <c r="BA82" s="173">
        <f t="shared" si="278"/>
        <v>4.3965258027229668</v>
      </c>
      <c r="BB82" s="173">
        <f t="shared" si="205"/>
        <v>9.3667532756840899</v>
      </c>
      <c r="BC82" s="173">
        <f t="shared" si="206"/>
        <v>0.23067925714233764</v>
      </c>
      <c r="BD82" s="173"/>
      <c r="BE82" s="528">
        <f t="shared" si="207"/>
        <v>0.38658878268017655</v>
      </c>
      <c r="BF82" s="528">
        <f t="shared" si="208"/>
        <v>1.7634239291958389</v>
      </c>
      <c r="BG82" s="528">
        <f t="shared" si="209"/>
        <v>0.10721978136158478</v>
      </c>
      <c r="BH82" s="528">
        <f t="shared" si="210"/>
        <v>4.589560754345836E-2</v>
      </c>
      <c r="BI82">
        <f t="shared" si="211"/>
        <v>3.2164622527126256E-2</v>
      </c>
      <c r="BJ82" s="460">
        <f t="shared" si="279"/>
        <v>139.38440388871103</v>
      </c>
      <c r="BK82">
        <f t="shared" si="212"/>
        <v>2.5329473575933625</v>
      </c>
      <c r="BL82" s="460">
        <f t="shared" si="280"/>
        <v>2532.9473575933625</v>
      </c>
      <c r="BM82" s="173">
        <f t="shared" si="213"/>
        <v>4.7836249999999998</v>
      </c>
      <c r="BN82" s="173">
        <f t="shared" si="214"/>
        <v>8.5421874999999994E-2</v>
      </c>
      <c r="BO82" s="528"/>
      <c r="BQ82" s="460">
        <f t="shared" si="281"/>
        <v>4869.046875</v>
      </c>
      <c r="BR82" s="528">
        <f t="shared" si="215"/>
        <v>0.57988317402026479</v>
      </c>
      <c r="BS82" s="528">
        <f t="shared" si="216"/>
        <v>2.6320820078261589</v>
      </c>
      <c r="BT82" s="528">
        <f t="shared" si="217"/>
        <v>2.6606459837870368E-4</v>
      </c>
      <c r="BU82" s="528">
        <f t="shared" si="218"/>
        <v>1.8960769067014533</v>
      </c>
      <c r="BV82" s="528">
        <f t="shared" si="219"/>
        <v>7.9126157857377404</v>
      </c>
      <c r="BW82" s="625">
        <f t="shared" si="220"/>
        <v>1.9272577119370221E-2</v>
      </c>
      <c r="BX82" s="460">
        <f t="shared" si="282"/>
        <v>7931.8883628571102</v>
      </c>
      <c r="BY82" s="173">
        <f t="shared" si="283"/>
        <v>15.333882595450472</v>
      </c>
      <c r="BZ82" s="5">
        <f t="shared" si="284"/>
        <v>117.04</v>
      </c>
      <c r="CA82" s="173">
        <f t="shared" si="285"/>
        <v>0.88416232647407833</v>
      </c>
      <c r="CB82" s="5">
        <f t="shared" si="286"/>
        <v>88.416232647407838</v>
      </c>
      <c r="CC82">
        <f t="shared" si="287"/>
        <v>77</v>
      </c>
      <c r="CE82" s="562">
        <f t="shared" si="221"/>
        <v>-50</v>
      </c>
      <c r="CF82">
        <f t="shared" si="222"/>
        <v>-50</v>
      </c>
      <c r="CG82" s="173">
        <f t="shared" si="223"/>
        <v>0.82098061573546177</v>
      </c>
      <c r="CH82" s="173">
        <f t="shared" si="224"/>
        <v>9.6304191786782956E-2</v>
      </c>
      <c r="CI82" s="170">
        <v>77</v>
      </c>
      <c r="CJ82" s="217">
        <f t="shared" si="309"/>
        <v>7.7</v>
      </c>
      <c r="CK82" s="217">
        <f t="shared" si="288"/>
        <v>0.1925</v>
      </c>
      <c r="CL82" s="217">
        <f t="shared" si="225"/>
        <v>115.5</v>
      </c>
      <c r="CM82" s="217">
        <f t="shared" si="310"/>
        <v>1.54</v>
      </c>
      <c r="CN82" s="541">
        <f t="shared" si="289"/>
        <v>72</v>
      </c>
      <c r="CO82" s="443">
        <f t="shared" si="226"/>
        <v>15.7</v>
      </c>
      <c r="CP82" s="443">
        <f t="shared" si="227"/>
        <v>87.7</v>
      </c>
      <c r="CQ82" s="443"/>
      <c r="CR82" s="217">
        <f t="shared" si="228"/>
        <v>0.17620137299771166</v>
      </c>
      <c r="CS82" s="172">
        <f t="shared" si="290"/>
        <v>312.98928098277725</v>
      </c>
      <c r="CT82" s="172">
        <f t="shared" si="229"/>
        <v>4.2288329519450798</v>
      </c>
      <c r="CU82" s="217">
        <f t="shared" si="230"/>
        <v>20.865952065518481</v>
      </c>
      <c r="CV82" s="217">
        <f t="shared" si="231"/>
        <v>39.123660122847156</v>
      </c>
      <c r="CW82" s="443">
        <f t="shared" si="232"/>
        <v>15</v>
      </c>
      <c r="CX82" s="217">
        <f t="shared" si="233"/>
        <v>18.451111111111114</v>
      </c>
      <c r="CY82" s="217">
        <f t="shared" si="234"/>
        <v>3.0751851851851857</v>
      </c>
      <c r="CZ82" s="217">
        <f t="shared" si="235"/>
        <v>14.102760084925693</v>
      </c>
      <c r="DA82" s="197">
        <f t="shared" si="236"/>
        <v>107.41163055872293</v>
      </c>
      <c r="DB82" s="443">
        <f t="shared" si="291"/>
        <v>58.21418011733747</v>
      </c>
      <c r="DD82" s="217">
        <f t="shared" si="237"/>
        <v>10</v>
      </c>
      <c r="DE82" s="173">
        <f t="shared" si="238"/>
        <v>7.6433121019108281</v>
      </c>
      <c r="DF82" s="173">
        <f t="shared" si="239"/>
        <v>4.1049030786773102</v>
      </c>
      <c r="DG82" s="173"/>
      <c r="DH82" s="173">
        <f t="shared" si="240"/>
        <v>7.6433121019108281</v>
      </c>
      <c r="DI82" s="545">
        <f t="shared" si="241"/>
        <v>201.48333333333335</v>
      </c>
      <c r="DJ82" s="528">
        <f t="shared" si="242"/>
        <v>4.1049030786773093</v>
      </c>
      <c r="DL82" s="173">
        <f t="shared" si="243"/>
        <v>7.4654760955570234</v>
      </c>
      <c r="DM82" s="173">
        <f t="shared" si="244"/>
        <v>18.451111111111114</v>
      </c>
      <c r="DN82" s="173">
        <f t="shared" si="245"/>
        <v>7.4600823045267513</v>
      </c>
      <c r="DP82" s="545">
        <f t="shared" si="246"/>
        <v>7700</v>
      </c>
      <c r="DQ82" s="460">
        <f t="shared" si="247"/>
        <v>58.21418011733747</v>
      </c>
      <c r="DS82">
        <f t="shared" si="292"/>
        <v>7700</v>
      </c>
      <c r="DT82">
        <f t="shared" si="248"/>
        <v>58.21418011733747</v>
      </c>
      <c r="DV82" s="5">
        <f t="shared" si="293"/>
        <v>17.177945270110879</v>
      </c>
      <c r="DW82" s="5">
        <f t="shared" si="249"/>
        <v>3.0751851851851857</v>
      </c>
      <c r="DX82" s="5">
        <f t="shared" si="294"/>
        <v>14.102760084925693</v>
      </c>
      <c r="DY82" s="173">
        <f t="shared" si="295"/>
        <v>0.1790193842645382</v>
      </c>
      <c r="EA82" s="5">
        <f t="shared" si="250"/>
        <v>157.85950617283953</v>
      </c>
      <c r="EB82" s="5">
        <f t="shared" si="251"/>
        <v>7.3996643518518539</v>
      </c>
      <c r="EC82" s="5">
        <f t="shared" si="252"/>
        <v>6.2842160100652684</v>
      </c>
      <c r="ED82" s="5"/>
      <c r="EE82" s="173">
        <f t="shared" si="296"/>
        <v>4.5072528946087145</v>
      </c>
      <c r="EF82" s="173">
        <f t="shared" si="253"/>
        <v>9.6522452529051872</v>
      </c>
      <c r="EG82" s="173">
        <f t="shared" si="254"/>
        <v>0.23771019681664537</v>
      </c>
      <c r="EH82" s="173"/>
      <c r="EI82" s="528">
        <f t="shared" si="255"/>
        <v>0.40630657311917268</v>
      </c>
      <c r="EJ82" s="528">
        <f t="shared" si="256"/>
        <v>1.8840000000000001</v>
      </c>
      <c r="EK82" s="528">
        <f t="shared" si="257"/>
        <v>7.2767725146671838E-3</v>
      </c>
      <c r="EL82" s="528">
        <f t="shared" si="258"/>
        <v>4.4774214139467659E-2</v>
      </c>
      <c r="EM82">
        <f t="shared" si="259"/>
        <v>3.2399999999999998E-2</v>
      </c>
      <c r="EN82" s="460">
        <f t="shared" si="297"/>
        <v>39.676772514667185</v>
      </c>
      <c r="EO82">
        <f t="shared" si="260"/>
        <v>2.7499347502858185</v>
      </c>
      <c r="EP82" s="460">
        <f t="shared" si="298"/>
        <v>2749.9347502858186</v>
      </c>
      <c r="EQ82" s="173">
        <f t="shared" si="261"/>
        <v>4.7836249999999998</v>
      </c>
      <c r="ER82" s="173">
        <f t="shared" si="262"/>
        <v>8.5421874999999994E-2</v>
      </c>
      <c r="ES82" s="528"/>
      <c r="EU82" s="460">
        <f t="shared" si="299"/>
        <v>4869.046875</v>
      </c>
      <c r="EV82" s="528">
        <f t="shared" si="263"/>
        <v>0.60945985967875904</v>
      </c>
      <c r="EW82" s="528">
        <f t="shared" si="300"/>
        <v>2.7949751526669213</v>
      </c>
      <c r="EX82" s="528">
        <f t="shared" si="264"/>
        <v>2.8253068835304142E-4</v>
      </c>
      <c r="EY82" s="528">
        <f t="shared" si="265"/>
        <v>1.8905940114174864</v>
      </c>
      <c r="EZ82" s="528">
        <f t="shared" si="266"/>
        <v>8.4005689126485592</v>
      </c>
      <c r="FA82" s="625">
        <f t="shared" si="267"/>
        <v>1.9818639300646146E-2</v>
      </c>
      <c r="FB82" s="460">
        <f t="shared" si="301"/>
        <v>8420.3875519492067</v>
      </c>
      <c r="FC82" s="173">
        <f t="shared" si="302"/>
        <v>16.039369177235024</v>
      </c>
      <c r="FD82" s="5">
        <f t="shared" si="303"/>
        <v>117.04</v>
      </c>
      <c r="FE82" s="173">
        <f t="shared" si="304"/>
        <v>0.87947516375829971</v>
      </c>
      <c r="FF82" s="5">
        <f t="shared" si="305"/>
        <v>87.947516375829977</v>
      </c>
      <c r="FG82">
        <f t="shared" si="306"/>
        <v>77</v>
      </c>
      <c r="FI82" s="562">
        <f t="shared" si="268"/>
        <v>-50</v>
      </c>
      <c r="FJ82">
        <f t="shared" si="269"/>
        <v>-50</v>
      </c>
      <c r="FL82">
        <f t="shared" si="270"/>
        <v>0.82098061573546177</v>
      </c>
    </row>
    <row r="83" spans="5:168">
      <c r="E83" s="170">
        <v>78</v>
      </c>
      <c r="F83" s="217">
        <f t="shared" si="307"/>
        <v>7.8000000000000007</v>
      </c>
      <c r="G83" s="217">
        <f t="shared" si="271"/>
        <v>0.19500000000000001</v>
      </c>
      <c r="H83" s="217">
        <f t="shared" si="176"/>
        <v>117.00000000000001</v>
      </c>
      <c r="I83" s="217">
        <f t="shared" si="308"/>
        <v>1.56</v>
      </c>
      <c r="J83" s="541">
        <f t="shared" si="177"/>
        <v>71.470145948509327</v>
      </c>
      <c r="K83" s="443">
        <f t="shared" si="178"/>
        <v>15.985024999999998</v>
      </c>
      <c r="L83" s="172">
        <f t="shared" si="179"/>
        <v>87.45517094850932</v>
      </c>
      <c r="M83" s="443"/>
      <c r="N83" s="217">
        <f t="shared" si="180"/>
        <v>0.18277964386361381</v>
      </c>
      <c r="O83" s="172">
        <f t="shared" si="272"/>
        <v>322.28506143130846</v>
      </c>
      <c r="P83" s="172">
        <f t="shared" si="181"/>
        <v>4.3544292744496786</v>
      </c>
      <c r="Q83" s="217">
        <f t="shared" si="182"/>
        <v>21.485670762087231</v>
      </c>
      <c r="R83" s="217">
        <f t="shared" si="183"/>
        <v>40.285632678913558</v>
      </c>
      <c r="S83" s="443">
        <f t="shared" si="184"/>
        <v>15</v>
      </c>
      <c r="T83" s="217">
        <f t="shared" si="185"/>
        <v>18.15163251445604</v>
      </c>
      <c r="U83" s="217">
        <f t="shared" si="186"/>
        <v>3.0477003689120861</v>
      </c>
      <c r="V83" s="217">
        <f t="shared" si="187"/>
        <v>13.626477917517958</v>
      </c>
      <c r="W83" s="197">
        <f t="shared" si="188"/>
        <v>108.86073186124196</v>
      </c>
      <c r="X83" s="443">
        <f t="shared" si="273"/>
        <v>59.262144978294124</v>
      </c>
      <c r="Z83" s="217">
        <f t="shared" si="189"/>
        <v>10</v>
      </c>
      <c r="AA83" s="173">
        <f t="shared" si="190"/>
        <v>7.5070261072472526</v>
      </c>
      <c r="AB83" s="173">
        <f t="shared" si="191"/>
        <v>4.0861017806819317</v>
      </c>
      <c r="AC83" s="173"/>
      <c r="AD83" s="173">
        <f t="shared" si="192"/>
        <v>7.5070261072472526</v>
      </c>
      <c r="AE83" s="545">
        <f t="shared" si="193"/>
        <v>207.80532499999998</v>
      </c>
      <c r="AF83" s="528">
        <f t="shared" si="194"/>
        <v>4.0861017806819317</v>
      </c>
      <c r="AH83" s="173">
        <f t="shared" si="195"/>
        <v>7.5137968336349674</v>
      </c>
      <c r="AI83" s="173">
        <f t="shared" si="196"/>
        <v>18.15163251445604</v>
      </c>
      <c r="AJ83" s="173">
        <f t="shared" si="197"/>
        <v>7.2382463070044745</v>
      </c>
      <c r="AL83" s="545">
        <f t="shared" si="198"/>
        <v>7800.0000000000009</v>
      </c>
      <c r="AM83" s="460">
        <f t="shared" si="199"/>
        <v>59.262144978294124</v>
      </c>
      <c r="AO83">
        <f t="shared" si="274"/>
        <v>7800.0000000000009</v>
      </c>
      <c r="AP83">
        <f t="shared" si="200"/>
        <v>59.262144978294124</v>
      </c>
      <c r="AR83" s="5">
        <f t="shared" si="275"/>
        <v>16.874178286430045</v>
      </c>
      <c r="AS83" s="5">
        <f t="shared" si="201"/>
        <v>3.0477003689120861</v>
      </c>
      <c r="AT83" s="5">
        <f t="shared" si="276"/>
        <v>13.826477917517959</v>
      </c>
      <c r="AU83" s="173">
        <f t="shared" si="277"/>
        <v>0.18061326111286852</v>
      </c>
      <c r="AW83" s="5">
        <f t="shared" si="202"/>
        <v>158.48041918342847</v>
      </c>
      <c r="AX83" s="5">
        <f t="shared" si="203"/>
        <v>7.4287696492232103</v>
      </c>
      <c r="AY83" s="5">
        <f t="shared" si="204"/>
        <v>6.2873879205882064</v>
      </c>
      <c r="AZ83" s="5"/>
      <c r="BA83" s="173">
        <f t="shared" si="278"/>
        <v>4.453791481490228</v>
      </c>
      <c r="BB83" s="173">
        <f t="shared" si="205"/>
        <v>9.4863584031329413</v>
      </c>
      <c r="BC83" s="173">
        <f t="shared" si="206"/>
        <v>0.23362482655558775</v>
      </c>
      <c r="BD83" s="173"/>
      <c r="BE83" s="528">
        <f t="shared" si="207"/>
        <v>0.39672517121189843</v>
      </c>
      <c r="BF83" s="528">
        <f t="shared" si="208"/>
        <v>1.7639238089109788</v>
      </c>
      <c r="BG83" s="528">
        <f t="shared" si="209"/>
        <v>0.10588685377051001</v>
      </c>
      <c r="BH83" s="528">
        <f t="shared" si="210"/>
        <v>4.5326100007985107E-2</v>
      </c>
      <c r="BI83">
        <f t="shared" si="211"/>
        <v>3.2161565676829193E-2</v>
      </c>
      <c r="BJ83" s="460">
        <f t="shared" si="279"/>
        <v>138.0484194473392</v>
      </c>
      <c r="BK83">
        <f t="shared" si="212"/>
        <v>2.5538186790359556</v>
      </c>
      <c r="BL83" s="460">
        <f t="shared" si="280"/>
        <v>2553.8186790359555</v>
      </c>
      <c r="BM83" s="173">
        <f t="shared" si="213"/>
        <v>4.8457499999999998</v>
      </c>
      <c r="BN83" s="173">
        <f t="shared" si="214"/>
        <v>8.6531250000000004E-2</v>
      </c>
      <c r="BO83" s="528"/>
      <c r="BQ83" s="460">
        <f t="shared" si="281"/>
        <v>4932.28125</v>
      </c>
      <c r="BR83" s="528">
        <f t="shared" si="215"/>
        <v>0.59508775681784765</v>
      </c>
      <c r="BS83" s="528">
        <f t="shared" si="216"/>
        <v>2.6997298725807286</v>
      </c>
      <c r="BT83" s="528">
        <f t="shared" si="217"/>
        <v>2.729027979156423E-4</v>
      </c>
      <c r="BU83" s="528">
        <f t="shared" si="218"/>
        <v>1.8975911542484003</v>
      </c>
      <c r="BV83" s="528">
        <f t="shared" si="219"/>
        <v>8.1254240401560462</v>
      </c>
      <c r="BW83" s="625">
        <f t="shared" si="220"/>
        <v>1.9525796003045784E-2</v>
      </c>
      <c r="BX83" s="460">
        <f t="shared" si="282"/>
        <v>8144.9498361590922</v>
      </c>
      <c r="BY83" s="173">
        <f t="shared" si="283"/>
        <v>15.631049765195048</v>
      </c>
      <c r="BZ83" s="5">
        <f t="shared" si="284"/>
        <v>118.56000000000002</v>
      </c>
      <c r="CA83" s="173">
        <f t="shared" si="285"/>
        <v>0.88351645066831241</v>
      </c>
      <c r="CB83" s="5">
        <f t="shared" si="286"/>
        <v>88.351645066831239</v>
      </c>
      <c r="CC83">
        <f t="shared" si="287"/>
        <v>78</v>
      </c>
      <c r="CE83" s="562">
        <f t="shared" si="221"/>
        <v>-50</v>
      </c>
      <c r="CF83">
        <f t="shared" si="222"/>
        <v>-50</v>
      </c>
      <c r="CG83" s="173">
        <f t="shared" si="223"/>
        <v>0.82098061573546177</v>
      </c>
      <c r="CH83" s="173">
        <f t="shared" si="224"/>
        <v>9.6304191786782956E-2</v>
      </c>
      <c r="CI83" s="170">
        <v>78</v>
      </c>
      <c r="CJ83" s="217">
        <f t="shared" si="309"/>
        <v>7.8000000000000007</v>
      </c>
      <c r="CK83" s="217">
        <f t="shared" si="288"/>
        <v>0.19500000000000001</v>
      </c>
      <c r="CL83" s="217">
        <f t="shared" si="225"/>
        <v>117.00000000000001</v>
      </c>
      <c r="CM83" s="217">
        <f t="shared" si="310"/>
        <v>1.56</v>
      </c>
      <c r="CN83" s="541">
        <f t="shared" si="289"/>
        <v>72</v>
      </c>
      <c r="CO83" s="443">
        <f t="shared" si="226"/>
        <v>15.7</v>
      </c>
      <c r="CP83" s="443">
        <f t="shared" si="227"/>
        <v>87.7</v>
      </c>
      <c r="CQ83" s="443"/>
      <c r="CR83" s="217">
        <f t="shared" si="228"/>
        <v>0.17620137299771166</v>
      </c>
      <c r="CS83" s="172">
        <f t="shared" si="290"/>
        <v>312.98928098277725</v>
      </c>
      <c r="CT83" s="172">
        <f t="shared" si="229"/>
        <v>4.2288329519450798</v>
      </c>
      <c r="CU83" s="217">
        <f t="shared" si="230"/>
        <v>20.865952065518481</v>
      </c>
      <c r="CV83" s="217">
        <f t="shared" si="231"/>
        <v>39.123660122847156</v>
      </c>
      <c r="CW83" s="443">
        <f t="shared" si="232"/>
        <v>15</v>
      </c>
      <c r="CX83" s="217">
        <f t="shared" si="233"/>
        <v>18.690735930735933</v>
      </c>
      <c r="CY83" s="217">
        <f t="shared" si="234"/>
        <v>3.1151226551226556</v>
      </c>
      <c r="CZ83" s="217">
        <f t="shared" si="235"/>
        <v>14.28591281330135</v>
      </c>
      <c r="DA83" s="197">
        <f t="shared" si="236"/>
        <v>107.41163055872293</v>
      </c>
      <c r="DB83" s="443">
        <f t="shared" si="291"/>
        <v>57.467844474807507</v>
      </c>
      <c r="DD83" s="217">
        <f t="shared" si="237"/>
        <v>10</v>
      </c>
      <c r="DE83" s="173">
        <f t="shared" si="238"/>
        <v>7.6433121019108281</v>
      </c>
      <c r="DF83" s="173">
        <f t="shared" si="239"/>
        <v>4.1049030786773102</v>
      </c>
      <c r="DG83" s="173"/>
      <c r="DH83" s="173">
        <f t="shared" si="240"/>
        <v>7.6433121019108281</v>
      </c>
      <c r="DI83" s="545">
        <f t="shared" si="241"/>
        <v>204.10000000000002</v>
      </c>
      <c r="DJ83" s="528">
        <f t="shared" si="242"/>
        <v>4.1049030786773093</v>
      </c>
      <c r="DL83" s="173">
        <f t="shared" si="243"/>
        <v>7.5137968336349674</v>
      </c>
      <c r="DM83" s="173">
        <f t="shared" si="244"/>
        <v>18.690735930735933</v>
      </c>
      <c r="DN83" s="173">
        <f t="shared" si="245"/>
        <v>7.637582170915505</v>
      </c>
      <c r="DP83" s="545">
        <f t="shared" si="246"/>
        <v>7800.0000000000009</v>
      </c>
      <c r="DQ83" s="460">
        <f t="shared" si="247"/>
        <v>57.467844474807507</v>
      </c>
      <c r="DS83">
        <f t="shared" si="292"/>
        <v>7800.0000000000009</v>
      </c>
      <c r="DT83">
        <f t="shared" si="248"/>
        <v>57.467844474807507</v>
      </c>
      <c r="DV83" s="5">
        <f t="shared" si="293"/>
        <v>17.401035468424006</v>
      </c>
      <c r="DW83" s="5">
        <f t="shared" si="249"/>
        <v>3.1151226551226556</v>
      </c>
      <c r="DX83" s="5">
        <f t="shared" si="294"/>
        <v>14.28591281330135</v>
      </c>
      <c r="DY83" s="173">
        <f t="shared" si="295"/>
        <v>0.1790193842645382</v>
      </c>
      <c r="EA83" s="5">
        <f t="shared" si="250"/>
        <v>161.98637806637811</v>
      </c>
      <c r="EB83" s="5">
        <f t="shared" si="251"/>
        <v>7.5931114718614729</v>
      </c>
      <c r="EC83" s="5">
        <f t="shared" si="252"/>
        <v>6.448502311559638</v>
      </c>
      <c r="ED83" s="5"/>
      <c r="EE83" s="173">
        <f t="shared" si="296"/>
        <v>4.5657886464867499</v>
      </c>
      <c r="EF83" s="173">
        <f t="shared" si="253"/>
        <v>9.7775990873584995</v>
      </c>
      <c r="EG83" s="173">
        <f t="shared" si="254"/>
        <v>0.24079734222984861</v>
      </c>
      <c r="EH83" s="173"/>
      <c r="EI83" s="528">
        <f t="shared" si="255"/>
        <v>0.41692851928774616</v>
      </c>
      <c r="EJ83" s="528">
        <f t="shared" si="256"/>
        <v>1.8840000000000001</v>
      </c>
      <c r="EK83" s="528">
        <f t="shared" si="257"/>
        <v>7.1834805593509379E-3</v>
      </c>
      <c r="EL83" s="528">
        <f t="shared" si="258"/>
        <v>4.4200185753064232E-2</v>
      </c>
      <c r="EM83">
        <f t="shared" si="259"/>
        <v>3.2399999999999998E-2</v>
      </c>
      <c r="EN83" s="460">
        <f t="shared" si="297"/>
        <v>39.583480559350939</v>
      </c>
      <c r="EO83">
        <f t="shared" si="260"/>
        <v>2.7718705227646034</v>
      </c>
      <c r="EP83" s="460">
        <f t="shared" si="298"/>
        <v>2771.8705227646033</v>
      </c>
      <c r="EQ83" s="173">
        <f t="shared" si="261"/>
        <v>4.8457499999999998</v>
      </c>
      <c r="ER83" s="173">
        <f t="shared" si="262"/>
        <v>8.6531250000000004E-2</v>
      </c>
      <c r="ES83" s="528"/>
      <c r="EU83" s="460">
        <f t="shared" si="299"/>
        <v>4932.28125</v>
      </c>
      <c r="EV83" s="528">
        <f t="shared" si="263"/>
        <v>0.62539277893161926</v>
      </c>
      <c r="EW83" s="528">
        <f t="shared" si="300"/>
        <v>2.8680433173934126</v>
      </c>
      <c r="EX83" s="528">
        <f t="shared" si="264"/>
        <v>2.8991680012479415E-4</v>
      </c>
      <c r="EY83" s="528">
        <f t="shared" si="265"/>
        <v>1.8905940114174846</v>
      </c>
      <c r="EZ83" s="528">
        <f t="shared" si="266"/>
        <v>8.6367768135321601</v>
      </c>
      <c r="FA83" s="625">
        <f t="shared" si="267"/>
        <v>2.0076024226628561E-2</v>
      </c>
      <c r="FB83" s="460">
        <f t="shared" si="301"/>
        <v>8656.85283775879</v>
      </c>
      <c r="FC83" s="173">
        <f t="shared" si="302"/>
        <v>16.361004610523391</v>
      </c>
      <c r="FD83" s="5">
        <f t="shared" si="303"/>
        <v>118.56000000000002</v>
      </c>
      <c r="FE83" s="173">
        <f t="shared" si="304"/>
        <v>0.87873641574377015</v>
      </c>
      <c r="FF83" s="5">
        <f t="shared" si="305"/>
        <v>87.873641574377018</v>
      </c>
      <c r="FG83">
        <f t="shared" si="306"/>
        <v>78</v>
      </c>
      <c r="FI83" s="562">
        <f t="shared" si="268"/>
        <v>-50</v>
      </c>
      <c r="FJ83">
        <f t="shared" si="269"/>
        <v>-50</v>
      </c>
      <c r="FL83">
        <f t="shared" si="270"/>
        <v>0.82098061573546177</v>
      </c>
    </row>
    <row r="84" spans="5:168">
      <c r="E84" s="170">
        <v>79</v>
      </c>
      <c r="F84" s="217">
        <f t="shared" si="307"/>
        <v>7.9</v>
      </c>
      <c r="G84" s="217">
        <f t="shared" si="271"/>
        <v>0.19750000000000001</v>
      </c>
      <c r="H84" s="217">
        <f t="shared" si="176"/>
        <v>118.5</v>
      </c>
      <c r="I84" s="217">
        <f t="shared" si="308"/>
        <v>1.58</v>
      </c>
      <c r="J84" s="541">
        <f t="shared" si="177"/>
        <v>71.463352947849188</v>
      </c>
      <c r="K84" s="443">
        <f t="shared" si="178"/>
        <v>15.988679166666666</v>
      </c>
      <c r="L84" s="172">
        <f t="shared" si="179"/>
        <v>87.452032114515859</v>
      </c>
      <c r="M84" s="443"/>
      <c r="N84" s="217">
        <f t="shared" si="180"/>
        <v>0.18282798901379399</v>
      </c>
      <c r="O84" s="172">
        <f t="shared" si="272"/>
        <v>322.33966548449638</v>
      </c>
      <c r="P84" s="172">
        <f t="shared" si="181"/>
        <v>4.3551670358794183</v>
      </c>
      <c r="Q84" s="217">
        <f t="shared" si="182"/>
        <v>21.48931103229976</v>
      </c>
      <c r="R84" s="217">
        <f t="shared" si="183"/>
        <v>40.292458185562047</v>
      </c>
      <c r="S84" s="443">
        <f t="shared" si="184"/>
        <v>15</v>
      </c>
      <c r="T84" s="217">
        <f t="shared" si="185"/>
        <v>18.381231459970525</v>
      </c>
      <c r="U84" s="217">
        <f t="shared" si="186"/>
        <v>3.0865439196592424</v>
      </c>
      <c r="V84" s="217">
        <f t="shared" si="187"/>
        <v>13.795684760471175</v>
      </c>
      <c r="W84" s="197">
        <f t="shared" si="188"/>
        <v>108.87917589698547</v>
      </c>
      <c r="X84" s="443">
        <f t="shared" si="273"/>
        <v>58.540370739982698</v>
      </c>
      <c r="Z84" s="217">
        <f t="shared" si="189"/>
        <v>9.9999999999999982</v>
      </c>
      <c r="AA84" s="173">
        <f t="shared" si="190"/>
        <v>7.5053103980081728</v>
      </c>
      <c r="AB84" s="173">
        <f t="shared" si="191"/>
        <v>4.0858600549310289</v>
      </c>
      <c r="AC84" s="173"/>
      <c r="AD84" s="173">
        <f t="shared" si="192"/>
        <v>7.5053103980081746</v>
      </c>
      <c r="AE84" s="545">
        <f t="shared" si="193"/>
        <v>210.51760902777778</v>
      </c>
      <c r="AF84" s="528">
        <f t="shared" si="194"/>
        <v>4.0858600549310307</v>
      </c>
      <c r="AH84" s="173">
        <f t="shared" si="195"/>
        <v>7.5618088035173425</v>
      </c>
      <c r="AI84" s="173">
        <f t="shared" si="196"/>
        <v>18.381231459970525</v>
      </c>
      <c r="AJ84" s="173">
        <f t="shared" si="197"/>
        <v>7.4083195999781672</v>
      </c>
      <c r="AL84" s="545">
        <f t="shared" si="198"/>
        <v>7900</v>
      </c>
      <c r="AM84" s="460">
        <f t="shared" si="199"/>
        <v>58.540370739982698</v>
      </c>
      <c r="AO84">
        <f t="shared" si="274"/>
        <v>7900</v>
      </c>
      <c r="AP84">
        <f t="shared" si="200"/>
        <v>58.540370739982698</v>
      </c>
      <c r="AR84" s="5">
        <f t="shared" si="275"/>
        <v>17.08222868013042</v>
      </c>
      <c r="AS84" s="5">
        <f t="shared" si="201"/>
        <v>3.0865439196592424</v>
      </c>
      <c r="AT84" s="5">
        <f t="shared" si="276"/>
        <v>13.995684760471178</v>
      </c>
      <c r="AU84" s="173">
        <f t="shared" si="277"/>
        <v>0.1806874253620914</v>
      </c>
      <c r="AW84" s="5">
        <f t="shared" si="202"/>
        <v>162.55797976872012</v>
      </c>
      <c r="AX84" s="5">
        <f t="shared" si="203"/>
        <v>7.619905301658755</v>
      </c>
      <c r="AY84" s="5">
        <f t="shared" si="204"/>
        <v>6.4465389745758017</v>
      </c>
      <c r="AZ84" s="5"/>
      <c r="BA84" s="173">
        <f t="shared" si="278"/>
        <v>4.5110531208551503</v>
      </c>
      <c r="BB84" s="173">
        <f t="shared" si="205"/>
        <v>9.6059160452899928</v>
      </c>
      <c r="BC84" s="173">
        <f t="shared" si="206"/>
        <v>0.2365692265271418</v>
      </c>
      <c r="BD84" s="173"/>
      <c r="BE84" s="528">
        <f t="shared" si="207"/>
        <v>0.40699200518353984</v>
      </c>
      <c r="BF84" s="528">
        <f t="shared" si="208"/>
        <v>1.7644170668997627</v>
      </c>
      <c r="BG84" s="528">
        <f t="shared" si="209"/>
        <v>0.10458727939723317</v>
      </c>
      <c r="BH84" s="528">
        <f t="shared" si="210"/>
        <v>4.4770843805961302E-2</v>
      </c>
      <c r="BI84">
        <f t="shared" si="211"/>
        <v>3.2158508826532137E-2</v>
      </c>
      <c r="BJ84" s="460">
        <f t="shared" si="279"/>
        <v>136.74578822376532</v>
      </c>
      <c r="BK84">
        <f t="shared" si="212"/>
        <v>2.5750814856705189</v>
      </c>
      <c r="BL84" s="460">
        <f t="shared" si="280"/>
        <v>2575.0814856705188</v>
      </c>
      <c r="BM84" s="173">
        <f t="shared" si="213"/>
        <v>4.9078749999999998</v>
      </c>
      <c r="BN84" s="173">
        <f t="shared" si="214"/>
        <v>8.7640625E-2</v>
      </c>
      <c r="BO84" s="528"/>
      <c r="BQ84" s="460">
        <f t="shared" si="281"/>
        <v>4995.5156249999991</v>
      </c>
      <c r="BR84" s="528">
        <f t="shared" si="215"/>
        <v>0.61048800777530976</v>
      </c>
      <c r="BS84" s="528">
        <f t="shared" si="216"/>
        <v>2.7682086920747921</v>
      </c>
      <c r="BT84" s="528">
        <f t="shared" si="217"/>
        <v>2.7982499469825066E-4</v>
      </c>
      <c r="BU84" s="528">
        <f t="shared" si="218"/>
        <v>1.8990884180319647</v>
      </c>
      <c r="BV84" s="528">
        <f t="shared" si="219"/>
        <v>8.3447588494666025</v>
      </c>
      <c r="BW84" s="625">
        <f t="shared" si="220"/>
        <v>1.9779015742718103E-2</v>
      </c>
      <c r="BX84" s="460">
        <f t="shared" si="282"/>
        <v>8364.5378652093223</v>
      </c>
      <c r="BY84" s="173">
        <f t="shared" si="283"/>
        <v>15.935134975879839</v>
      </c>
      <c r="BZ84" s="5">
        <f t="shared" si="284"/>
        <v>120.08</v>
      </c>
      <c r="CA84" s="173">
        <f t="shared" si="285"/>
        <v>0.88284292789397523</v>
      </c>
      <c r="CB84" s="5">
        <f t="shared" si="286"/>
        <v>88.284292789397526</v>
      </c>
      <c r="CC84">
        <f t="shared" si="287"/>
        <v>79</v>
      </c>
      <c r="CE84" s="562">
        <f t="shared" si="221"/>
        <v>-50</v>
      </c>
      <c r="CF84">
        <f t="shared" si="222"/>
        <v>-50</v>
      </c>
      <c r="CG84" s="173">
        <f t="shared" si="223"/>
        <v>0.82098061573546177</v>
      </c>
      <c r="CH84" s="173">
        <f t="shared" si="224"/>
        <v>9.6304191786782956E-2</v>
      </c>
      <c r="CI84" s="170">
        <v>79</v>
      </c>
      <c r="CJ84" s="217">
        <f t="shared" si="309"/>
        <v>7.9</v>
      </c>
      <c r="CK84" s="217">
        <f t="shared" si="288"/>
        <v>0.19750000000000001</v>
      </c>
      <c r="CL84" s="217">
        <f t="shared" si="225"/>
        <v>118.5</v>
      </c>
      <c r="CM84" s="217">
        <f t="shared" si="310"/>
        <v>1.58</v>
      </c>
      <c r="CN84" s="541">
        <f t="shared" si="289"/>
        <v>72</v>
      </c>
      <c r="CO84" s="443">
        <f t="shared" si="226"/>
        <v>15.7</v>
      </c>
      <c r="CP84" s="443">
        <f t="shared" si="227"/>
        <v>87.7</v>
      </c>
      <c r="CQ84" s="443"/>
      <c r="CR84" s="217">
        <f t="shared" si="228"/>
        <v>0.17620137299771166</v>
      </c>
      <c r="CS84" s="172">
        <f t="shared" si="290"/>
        <v>312.98928098277725</v>
      </c>
      <c r="CT84" s="172">
        <f t="shared" si="229"/>
        <v>4.2288329519450798</v>
      </c>
      <c r="CU84" s="217">
        <f t="shared" si="230"/>
        <v>20.865952065518481</v>
      </c>
      <c r="CV84" s="217">
        <f t="shared" si="231"/>
        <v>39.123660122847156</v>
      </c>
      <c r="CW84" s="443">
        <f t="shared" si="232"/>
        <v>15</v>
      </c>
      <c r="CX84" s="217">
        <f t="shared" si="233"/>
        <v>18.930360750360752</v>
      </c>
      <c r="CY84" s="217">
        <f t="shared" si="234"/>
        <v>3.1550601250601256</v>
      </c>
      <c r="CZ84" s="217">
        <f t="shared" si="235"/>
        <v>14.46906554167701</v>
      </c>
      <c r="DA84" s="197">
        <f t="shared" si="236"/>
        <v>107.41163055872293</v>
      </c>
      <c r="DB84" s="443">
        <f t="shared" si="291"/>
        <v>56.740403405506143</v>
      </c>
      <c r="DD84" s="217">
        <f t="shared" si="237"/>
        <v>10</v>
      </c>
      <c r="DE84" s="173">
        <f t="shared" si="238"/>
        <v>7.6433121019108281</v>
      </c>
      <c r="DF84" s="173">
        <f t="shared" si="239"/>
        <v>4.1049030786773102</v>
      </c>
      <c r="DG84" s="173"/>
      <c r="DH84" s="173">
        <f t="shared" si="240"/>
        <v>7.6433121019108281</v>
      </c>
      <c r="DI84" s="545">
        <f t="shared" si="241"/>
        <v>206.7166666666667</v>
      </c>
      <c r="DJ84" s="528">
        <f t="shared" si="242"/>
        <v>4.1049030786773093</v>
      </c>
      <c r="DL84" s="173">
        <f t="shared" si="243"/>
        <v>7.5618088035173425</v>
      </c>
      <c r="DM84" s="173">
        <f t="shared" si="244"/>
        <v>18.930360750360752</v>
      </c>
      <c r="DN84" s="173">
        <f t="shared" si="245"/>
        <v>7.8150820373042613</v>
      </c>
      <c r="DP84" s="545">
        <f t="shared" si="246"/>
        <v>7900</v>
      </c>
      <c r="DQ84" s="460">
        <f t="shared" si="247"/>
        <v>56.740403405506143</v>
      </c>
      <c r="DS84">
        <f t="shared" si="292"/>
        <v>7900</v>
      </c>
      <c r="DT84">
        <f t="shared" si="248"/>
        <v>56.740403405506143</v>
      </c>
      <c r="DV84" s="5">
        <f t="shared" si="293"/>
        <v>17.624125666737136</v>
      </c>
      <c r="DW84" s="5">
        <f t="shared" si="249"/>
        <v>3.1550601250601256</v>
      </c>
      <c r="DX84" s="5">
        <f t="shared" si="294"/>
        <v>14.469065541677011</v>
      </c>
      <c r="DY84" s="173">
        <f t="shared" si="295"/>
        <v>0.17901938426453817</v>
      </c>
      <c r="EA84" s="5">
        <f t="shared" si="250"/>
        <v>166.16649991983329</v>
      </c>
      <c r="EB84" s="5">
        <f t="shared" si="251"/>
        <v>7.7890546837421866</v>
      </c>
      <c r="EC84" s="5">
        <f t="shared" si="252"/>
        <v>6.6149084362990962</v>
      </c>
      <c r="ED84" s="5"/>
      <c r="EE84" s="173">
        <f t="shared" si="296"/>
        <v>4.6243243983647853</v>
      </c>
      <c r="EF84" s="173">
        <f t="shared" si="253"/>
        <v>9.9029529218118135</v>
      </c>
      <c r="EG84" s="173">
        <f t="shared" si="254"/>
        <v>0.24388448764305179</v>
      </c>
      <c r="EH84" s="173"/>
      <c r="EI84" s="528">
        <f t="shared" si="255"/>
        <v>0.42768752282623668</v>
      </c>
      <c r="EJ84" s="528">
        <f t="shared" si="256"/>
        <v>1.8839999999999997</v>
      </c>
      <c r="EK84" s="528">
        <f t="shared" si="257"/>
        <v>7.0925504256882672E-3</v>
      </c>
      <c r="EL84" s="528">
        <f t="shared" si="258"/>
        <v>4.3640689730873539E-2</v>
      </c>
      <c r="EM84">
        <f t="shared" si="259"/>
        <v>3.2399999999999998E-2</v>
      </c>
      <c r="EN84" s="460">
        <f t="shared" si="297"/>
        <v>39.492550425688265</v>
      </c>
      <c r="EO84">
        <f t="shared" si="260"/>
        <v>2.7942433687833823</v>
      </c>
      <c r="EP84" s="460">
        <f t="shared" si="298"/>
        <v>2794.2433687833823</v>
      </c>
      <c r="EQ84" s="173">
        <f t="shared" si="261"/>
        <v>4.9078749999999998</v>
      </c>
      <c r="ER84" s="173">
        <f t="shared" si="262"/>
        <v>8.7640625E-2</v>
      </c>
      <c r="ES84" s="528"/>
      <c r="EU84" s="460">
        <f t="shared" si="299"/>
        <v>4995.5156249999991</v>
      </c>
      <c r="EV84" s="528">
        <f t="shared" si="263"/>
        <v>0.64153128423935502</v>
      </c>
      <c r="EW84" s="528">
        <f t="shared" si="300"/>
        <v>2.9420542971486339</v>
      </c>
      <c r="EX84" s="528">
        <f t="shared" si="264"/>
        <v>2.9739821656456943E-4</v>
      </c>
      <c r="EY84" s="528">
        <f t="shared" si="265"/>
        <v>1.890594011417488</v>
      </c>
      <c r="EZ84" s="528">
        <f t="shared" si="266"/>
        <v>8.880840296898354</v>
      </c>
      <c r="FA84" s="625">
        <f t="shared" si="267"/>
        <v>2.0333409152610976E-2</v>
      </c>
      <c r="FB84" s="460">
        <f t="shared" si="301"/>
        <v>8901.1737060509658</v>
      </c>
      <c r="FC84" s="173">
        <f t="shared" si="302"/>
        <v>16.690932699834345</v>
      </c>
      <c r="FD84" s="5">
        <f t="shared" si="303"/>
        <v>120.08</v>
      </c>
      <c r="FE84" s="173">
        <f t="shared" si="304"/>
        <v>0.87796432787027012</v>
      </c>
      <c r="FF84" s="5">
        <f t="shared" si="305"/>
        <v>87.796432787027015</v>
      </c>
      <c r="FG84">
        <f t="shared" si="306"/>
        <v>79</v>
      </c>
      <c r="FI84" s="562">
        <f t="shared" si="268"/>
        <v>-50</v>
      </c>
      <c r="FJ84">
        <f t="shared" si="269"/>
        <v>-50</v>
      </c>
      <c r="FL84">
        <f t="shared" si="270"/>
        <v>0.82098061573546177</v>
      </c>
    </row>
    <row r="85" spans="5:168">
      <c r="E85" s="170">
        <v>80</v>
      </c>
      <c r="F85" s="217">
        <f t="shared" si="307"/>
        <v>8</v>
      </c>
      <c r="G85" s="217">
        <f t="shared" si="271"/>
        <v>0.2</v>
      </c>
      <c r="H85" s="217">
        <f t="shared" si="176"/>
        <v>120</v>
      </c>
      <c r="I85" s="217">
        <f t="shared" si="308"/>
        <v>1.6</v>
      </c>
      <c r="J85" s="541">
        <f t="shared" si="177"/>
        <v>71.456559947189049</v>
      </c>
      <c r="K85" s="443">
        <f t="shared" si="178"/>
        <v>15.992333333333333</v>
      </c>
      <c r="L85" s="172">
        <f t="shared" si="179"/>
        <v>87.448893280522384</v>
      </c>
      <c r="M85" s="443"/>
      <c r="N85" s="217">
        <f t="shared" si="180"/>
        <v>0.1828763376345133</v>
      </c>
      <c r="O85" s="172">
        <f t="shared" si="272"/>
        <v>322.39425945155392</v>
      </c>
      <c r="P85" s="172">
        <f t="shared" si="181"/>
        <v>4.3559046610343284</v>
      </c>
      <c r="Q85" s="217">
        <f t="shared" si="182"/>
        <v>21.492950630103596</v>
      </c>
      <c r="R85" s="217">
        <f t="shared" si="183"/>
        <v>40.29928243144424</v>
      </c>
      <c r="S85" s="443">
        <f t="shared" si="184"/>
        <v>15</v>
      </c>
      <c r="T85" s="217">
        <f t="shared" si="185"/>
        <v>18.610753213183742</v>
      </c>
      <c r="U85" s="217">
        <f t="shared" si="186"/>
        <v>3.1253818924848789</v>
      </c>
      <c r="V85" s="217">
        <f t="shared" si="187"/>
        <v>13.964756355641551</v>
      </c>
      <c r="W85" s="197">
        <f t="shared" si="188"/>
        <v>108.89761652585823</v>
      </c>
      <c r="X85" s="443">
        <f t="shared" si="273"/>
        <v>57.836437491086038</v>
      </c>
      <c r="Z85" s="217">
        <f t="shared" si="189"/>
        <v>10</v>
      </c>
      <c r="AA85" s="173">
        <f t="shared" si="190"/>
        <v>7.5035954728307317</v>
      </c>
      <c r="AB85" s="173">
        <f t="shared" si="191"/>
        <v>4.0856183118274343</v>
      </c>
      <c r="AC85" s="173"/>
      <c r="AD85" s="173">
        <f t="shared" si="192"/>
        <v>7.5035954728307317</v>
      </c>
      <c r="AE85" s="545">
        <f t="shared" si="193"/>
        <v>213.23111111111109</v>
      </c>
      <c r="AF85" s="528">
        <f t="shared" si="194"/>
        <v>4.0856183118274343</v>
      </c>
      <c r="AH85" s="173">
        <f t="shared" si="195"/>
        <v>7.6095178496907341</v>
      </c>
      <c r="AI85" s="173">
        <f t="shared" si="196"/>
        <v>18.610753213183742</v>
      </c>
      <c r="AJ85" s="173">
        <f t="shared" si="197"/>
        <v>7.5783357134694382</v>
      </c>
      <c r="AL85" s="545">
        <f t="shared" si="198"/>
        <v>8000</v>
      </c>
      <c r="AM85" s="460">
        <f t="shared" si="199"/>
        <v>57.836437491086038</v>
      </c>
      <c r="AO85">
        <f t="shared" si="274"/>
        <v>8000</v>
      </c>
      <c r="AP85">
        <f t="shared" si="200"/>
        <v>57.836437491086038</v>
      </c>
      <c r="AR85" s="5">
        <f t="shared" si="275"/>
        <v>17.290138248126429</v>
      </c>
      <c r="AS85" s="5">
        <f t="shared" si="201"/>
        <v>3.1253818924848789</v>
      </c>
      <c r="AT85" s="5">
        <f t="shared" si="276"/>
        <v>14.164756355641551</v>
      </c>
      <c r="AU85" s="173">
        <f t="shared" si="277"/>
        <v>0.18076095446047388</v>
      </c>
      <c r="AW85" s="5">
        <f t="shared" si="202"/>
        <v>166.68703426586021</v>
      </c>
      <c r="AX85" s="5">
        <f t="shared" si="203"/>
        <v>7.8134547312121976</v>
      </c>
      <c r="AY85" s="5">
        <f t="shared" si="204"/>
        <v>6.6076305035815732</v>
      </c>
      <c r="AZ85" s="5"/>
      <c r="BA85" s="173">
        <f t="shared" si="278"/>
        <v>4.5683107242155021</v>
      </c>
      <c r="BB85" s="173">
        <f t="shared" si="205"/>
        <v>9.725426238184145</v>
      </c>
      <c r="BC85" s="173">
        <f t="shared" si="206"/>
        <v>0.23951245794429976</v>
      </c>
      <c r="BD85" s="173"/>
      <c r="BE85" s="528">
        <f t="shared" si="207"/>
        <v>0.41738925745964728</v>
      </c>
      <c r="BF85" s="528">
        <f t="shared" si="208"/>
        <v>1.7649039458080247</v>
      </c>
      <c r="BG85" s="528">
        <f t="shared" si="209"/>
        <v>0.10331982156784103</v>
      </c>
      <c r="BH85" s="528">
        <f t="shared" si="210"/>
        <v>4.4229310525130482E-2</v>
      </c>
      <c r="BI85">
        <f t="shared" si="211"/>
        <v>3.2155451976235074E-2</v>
      </c>
      <c r="BJ85" s="460">
        <f t="shared" si="279"/>
        <v>135.47527354407609</v>
      </c>
      <c r="BK85">
        <f t="shared" si="212"/>
        <v>2.5967407784987251</v>
      </c>
      <c r="BL85" s="460">
        <f t="shared" si="280"/>
        <v>2596.7407784987249</v>
      </c>
      <c r="BM85" s="173">
        <f t="shared" si="213"/>
        <v>4.97</v>
      </c>
      <c r="BN85" s="173">
        <f t="shared" si="214"/>
        <v>8.8749999999999996E-2</v>
      </c>
      <c r="BO85" s="528"/>
      <c r="BQ85" s="460">
        <f t="shared" si="281"/>
        <v>5058.75</v>
      </c>
      <c r="BR85" s="528">
        <f t="shared" si="215"/>
        <v>0.62608388618947086</v>
      </c>
      <c r="BS85" s="528">
        <f t="shared" si="216"/>
        <v>2.8375174654308184</v>
      </c>
      <c r="BT85" s="528">
        <f t="shared" si="217"/>
        <v>2.8683108755259981E-4</v>
      </c>
      <c r="BU85" s="528">
        <f t="shared" si="218"/>
        <v>1.9005693243645245</v>
      </c>
      <c r="BV85" s="528">
        <f t="shared" si="219"/>
        <v>8.5708748356034263</v>
      </c>
      <c r="BW85" s="625">
        <f t="shared" si="220"/>
        <v>2.00322363067028E-2</v>
      </c>
      <c r="BX85" s="460">
        <f t="shared" si="282"/>
        <v>8590.9070719101292</v>
      </c>
      <c r="BY85" s="173">
        <f t="shared" si="283"/>
        <v>16.246397850408854</v>
      </c>
      <c r="BZ85" s="5">
        <f t="shared" si="284"/>
        <v>121.6</v>
      </c>
      <c r="CA85" s="173">
        <f t="shared" si="285"/>
        <v>0.88214129564677157</v>
      </c>
      <c r="CB85" s="5">
        <f t="shared" si="286"/>
        <v>88.214129564677151</v>
      </c>
      <c r="CC85">
        <f t="shared" si="287"/>
        <v>80</v>
      </c>
      <c r="CE85" s="562">
        <f t="shared" si="221"/>
        <v>-50</v>
      </c>
      <c r="CF85">
        <f t="shared" si="222"/>
        <v>-50</v>
      </c>
      <c r="CG85" s="173">
        <f t="shared" si="223"/>
        <v>0.82098061573546177</v>
      </c>
      <c r="CH85" s="173">
        <f t="shared" si="224"/>
        <v>9.6304191786782969E-2</v>
      </c>
      <c r="CI85" s="170">
        <v>80</v>
      </c>
      <c r="CJ85" s="217">
        <f t="shared" si="309"/>
        <v>8</v>
      </c>
      <c r="CK85" s="217">
        <f t="shared" si="288"/>
        <v>0.2</v>
      </c>
      <c r="CL85" s="217">
        <f t="shared" si="225"/>
        <v>120</v>
      </c>
      <c r="CM85" s="217">
        <f t="shared" si="310"/>
        <v>1.6</v>
      </c>
      <c r="CN85" s="541">
        <f t="shared" si="289"/>
        <v>72</v>
      </c>
      <c r="CO85" s="443">
        <f t="shared" si="226"/>
        <v>15.7</v>
      </c>
      <c r="CP85" s="443">
        <f t="shared" si="227"/>
        <v>87.7</v>
      </c>
      <c r="CQ85" s="443"/>
      <c r="CR85" s="217">
        <f t="shared" si="228"/>
        <v>0.17620137299771166</v>
      </c>
      <c r="CS85" s="172">
        <f t="shared" si="290"/>
        <v>312.98928098277725</v>
      </c>
      <c r="CT85" s="172">
        <f t="shared" si="229"/>
        <v>4.2288329519450798</v>
      </c>
      <c r="CU85" s="217">
        <f t="shared" si="230"/>
        <v>20.865952065518481</v>
      </c>
      <c r="CV85" s="217">
        <f t="shared" si="231"/>
        <v>39.123660122847156</v>
      </c>
      <c r="CW85" s="443">
        <f t="shared" si="232"/>
        <v>15</v>
      </c>
      <c r="CX85" s="217">
        <f t="shared" si="233"/>
        <v>19.16998556998557</v>
      </c>
      <c r="CY85" s="217">
        <f t="shared" si="234"/>
        <v>3.1949975949975951</v>
      </c>
      <c r="CZ85" s="217">
        <f t="shared" si="235"/>
        <v>14.652218270052666</v>
      </c>
      <c r="DA85" s="197">
        <f t="shared" si="236"/>
        <v>107.41163055872293</v>
      </c>
      <c r="DB85" s="443">
        <f t="shared" si="291"/>
        <v>56.03114836293733</v>
      </c>
      <c r="DD85" s="217">
        <f t="shared" si="237"/>
        <v>10</v>
      </c>
      <c r="DE85" s="173">
        <f t="shared" si="238"/>
        <v>7.6433121019108281</v>
      </c>
      <c r="DF85" s="173">
        <f t="shared" si="239"/>
        <v>4.1049030786773102</v>
      </c>
      <c r="DG85" s="173"/>
      <c r="DH85" s="173">
        <f t="shared" si="240"/>
        <v>7.6433121019108281</v>
      </c>
      <c r="DI85" s="545">
        <f t="shared" si="241"/>
        <v>209.33333333333334</v>
      </c>
      <c r="DJ85" s="528">
        <f t="shared" si="242"/>
        <v>4.1049030786773093</v>
      </c>
      <c r="DL85" s="173">
        <f t="shared" si="243"/>
        <v>7.6095178496907341</v>
      </c>
      <c r="DM85" s="173">
        <f t="shared" si="244"/>
        <v>19.16998556998557</v>
      </c>
      <c r="DN85" s="173">
        <f t="shared" si="245"/>
        <v>7.9925819036930159</v>
      </c>
      <c r="DP85" s="545">
        <f t="shared" si="246"/>
        <v>8000</v>
      </c>
      <c r="DQ85" s="460">
        <f t="shared" si="247"/>
        <v>56.03114836293733</v>
      </c>
      <c r="DS85">
        <f t="shared" si="292"/>
        <v>8000</v>
      </c>
      <c r="DT85">
        <f t="shared" si="248"/>
        <v>56.03114836293733</v>
      </c>
      <c r="DV85" s="5">
        <f t="shared" si="293"/>
        <v>17.847215865050259</v>
      </c>
      <c r="DW85" s="5">
        <f t="shared" si="249"/>
        <v>3.1949975949975951</v>
      </c>
      <c r="DX85" s="5">
        <f t="shared" si="294"/>
        <v>14.652218270052664</v>
      </c>
      <c r="DY85" s="173">
        <f t="shared" si="295"/>
        <v>0.1790193842645382</v>
      </c>
      <c r="EA85" s="5">
        <f t="shared" si="250"/>
        <v>170.39987173320506</v>
      </c>
      <c r="EB85" s="5">
        <f t="shared" si="251"/>
        <v>7.9874939874939876</v>
      </c>
      <c r="EC85" s="5">
        <f t="shared" si="252"/>
        <v>6.7834343842836411</v>
      </c>
      <c r="ED85" s="5"/>
      <c r="EE85" s="173">
        <f t="shared" si="296"/>
        <v>4.6828601502428198</v>
      </c>
      <c r="EF85" s="173">
        <f t="shared" si="253"/>
        <v>10.028306756265128</v>
      </c>
      <c r="EG85" s="173">
        <f t="shared" si="254"/>
        <v>0.24697163305625497</v>
      </c>
      <c r="EH85" s="173"/>
      <c r="EI85" s="528">
        <f t="shared" si="255"/>
        <v>0.43858358373464412</v>
      </c>
      <c r="EJ85" s="528">
        <f t="shared" si="256"/>
        <v>1.8840000000000001</v>
      </c>
      <c r="EK85" s="528">
        <f t="shared" si="257"/>
        <v>7.0038935453671652E-3</v>
      </c>
      <c r="EL85" s="528">
        <f t="shared" si="258"/>
        <v>4.3095181109237636E-2</v>
      </c>
      <c r="EM85">
        <f t="shared" si="259"/>
        <v>3.2399999999999998E-2</v>
      </c>
      <c r="EN85" s="460">
        <f t="shared" si="297"/>
        <v>39.403893545367161</v>
      </c>
      <c r="EO85">
        <f t="shared" si="260"/>
        <v>2.8170587629318486</v>
      </c>
      <c r="EP85" s="460">
        <f t="shared" si="298"/>
        <v>2817.0587629318488</v>
      </c>
      <c r="EQ85" s="173">
        <f t="shared" si="261"/>
        <v>4.97</v>
      </c>
      <c r="ER85" s="173">
        <f t="shared" si="262"/>
        <v>8.8749999999999996E-2</v>
      </c>
      <c r="ES85" s="528"/>
      <c r="EU85" s="460">
        <f t="shared" si="299"/>
        <v>5058.75</v>
      </c>
      <c r="EV85" s="528">
        <f t="shared" si="263"/>
        <v>0.65787537560196618</v>
      </c>
      <c r="EW85" s="528">
        <f t="shared" si="300"/>
        <v>3.0170080919325839</v>
      </c>
      <c r="EX85" s="528">
        <f t="shared" si="264"/>
        <v>3.0497493767236728E-4</v>
      </c>
      <c r="EY85" s="528">
        <f t="shared" si="265"/>
        <v>1.8905940114174897</v>
      </c>
      <c r="EZ85" s="528">
        <f t="shared" si="266"/>
        <v>9.133095418030333</v>
      </c>
      <c r="FA85" s="625">
        <f t="shared" si="267"/>
        <v>2.0590794078593398E-2</v>
      </c>
      <c r="FB85" s="460">
        <f t="shared" si="301"/>
        <v>9153.6862121089271</v>
      </c>
      <c r="FC85" s="173">
        <f t="shared" si="302"/>
        <v>17.029494975040777</v>
      </c>
      <c r="FD85" s="5">
        <f t="shared" si="303"/>
        <v>121.6</v>
      </c>
      <c r="FE85" s="173">
        <f t="shared" si="304"/>
        <v>0.87715821241282887</v>
      </c>
      <c r="FF85" s="5">
        <f t="shared" si="305"/>
        <v>87.715821241282882</v>
      </c>
      <c r="FG85">
        <f t="shared" si="306"/>
        <v>80</v>
      </c>
      <c r="FI85" s="562">
        <f t="shared" si="268"/>
        <v>-50</v>
      </c>
      <c r="FJ85">
        <f t="shared" si="269"/>
        <v>-50</v>
      </c>
      <c r="FL85">
        <f t="shared" si="270"/>
        <v>0.82098061573546177</v>
      </c>
    </row>
    <row r="86" spans="5:168">
      <c r="E86" s="170">
        <v>81</v>
      </c>
      <c r="F86" s="217">
        <f t="shared" si="307"/>
        <v>8.1000000000000014</v>
      </c>
      <c r="G86" s="217">
        <f t="shared" si="271"/>
        <v>0.20250000000000001</v>
      </c>
      <c r="H86" s="217">
        <f t="shared" si="176"/>
        <v>121.50000000000003</v>
      </c>
      <c r="I86" s="217">
        <f t="shared" si="308"/>
        <v>1.62</v>
      </c>
      <c r="J86" s="541">
        <f t="shared" si="177"/>
        <v>71.449766946528911</v>
      </c>
      <c r="K86" s="443">
        <f t="shared" si="178"/>
        <v>15.9959875</v>
      </c>
      <c r="L86" s="172">
        <f t="shared" si="179"/>
        <v>87.445754446528909</v>
      </c>
      <c r="M86" s="443"/>
      <c r="N86" s="217">
        <f t="shared" si="180"/>
        <v>0.1829246897261454</v>
      </c>
      <c r="O86" s="172">
        <f t="shared" si="272"/>
        <v>322.4488433313947</v>
      </c>
      <c r="P86" s="172">
        <f t="shared" si="181"/>
        <v>4.3566421498997334</v>
      </c>
      <c r="Q86" s="217">
        <f t="shared" si="182"/>
        <v>21.496589555426315</v>
      </c>
      <c r="R86" s="217">
        <f t="shared" si="183"/>
        <v>40.306105416424337</v>
      </c>
      <c r="S86" s="443">
        <f t="shared" si="184"/>
        <v>15</v>
      </c>
      <c r="T86" s="217">
        <f t="shared" si="185"/>
        <v>18.840197834905737</v>
      </c>
      <c r="U86" s="217">
        <f t="shared" si="186"/>
        <v>3.1642142960111102</v>
      </c>
      <c r="V86" s="217">
        <f t="shared" si="187"/>
        <v>14.133692841337171</v>
      </c>
      <c r="W86" s="197">
        <f t="shared" si="188"/>
        <v>108.91605374749334</v>
      </c>
      <c r="X86" s="443">
        <f t="shared" si="273"/>
        <v>57.149691797458289</v>
      </c>
      <c r="Z86" s="217">
        <f t="shared" si="189"/>
        <v>10</v>
      </c>
      <c r="AA86" s="173">
        <f t="shared" si="190"/>
        <v>7.5018813311775849</v>
      </c>
      <c r="AB86" s="173">
        <f t="shared" si="191"/>
        <v>4.085376551369273</v>
      </c>
      <c r="AC86" s="173"/>
      <c r="AD86" s="173">
        <f t="shared" si="192"/>
        <v>7.5018813311775849</v>
      </c>
      <c r="AE86" s="545">
        <f t="shared" si="193"/>
        <v>215.94583125</v>
      </c>
      <c r="AF86" s="528">
        <f t="shared" si="194"/>
        <v>4.0853765513692739</v>
      </c>
      <c r="AH86" s="173">
        <f t="shared" si="195"/>
        <v>7.6569296345579305</v>
      </c>
      <c r="AI86" s="173">
        <f t="shared" si="196"/>
        <v>18.840197834905737</v>
      </c>
      <c r="AJ86" s="173">
        <f t="shared" si="197"/>
        <v>7.7482946925227685</v>
      </c>
      <c r="AL86" s="545">
        <f t="shared" si="198"/>
        <v>8100.0000000000018</v>
      </c>
      <c r="AM86" s="460">
        <f t="shared" si="199"/>
        <v>57.149691797458289</v>
      </c>
      <c r="AO86">
        <f t="shared" si="274"/>
        <v>8100.0000000000018</v>
      </c>
      <c r="AP86">
        <f t="shared" si="200"/>
        <v>57.149691797458289</v>
      </c>
      <c r="AR86" s="5">
        <f t="shared" si="275"/>
        <v>17.497907137348282</v>
      </c>
      <c r="AS86" s="5">
        <f t="shared" si="201"/>
        <v>3.1642142960111102</v>
      </c>
      <c r="AT86" s="5">
        <f t="shared" si="276"/>
        <v>14.333692841337172</v>
      </c>
      <c r="AU86" s="173">
        <f t="shared" si="277"/>
        <v>0.18083387179814642</v>
      </c>
      <c r="AW86" s="5">
        <f t="shared" si="202"/>
        <v>170.86757198459998</v>
      </c>
      <c r="AX86" s="5">
        <f t="shared" si="203"/>
        <v>8.0094174367781221</v>
      </c>
      <c r="AY86" s="5">
        <f t="shared" si="204"/>
        <v>6.770660760267619</v>
      </c>
      <c r="AZ86" s="5"/>
      <c r="BA86" s="173">
        <f t="shared" si="278"/>
        <v>4.6255642950991538</v>
      </c>
      <c r="BB86" s="173">
        <f t="shared" si="205"/>
        <v>9.8448890177272261</v>
      </c>
      <c r="BC86" s="173">
        <f t="shared" si="206"/>
        <v>0.24245452169147835</v>
      </c>
      <c r="BD86" s="173"/>
      <c r="BE86" s="528">
        <f t="shared" si="207"/>
        <v>0.42791690096192264</v>
      </c>
      <c r="BF86" s="528">
        <f t="shared" si="208"/>
        <v>1.7653846764322902</v>
      </c>
      <c r="BG86" s="528">
        <f t="shared" si="209"/>
        <v>0.10208330399985874</v>
      </c>
      <c r="BH86" s="528">
        <f t="shared" si="210"/>
        <v>4.3700997557593955E-2</v>
      </c>
      <c r="BI86">
        <f t="shared" si="211"/>
        <v>3.215239512593801E-2</v>
      </c>
      <c r="BJ86" s="460">
        <f t="shared" si="279"/>
        <v>134.23569912579674</v>
      </c>
      <c r="BK86">
        <f t="shared" si="212"/>
        <v>2.6188017102863737</v>
      </c>
      <c r="BL86" s="460">
        <f t="shared" si="280"/>
        <v>2618.8017102863737</v>
      </c>
      <c r="BM86" s="173">
        <f t="shared" si="213"/>
        <v>5.0321250000000006</v>
      </c>
      <c r="BN86" s="173">
        <f t="shared" si="214"/>
        <v>8.9859375000000005E-2</v>
      </c>
      <c r="BO86" s="528"/>
      <c r="BQ86" s="460">
        <f t="shared" si="281"/>
        <v>5121.984375</v>
      </c>
      <c r="BR86" s="528">
        <f t="shared" si="215"/>
        <v>0.64187535144288388</v>
      </c>
      <c r="BS86" s="528">
        <f t="shared" si="216"/>
        <v>2.9076551931409846</v>
      </c>
      <c r="BT86" s="528">
        <f t="shared" si="217"/>
        <v>2.9392097544321777E-4</v>
      </c>
      <c r="BU86" s="528">
        <f t="shared" si="218"/>
        <v>1.9020344692292566</v>
      </c>
      <c r="BV86" s="528">
        <f t="shared" si="219"/>
        <v>8.8040407451583302</v>
      </c>
      <c r="BW86" s="625">
        <f t="shared" si="220"/>
        <v>2.0285457664863237E-2</v>
      </c>
      <c r="BX86" s="460">
        <f t="shared" si="282"/>
        <v>8824.3262028231948</v>
      </c>
      <c r="BY86" s="173">
        <f t="shared" si="283"/>
        <v>16.565112288109567</v>
      </c>
      <c r="BZ86" s="5">
        <f t="shared" si="284"/>
        <v>123.12000000000003</v>
      </c>
      <c r="CA86" s="173">
        <f t="shared" si="285"/>
        <v>0.88141103932434162</v>
      </c>
      <c r="CB86" s="5">
        <f t="shared" si="286"/>
        <v>88.141103932434163</v>
      </c>
      <c r="CC86">
        <f t="shared" si="287"/>
        <v>81.000000000000014</v>
      </c>
      <c r="CE86" s="562">
        <f t="shared" si="221"/>
        <v>-50</v>
      </c>
      <c r="CF86">
        <f t="shared" si="222"/>
        <v>-50</v>
      </c>
      <c r="CG86" s="173">
        <f t="shared" si="223"/>
        <v>0.82098061573546177</v>
      </c>
      <c r="CH86" s="173">
        <f t="shared" si="224"/>
        <v>9.6304191786782956E-2</v>
      </c>
      <c r="CI86" s="170">
        <v>81</v>
      </c>
      <c r="CJ86" s="217">
        <f t="shared" si="309"/>
        <v>8.1000000000000014</v>
      </c>
      <c r="CK86" s="217">
        <f t="shared" si="288"/>
        <v>0.20250000000000001</v>
      </c>
      <c r="CL86" s="217">
        <f t="shared" si="225"/>
        <v>121.50000000000003</v>
      </c>
      <c r="CM86" s="217">
        <f t="shared" si="310"/>
        <v>1.62</v>
      </c>
      <c r="CN86" s="541">
        <f t="shared" si="289"/>
        <v>72</v>
      </c>
      <c r="CO86" s="443">
        <f t="shared" si="226"/>
        <v>15.7</v>
      </c>
      <c r="CP86" s="443">
        <f t="shared" si="227"/>
        <v>87.7</v>
      </c>
      <c r="CQ86" s="443"/>
      <c r="CR86" s="217">
        <f t="shared" si="228"/>
        <v>0.17620137299771166</v>
      </c>
      <c r="CS86" s="172">
        <f t="shared" si="290"/>
        <v>312.98928098277725</v>
      </c>
      <c r="CT86" s="172">
        <f t="shared" si="229"/>
        <v>4.2288329519450798</v>
      </c>
      <c r="CU86" s="217">
        <f t="shared" si="230"/>
        <v>20.865952065518481</v>
      </c>
      <c r="CV86" s="217">
        <f t="shared" si="231"/>
        <v>39.123660122847156</v>
      </c>
      <c r="CW86" s="443">
        <f t="shared" si="232"/>
        <v>15</v>
      </c>
      <c r="CX86" s="217">
        <f t="shared" si="233"/>
        <v>19.409610389610396</v>
      </c>
      <c r="CY86" s="217">
        <f t="shared" si="234"/>
        <v>3.2349350649350663</v>
      </c>
      <c r="CZ86" s="217">
        <f t="shared" si="235"/>
        <v>14.83537099842833</v>
      </c>
      <c r="DA86" s="197">
        <f t="shared" si="236"/>
        <v>107.41163055872293</v>
      </c>
      <c r="DB86" s="443">
        <f t="shared" si="291"/>
        <v>55.339405790555361</v>
      </c>
      <c r="DD86" s="217">
        <f t="shared" si="237"/>
        <v>10</v>
      </c>
      <c r="DE86" s="173">
        <f t="shared" si="238"/>
        <v>7.6433121019108281</v>
      </c>
      <c r="DF86" s="173">
        <f t="shared" si="239"/>
        <v>4.1049030786773102</v>
      </c>
      <c r="DG86" s="173"/>
      <c r="DH86" s="173">
        <f t="shared" si="240"/>
        <v>7.6433121019108281</v>
      </c>
      <c r="DI86" s="545">
        <f t="shared" si="241"/>
        <v>211.95000000000005</v>
      </c>
      <c r="DJ86" s="528">
        <f t="shared" si="242"/>
        <v>4.1049030786773093</v>
      </c>
      <c r="DL86" s="173">
        <f t="shared" si="243"/>
        <v>7.6569296345579305</v>
      </c>
      <c r="DM86" s="173">
        <f t="shared" si="244"/>
        <v>19.409610389610396</v>
      </c>
      <c r="DN86" s="173">
        <f t="shared" si="245"/>
        <v>8.1700817700817758</v>
      </c>
      <c r="DP86" s="545">
        <f t="shared" si="246"/>
        <v>8100.0000000000018</v>
      </c>
      <c r="DQ86" s="460">
        <f t="shared" si="247"/>
        <v>55.339405790555361</v>
      </c>
      <c r="DS86">
        <f t="shared" si="292"/>
        <v>8100.0000000000018</v>
      </c>
      <c r="DT86">
        <f t="shared" si="248"/>
        <v>55.339405790555361</v>
      </c>
      <c r="DV86" s="5">
        <f t="shared" si="293"/>
        <v>18.070306063363397</v>
      </c>
      <c r="DW86" s="5">
        <f t="shared" si="249"/>
        <v>3.2349350649350663</v>
      </c>
      <c r="DX86" s="5">
        <f t="shared" si="294"/>
        <v>14.835370998428331</v>
      </c>
      <c r="DY86" s="173">
        <f t="shared" si="295"/>
        <v>0.1790193842645382</v>
      </c>
      <c r="EA86" s="5">
        <f t="shared" si="250"/>
        <v>174.68649350649363</v>
      </c>
      <c r="EB86" s="5">
        <f t="shared" si="251"/>
        <v>8.1884293831168868</v>
      </c>
      <c r="EC86" s="5">
        <f t="shared" si="252"/>
        <v>6.9540801555132816</v>
      </c>
      <c r="ED86" s="5"/>
      <c r="EE86" s="173">
        <f t="shared" si="296"/>
        <v>4.7413959021208569</v>
      </c>
      <c r="EF86" s="173">
        <f t="shared" si="253"/>
        <v>10.153660590718445</v>
      </c>
      <c r="EG86" s="173">
        <f t="shared" si="254"/>
        <v>0.25005877846945818</v>
      </c>
      <c r="EH86" s="173"/>
      <c r="EI86" s="528">
        <f t="shared" si="255"/>
        <v>0.4496167020129691</v>
      </c>
      <c r="EJ86" s="528">
        <f t="shared" si="256"/>
        <v>1.8839999999999997</v>
      </c>
      <c r="EK86" s="528">
        <f t="shared" si="257"/>
        <v>6.9174257238194198E-3</v>
      </c>
      <c r="EL86" s="528">
        <f t="shared" si="258"/>
        <v>4.2563141836284062E-2</v>
      </c>
      <c r="EM86">
        <f t="shared" si="259"/>
        <v>3.2399999999999998E-2</v>
      </c>
      <c r="EN86" s="460">
        <f t="shared" si="297"/>
        <v>39.317425723819419</v>
      </c>
      <c r="EO86">
        <f t="shared" si="260"/>
        <v>2.8403223747128048</v>
      </c>
      <c r="EP86" s="460">
        <f t="shared" si="298"/>
        <v>2840.322374712805</v>
      </c>
      <c r="EQ86" s="173">
        <f t="shared" si="261"/>
        <v>5.0321250000000006</v>
      </c>
      <c r="ER86" s="173">
        <f t="shared" si="262"/>
        <v>8.9859375000000005E-2</v>
      </c>
      <c r="ES86" s="528"/>
      <c r="EU86" s="460">
        <f t="shared" si="299"/>
        <v>5121.984375</v>
      </c>
      <c r="EV86" s="528">
        <f t="shared" si="263"/>
        <v>0.67442505301945366</v>
      </c>
      <c r="EW86" s="528">
        <f t="shared" si="300"/>
        <v>3.0929047017452653</v>
      </c>
      <c r="EX86" s="528">
        <f t="shared" si="264"/>
        <v>3.1264696344818779E-4</v>
      </c>
      <c r="EY86" s="528">
        <f t="shared" si="265"/>
        <v>1.890594011417488</v>
      </c>
      <c r="EZ86" s="528">
        <f t="shared" si="266"/>
        <v>9.393898663258982</v>
      </c>
      <c r="FA86" s="625">
        <f t="shared" si="267"/>
        <v>2.0848179004575817E-2</v>
      </c>
      <c r="FB86" s="460">
        <f t="shared" si="301"/>
        <v>9414.7468422635575</v>
      </c>
      <c r="FC86" s="173">
        <f t="shared" si="302"/>
        <v>17.377053591976367</v>
      </c>
      <c r="FD86" s="5">
        <f t="shared" si="303"/>
        <v>123.12000000000003</v>
      </c>
      <c r="FE86" s="173">
        <f t="shared" si="304"/>
        <v>0.87631730952563736</v>
      </c>
      <c r="FF86" s="5">
        <f t="shared" si="305"/>
        <v>87.631730952563743</v>
      </c>
      <c r="FG86">
        <f t="shared" si="306"/>
        <v>81.000000000000014</v>
      </c>
      <c r="FI86" s="562">
        <f t="shared" si="268"/>
        <v>-50</v>
      </c>
      <c r="FJ86">
        <f t="shared" si="269"/>
        <v>-50</v>
      </c>
      <c r="FL86">
        <f t="shared" si="270"/>
        <v>0.82098061573546177</v>
      </c>
    </row>
    <row r="87" spans="5:168">
      <c r="E87" s="170">
        <v>82</v>
      </c>
      <c r="F87" s="217">
        <f t="shared" si="307"/>
        <v>8.1999999999999993</v>
      </c>
      <c r="G87" s="217">
        <f t="shared" si="271"/>
        <v>0.20499999999999999</v>
      </c>
      <c r="H87" s="217">
        <f t="shared" si="176"/>
        <v>122.99999999999999</v>
      </c>
      <c r="I87" s="217">
        <f t="shared" si="308"/>
        <v>1.64</v>
      </c>
      <c r="J87" s="541">
        <f t="shared" si="177"/>
        <v>71.442973945868772</v>
      </c>
      <c r="K87" s="443">
        <f t="shared" si="178"/>
        <v>15.999641666666665</v>
      </c>
      <c r="L87" s="172">
        <f t="shared" si="179"/>
        <v>87.442615612535434</v>
      </c>
      <c r="M87" s="443"/>
      <c r="N87" s="217">
        <f t="shared" si="180"/>
        <v>0.18297304528906405</v>
      </c>
      <c r="O87" s="172">
        <f t="shared" si="272"/>
        <v>322.50341712293266</v>
      </c>
      <c r="P87" s="172">
        <f t="shared" si="181"/>
        <v>4.3573795024609572</v>
      </c>
      <c r="Q87" s="217">
        <f t="shared" si="182"/>
        <v>21.500227808195511</v>
      </c>
      <c r="R87" s="217">
        <f t="shared" si="183"/>
        <v>40.312927140366583</v>
      </c>
      <c r="S87" s="443">
        <f t="shared" si="184"/>
        <v>15</v>
      </c>
      <c r="T87" s="217">
        <f t="shared" si="185"/>
        <v>19.069565385893963</v>
      </c>
      <c r="U87" s="217">
        <f t="shared" si="186"/>
        <v>3.2030411388544953</v>
      </c>
      <c r="V87" s="217">
        <f t="shared" si="187"/>
        <v>14.302494355700315</v>
      </c>
      <c r="W87" s="197">
        <f t="shared" si="188"/>
        <v>108.93448756152391</v>
      </c>
      <c r="X87" s="443">
        <f t="shared" si="273"/>
        <v>56.479511749731707</v>
      </c>
      <c r="Z87" s="217">
        <f t="shared" si="189"/>
        <v>10</v>
      </c>
      <c r="AA87" s="173">
        <f t="shared" si="190"/>
        <v>7.5001679725118846</v>
      </c>
      <c r="AB87" s="173">
        <f t="shared" si="191"/>
        <v>4.0851347735546799</v>
      </c>
      <c r="AC87" s="173"/>
      <c r="AD87" s="173">
        <f t="shared" si="192"/>
        <v>7.5001679725118846</v>
      </c>
      <c r="AE87" s="545">
        <f t="shared" si="193"/>
        <v>218.66176944444442</v>
      </c>
      <c r="AF87" s="528">
        <f t="shared" si="194"/>
        <v>4.085134773554679</v>
      </c>
      <c r="AH87" s="173">
        <f t="shared" si="195"/>
        <v>7.7040496462822032</v>
      </c>
      <c r="AI87" s="173">
        <f t="shared" si="196"/>
        <v>19.069565385893963</v>
      </c>
      <c r="AJ87" s="173">
        <f t="shared" si="197"/>
        <v>7.9181965821436764</v>
      </c>
      <c r="AL87" s="545">
        <f t="shared" si="198"/>
        <v>8200</v>
      </c>
      <c r="AM87" s="460">
        <f t="shared" si="199"/>
        <v>56.479511749731707</v>
      </c>
      <c r="AO87">
        <f t="shared" si="274"/>
        <v>8200</v>
      </c>
      <c r="AP87">
        <f t="shared" si="200"/>
        <v>56.479511749731707</v>
      </c>
      <c r="AR87" s="5">
        <f t="shared" si="275"/>
        <v>17.705535494554809</v>
      </c>
      <c r="AS87" s="5">
        <f t="shared" si="201"/>
        <v>3.2030411388544953</v>
      </c>
      <c r="AT87" s="5">
        <f t="shared" si="276"/>
        <v>14.502494355700314</v>
      </c>
      <c r="AU87" s="173">
        <f t="shared" si="277"/>
        <v>0.18090619963680646</v>
      </c>
      <c r="AW87" s="5">
        <f t="shared" si="202"/>
        <v>175.09958225737907</v>
      </c>
      <c r="AX87" s="5">
        <f t="shared" si="203"/>
        <v>8.2077929183146434</v>
      </c>
      <c r="AY87" s="5">
        <f t="shared" si="204"/>
        <v>6.9356279997786965</v>
      </c>
      <c r="AZ87" s="5"/>
      <c r="BA87" s="173">
        <f t="shared" si="278"/>
        <v>4.6828138371560195</v>
      </c>
      <c r="BB87" s="173">
        <f t="shared" si="205"/>
        <v>9.9643044197191806</v>
      </c>
      <c r="BC87" s="173">
        <f t="shared" si="206"/>
        <v>0.24539541865033909</v>
      </c>
      <c r="BD87" s="173"/>
      <c r="BE87" s="528">
        <f t="shared" si="207"/>
        <v>0.43857490866919768</v>
      </c>
      <c r="BF87" s="528">
        <f t="shared" si="208"/>
        <v>1.7658594784343651</v>
      </c>
      <c r="BG87" s="528">
        <f t="shared" si="209"/>
        <v>0.10087660716028678</v>
      </c>
      <c r="BH87" s="528">
        <f t="shared" si="210"/>
        <v>4.3185426543654419E-2</v>
      </c>
      <c r="BI87">
        <f t="shared" si="211"/>
        <v>3.2149338275640947E-2</v>
      </c>
      <c r="BJ87" s="460">
        <f t="shared" si="279"/>
        <v>133.02594543592772</v>
      </c>
      <c r="BK87">
        <f t="shared" si="212"/>
        <v>2.6412695884717521</v>
      </c>
      <c r="BL87" s="460">
        <f t="shared" si="280"/>
        <v>2641.2695884717523</v>
      </c>
      <c r="BM87" s="173">
        <f t="shared" si="213"/>
        <v>5.0942499999999988</v>
      </c>
      <c r="BN87" s="173">
        <f t="shared" si="214"/>
        <v>9.0968749999999987E-2</v>
      </c>
      <c r="BO87" s="528"/>
      <c r="BQ87" s="460">
        <f t="shared" si="281"/>
        <v>5185.2187499999991</v>
      </c>
      <c r="BR87" s="528">
        <f t="shared" si="215"/>
        <v>0.65786236300379652</v>
      </c>
      <c r="BS87" s="528">
        <f t="shared" si="216"/>
        <v>2.9786208770650555</v>
      </c>
      <c r="BT87" s="528">
        <f t="shared" si="217"/>
        <v>3.0109455747287598E-4</v>
      </c>
      <c r="BU87" s="528">
        <f t="shared" si="218"/>
        <v>1.9034844200936256</v>
      </c>
      <c r="BV87" s="528">
        <f t="shared" si="219"/>
        <v>9.044540431421245</v>
      </c>
      <c r="BW87" s="625">
        <f t="shared" si="220"/>
        <v>2.0538679788517113E-2</v>
      </c>
      <c r="BX87" s="460">
        <f t="shared" si="282"/>
        <v>9065.0791112097613</v>
      </c>
      <c r="BY87" s="173">
        <f t="shared" si="283"/>
        <v>16.89156744968151</v>
      </c>
      <c r="BZ87" s="5">
        <f t="shared" si="284"/>
        <v>124.63999999999999</v>
      </c>
      <c r="CA87" s="173">
        <f t="shared" si="285"/>
        <v>0.88065159063763676</v>
      </c>
      <c r="CB87" s="5">
        <f t="shared" si="286"/>
        <v>88.065159063763673</v>
      </c>
      <c r="CC87">
        <f t="shared" si="287"/>
        <v>82</v>
      </c>
      <c r="CE87" s="562">
        <f t="shared" si="221"/>
        <v>-50</v>
      </c>
      <c r="CF87">
        <f t="shared" si="222"/>
        <v>-50</v>
      </c>
      <c r="CG87" s="173">
        <f t="shared" si="223"/>
        <v>0.82098061573546177</v>
      </c>
      <c r="CH87" s="173">
        <f t="shared" si="224"/>
        <v>9.6304191786782956E-2</v>
      </c>
      <c r="CI87" s="170">
        <v>82</v>
      </c>
      <c r="CJ87" s="217">
        <f t="shared" si="309"/>
        <v>8.1999999999999993</v>
      </c>
      <c r="CK87" s="217">
        <f t="shared" si="288"/>
        <v>0.20499999999999999</v>
      </c>
      <c r="CL87" s="217">
        <f t="shared" si="225"/>
        <v>122.99999999999999</v>
      </c>
      <c r="CM87" s="217">
        <f t="shared" si="310"/>
        <v>1.64</v>
      </c>
      <c r="CN87" s="541">
        <f t="shared" si="289"/>
        <v>72</v>
      </c>
      <c r="CO87" s="443">
        <f t="shared" si="226"/>
        <v>15.7</v>
      </c>
      <c r="CP87" s="443">
        <f t="shared" si="227"/>
        <v>87.7</v>
      </c>
      <c r="CQ87" s="443"/>
      <c r="CR87" s="217">
        <f t="shared" si="228"/>
        <v>0.17620137299771166</v>
      </c>
      <c r="CS87" s="172">
        <f t="shared" si="290"/>
        <v>312.98928098277725</v>
      </c>
      <c r="CT87" s="172">
        <f t="shared" si="229"/>
        <v>4.2288329519450798</v>
      </c>
      <c r="CU87" s="217">
        <f t="shared" si="230"/>
        <v>20.865952065518481</v>
      </c>
      <c r="CV87" s="217">
        <f t="shared" si="231"/>
        <v>39.123660122847156</v>
      </c>
      <c r="CW87" s="443">
        <f t="shared" si="232"/>
        <v>15</v>
      </c>
      <c r="CX87" s="217">
        <f t="shared" si="233"/>
        <v>19.649235209235208</v>
      </c>
      <c r="CY87" s="217">
        <f t="shared" si="234"/>
        <v>3.2748725348725345</v>
      </c>
      <c r="CZ87" s="217">
        <f t="shared" si="235"/>
        <v>15.018523726803981</v>
      </c>
      <c r="DA87" s="197">
        <f t="shared" si="236"/>
        <v>107.41163055872293</v>
      </c>
      <c r="DB87" s="443">
        <f t="shared" si="291"/>
        <v>54.664534988231537</v>
      </c>
      <c r="DD87" s="217">
        <f t="shared" si="237"/>
        <v>10</v>
      </c>
      <c r="DE87" s="173">
        <f t="shared" si="238"/>
        <v>7.6433121019108281</v>
      </c>
      <c r="DF87" s="173">
        <f t="shared" si="239"/>
        <v>4.1049030786773102</v>
      </c>
      <c r="DG87" s="173"/>
      <c r="DH87" s="173">
        <f t="shared" si="240"/>
        <v>7.6433121019108281</v>
      </c>
      <c r="DI87" s="545">
        <f t="shared" si="241"/>
        <v>214.56666666666666</v>
      </c>
      <c r="DJ87" s="528">
        <f t="shared" si="242"/>
        <v>4.1049030786773093</v>
      </c>
      <c r="DL87" s="173">
        <f t="shared" si="243"/>
        <v>7.7040496462822032</v>
      </c>
      <c r="DM87" s="173">
        <f t="shared" si="244"/>
        <v>19.649235209235208</v>
      </c>
      <c r="DN87" s="173">
        <f t="shared" si="245"/>
        <v>8.3475816364705242</v>
      </c>
      <c r="DP87" s="545">
        <f t="shared" si="246"/>
        <v>8200</v>
      </c>
      <c r="DQ87" s="460">
        <f t="shared" si="247"/>
        <v>54.664534988231537</v>
      </c>
      <c r="DS87">
        <f t="shared" si="292"/>
        <v>8200</v>
      </c>
      <c r="DT87">
        <f t="shared" si="248"/>
        <v>54.664534988231537</v>
      </c>
      <c r="DV87" s="5">
        <f t="shared" si="293"/>
        <v>18.293396261676516</v>
      </c>
      <c r="DW87" s="5">
        <f t="shared" si="249"/>
        <v>3.2748725348725345</v>
      </c>
      <c r="DX87" s="5">
        <f t="shared" si="294"/>
        <v>15.018523726803982</v>
      </c>
      <c r="DY87" s="173">
        <f t="shared" si="295"/>
        <v>0.17901938426453817</v>
      </c>
      <c r="EA87" s="5">
        <f t="shared" si="250"/>
        <v>179.02636523969852</v>
      </c>
      <c r="EB87" s="5">
        <f t="shared" si="251"/>
        <v>8.3918608706108699</v>
      </c>
      <c r="EC87" s="5">
        <f t="shared" si="252"/>
        <v>7.126845749988</v>
      </c>
      <c r="ED87" s="5"/>
      <c r="EE87" s="173">
        <f t="shared" si="296"/>
        <v>4.7999316539988897</v>
      </c>
      <c r="EF87" s="173">
        <f t="shared" si="253"/>
        <v>10.279014425171754</v>
      </c>
      <c r="EG87" s="173">
        <f t="shared" si="254"/>
        <v>0.25314592388266127</v>
      </c>
      <c r="EH87" s="173"/>
      <c r="EI87" s="528">
        <f t="shared" si="255"/>
        <v>0.46078687766121035</v>
      </c>
      <c r="EJ87" s="528">
        <f t="shared" si="256"/>
        <v>1.8839999999999997</v>
      </c>
      <c r="EK87" s="528">
        <f t="shared" si="257"/>
        <v>6.8330668735289415E-3</v>
      </c>
      <c r="EL87" s="528">
        <f t="shared" si="258"/>
        <v>4.2044079130963544E-2</v>
      </c>
      <c r="EM87">
        <f t="shared" si="259"/>
        <v>3.2399999999999998E-2</v>
      </c>
      <c r="EN87" s="460">
        <f t="shared" si="297"/>
        <v>39.233066873528941</v>
      </c>
      <c r="EO87">
        <f t="shared" si="260"/>
        <v>2.8640400713064764</v>
      </c>
      <c r="EP87" s="460">
        <f t="shared" si="298"/>
        <v>2864.0400713064764</v>
      </c>
      <c r="EQ87" s="173">
        <f t="shared" si="261"/>
        <v>5.0942499999999988</v>
      </c>
      <c r="ER87" s="173">
        <f t="shared" si="262"/>
        <v>9.0968749999999987E-2</v>
      </c>
      <c r="ES87" s="528"/>
      <c r="EU87" s="460">
        <f t="shared" si="299"/>
        <v>5185.2187499999991</v>
      </c>
      <c r="EV87" s="528">
        <f t="shared" si="263"/>
        <v>0.69118031649181555</v>
      </c>
      <c r="EW87" s="528">
        <f t="shared" si="300"/>
        <v>3.1697441265866702</v>
      </c>
      <c r="EX87" s="528">
        <f t="shared" si="264"/>
        <v>3.2041429389203071E-4</v>
      </c>
      <c r="EY87" s="528">
        <f t="shared" si="265"/>
        <v>1.8905940114174897</v>
      </c>
      <c r="EZ87" s="528">
        <f t="shared" si="266"/>
        <v>9.6636285036084626</v>
      </c>
      <c r="FA87" s="625">
        <f t="shared" si="267"/>
        <v>2.1105563930558228E-2</v>
      </c>
      <c r="FB87" s="460">
        <f t="shared" si="301"/>
        <v>9684.7340675390205</v>
      </c>
      <c r="FC87" s="173">
        <f t="shared" si="302"/>
        <v>17.733992888845496</v>
      </c>
      <c r="FD87" s="5">
        <f t="shared" si="303"/>
        <v>124.63999999999999</v>
      </c>
      <c r="FE87" s="173">
        <f t="shared" si="304"/>
        <v>0.87544078431030015</v>
      </c>
      <c r="FF87" s="5">
        <f t="shared" si="305"/>
        <v>87.544078431030016</v>
      </c>
      <c r="FG87">
        <f t="shared" si="306"/>
        <v>82</v>
      </c>
      <c r="FI87" s="562">
        <f t="shared" si="268"/>
        <v>-50</v>
      </c>
      <c r="FJ87">
        <f t="shared" si="269"/>
        <v>-50</v>
      </c>
      <c r="FL87">
        <f t="shared" si="270"/>
        <v>0.82098061573546177</v>
      </c>
    </row>
    <row r="88" spans="5:168">
      <c r="E88" s="170">
        <v>83</v>
      </c>
      <c r="F88" s="217">
        <f t="shared" si="307"/>
        <v>8.2999999999999989</v>
      </c>
      <c r="G88" s="217">
        <f t="shared" si="271"/>
        <v>0.20749999999999999</v>
      </c>
      <c r="H88" s="217">
        <f t="shared" si="176"/>
        <v>124.49999999999999</v>
      </c>
      <c r="I88" s="217">
        <f t="shared" si="308"/>
        <v>1.66</v>
      </c>
      <c r="J88" s="541">
        <f t="shared" si="177"/>
        <v>71.436180945208648</v>
      </c>
      <c r="K88" s="443">
        <f t="shared" si="178"/>
        <v>16.003295833333333</v>
      </c>
      <c r="L88" s="172">
        <f t="shared" si="179"/>
        <v>87.439476778541973</v>
      </c>
      <c r="M88" s="443"/>
      <c r="N88" s="217">
        <f t="shared" si="180"/>
        <v>0.18302140432364311</v>
      </c>
      <c r="O88" s="172">
        <f t="shared" si="272"/>
        <v>322.55798082508124</v>
      </c>
      <c r="P88" s="172">
        <f t="shared" si="181"/>
        <v>4.3581167187033207</v>
      </c>
      <c r="Q88" s="217">
        <f t="shared" si="182"/>
        <v>21.503865388338749</v>
      </c>
      <c r="R88" s="217">
        <f t="shared" si="183"/>
        <v>40.319747603135156</v>
      </c>
      <c r="S88" s="443">
        <f t="shared" si="184"/>
        <v>15</v>
      </c>
      <c r="T88" s="217">
        <f t="shared" si="185"/>
        <v>19.298855926853442</v>
      </c>
      <c r="U88" s="217">
        <f t="shared" si="186"/>
        <v>3.2418624296260652</v>
      </c>
      <c r="V88" s="217">
        <f t="shared" si="187"/>
        <v>14.471161036707782</v>
      </c>
      <c r="W88" s="197">
        <f t="shared" si="188"/>
        <v>108.95291796758299</v>
      </c>
      <c r="X88" s="443">
        <f t="shared" si="273"/>
        <v>55.825305084840828</v>
      </c>
      <c r="Z88" s="217">
        <f t="shared" si="189"/>
        <v>10</v>
      </c>
      <c r="AA88" s="173">
        <f t="shared" si="190"/>
        <v>7.498455396297274</v>
      </c>
      <c r="AB88" s="173">
        <f t="shared" si="191"/>
        <v>4.0848929783817844</v>
      </c>
      <c r="AC88" s="173"/>
      <c r="AD88" s="173">
        <f t="shared" si="192"/>
        <v>7.498455396297274</v>
      </c>
      <c r="AE88" s="545">
        <f t="shared" si="193"/>
        <v>221.37892569444438</v>
      </c>
      <c r="AF88" s="528">
        <f t="shared" si="194"/>
        <v>4.0848929783817853</v>
      </c>
      <c r="AH88" s="173">
        <f t="shared" si="195"/>
        <v>7.7508832062024045</v>
      </c>
      <c r="AI88" s="173">
        <f t="shared" si="196"/>
        <v>19.298855926853442</v>
      </c>
      <c r="AJ88" s="173">
        <f t="shared" si="197"/>
        <v>8.0880414272988439</v>
      </c>
      <c r="AL88" s="545">
        <f t="shared" si="198"/>
        <v>8299.9999999999982</v>
      </c>
      <c r="AM88" s="460">
        <f t="shared" si="199"/>
        <v>55.825305084840828</v>
      </c>
      <c r="AO88">
        <f t="shared" si="274"/>
        <v>8299.9999999999982</v>
      </c>
      <c r="AP88">
        <f t="shared" si="200"/>
        <v>55.825305084840828</v>
      </c>
      <c r="AR88" s="5">
        <f t="shared" si="275"/>
        <v>17.913023466333847</v>
      </c>
      <c r="AS88" s="5">
        <f t="shared" si="201"/>
        <v>3.2418624296260652</v>
      </c>
      <c r="AT88" s="5">
        <f t="shared" si="276"/>
        <v>14.671161036707781</v>
      </c>
      <c r="AU88" s="173">
        <f t="shared" si="277"/>
        <v>0.18097795917695841</v>
      </c>
      <c r="AW88" s="5">
        <f t="shared" si="202"/>
        <v>179.38305443930892</v>
      </c>
      <c r="AX88" s="5">
        <f t="shared" si="203"/>
        <v>8.4085806768426057</v>
      </c>
      <c r="AY88" s="5">
        <f t="shared" si="204"/>
        <v>7.1025304797387561</v>
      </c>
      <c r="AZ88" s="5"/>
      <c r="BA88" s="173">
        <f t="shared" si="278"/>
        <v>4.7400593541506026</v>
      </c>
      <c r="BB88" s="173">
        <f t="shared" si="205"/>
        <v>10.083672479853002</v>
      </c>
      <c r="BC88" s="173">
        <f t="shared" si="206"/>
        <v>0.24833514969990922</v>
      </c>
      <c r="BD88" s="173"/>
      <c r="BE88" s="528">
        <f t="shared" si="207"/>
        <v>0.44936325361741253</v>
      </c>
      <c r="BF88" s="528">
        <f t="shared" si="208"/>
        <v>1.7663285610048132</v>
      </c>
      <c r="BG88" s="528">
        <f t="shared" si="209"/>
        <v>9.9698664884054142E-2</v>
      </c>
      <c r="BH88" s="528">
        <f t="shared" si="210"/>
        <v>4.2682141926931629E-2</v>
      </c>
      <c r="BI88">
        <f t="shared" si="211"/>
        <v>3.2146281425343891E-2</v>
      </c>
      <c r="BJ88" s="460">
        <f t="shared" si="279"/>
        <v>131.84494630939804</v>
      </c>
      <c r="BK88">
        <f t="shared" si="212"/>
        <v>2.6641498782697348</v>
      </c>
      <c r="BL88" s="460">
        <f t="shared" si="280"/>
        <v>2664.1498782697349</v>
      </c>
      <c r="BM88" s="173">
        <f t="shared" si="213"/>
        <v>5.1563749999999988</v>
      </c>
      <c r="BN88" s="173">
        <f t="shared" si="214"/>
        <v>9.2078124999999997E-2</v>
      </c>
      <c r="BO88" s="528"/>
      <c r="BQ88" s="460">
        <f t="shared" si="281"/>
        <v>5248.4531249999982</v>
      </c>
      <c r="BR88" s="528">
        <f t="shared" si="215"/>
        <v>0.67404488042611876</v>
      </c>
      <c r="BS88" s="528">
        <f t="shared" si="216"/>
        <v>3.0504135204283434</v>
      </c>
      <c r="BT88" s="528">
        <f t="shared" si="217"/>
        <v>3.0835173288238158E-4</v>
      </c>
      <c r="BU88" s="528">
        <f t="shared" si="218"/>
        <v>1.9049197175942498</v>
      </c>
      <c r="BV88" s="528">
        <f t="shared" si="219"/>
        <v>9.2926739194169343</v>
      </c>
      <c r="BW88" s="625">
        <f t="shared" si="220"/>
        <v>2.0791902650349876E-2</v>
      </c>
      <c r="BX88" s="460">
        <f t="shared" si="282"/>
        <v>9313.4658220672845</v>
      </c>
      <c r="BY88" s="173">
        <f t="shared" si="283"/>
        <v>17.226068825337016</v>
      </c>
      <c r="BZ88" s="5">
        <f t="shared" si="284"/>
        <v>126.15999999999998</v>
      </c>
      <c r="CA88" s="173">
        <f t="shared" si="285"/>
        <v>0.87986232577224344</v>
      </c>
      <c r="CB88" s="5">
        <f t="shared" si="286"/>
        <v>87.986232577224342</v>
      </c>
      <c r="CC88">
        <f t="shared" si="287"/>
        <v>82.999999999999986</v>
      </c>
      <c r="CE88" s="562">
        <f t="shared" si="221"/>
        <v>-50</v>
      </c>
      <c r="CF88">
        <f t="shared" si="222"/>
        <v>-50</v>
      </c>
      <c r="CG88" s="173">
        <f t="shared" si="223"/>
        <v>0.82098061573546177</v>
      </c>
      <c r="CH88" s="173">
        <f t="shared" si="224"/>
        <v>9.6304191786782969E-2</v>
      </c>
      <c r="CI88" s="170">
        <v>83</v>
      </c>
      <c r="CJ88" s="217">
        <f t="shared" si="309"/>
        <v>8.2999999999999989</v>
      </c>
      <c r="CK88" s="217">
        <f t="shared" si="288"/>
        <v>0.20749999999999999</v>
      </c>
      <c r="CL88" s="217">
        <f t="shared" si="225"/>
        <v>124.49999999999999</v>
      </c>
      <c r="CM88" s="217">
        <f t="shared" si="310"/>
        <v>1.66</v>
      </c>
      <c r="CN88" s="541">
        <f t="shared" si="289"/>
        <v>72</v>
      </c>
      <c r="CO88" s="443">
        <f t="shared" si="226"/>
        <v>15.7</v>
      </c>
      <c r="CP88" s="443">
        <f t="shared" si="227"/>
        <v>87.7</v>
      </c>
      <c r="CQ88" s="443"/>
      <c r="CR88" s="217">
        <f t="shared" si="228"/>
        <v>0.17620137299771166</v>
      </c>
      <c r="CS88" s="172">
        <f t="shared" si="290"/>
        <v>312.98928098277725</v>
      </c>
      <c r="CT88" s="172">
        <f t="shared" si="229"/>
        <v>4.2288329519450798</v>
      </c>
      <c r="CU88" s="217">
        <f t="shared" si="230"/>
        <v>20.865952065518481</v>
      </c>
      <c r="CV88" s="217">
        <f t="shared" si="231"/>
        <v>39.123660122847156</v>
      </c>
      <c r="CW88" s="443">
        <f t="shared" si="232"/>
        <v>15</v>
      </c>
      <c r="CX88" s="217">
        <f t="shared" si="233"/>
        <v>19.888860028860027</v>
      </c>
      <c r="CY88" s="217">
        <f t="shared" si="234"/>
        <v>3.3148100048100049</v>
      </c>
      <c r="CZ88" s="217">
        <f t="shared" si="235"/>
        <v>15.201676455179639</v>
      </c>
      <c r="DA88" s="197">
        <f t="shared" si="236"/>
        <v>107.41163055872293</v>
      </c>
      <c r="DB88" s="443">
        <f t="shared" si="291"/>
        <v>54.005926132951643</v>
      </c>
      <c r="DD88" s="217">
        <f t="shared" si="237"/>
        <v>10</v>
      </c>
      <c r="DE88" s="173">
        <f t="shared" si="238"/>
        <v>7.6433121019108281</v>
      </c>
      <c r="DF88" s="173">
        <f t="shared" si="239"/>
        <v>4.1049030786773102</v>
      </c>
      <c r="DG88" s="173"/>
      <c r="DH88" s="173">
        <f t="shared" si="240"/>
        <v>7.6433121019108281</v>
      </c>
      <c r="DI88" s="545">
        <f t="shared" si="241"/>
        <v>217.18333333333331</v>
      </c>
      <c r="DJ88" s="528">
        <f t="shared" si="242"/>
        <v>4.1049030786773093</v>
      </c>
      <c r="DL88" s="173">
        <f t="shared" si="243"/>
        <v>7.7508832062024045</v>
      </c>
      <c r="DM88" s="173">
        <f t="shared" si="244"/>
        <v>19.888860028860027</v>
      </c>
      <c r="DN88" s="173">
        <f t="shared" si="245"/>
        <v>8.5250815028592779</v>
      </c>
      <c r="DP88" s="545">
        <f t="shared" si="246"/>
        <v>8299.9999999999982</v>
      </c>
      <c r="DQ88" s="460">
        <f t="shared" si="247"/>
        <v>54.005926132951643</v>
      </c>
      <c r="DS88">
        <f t="shared" si="292"/>
        <v>8299.9999999999982</v>
      </c>
      <c r="DT88">
        <f t="shared" si="248"/>
        <v>54.005926132951643</v>
      </c>
      <c r="DV88" s="5">
        <f t="shared" si="293"/>
        <v>18.516486459989647</v>
      </c>
      <c r="DW88" s="5">
        <f t="shared" si="249"/>
        <v>3.3148100048100049</v>
      </c>
      <c r="DX88" s="5">
        <f t="shared" si="294"/>
        <v>15.201676455179642</v>
      </c>
      <c r="DY88" s="173">
        <f t="shared" si="295"/>
        <v>0.17901938426453817</v>
      </c>
      <c r="EA88" s="5">
        <f t="shared" si="250"/>
        <v>183.41948693282026</v>
      </c>
      <c r="EB88" s="5">
        <f t="shared" si="251"/>
        <v>8.5977884499759512</v>
      </c>
      <c r="EC88" s="5">
        <f t="shared" si="252"/>
        <v>7.3017311677078132</v>
      </c>
      <c r="ED88" s="5"/>
      <c r="EE88" s="173">
        <f t="shared" si="296"/>
        <v>4.858467405876925</v>
      </c>
      <c r="EF88" s="173">
        <f t="shared" si="253"/>
        <v>10.404368259625068</v>
      </c>
      <c r="EG88" s="173">
        <f t="shared" si="254"/>
        <v>0.25623306929586442</v>
      </c>
      <c r="EH88" s="173"/>
      <c r="EI88" s="528">
        <f t="shared" si="255"/>
        <v>0.47209411067936913</v>
      </c>
      <c r="EJ88" s="528">
        <f t="shared" si="256"/>
        <v>1.8840000000000001</v>
      </c>
      <c r="EK88" s="528">
        <f t="shared" si="257"/>
        <v>6.7507407666189548E-3</v>
      </c>
      <c r="EL88" s="528">
        <f t="shared" si="258"/>
        <v>4.1537523960710969E-2</v>
      </c>
      <c r="EM88">
        <f t="shared" si="259"/>
        <v>3.2399999999999998E-2</v>
      </c>
      <c r="EN88" s="460">
        <f t="shared" si="297"/>
        <v>39.150740766618952</v>
      </c>
      <c r="EO88">
        <f t="shared" si="260"/>
        <v>2.8882179206475782</v>
      </c>
      <c r="EP88" s="460">
        <f t="shared" si="298"/>
        <v>2888.217920647578</v>
      </c>
      <c r="EQ88" s="173">
        <f t="shared" si="261"/>
        <v>5.1563749999999988</v>
      </c>
      <c r="ER88" s="173">
        <f t="shared" si="262"/>
        <v>9.2078124999999997E-2</v>
      </c>
      <c r="ES88" s="528"/>
      <c r="EU88" s="460">
        <f t="shared" si="299"/>
        <v>5248.4531249999982</v>
      </c>
      <c r="EV88" s="528">
        <f t="shared" si="263"/>
        <v>0.70814116601905364</v>
      </c>
      <c r="EW88" s="528">
        <f t="shared" si="300"/>
        <v>3.2475263664568068</v>
      </c>
      <c r="EX88" s="528">
        <f t="shared" si="264"/>
        <v>3.2827692900389628E-4</v>
      </c>
      <c r="EY88" s="528">
        <f t="shared" si="265"/>
        <v>1.890594011417488</v>
      </c>
      <c r="EZ88" s="528">
        <f t="shared" si="266"/>
        <v>9.9426870930147278</v>
      </c>
      <c r="FA88" s="625">
        <f t="shared" si="267"/>
        <v>2.1362948856540644E-2</v>
      </c>
      <c r="FB88" s="460">
        <f t="shared" si="301"/>
        <v>9964.0500418712672</v>
      </c>
      <c r="FC88" s="173">
        <f t="shared" si="302"/>
        <v>18.100721087518849</v>
      </c>
      <c r="FD88" s="5">
        <f t="shared" si="303"/>
        <v>126.15999999999998</v>
      </c>
      <c r="FE88" s="173">
        <f t="shared" si="304"/>
        <v>0.87452772347825936</v>
      </c>
      <c r="FF88" s="5">
        <f t="shared" si="305"/>
        <v>87.452772347825942</v>
      </c>
      <c r="FG88">
        <f t="shared" si="306"/>
        <v>82.999999999999986</v>
      </c>
      <c r="FI88" s="562">
        <f t="shared" si="268"/>
        <v>-50</v>
      </c>
      <c r="FJ88">
        <f t="shared" si="269"/>
        <v>-50</v>
      </c>
      <c r="FL88">
        <f t="shared" si="270"/>
        <v>0.82098061573546177</v>
      </c>
    </row>
    <row r="89" spans="5:168">
      <c r="E89" s="170">
        <v>84</v>
      </c>
      <c r="F89" s="217">
        <f t="shared" si="307"/>
        <v>8.4</v>
      </c>
      <c r="G89" s="217">
        <f t="shared" si="271"/>
        <v>0.21</v>
      </c>
      <c r="H89" s="217">
        <f t="shared" si="176"/>
        <v>126</v>
      </c>
      <c r="I89" s="217">
        <f t="shared" si="308"/>
        <v>1.68</v>
      </c>
      <c r="J89" s="541">
        <f t="shared" si="177"/>
        <v>71.429387944548509</v>
      </c>
      <c r="K89" s="443">
        <f t="shared" si="178"/>
        <v>16.00695</v>
      </c>
      <c r="L89" s="172">
        <f t="shared" si="179"/>
        <v>87.436337944548512</v>
      </c>
      <c r="M89" s="443"/>
      <c r="N89" s="217">
        <f t="shared" si="180"/>
        <v>0.18306976683025644</v>
      </c>
      <c r="O89" s="172">
        <f t="shared" si="272"/>
        <v>322.61253443675395</v>
      </c>
      <c r="P89" s="172">
        <f t="shared" si="181"/>
        <v>4.3588537986121425</v>
      </c>
      <c r="Q89" s="217">
        <f t="shared" si="182"/>
        <v>21.507502295783596</v>
      </c>
      <c r="R89" s="217">
        <f t="shared" si="183"/>
        <v>40.326566804594243</v>
      </c>
      <c r="S89" s="443">
        <f t="shared" si="184"/>
        <v>15</v>
      </c>
      <c r="T89" s="217">
        <f t="shared" si="185"/>
        <v>19.528069518436748</v>
      </c>
      <c r="U89" s="217">
        <f t="shared" si="186"/>
        <v>3.280678176931314</v>
      </c>
      <c r="V89" s="217">
        <f t="shared" si="187"/>
        <v>14.639693022171057</v>
      </c>
      <c r="W89" s="197">
        <f t="shared" si="188"/>
        <v>108.97134496530356</v>
      </c>
      <c r="X89" s="443">
        <f t="shared" si="273"/>
        <v>55.18650744028561</v>
      </c>
      <c r="Z89" s="217">
        <f t="shared" si="189"/>
        <v>10</v>
      </c>
      <c r="AA89" s="173">
        <f t="shared" si="190"/>
        <v>7.4967436019978821</v>
      </c>
      <c r="AB89" s="173">
        <f t="shared" si="191"/>
        <v>4.0846511658487179</v>
      </c>
      <c r="AC89" s="173"/>
      <c r="AD89" s="173">
        <f t="shared" si="192"/>
        <v>7.4967436019978821</v>
      </c>
      <c r="AE89" s="545">
        <f t="shared" si="193"/>
        <v>224.09730000000002</v>
      </c>
      <c r="AF89" s="528">
        <f t="shared" si="194"/>
        <v>4.0846511658487188</v>
      </c>
      <c r="AH89" s="173">
        <f t="shared" si="195"/>
        <v>7.7974354758471707</v>
      </c>
      <c r="AI89" s="173">
        <f t="shared" si="196"/>
        <v>19.528069518436748</v>
      </c>
      <c r="AJ89" s="173">
        <f t="shared" si="197"/>
        <v>8.2578292729161085</v>
      </c>
      <c r="AL89" s="545">
        <f t="shared" si="198"/>
        <v>8400</v>
      </c>
      <c r="AM89" s="460">
        <f t="shared" si="199"/>
        <v>55.18650744028561</v>
      </c>
      <c r="AO89">
        <f t="shared" si="274"/>
        <v>8400</v>
      </c>
      <c r="AP89">
        <f t="shared" si="200"/>
        <v>55.18650744028561</v>
      </c>
      <c r="AR89" s="5">
        <f t="shared" si="275"/>
        <v>18.120371199102369</v>
      </c>
      <c r="AS89" s="5">
        <f t="shared" si="201"/>
        <v>3.280678176931314</v>
      </c>
      <c r="AT89" s="5">
        <f t="shared" si="276"/>
        <v>14.839693022171055</v>
      </c>
      <c r="AU89" s="173">
        <f t="shared" si="277"/>
        <v>0.1810491706204026</v>
      </c>
      <c r="AW89" s="5">
        <f t="shared" si="202"/>
        <v>183.71797790815359</v>
      </c>
      <c r="AX89" s="5">
        <f t="shared" si="203"/>
        <v>8.6117802144446998</v>
      </c>
      <c r="AY89" s="5">
        <f t="shared" si="204"/>
        <v>7.2713664602473562</v>
      </c>
      <c r="AZ89" s="5"/>
      <c r="BA89" s="173">
        <f t="shared" si="278"/>
        <v>4.797300849955036</v>
      </c>
      <c r="BB89" s="173">
        <f t="shared" si="205"/>
        <v>10.202993233719221</v>
      </c>
      <c r="BC89" s="173">
        <f t="shared" si="206"/>
        <v>0.25127371571669299</v>
      </c>
      <c r="BD89" s="173"/>
      <c r="BE89" s="528">
        <f t="shared" si="207"/>
        <v>0.46028190889958626</v>
      </c>
      <c r="BF89" s="528">
        <f t="shared" si="208"/>
        <v>1.7667921234795692</v>
      </c>
      <c r="BG89" s="528">
        <f t="shared" si="209"/>
        <v>9.854846123142183E-2</v>
      </c>
      <c r="BH89" s="528">
        <f t="shared" si="210"/>
        <v>4.2190709611577996E-2</v>
      </c>
      <c r="BI89">
        <f t="shared" si="211"/>
        <v>3.2143224575046828E-2</v>
      </c>
      <c r="BJ89" s="460">
        <f t="shared" si="279"/>
        <v>130.69168580646868</v>
      </c>
      <c r="BK89">
        <f t="shared" si="212"/>
        <v>2.6874482059721387</v>
      </c>
      <c r="BL89" s="460">
        <f t="shared" si="280"/>
        <v>2687.4482059721386</v>
      </c>
      <c r="BM89" s="173">
        <f t="shared" si="213"/>
        <v>5.2184999999999997</v>
      </c>
      <c r="BN89" s="173">
        <f t="shared" si="214"/>
        <v>9.3187499999999993E-2</v>
      </c>
      <c r="BO89" s="528"/>
      <c r="BQ89" s="460">
        <f t="shared" si="281"/>
        <v>5311.6875</v>
      </c>
      <c r="BR89" s="528">
        <f t="shared" si="215"/>
        <v>0.6904228633493793</v>
      </c>
      <c r="BS89" s="528">
        <f t="shared" si="216"/>
        <v>3.1230321278196063</v>
      </c>
      <c r="BT89" s="528">
        <f t="shared" si="217"/>
        <v>3.1569240105036719E-4</v>
      </c>
      <c r="BU89" s="528">
        <f t="shared" si="218"/>
        <v>1.9063408771037678</v>
      </c>
      <c r="BV89" s="528">
        <f t="shared" si="219"/>
        <v>9.5487585622736084</v>
      </c>
      <c r="BW89" s="625">
        <f t="shared" si="220"/>
        <v>2.1045126224334146E-2</v>
      </c>
      <c r="BX89" s="460">
        <f t="shared" si="282"/>
        <v>9569.8036884979429</v>
      </c>
      <c r="BY89" s="173">
        <f t="shared" si="283"/>
        <v>17.568939394470082</v>
      </c>
      <c r="BZ89" s="5">
        <f t="shared" si="284"/>
        <v>127.68</v>
      </c>
      <c r="CA89" s="173">
        <f t="shared" si="285"/>
        <v>0.87904256328677222</v>
      </c>
      <c r="CB89" s="5">
        <f t="shared" si="286"/>
        <v>87.904256328677221</v>
      </c>
      <c r="CC89">
        <f t="shared" si="287"/>
        <v>84.000000000000014</v>
      </c>
      <c r="CE89" s="562">
        <f t="shared" si="221"/>
        <v>-50</v>
      </c>
      <c r="CF89">
        <f t="shared" si="222"/>
        <v>-50</v>
      </c>
      <c r="CG89" s="173">
        <f t="shared" si="223"/>
        <v>0.82098061573546177</v>
      </c>
      <c r="CH89" s="173">
        <f t="shared" si="224"/>
        <v>9.6304191786782969E-2</v>
      </c>
      <c r="CI89" s="170">
        <v>84</v>
      </c>
      <c r="CJ89" s="217">
        <f t="shared" si="309"/>
        <v>8.4</v>
      </c>
      <c r="CK89" s="217">
        <f t="shared" si="288"/>
        <v>0.21</v>
      </c>
      <c r="CL89" s="217">
        <f t="shared" si="225"/>
        <v>126</v>
      </c>
      <c r="CM89" s="217">
        <f t="shared" si="310"/>
        <v>1.68</v>
      </c>
      <c r="CN89" s="541">
        <f t="shared" si="289"/>
        <v>72</v>
      </c>
      <c r="CO89" s="443">
        <f t="shared" si="226"/>
        <v>15.7</v>
      </c>
      <c r="CP89" s="443">
        <f t="shared" si="227"/>
        <v>87.7</v>
      </c>
      <c r="CQ89" s="443"/>
      <c r="CR89" s="217">
        <f t="shared" si="228"/>
        <v>0.17620137299771166</v>
      </c>
      <c r="CS89" s="172">
        <f t="shared" si="290"/>
        <v>312.98928098277725</v>
      </c>
      <c r="CT89" s="172">
        <f t="shared" si="229"/>
        <v>4.2288329519450798</v>
      </c>
      <c r="CU89" s="217">
        <f t="shared" si="230"/>
        <v>20.865952065518481</v>
      </c>
      <c r="CV89" s="217">
        <f t="shared" si="231"/>
        <v>39.123660122847156</v>
      </c>
      <c r="CW89" s="443">
        <f t="shared" si="232"/>
        <v>15</v>
      </c>
      <c r="CX89" s="217">
        <f t="shared" si="233"/>
        <v>20.128484848484852</v>
      </c>
      <c r="CY89" s="217">
        <f t="shared" si="234"/>
        <v>3.3547474747474757</v>
      </c>
      <c r="CZ89" s="217">
        <f t="shared" si="235"/>
        <v>15.384829183555301</v>
      </c>
      <c r="DA89" s="197">
        <f t="shared" si="236"/>
        <v>107.41163055872293</v>
      </c>
      <c r="DB89" s="443">
        <f t="shared" si="291"/>
        <v>53.362998440892689</v>
      </c>
      <c r="DD89" s="217">
        <f t="shared" si="237"/>
        <v>10</v>
      </c>
      <c r="DE89" s="173">
        <f t="shared" si="238"/>
        <v>7.6433121019108281</v>
      </c>
      <c r="DF89" s="173">
        <f t="shared" si="239"/>
        <v>4.1049030786773102</v>
      </c>
      <c r="DG89" s="173"/>
      <c r="DH89" s="173">
        <f t="shared" si="240"/>
        <v>7.6433121019108281</v>
      </c>
      <c r="DI89" s="545">
        <f t="shared" si="241"/>
        <v>219.80000000000004</v>
      </c>
      <c r="DJ89" s="528">
        <f t="shared" si="242"/>
        <v>4.1049030786773093</v>
      </c>
      <c r="DL89" s="173">
        <f t="shared" si="243"/>
        <v>7.7974354758471707</v>
      </c>
      <c r="DM89" s="173">
        <f t="shared" si="244"/>
        <v>20.128484848484852</v>
      </c>
      <c r="DN89" s="173">
        <f t="shared" si="245"/>
        <v>8.7025813692480387</v>
      </c>
      <c r="DP89" s="545">
        <f t="shared" si="246"/>
        <v>8400</v>
      </c>
      <c r="DQ89" s="460">
        <f t="shared" si="247"/>
        <v>53.362998440892689</v>
      </c>
      <c r="DS89">
        <f t="shared" si="292"/>
        <v>8400</v>
      </c>
      <c r="DT89">
        <f t="shared" si="248"/>
        <v>53.362998440892689</v>
      </c>
      <c r="DV89" s="5">
        <f t="shared" si="293"/>
        <v>18.739576658302774</v>
      </c>
      <c r="DW89" s="5">
        <f t="shared" si="249"/>
        <v>3.3547474747474757</v>
      </c>
      <c r="DX89" s="5">
        <f t="shared" si="294"/>
        <v>15.384829183555297</v>
      </c>
      <c r="DY89" s="173">
        <f t="shared" si="295"/>
        <v>0.17901938426453826</v>
      </c>
      <c r="EA89" s="5">
        <f t="shared" si="250"/>
        <v>187.86585858585863</v>
      </c>
      <c r="EB89" s="5">
        <f t="shared" si="251"/>
        <v>8.8062121212121234</v>
      </c>
      <c r="EC89" s="5">
        <f t="shared" si="252"/>
        <v>7.4787364086727139</v>
      </c>
      <c r="ED89" s="5"/>
      <c r="EE89" s="173">
        <f t="shared" si="296"/>
        <v>4.9170031577549631</v>
      </c>
      <c r="EF89" s="173">
        <f t="shared" si="253"/>
        <v>10.529722094078386</v>
      </c>
      <c r="EG89" s="173">
        <f t="shared" si="254"/>
        <v>0.25932021470906774</v>
      </c>
      <c r="EH89" s="173"/>
      <c r="EI89" s="528">
        <f t="shared" si="255"/>
        <v>0.48353840106744556</v>
      </c>
      <c r="EJ89" s="528">
        <f t="shared" si="256"/>
        <v>1.8840000000000001</v>
      </c>
      <c r="EK89" s="528">
        <f t="shared" si="257"/>
        <v>6.6703748051115865E-3</v>
      </c>
      <c r="EL89" s="528">
        <f t="shared" si="258"/>
        <v>4.1043029627845361E-2</v>
      </c>
      <c r="EM89">
        <f t="shared" si="259"/>
        <v>3.2399999999999998E-2</v>
      </c>
      <c r="EN89" s="460">
        <f t="shared" si="297"/>
        <v>39.070374805111584</v>
      </c>
      <c r="EO89">
        <f t="shared" si="260"/>
        <v>2.9128621948110056</v>
      </c>
      <c r="EP89" s="460">
        <f t="shared" si="298"/>
        <v>2912.8621948110058</v>
      </c>
      <c r="EQ89" s="173">
        <f t="shared" si="261"/>
        <v>5.2184999999999997</v>
      </c>
      <c r="ER89" s="173">
        <f t="shared" si="262"/>
        <v>9.3187499999999993E-2</v>
      </c>
      <c r="ES89" s="528"/>
      <c r="EU89" s="460">
        <f t="shared" si="299"/>
        <v>5311.6875</v>
      </c>
      <c r="EV89" s="528">
        <f t="shared" si="263"/>
        <v>0.72530760160116836</v>
      </c>
      <c r="EW89" s="528">
        <f t="shared" si="300"/>
        <v>3.3262514213556749</v>
      </c>
      <c r="EX89" s="528">
        <f t="shared" si="264"/>
        <v>3.3623486878378496E-4</v>
      </c>
      <c r="EY89" s="528">
        <f t="shared" si="265"/>
        <v>1.8905940114174895</v>
      </c>
      <c r="EZ89" s="528">
        <f t="shared" si="266"/>
        <v>10.231502127040239</v>
      </c>
      <c r="FA89" s="625">
        <f t="shared" si="267"/>
        <v>2.1620333782523073E-2</v>
      </c>
      <c r="FB89" s="460">
        <f t="shared" si="301"/>
        <v>10253.122460822762</v>
      </c>
      <c r="FC89" s="173">
        <f t="shared" si="302"/>
        <v>18.477672155633769</v>
      </c>
      <c r="FD89" s="5">
        <f t="shared" si="303"/>
        <v>127.68</v>
      </c>
      <c r="FE89" s="173">
        <f t="shared" si="304"/>
        <v>0.8735771315791202</v>
      </c>
      <c r="FF89" s="5">
        <f t="shared" si="305"/>
        <v>87.357713157912016</v>
      </c>
      <c r="FG89">
        <f t="shared" si="306"/>
        <v>84.000000000000014</v>
      </c>
      <c r="FI89" s="562">
        <f t="shared" si="268"/>
        <v>-50</v>
      </c>
      <c r="FJ89">
        <f t="shared" si="269"/>
        <v>-50</v>
      </c>
      <c r="FL89">
        <f t="shared" si="270"/>
        <v>0.82098061573546177</v>
      </c>
    </row>
    <row r="90" spans="5:168">
      <c r="E90" s="170">
        <v>85</v>
      </c>
      <c r="F90" s="217">
        <f t="shared" si="307"/>
        <v>8.5</v>
      </c>
      <c r="G90" s="217">
        <f t="shared" si="271"/>
        <v>0.21249999999999999</v>
      </c>
      <c r="H90" s="217">
        <f t="shared" si="176"/>
        <v>127.5</v>
      </c>
      <c r="I90" s="217">
        <f t="shared" si="308"/>
        <v>1.7</v>
      </c>
      <c r="J90" s="541">
        <f t="shared" si="177"/>
        <v>71.42259494388837</v>
      </c>
      <c r="K90" s="443">
        <f t="shared" si="178"/>
        <v>16.010604166666667</v>
      </c>
      <c r="L90" s="172">
        <f t="shared" si="179"/>
        <v>87.433199110555037</v>
      </c>
      <c r="M90" s="443"/>
      <c r="N90" s="217">
        <f t="shared" si="180"/>
        <v>0.18311813280927802</v>
      </c>
      <c r="O90" s="172">
        <f t="shared" si="272"/>
        <v>322.66707795686398</v>
      </c>
      <c r="P90" s="172">
        <f t="shared" si="181"/>
        <v>4.35959074217274</v>
      </c>
      <c r="Q90" s="217">
        <f t="shared" si="182"/>
        <v>21.511138530457597</v>
      </c>
      <c r="R90" s="217">
        <f t="shared" si="183"/>
        <v>40.333384744607997</v>
      </c>
      <c r="S90" s="443">
        <f t="shared" si="184"/>
        <v>15</v>
      </c>
      <c r="T90" s="217">
        <f t="shared" si="185"/>
        <v>19.757206221244072</v>
      </c>
      <c r="U90" s="217">
        <f t="shared" si="186"/>
        <v>3.3194883893702096</v>
      </c>
      <c r="V90" s="217">
        <f t="shared" si="187"/>
        <v>14.808090449736548</v>
      </c>
      <c r="W90" s="197">
        <f t="shared" si="188"/>
        <v>108.98976855431849</v>
      </c>
      <c r="X90" s="443">
        <f t="shared" si="273"/>
        <v>54.562580730316348</v>
      </c>
      <c r="Z90" s="217">
        <f t="shared" si="189"/>
        <v>10</v>
      </c>
      <c r="AA90" s="173">
        <f t="shared" si="190"/>
        <v>7.4950325890783329</v>
      </c>
      <c r="AB90" s="173">
        <f t="shared" si="191"/>
        <v>4.0844093359536098</v>
      </c>
      <c r="AC90" s="173"/>
      <c r="AD90" s="173">
        <f t="shared" si="192"/>
        <v>7.4950325890783329</v>
      </c>
      <c r="AE90" s="545">
        <f t="shared" si="193"/>
        <v>226.81689236111109</v>
      </c>
      <c r="AF90" s="528">
        <f t="shared" si="194"/>
        <v>4.0844093359536098</v>
      </c>
      <c r="AH90" s="173">
        <f t="shared" si="195"/>
        <v>7.8437114635744676</v>
      </c>
      <c r="AI90" s="173">
        <f t="shared" si="196"/>
        <v>19.757206221244072</v>
      </c>
      <c r="AJ90" s="173">
        <f t="shared" si="197"/>
        <v>8.4275601638844968</v>
      </c>
      <c r="AL90" s="545">
        <f t="shared" si="198"/>
        <v>8500</v>
      </c>
      <c r="AM90" s="460">
        <f t="shared" si="199"/>
        <v>54.562580730316348</v>
      </c>
      <c r="AO90">
        <f t="shared" si="274"/>
        <v>8500</v>
      </c>
      <c r="AP90">
        <f t="shared" si="200"/>
        <v>54.562580730316348</v>
      </c>
      <c r="AR90" s="5">
        <f t="shared" si="275"/>
        <v>18.327578839106756</v>
      </c>
      <c r="AS90" s="5">
        <f t="shared" si="201"/>
        <v>3.3194883893702096</v>
      </c>
      <c r="AT90" s="5">
        <f t="shared" si="276"/>
        <v>15.008090449736546</v>
      </c>
      <c r="AU90" s="173">
        <f t="shared" si="277"/>
        <v>0.18111985322835986</v>
      </c>
      <c r="AW90" s="5">
        <f t="shared" si="202"/>
        <v>188.10434206431188</v>
      </c>
      <c r="AX90" s="5">
        <f t="shared" si="203"/>
        <v>8.8173910342646202</v>
      </c>
      <c r="AY90" s="5">
        <f t="shared" si="204"/>
        <v>7.4421342038761393</v>
      </c>
      <c r="AZ90" s="5"/>
      <c r="BA90" s="173">
        <f t="shared" si="278"/>
        <v>4.8545383285426285</v>
      </c>
      <c r="BB90" s="173">
        <f t="shared" si="205"/>
        <v>10.322266716810107</v>
      </c>
      <c r="BC90" s="173">
        <f t="shared" si="206"/>
        <v>0.25421111757477438</v>
      </c>
      <c r="BD90" s="173"/>
      <c r="BE90" s="528">
        <f t="shared" si="207"/>
        <v>0.47133084766578914</v>
      </c>
      <c r="BF90" s="528">
        <f t="shared" si="208"/>
        <v>1.7672503559134745</v>
      </c>
      <c r="BG90" s="528">
        <f t="shared" si="209"/>
        <v>9.7425027564864833E-2</v>
      </c>
      <c r="BH90" s="528">
        <f t="shared" si="210"/>
        <v>4.171071571327388E-2</v>
      </c>
      <c r="BI90">
        <f t="shared" si="211"/>
        <v>3.2140167724749764E-2</v>
      </c>
      <c r="BJ90" s="460">
        <f t="shared" si="279"/>
        <v>129.56519528961459</v>
      </c>
      <c r="BK90">
        <f t="shared" si="212"/>
        <v>2.7111703624455434</v>
      </c>
      <c r="BL90" s="460">
        <f t="shared" si="280"/>
        <v>2711.1703624455436</v>
      </c>
      <c r="BM90" s="173">
        <f t="shared" si="213"/>
        <v>5.2806249999999988</v>
      </c>
      <c r="BN90" s="173">
        <f t="shared" si="214"/>
        <v>9.4296874999999988E-2</v>
      </c>
      <c r="BO90" s="528"/>
      <c r="BQ90" s="460">
        <f t="shared" si="281"/>
        <v>5374.9218749999991</v>
      </c>
      <c r="BR90" s="528">
        <f t="shared" si="215"/>
        <v>0.7069962714986836</v>
      </c>
      <c r="BS90" s="528">
        <f t="shared" si="216"/>
        <v>3.1964757051889712</v>
      </c>
      <c r="BT90" s="528">
        <f t="shared" si="217"/>
        <v>3.2311646149307886E-4</v>
      </c>
      <c r="BU90" s="528">
        <f t="shared" si="218"/>
        <v>1.907748390189119</v>
      </c>
      <c r="BV90" s="528">
        <f t="shared" si="219"/>
        <v>9.8131302982258468</v>
      </c>
      <c r="BW90" s="625">
        <f t="shared" si="220"/>
        <v>2.129835048565477E-2</v>
      </c>
      <c r="BX90" s="460">
        <f t="shared" si="282"/>
        <v>9834.4286487115005</v>
      </c>
      <c r="BY90" s="173">
        <f t="shared" si="283"/>
        <v>17.920520886157043</v>
      </c>
      <c r="BZ90" s="5">
        <f t="shared" si="284"/>
        <v>129.19999999999999</v>
      </c>
      <c r="CA90" s="173">
        <f t="shared" si="285"/>
        <v>0.87819156173309032</v>
      </c>
      <c r="CB90" s="5">
        <f t="shared" si="286"/>
        <v>87.819156173309025</v>
      </c>
      <c r="CC90">
        <f t="shared" si="287"/>
        <v>85</v>
      </c>
      <c r="CE90" s="562">
        <f t="shared" si="221"/>
        <v>-50</v>
      </c>
      <c r="CF90">
        <f t="shared" si="222"/>
        <v>-50</v>
      </c>
      <c r="CG90" s="173">
        <f t="shared" si="223"/>
        <v>0.82098061573546177</v>
      </c>
      <c r="CH90" s="173">
        <f t="shared" si="224"/>
        <v>9.6304191786782969E-2</v>
      </c>
      <c r="CI90" s="170">
        <v>85</v>
      </c>
      <c r="CJ90" s="217">
        <f t="shared" si="309"/>
        <v>8.5</v>
      </c>
      <c r="CK90" s="217">
        <f t="shared" si="288"/>
        <v>0.21249999999999999</v>
      </c>
      <c r="CL90" s="217">
        <f t="shared" si="225"/>
        <v>127.5</v>
      </c>
      <c r="CM90" s="217">
        <f t="shared" si="310"/>
        <v>1.7</v>
      </c>
      <c r="CN90" s="541">
        <f t="shared" si="289"/>
        <v>72</v>
      </c>
      <c r="CO90" s="443">
        <f t="shared" si="226"/>
        <v>15.7</v>
      </c>
      <c r="CP90" s="443">
        <f t="shared" si="227"/>
        <v>87.7</v>
      </c>
      <c r="CQ90" s="443"/>
      <c r="CR90" s="217">
        <f t="shared" si="228"/>
        <v>0.17620137299771166</v>
      </c>
      <c r="CS90" s="172">
        <f t="shared" si="290"/>
        <v>312.98928098277725</v>
      </c>
      <c r="CT90" s="172">
        <f t="shared" si="229"/>
        <v>4.2288329519450798</v>
      </c>
      <c r="CU90" s="217">
        <f t="shared" si="230"/>
        <v>20.865952065518481</v>
      </c>
      <c r="CV90" s="217">
        <f t="shared" si="231"/>
        <v>39.123660122847156</v>
      </c>
      <c r="CW90" s="443">
        <f t="shared" si="232"/>
        <v>15</v>
      </c>
      <c r="CX90" s="217">
        <f t="shared" si="233"/>
        <v>20.368109668109668</v>
      </c>
      <c r="CY90" s="217">
        <f t="shared" si="234"/>
        <v>3.3946849446849447</v>
      </c>
      <c r="CZ90" s="217">
        <f t="shared" si="235"/>
        <v>15.567981911930957</v>
      </c>
      <c r="DA90" s="197">
        <f t="shared" si="236"/>
        <v>107.41163055872293</v>
      </c>
      <c r="DB90" s="443">
        <f t="shared" si="291"/>
        <v>52.735198459235136</v>
      </c>
      <c r="DD90" s="217">
        <f t="shared" si="237"/>
        <v>10</v>
      </c>
      <c r="DE90" s="173">
        <f t="shared" si="238"/>
        <v>7.6433121019108281</v>
      </c>
      <c r="DF90" s="173">
        <f t="shared" si="239"/>
        <v>4.1049030786773102</v>
      </c>
      <c r="DG90" s="173"/>
      <c r="DH90" s="173">
        <f t="shared" si="240"/>
        <v>7.6433121019108281</v>
      </c>
      <c r="DI90" s="545">
        <f t="shared" si="241"/>
        <v>222.41666666666666</v>
      </c>
      <c r="DJ90" s="528">
        <f t="shared" si="242"/>
        <v>4.1049030786773093</v>
      </c>
      <c r="DL90" s="173">
        <f t="shared" si="243"/>
        <v>7.8437114635744676</v>
      </c>
      <c r="DM90" s="173">
        <f t="shared" si="244"/>
        <v>20.368109668109668</v>
      </c>
      <c r="DN90" s="173">
        <f t="shared" si="245"/>
        <v>8.8800812356367906</v>
      </c>
      <c r="DP90" s="545">
        <f t="shared" si="246"/>
        <v>8500</v>
      </c>
      <c r="DQ90" s="460">
        <f t="shared" si="247"/>
        <v>52.735198459235136</v>
      </c>
      <c r="DS90">
        <f t="shared" si="292"/>
        <v>8500</v>
      </c>
      <c r="DT90">
        <f t="shared" si="248"/>
        <v>52.735198459235136</v>
      </c>
      <c r="DV90" s="5">
        <f t="shared" si="293"/>
        <v>18.9626668566159</v>
      </c>
      <c r="DW90" s="5">
        <f t="shared" si="249"/>
        <v>3.3946849446849447</v>
      </c>
      <c r="DX90" s="5">
        <f t="shared" si="294"/>
        <v>15.567981911930955</v>
      </c>
      <c r="DY90" s="173">
        <f t="shared" si="295"/>
        <v>0.1790193842645382</v>
      </c>
      <c r="EA90" s="5">
        <f t="shared" si="250"/>
        <v>192.36548019881354</v>
      </c>
      <c r="EB90" s="5">
        <f t="shared" si="251"/>
        <v>9.0171318843193848</v>
      </c>
      <c r="EC90" s="5">
        <f t="shared" si="252"/>
        <v>7.6578614728827032</v>
      </c>
      <c r="ED90" s="5"/>
      <c r="EE90" s="173">
        <f t="shared" si="296"/>
        <v>4.9755389096329958</v>
      </c>
      <c r="EF90" s="173">
        <f t="shared" si="253"/>
        <v>10.655075928531698</v>
      </c>
      <c r="EG90" s="173">
        <f t="shared" si="254"/>
        <v>0.26240736012227084</v>
      </c>
      <c r="EH90" s="173"/>
      <c r="EI90" s="528">
        <f t="shared" si="255"/>
        <v>0.49511974882543802</v>
      </c>
      <c r="EJ90" s="528">
        <f t="shared" si="256"/>
        <v>1.8840000000000001</v>
      </c>
      <c r="EK90" s="528">
        <f t="shared" si="257"/>
        <v>6.5918998074043916E-3</v>
      </c>
      <c r="EL90" s="528">
        <f t="shared" si="258"/>
        <v>4.0560170455753067E-2</v>
      </c>
      <c r="EM90">
        <f t="shared" si="259"/>
        <v>3.2399999999999998E-2</v>
      </c>
      <c r="EN90" s="460">
        <f t="shared" si="297"/>
        <v>38.991899807404387</v>
      </c>
      <c r="EO90">
        <f t="shared" si="260"/>
        <v>2.9379793737034867</v>
      </c>
      <c r="EP90" s="460">
        <f t="shared" si="298"/>
        <v>2937.9793737034865</v>
      </c>
      <c r="EQ90" s="173">
        <f t="shared" si="261"/>
        <v>5.2806249999999988</v>
      </c>
      <c r="ER90" s="173">
        <f t="shared" si="262"/>
        <v>9.4296874999999988E-2</v>
      </c>
      <c r="ES90" s="528"/>
      <c r="EU90" s="460">
        <f t="shared" si="299"/>
        <v>5374.9218749999991</v>
      </c>
      <c r="EV90" s="528">
        <f t="shared" si="263"/>
        <v>0.74267962323815706</v>
      </c>
      <c r="EW90" s="528">
        <f t="shared" si="300"/>
        <v>3.4059192912832685</v>
      </c>
      <c r="EX90" s="528">
        <f t="shared" si="264"/>
        <v>3.4428811323169572E-4</v>
      </c>
      <c r="EY90" s="528">
        <f t="shared" si="265"/>
        <v>1.8905940114174884</v>
      </c>
      <c r="EZ90" s="528">
        <f t="shared" si="266"/>
        <v>10.530528880045475</v>
      </c>
      <c r="FA90" s="625">
        <f t="shared" si="267"/>
        <v>2.1877718708505481E-2</v>
      </c>
      <c r="FB90" s="460">
        <f t="shared" si="301"/>
        <v>10552.406598753982</v>
      </c>
      <c r="FC90" s="173">
        <f t="shared" si="302"/>
        <v>18.865307847457466</v>
      </c>
      <c r="FD90" s="5">
        <f t="shared" si="303"/>
        <v>129.19999999999999</v>
      </c>
      <c r="FE90" s="173">
        <f t="shared" si="304"/>
        <v>0.87258792676206609</v>
      </c>
      <c r="FF90" s="5">
        <f t="shared" si="305"/>
        <v>87.25879267620661</v>
      </c>
      <c r="FG90">
        <f t="shared" si="306"/>
        <v>85</v>
      </c>
      <c r="FI90" s="562">
        <f t="shared" si="268"/>
        <v>-50</v>
      </c>
      <c r="FJ90">
        <f t="shared" si="269"/>
        <v>-50</v>
      </c>
      <c r="FL90">
        <f t="shared" si="270"/>
        <v>0.82098061573546177</v>
      </c>
    </row>
    <row r="91" spans="5:168">
      <c r="E91" s="170">
        <v>86</v>
      </c>
      <c r="F91" s="217">
        <f t="shared" si="307"/>
        <v>8.6</v>
      </c>
      <c r="G91" s="217">
        <f t="shared" si="271"/>
        <v>0.215</v>
      </c>
      <c r="H91" s="217">
        <f t="shared" si="176"/>
        <v>129</v>
      </c>
      <c r="I91" s="217">
        <f t="shared" si="308"/>
        <v>1.72</v>
      </c>
      <c r="J91" s="541">
        <f t="shared" si="177"/>
        <v>71.415801943228232</v>
      </c>
      <c r="K91" s="443">
        <f t="shared" si="178"/>
        <v>16.014258333333334</v>
      </c>
      <c r="L91" s="172">
        <f t="shared" si="179"/>
        <v>87.430060276561562</v>
      </c>
      <c r="M91" s="443"/>
      <c r="N91" s="217">
        <f t="shared" si="180"/>
        <v>0.18316650226108183</v>
      </c>
      <c r="O91" s="172">
        <f t="shared" si="272"/>
        <v>322.72161138432443</v>
      </c>
      <c r="P91" s="172">
        <f t="shared" si="181"/>
        <v>4.360327549370429</v>
      </c>
      <c r="Q91" s="217">
        <f t="shared" si="182"/>
        <v>21.514774092288295</v>
      </c>
      <c r="R91" s="217">
        <f t="shared" si="183"/>
        <v>40.340201423040554</v>
      </c>
      <c r="S91" s="443">
        <f t="shared" si="184"/>
        <v>15</v>
      </c>
      <c r="T91" s="217">
        <f t="shared" si="185"/>
        <v>19.986266095823339</v>
      </c>
      <c r="U91" s="217">
        <f t="shared" si="186"/>
        <v>3.3582930755372082</v>
      </c>
      <c r="V91" s="217">
        <f t="shared" si="187"/>
        <v>14.976353456885873</v>
      </c>
      <c r="W91" s="197">
        <f t="shared" si="188"/>
        <v>109.00818873426071</v>
      </c>
      <c r="X91" s="443">
        <f t="shared" si="273"/>
        <v>53.953011634221198</v>
      </c>
      <c r="Z91" s="217">
        <f t="shared" si="189"/>
        <v>10</v>
      </c>
      <c r="AA91" s="173">
        <f t="shared" si="190"/>
        <v>7.4933223570037324</v>
      </c>
      <c r="AB91" s="173">
        <f t="shared" si="191"/>
        <v>4.0841674886945913</v>
      </c>
      <c r="AC91" s="173"/>
      <c r="AD91" s="173">
        <f t="shared" si="192"/>
        <v>7.4933223570037324</v>
      </c>
      <c r="AE91" s="545">
        <f t="shared" si="193"/>
        <v>229.53770277777778</v>
      </c>
      <c r="AF91" s="528">
        <f t="shared" si="194"/>
        <v>4.0841674886945913</v>
      </c>
      <c r="AH91" s="173">
        <f t="shared" si="195"/>
        <v>7.8897160308606198</v>
      </c>
      <c r="AI91" s="173">
        <f t="shared" si="196"/>
        <v>19.986266095823339</v>
      </c>
      <c r="AJ91" s="173">
        <f t="shared" si="197"/>
        <v>8.5972341450543261</v>
      </c>
      <c r="AL91" s="545">
        <f t="shared" si="198"/>
        <v>8600</v>
      </c>
      <c r="AM91" s="460">
        <f t="shared" si="199"/>
        <v>53.953011634221198</v>
      </c>
      <c r="AO91">
        <f t="shared" si="274"/>
        <v>8600</v>
      </c>
      <c r="AP91">
        <f t="shared" si="200"/>
        <v>53.953011634221198</v>
      </c>
      <c r="AR91" s="5">
        <f t="shared" si="275"/>
        <v>18.534646532423078</v>
      </c>
      <c r="AS91" s="5">
        <f t="shared" si="201"/>
        <v>3.3582930755372082</v>
      </c>
      <c r="AT91" s="5">
        <f t="shared" si="276"/>
        <v>15.17635345688587</v>
      </c>
      <c r="AU91" s="173">
        <f t="shared" si="277"/>
        <v>0.18119002537558349</v>
      </c>
      <c r="AW91" s="5">
        <f t="shared" si="202"/>
        <v>192.54213633079991</v>
      </c>
      <c r="AX91" s="5">
        <f t="shared" si="203"/>
        <v>9.0254126405062465</v>
      </c>
      <c r="AY91" s="5">
        <f t="shared" si="204"/>
        <v>7.6148319756653358</v>
      </c>
      <c r="AZ91" s="5"/>
      <c r="BA91" s="173">
        <f t="shared" si="278"/>
        <v>4.9117717939818633</v>
      </c>
      <c r="BB91" s="173">
        <f t="shared" si="205"/>
        <v>10.441492964523642</v>
      </c>
      <c r="BC91" s="173">
        <f t="shared" si="206"/>
        <v>0.25714735614591555</v>
      </c>
      <c r="BD91" s="173"/>
      <c r="BE91" s="528">
        <f t="shared" si="207"/>
        <v>0.48251004312311624</v>
      </c>
      <c r="BF91" s="528">
        <f t="shared" si="208"/>
        <v>1.7677034396142237</v>
      </c>
      <c r="BG91" s="528">
        <f t="shared" si="209"/>
        <v>9.632743982775574E-2</v>
      </c>
      <c r="BH91" s="528">
        <f t="shared" si="210"/>
        <v>4.1241765396450039E-2</v>
      </c>
      <c r="BI91">
        <f t="shared" si="211"/>
        <v>3.2137110874452701E-2</v>
      </c>
      <c r="BJ91" s="460">
        <f t="shared" si="279"/>
        <v>128.46455070220844</v>
      </c>
      <c r="BK91">
        <f t="shared" si="212"/>
        <v>2.735322306828524</v>
      </c>
      <c r="BL91" s="460">
        <f t="shared" si="280"/>
        <v>2735.3223068285238</v>
      </c>
      <c r="BM91" s="173">
        <f t="shared" si="213"/>
        <v>5.3427499999999997</v>
      </c>
      <c r="BN91" s="173">
        <f t="shared" si="214"/>
        <v>9.5406249999999998E-2</v>
      </c>
      <c r="BO91" s="528"/>
      <c r="BQ91" s="460">
        <f t="shared" si="281"/>
        <v>5438.15625</v>
      </c>
      <c r="BR91" s="528">
        <f t="shared" si="215"/>
        <v>0.72376506468467428</v>
      </c>
      <c r="BS91" s="528">
        <f t="shared" si="216"/>
        <v>3.2707432598459012</v>
      </c>
      <c r="BT91" s="528">
        <f t="shared" si="217"/>
        <v>3.3062381386417164E-4</v>
      </c>
      <c r="BU91" s="528">
        <f t="shared" si="218"/>
        <v>1.9091427259700198</v>
      </c>
      <c r="BV91" s="528">
        <f t="shared" si="219"/>
        <v>10.086145018649098</v>
      </c>
      <c r="BW91" s="625">
        <f t="shared" si="220"/>
        <v>2.1551575410639158E-2</v>
      </c>
      <c r="BX91" s="460">
        <f t="shared" si="282"/>
        <v>10107.696594059737</v>
      </c>
      <c r="BY91" s="173">
        <f t="shared" si="283"/>
        <v>18.281175150888263</v>
      </c>
      <c r="BZ91" s="5">
        <f t="shared" si="284"/>
        <v>130.72</v>
      </c>
      <c r="CA91" s="173">
        <f t="shared" si="285"/>
        <v>0.87730851698065093</v>
      </c>
      <c r="CB91" s="5">
        <f t="shared" si="286"/>
        <v>87.730851698065095</v>
      </c>
      <c r="CC91">
        <f t="shared" si="287"/>
        <v>86</v>
      </c>
      <c r="CE91" s="562">
        <f t="shared" si="221"/>
        <v>-50</v>
      </c>
      <c r="CF91">
        <f t="shared" si="222"/>
        <v>-50</v>
      </c>
      <c r="CG91" s="173">
        <f t="shared" si="223"/>
        <v>0.82098061573546177</v>
      </c>
      <c r="CH91" s="173">
        <f t="shared" si="224"/>
        <v>9.6304191786782956E-2</v>
      </c>
      <c r="CI91" s="170">
        <v>86</v>
      </c>
      <c r="CJ91" s="217">
        <f t="shared" si="309"/>
        <v>8.6</v>
      </c>
      <c r="CK91" s="217">
        <f t="shared" si="288"/>
        <v>0.215</v>
      </c>
      <c r="CL91" s="217">
        <f t="shared" si="225"/>
        <v>129</v>
      </c>
      <c r="CM91" s="217">
        <f t="shared" si="310"/>
        <v>1.72</v>
      </c>
      <c r="CN91" s="541">
        <f t="shared" si="289"/>
        <v>72</v>
      </c>
      <c r="CO91" s="443">
        <f t="shared" si="226"/>
        <v>15.7</v>
      </c>
      <c r="CP91" s="443">
        <f t="shared" si="227"/>
        <v>87.7</v>
      </c>
      <c r="CQ91" s="443"/>
      <c r="CR91" s="217">
        <f t="shared" si="228"/>
        <v>0.17620137299771166</v>
      </c>
      <c r="CS91" s="172">
        <f t="shared" si="290"/>
        <v>312.98928098277725</v>
      </c>
      <c r="CT91" s="172">
        <f t="shared" si="229"/>
        <v>4.2288329519450798</v>
      </c>
      <c r="CU91" s="217">
        <f t="shared" si="230"/>
        <v>20.865952065518481</v>
      </c>
      <c r="CV91" s="217">
        <f t="shared" si="231"/>
        <v>39.123660122847156</v>
      </c>
      <c r="CW91" s="443">
        <f t="shared" si="232"/>
        <v>15</v>
      </c>
      <c r="CX91" s="217">
        <f t="shared" si="233"/>
        <v>20.60773448773449</v>
      </c>
      <c r="CY91" s="217">
        <f t="shared" si="234"/>
        <v>3.4346224146224156</v>
      </c>
      <c r="CZ91" s="217">
        <f t="shared" si="235"/>
        <v>15.751134640306617</v>
      </c>
      <c r="DA91" s="197">
        <f t="shared" si="236"/>
        <v>107.41163055872293</v>
      </c>
      <c r="DB91" s="443">
        <f t="shared" si="291"/>
        <v>52.121998477150989</v>
      </c>
      <c r="DD91" s="217">
        <f t="shared" si="237"/>
        <v>10</v>
      </c>
      <c r="DE91" s="173">
        <f t="shared" si="238"/>
        <v>7.6433121019108281</v>
      </c>
      <c r="DF91" s="173">
        <f t="shared" si="239"/>
        <v>4.1049030786773102</v>
      </c>
      <c r="DG91" s="173"/>
      <c r="DH91" s="173">
        <f t="shared" si="240"/>
        <v>7.6433121019108281</v>
      </c>
      <c r="DI91" s="545">
        <f t="shared" si="241"/>
        <v>225.03333333333333</v>
      </c>
      <c r="DJ91" s="528">
        <f t="shared" si="242"/>
        <v>4.1049030786773093</v>
      </c>
      <c r="DL91" s="173">
        <f t="shared" si="243"/>
        <v>7.8897160308606198</v>
      </c>
      <c r="DM91" s="173">
        <f t="shared" si="244"/>
        <v>20.60773448773449</v>
      </c>
      <c r="DN91" s="173">
        <f t="shared" si="245"/>
        <v>9.0575811020255479</v>
      </c>
      <c r="DP91" s="545">
        <f t="shared" si="246"/>
        <v>8600</v>
      </c>
      <c r="DQ91" s="460">
        <f t="shared" si="247"/>
        <v>52.121998477150989</v>
      </c>
      <c r="DS91">
        <f>IF(CL91&gt;CS91, "",DP91)</f>
        <v>8600</v>
      </c>
      <c r="DT91">
        <f>IF(CL91&gt;CS91, "",DQ91)</f>
        <v>52.121998477150989</v>
      </c>
      <c r="DV91" s="5">
        <f t="shared" si="293"/>
        <v>19.185757054929034</v>
      </c>
      <c r="DW91" s="5">
        <f t="shared" si="249"/>
        <v>3.4346224146224156</v>
      </c>
      <c r="DX91" s="5">
        <f t="shared" si="294"/>
        <v>15.751134640306619</v>
      </c>
      <c r="DY91" s="173">
        <f t="shared" si="295"/>
        <v>0.1790193842645382</v>
      </c>
      <c r="EA91" s="5">
        <f t="shared" si="250"/>
        <v>196.91835177168514</v>
      </c>
      <c r="EB91" s="5">
        <f t="shared" si="251"/>
        <v>9.2305477392977409</v>
      </c>
      <c r="EC91" s="5">
        <f t="shared" si="252"/>
        <v>7.8391063603377846</v>
      </c>
      <c r="ED91" s="5"/>
      <c r="EE91" s="173">
        <f t="shared" si="296"/>
        <v>5.0340746615110321</v>
      </c>
      <c r="EF91" s="173">
        <f t="shared" si="253"/>
        <v>10.780429762985014</v>
      </c>
      <c r="EG91" s="173">
        <f t="shared" si="254"/>
        <v>0.2654945055354741</v>
      </c>
      <c r="EH91" s="173"/>
      <c r="EI91" s="528">
        <f t="shared" si="255"/>
        <v>0.5068381539533483</v>
      </c>
      <c r="EJ91" s="528">
        <f t="shared" si="256"/>
        <v>1.8839999999999997</v>
      </c>
      <c r="EK91" s="528">
        <f t="shared" si="257"/>
        <v>6.5152498096438735E-3</v>
      </c>
      <c r="EL91" s="528">
        <f t="shared" si="258"/>
        <v>4.0088540566732674E-2</v>
      </c>
      <c r="EM91">
        <f t="shared" si="259"/>
        <v>3.2399999999999998E-2</v>
      </c>
      <c r="EN91" s="460">
        <f t="shared" si="297"/>
        <v>38.915249809643875</v>
      </c>
      <c r="EO91">
        <f t="shared" si="260"/>
        <v>2.9635761490598767</v>
      </c>
      <c r="EP91" s="460">
        <f t="shared" si="298"/>
        <v>2963.5761490598766</v>
      </c>
      <c r="EQ91" s="173">
        <f t="shared" si="261"/>
        <v>5.3427499999999997</v>
      </c>
      <c r="ER91" s="173">
        <f t="shared" si="262"/>
        <v>9.5406249999999998E-2</v>
      </c>
      <c r="ES91" s="528"/>
      <c r="EU91" s="460">
        <f t="shared" si="299"/>
        <v>5438.15625</v>
      </c>
      <c r="EV91" s="528">
        <f t="shared" si="263"/>
        <v>0.7602572309300224</v>
      </c>
      <c r="EW91" s="528">
        <f t="shared" si="300"/>
        <v>3.4865299762395936</v>
      </c>
      <c r="EX91" s="528">
        <f t="shared" si="264"/>
        <v>3.5243666234762946E-4</v>
      </c>
      <c r="EY91" s="528">
        <f t="shared" si="265"/>
        <v>1.8905940114174848</v>
      </c>
      <c r="EZ91" s="528">
        <f t="shared" si="266"/>
        <v>10.840252441112847</v>
      </c>
      <c r="FA91" s="625">
        <f t="shared" si="267"/>
        <v>2.2135103634487899E-2</v>
      </c>
      <c r="FB91" s="460">
        <f t="shared" si="301"/>
        <v>10862.387544747335</v>
      </c>
      <c r="FC91" s="173">
        <f t="shared" si="302"/>
        <v>19.264119943807209</v>
      </c>
      <c r="FD91" s="5">
        <f t="shared" si="303"/>
        <v>130.72</v>
      </c>
      <c r="FE91" s="173">
        <f t="shared" si="304"/>
        <v>0.87155893603253021</v>
      </c>
      <c r="FF91" s="5">
        <f t="shared" si="305"/>
        <v>87.15589360325302</v>
      </c>
      <c r="FG91">
        <f t="shared" si="306"/>
        <v>86</v>
      </c>
      <c r="FI91" s="562">
        <f t="shared" si="268"/>
        <v>-50</v>
      </c>
      <c r="FJ91">
        <f t="shared" si="269"/>
        <v>-50</v>
      </c>
      <c r="FL91">
        <f t="shared" si="270"/>
        <v>0.82098061573546177</v>
      </c>
    </row>
    <row r="92" spans="5:168">
      <c r="E92" s="170">
        <v>87</v>
      </c>
      <c r="F92" s="217">
        <f t="shared" si="307"/>
        <v>8.6999999999999993</v>
      </c>
      <c r="G92" s="217">
        <f t="shared" si="271"/>
        <v>0.2175</v>
      </c>
      <c r="H92" s="217">
        <f t="shared" si="176"/>
        <v>130.5</v>
      </c>
      <c r="I92" s="217">
        <f t="shared" si="308"/>
        <v>1.74</v>
      </c>
      <c r="J92" s="541">
        <f t="shared" si="177"/>
        <v>71.409008942568093</v>
      </c>
      <c r="K92" s="443">
        <f t="shared" si="178"/>
        <v>16.017912499999998</v>
      </c>
      <c r="L92" s="172">
        <f t="shared" si="179"/>
        <v>87.426921442568087</v>
      </c>
      <c r="M92" s="443"/>
      <c r="N92" s="217">
        <f t="shared" si="180"/>
        <v>0.18321487518604185</v>
      </c>
      <c r="O92" s="172">
        <f t="shared" si="272"/>
        <v>322.7761347180483</v>
      </c>
      <c r="P92" s="172">
        <f t="shared" si="181"/>
        <v>4.3610642201905199</v>
      </c>
      <c r="Q92" s="217">
        <f t="shared" si="182"/>
        <v>21.518408981203219</v>
      </c>
      <c r="R92" s="217">
        <f t="shared" si="183"/>
        <v>40.347016839756037</v>
      </c>
      <c r="S92" s="443">
        <f t="shared" si="184"/>
        <v>15</v>
      </c>
      <c r="T92" s="217">
        <f t="shared" si="185"/>
        <v>20.215249202670215</v>
      </c>
      <c r="U92" s="217">
        <f t="shared" si="186"/>
        <v>3.3970922440212563</v>
      </c>
      <c r="V92" s="217">
        <f t="shared" si="187"/>
        <v>15.144482180936038</v>
      </c>
      <c r="W92" s="197">
        <f t="shared" si="188"/>
        <v>109.02660550476297</v>
      </c>
      <c r="X92" s="443">
        <f t="shared" si="273"/>
        <v>53.357310187790091</v>
      </c>
      <c r="Z92" s="217">
        <f t="shared" si="189"/>
        <v>10</v>
      </c>
      <c r="AA92" s="173">
        <f t="shared" si="190"/>
        <v>7.4916129052396823</v>
      </c>
      <c r="AB92" s="173">
        <f t="shared" si="191"/>
        <v>4.0839256240697903</v>
      </c>
      <c r="AC92" s="173"/>
      <c r="AD92" s="173">
        <f t="shared" si="192"/>
        <v>7.4916129052396823</v>
      </c>
      <c r="AE92" s="545">
        <f t="shared" si="193"/>
        <v>232.25973124999993</v>
      </c>
      <c r="AF92" s="528">
        <f t="shared" si="194"/>
        <v>4.0839256240697903</v>
      </c>
      <c r="AH92" s="173">
        <f t="shared" si="195"/>
        <v>7.9354538982611809</v>
      </c>
      <c r="AI92" s="173">
        <f t="shared" si="196"/>
        <v>20.215249202670215</v>
      </c>
      <c r="AJ92" s="173">
        <f t="shared" si="197"/>
        <v>8.7668512612371963</v>
      </c>
      <c r="AL92" s="545">
        <f t="shared" si="198"/>
        <v>8700</v>
      </c>
      <c r="AM92" s="460">
        <f t="shared" si="199"/>
        <v>53.357310187790091</v>
      </c>
      <c r="AO92">
        <f t="shared" si="274"/>
        <v>8700</v>
      </c>
      <c r="AP92">
        <f t="shared" si="200"/>
        <v>53.357310187790091</v>
      </c>
      <c r="AR92" s="5">
        <f t="shared" si="275"/>
        <v>18.741574424957292</v>
      </c>
      <c r="AS92" s="5">
        <f t="shared" si="201"/>
        <v>3.3970922440212563</v>
      </c>
      <c r="AT92" s="5">
        <f t="shared" si="276"/>
        <v>15.344482180936037</v>
      </c>
      <c r="AU92" s="173">
        <f t="shared" si="277"/>
        <v>0.18125970460077809</v>
      </c>
      <c r="AW92" s="5">
        <f t="shared" si="202"/>
        <v>197.03135015323286</v>
      </c>
      <c r="AX92" s="5">
        <f t="shared" si="203"/>
        <v>9.2358445384327901</v>
      </c>
      <c r="AY92" s="5">
        <f t="shared" si="204"/>
        <v>7.789458043120228</v>
      </c>
      <c r="AZ92" s="5"/>
      <c r="BA92" s="173">
        <f t="shared" si="278"/>
        <v>4.9690012504307903</v>
      </c>
      <c r="BB92" s="173">
        <f t="shared" si="205"/>
        <v>10.560672012167132</v>
      </c>
      <c r="BC92" s="173">
        <f t="shared" si="206"/>
        <v>0.26008243229964545</v>
      </c>
      <c r="BD92" s="173"/>
      <c r="BE92" s="528">
        <f t="shared" si="207"/>
        <v>0.49381946853565517</v>
      </c>
      <c r="BF92" s="528">
        <f t="shared" si="208"/>
        <v>1.768151547639867</v>
      </c>
      <c r="BG92" s="528">
        <f t="shared" si="209"/>
        <v>9.5254816008782051E-2</v>
      </c>
      <c r="BH92" s="528">
        <f t="shared" si="210"/>
        <v>4.0783481790870886E-2</v>
      </c>
      <c r="BI92">
        <f t="shared" si="211"/>
        <v>3.2134054024155638E-2</v>
      </c>
      <c r="BJ92" s="460">
        <f t="shared" si="279"/>
        <v>127.38887003293769</v>
      </c>
      <c r="BK92">
        <f t="shared" si="212"/>
        <v>2.7599101704308509</v>
      </c>
      <c r="BL92" s="460">
        <f t="shared" si="280"/>
        <v>2759.9101704308509</v>
      </c>
      <c r="BM92" s="173">
        <f t="shared" si="213"/>
        <v>5.4048749999999988</v>
      </c>
      <c r="BN92" s="173">
        <f t="shared" si="214"/>
        <v>9.6515624999999994E-2</v>
      </c>
      <c r="BO92" s="528"/>
      <c r="BQ92" s="460">
        <f t="shared" si="281"/>
        <v>5501.3906249999991</v>
      </c>
      <c r="BR92" s="528">
        <f t="shared" si="215"/>
        <v>0.74072920280348276</v>
      </c>
      <c r="BS92" s="528">
        <f t="shared" si="216"/>
        <v>3.3458338004571049</v>
      </c>
      <c r="BT92" s="528">
        <f t="shared" si="217"/>
        <v>3.3821435795449827E-4</v>
      </c>
      <c r="BU92" s="528">
        <f t="shared" si="218"/>
        <v>1.9105243323854322</v>
      </c>
      <c r="BV92" s="528">
        <f t="shared" si="219"/>
        <v>10.368180058764732</v>
      </c>
      <c r="BW92" s="625">
        <f t="shared" si="220"/>
        <v>2.1804800976692226E-2</v>
      </c>
      <c r="BX92" s="460">
        <f t="shared" si="282"/>
        <v>10389.984859741426</v>
      </c>
      <c r="BY92" s="173">
        <f t="shared" si="283"/>
        <v>18.651285655172277</v>
      </c>
      <c r="BZ92" s="5">
        <f t="shared" si="284"/>
        <v>132.24</v>
      </c>
      <c r="CA92" s="173">
        <f t="shared" si="285"/>
        <v>0.87639255922442372</v>
      </c>
      <c r="CB92" s="5">
        <f t="shared" si="286"/>
        <v>87.639255922442374</v>
      </c>
      <c r="CC92">
        <f t="shared" si="287"/>
        <v>86.999999999999986</v>
      </c>
      <c r="CE92" s="562">
        <f t="shared" si="221"/>
        <v>-50</v>
      </c>
      <c r="CF92">
        <f t="shared" si="222"/>
        <v>-50</v>
      </c>
      <c r="CG92" s="173">
        <f t="shared" si="223"/>
        <v>0.82098061573546177</v>
      </c>
      <c r="CH92" s="173">
        <f t="shared" si="224"/>
        <v>9.6304191786782956E-2</v>
      </c>
      <c r="CI92" s="170">
        <v>87</v>
      </c>
      <c r="CJ92" s="217">
        <f t="shared" si="309"/>
        <v>8.6999999999999993</v>
      </c>
      <c r="CK92" s="217">
        <f t="shared" si="288"/>
        <v>0.2175</v>
      </c>
      <c r="CL92" s="217">
        <f t="shared" si="225"/>
        <v>130.5</v>
      </c>
      <c r="CM92" s="217">
        <f t="shared" si="310"/>
        <v>1.74</v>
      </c>
      <c r="CN92" s="541">
        <f t="shared" si="289"/>
        <v>72</v>
      </c>
      <c r="CO92" s="443">
        <f t="shared" si="226"/>
        <v>15.7</v>
      </c>
      <c r="CP92" s="443">
        <f t="shared" si="227"/>
        <v>87.7</v>
      </c>
      <c r="CQ92" s="443"/>
      <c r="CR92" s="217">
        <f t="shared" si="228"/>
        <v>0.17620137299771166</v>
      </c>
      <c r="CS92" s="172">
        <f t="shared" si="290"/>
        <v>312.98928098277725</v>
      </c>
      <c r="CT92" s="172">
        <f t="shared" si="229"/>
        <v>4.2288329519450798</v>
      </c>
      <c r="CU92" s="217">
        <f t="shared" si="230"/>
        <v>20.865952065518481</v>
      </c>
      <c r="CV92" s="217">
        <f t="shared" si="231"/>
        <v>39.123660122847156</v>
      </c>
      <c r="CW92" s="443">
        <f t="shared" si="232"/>
        <v>15</v>
      </c>
      <c r="CX92" s="217">
        <f t="shared" si="233"/>
        <v>20.847359307359309</v>
      </c>
      <c r="CY92" s="217">
        <f t="shared" si="234"/>
        <v>3.4745598845598851</v>
      </c>
      <c r="CZ92" s="217">
        <f t="shared" si="235"/>
        <v>15.934287368682277</v>
      </c>
      <c r="DA92" s="197">
        <f t="shared" si="236"/>
        <v>107.41163055872293</v>
      </c>
      <c r="DB92" s="443">
        <f t="shared" si="291"/>
        <v>51.522895046379141</v>
      </c>
      <c r="DD92" s="217">
        <f t="shared" si="237"/>
        <v>10</v>
      </c>
      <c r="DE92" s="173">
        <f t="shared" si="238"/>
        <v>7.6433121019108281</v>
      </c>
      <c r="DF92" s="173">
        <f t="shared" si="239"/>
        <v>4.1049030786773102</v>
      </c>
      <c r="DG92" s="173"/>
      <c r="DH92" s="173">
        <f t="shared" si="240"/>
        <v>7.6433121019108281</v>
      </c>
      <c r="DI92" s="545">
        <f t="shared" si="241"/>
        <v>227.65</v>
      </c>
      <c r="DJ92" s="528">
        <f t="shared" si="242"/>
        <v>4.1049030786773093</v>
      </c>
      <c r="DL92" s="173">
        <f t="shared" si="243"/>
        <v>7.9354538982611809</v>
      </c>
      <c r="DM92" s="173">
        <f t="shared" si="244"/>
        <v>20.847359307359309</v>
      </c>
      <c r="DN92" s="173">
        <f t="shared" si="245"/>
        <v>9.2350809684143016</v>
      </c>
      <c r="DP92" s="545">
        <f t="shared" si="246"/>
        <v>8700</v>
      </c>
      <c r="DQ92" s="460">
        <f t="shared" si="247"/>
        <v>51.522895046379141</v>
      </c>
      <c r="DS92">
        <f>IF(CL92&gt;CS92, "",DP92)</f>
        <v>8700</v>
      </c>
      <c r="DT92">
        <f>IF(CL92&gt;CS92, "",DQ92)</f>
        <v>51.522895046379141</v>
      </c>
      <c r="DV92" s="5">
        <f t="shared" si="293"/>
        <v>19.408847253242165</v>
      </c>
      <c r="DW92" s="5">
        <f t="shared" si="249"/>
        <v>3.4745598845598851</v>
      </c>
      <c r="DX92" s="5">
        <f t="shared" si="294"/>
        <v>15.934287368682281</v>
      </c>
      <c r="DY92" s="173">
        <f t="shared" si="295"/>
        <v>0.17901938426453817</v>
      </c>
      <c r="EA92" s="5">
        <f t="shared" si="250"/>
        <v>201.5244733044733</v>
      </c>
      <c r="EB92" s="5">
        <f t="shared" si="251"/>
        <v>9.4464596861471879</v>
      </c>
      <c r="EC92" s="5">
        <f t="shared" si="252"/>
        <v>8.0224710710379536</v>
      </c>
      <c r="ED92" s="5"/>
      <c r="EE92" s="173">
        <f t="shared" si="296"/>
        <v>5.0926104133890666</v>
      </c>
      <c r="EF92" s="173">
        <f t="shared" si="253"/>
        <v>10.905783597438326</v>
      </c>
      <c r="EG92" s="173">
        <f t="shared" si="254"/>
        <v>0.26858165094867725</v>
      </c>
      <c r="EH92" s="173"/>
      <c r="EI92" s="528">
        <f t="shared" si="255"/>
        <v>0.51869361645117518</v>
      </c>
      <c r="EJ92" s="528">
        <f t="shared" si="256"/>
        <v>1.8839999999999997</v>
      </c>
      <c r="EK92" s="528">
        <f t="shared" si="257"/>
        <v>6.4403618807973928E-3</v>
      </c>
      <c r="EL92" s="528">
        <f t="shared" si="258"/>
        <v>3.9627752744126554E-2</v>
      </c>
      <c r="EM92">
        <f t="shared" si="259"/>
        <v>3.2399999999999998E-2</v>
      </c>
      <c r="EN92" s="460">
        <f t="shared" si="297"/>
        <v>38.840361880797388</v>
      </c>
      <c r="EO92">
        <f t="shared" si="260"/>
        <v>2.9896594287440106</v>
      </c>
      <c r="EP92" s="460">
        <f t="shared" si="298"/>
        <v>2989.6594287440107</v>
      </c>
      <c r="EQ92" s="173">
        <f t="shared" si="261"/>
        <v>5.4048749999999988</v>
      </c>
      <c r="ER92" s="173">
        <f t="shared" si="262"/>
        <v>9.6515624999999994E-2</v>
      </c>
      <c r="ES92" s="528"/>
      <c r="EU92" s="460">
        <f t="shared" si="299"/>
        <v>5501.3906249999991</v>
      </c>
      <c r="EV92" s="528">
        <f t="shared" si="263"/>
        <v>0.77804042467676282</v>
      </c>
      <c r="EW92" s="528">
        <f t="shared" si="300"/>
        <v>3.5680834762246452</v>
      </c>
      <c r="EX92" s="528">
        <f t="shared" si="264"/>
        <v>3.6068051613158555E-4</v>
      </c>
      <c r="EY92" s="528">
        <f t="shared" si="265"/>
        <v>1.8905940114174864</v>
      </c>
      <c r="EZ92" s="528">
        <f t="shared" si="266"/>
        <v>11.161190171700428</v>
      </c>
      <c r="FA92" s="625">
        <f t="shared" si="267"/>
        <v>2.2392488560470318E-2</v>
      </c>
      <c r="FB92" s="460">
        <f t="shared" si="301"/>
        <v>11183.582660260898</v>
      </c>
      <c r="FC92" s="173">
        <f t="shared" si="302"/>
        <v>19.674632714004908</v>
      </c>
      <c r="FD92" s="5">
        <f t="shared" si="303"/>
        <v>132.24</v>
      </c>
      <c r="FE92" s="173">
        <f t="shared" si="304"/>
        <v>0.87048888996068974</v>
      </c>
      <c r="FF92" s="5">
        <f t="shared" si="305"/>
        <v>87.048888996068968</v>
      </c>
      <c r="FG92">
        <f t="shared" si="306"/>
        <v>86.999999999999986</v>
      </c>
      <c r="FI92" s="562">
        <f t="shared" si="268"/>
        <v>-50</v>
      </c>
      <c r="FJ92">
        <f t="shared" si="269"/>
        <v>-50</v>
      </c>
      <c r="FL92">
        <f t="shared" si="270"/>
        <v>0.82098061573546177</v>
      </c>
    </row>
    <row r="93" spans="5:168">
      <c r="E93" s="170">
        <v>88</v>
      </c>
      <c r="F93" s="217">
        <f t="shared" si="307"/>
        <v>8.8000000000000007</v>
      </c>
      <c r="G93" s="217">
        <f t="shared" si="271"/>
        <v>0.22</v>
      </c>
      <c r="H93" s="217">
        <f t="shared" si="176"/>
        <v>132</v>
      </c>
      <c r="I93" s="217">
        <f t="shared" si="308"/>
        <v>1.76</v>
      </c>
      <c r="J93" s="541">
        <f t="shared" si="177"/>
        <v>71.402215941907954</v>
      </c>
      <c r="K93" s="443">
        <f t="shared" si="178"/>
        <v>16.021566666666665</v>
      </c>
      <c r="L93" s="172">
        <f t="shared" si="179"/>
        <v>87.423782608574612</v>
      </c>
      <c r="M93" s="443"/>
      <c r="N93" s="217">
        <f t="shared" si="180"/>
        <v>0.18326325158453227</v>
      </c>
      <c r="O93" s="172">
        <f t="shared" si="272"/>
        <v>322.83064795694844</v>
      </c>
      <c r="P93" s="172">
        <f t="shared" si="181"/>
        <v>4.3618007546183266</v>
      </c>
      <c r="Q93" s="217">
        <f t="shared" si="182"/>
        <v>21.522043197129896</v>
      </c>
      <c r="R93" s="217">
        <f t="shared" si="183"/>
        <v>40.353830994618555</v>
      </c>
      <c r="S93" s="443">
        <f t="shared" si="184"/>
        <v>15</v>
      </c>
      <c r="T93" s="217">
        <f t="shared" si="185"/>
        <v>20.444155602228172</v>
      </c>
      <c r="U93" s="217">
        <f t="shared" si="186"/>
        <v>3.4358859034057954</v>
      </c>
      <c r="V93" s="217">
        <f t="shared" si="187"/>
        <v>15.312476759039676</v>
      </c>
      <c r="W93" s="197">
        <f t="shared" si="188"/>
        <v>109.04501886545815</v>
      </c>
      <c r="X93" s="443">
        <f t="shared" si="273"/>
        <v>52.775008469831569</v>
      </c>
      <c r="Z93" s="217">
        <f t="shared" si="189"/>
        <v>10</v>
      </c>
      <c r="AA93" s="173">
        <f t="shared" si="190"/>
        <v>7.489904233252263</v>
      </c>
      <c r="AB93" s="173">
        <f t="shared" si="191"/>
        <v>4.0836837420773389</v>
      </c>
      <c r="AC93" s="173"/>
      <c r="AD93" s="173">
        <f t="shared" si="192"/>
        <v>7.489904233252263</v>
      </c>
      <c r="AE93" s="545">
        <f t="shared" si="193"/>
        <v>234.98297777777776</v>
      </c>
      <c r="AF93" s="528">
        <f t="shared" si="194"/>
        <v>4.0836837420773398</v>
      </c>
      <c r="AH93" s="173">
        <f t="shared" si="195"/>
        <v>7.9809296510643479</v>
      </c>
      <c r="AI93" s="173">
        <f t="shared" si="196"/>
        <v>20.444155602228172</v>
      </c>
      <c r="AJ93" s="173">
        <f t="shared" si="197"/>
        <v>8.9364115572060534</v>
      </c>
      <c r="AL93" s="545">
        <f t="shared" si="198"/>
        <v>8800</v>
      </c>
      <c r="AM93" s="460">
        <f t="shared" si="199"/>
        <v>52.775008469831569</v>
      </c>
      <c r="AO93">
        <f t="shared" si="274"/>
        <v>8800</v>
      </c>
      <c r="AP93">
        <f t="shared" si="200"/>
        <v>52.775008469831569</v>
      </c>
      <c r="AR93" s="5">
        <f t="shared" si="275"/>
        <v>18.948362662445469</v>
      </c>
      <c r="AS93" s="5">
        <f t="shared" si="201"/>
        <v>3.4358859034057954</v>
      </c>
      <c r="AT93" s="5">
        <f t="shared" si="276"/>
        <v>15.512476759039673</v>
      </c>
      <c r="AU93" s="173">
        <f t="shared" si="277"/>
        <v>0.18132890765361576</v>
      </c>
      <c r="AW93" s="5">
        <f t="shared" si="202"/>
        <v>201.57197299980669</v>
      </c>
      <c r="AX93" s="5">
        <f t="shared" si="203"/>
        <v>9.4486862343659368</v>
      </c>
      <c r="AY93" s="5">
        <f t="shared" si="204"/>
        <v>7.9660106762076293</v>
      </c>
      <c r="AZ93" s="5"/>
      <c r="BA93" s="173">
        <f t="shared" si="278"/>
        <v>5.0262267021318037</v>
      </c>
      <c r="BB93" s="173">
        <f t="shared" si="205"/>
        <v>10.679803894960639</v>
      </c>
      <c r="BC93" s="173">
        <f t="shared" si="206"/>
        <v>0.26301634690334436</v>
      </c>
      <c r="BD93" s="173"/>
      <c r="BE93" s="528">
        <f t="shared" si="207"/>
        <v>0.50525909722445494</v>
      </c>
      <c r="BF93" s="528">
        <f t="shared" si="208"/>
        <v>1.7685948452627402</v>
      </c>
      <c r="BG93" s="528">
        <f t="shared" si="209"/>
        <v>9.4206313777473363E-2</v>
      </c>
      <c r="BH93" s="528">
        <f t="shared" si="210"/>
        <v>4.0335504981330768E-2</v>
      </c>
      <c r="BI93">
        <f t="shared" si="211"/>
        <v>3.2130997173858582E-2</v>
      </c>
      <c r="BJ93" s="460">
        <f t="shared" si="279"/>
        <v>126.33731095133194</v>
      </c>
      <c r="BK93">
        <f t="shared" si="212"/>
        <v>2.7849402608378906</v>
      </c>
      <c r="BL93" s="460">
        <f t="shared" si="280"/>
        <v>2784.9402608378905</v>
      </c>
      <c r="BM93" s="173">
        <f t="shared" si="213"/>
        <v>5.4669999999999996</v>
      </c>
      <c r="BN93" s="173">
        <f t="shared" si="214"/>
        <v>9.762499999999999E-2</v>
      </c>
      <c r="BO93" s="528"/>
      <c r="BQ93" s="460">
        <f t="shared" si="281"/>
        <v>5564.6249999999991</v>
      </c>
      <c r="BR93" s="528">
        <f t="shared" si="215"/>
        <v>0.75788864583668247</v>
      </c>
      <c r="BS93" s="528">
        <f t="shared" si="216"/>
        <v>3.4217463370444925</v>
      </c>
      <c r="BT93" s="528">
        <f t="shared" si="217"/>
        <v>3.4588799369190189E-4</v>
      </c>
      <c r="BU93" s="528">
        <f t="shared" si="218"/>
        <v>1.9118936373752691</v>
      </c>
      <c r="BV93" s="528">
        <f t="shared" si="219"/>
        <v>10.659635824067758</v>
      </c>
      <c r="BW93" s="625">
        <f t="shared" si="220"/>
        <v>2.2058027162235837E-2</v>
      </c>
      <c r="BX93" s="460">
        <f t="shared" si="282"/>
        <v>10681.693851229995</v>
      </c>
      <c r="BY93" s="173">
        <f t="shared" si="283"/>
        <v>19.031259112067882</v>
      </c>
      <c r="BZ93" s="5">
        <f t="shared" si="284"/>
        <v>133.76</v>
      </c>
      <c r="CA93" s="173">
        <f t="shared" si="285"/>
        <v>0.87544274965291691</v>
      </c>
      <c r="CB93" s="5">
        <f t="shared" si="286"/>
        <v>87.544274965291692</v>
      </c>
      <c r="CC93">
        <f t="shared" si="287"/>
        <v>88.000000000000014</v>
      </c>
      <c r="CE93" s="562">
        <f t="shared" si="221"/>
        <v>-50</v>
      </c>
      <c r="CF93">
        <f t="shared" si="222"/>
        <v>-50</v>
      </c>
      <c r="CG93" s="173">
        <f t="shared" si="223"/>
        <v>0.82098061573546177</v>
      </c>
      <c r="CH93" s="173">
        <f t="shared" si="224"/>
        <v>9.6304191786782969E-2</v>
      </c>
      <c r="CI93" s="170">
        <v>88</v>
      </c>
      <c r="CJ93" s="217">
        <f t="shared" si="309"/>
        <v>8.8000000000000007</v>
      </c>
      <c r="CK93" s="217">
        <f t="shared" si="288"/>
        <v>0.22</v>
      </c>
      <c r="CL93" s="217">
        <f t="shared" si="225"/>
        <v>132</v>
      </c>
      <c r="CM93" s="217">
        <f t="shared" si="310"/>
        <v>1.76</v>
      </c>
      <c r="CN93" s="541">
        <f t="shared" si="289"/>
        <v>72</v>
      </c>
      <c r="CO93" s="443">
        <f t="shared" si="226"/>
        <v>15.7</v>
      </c>
      <c r="CP93" s="443">
        <f t="shared" si="227"/>
        <v>87.7</v>
      </c>
      <c r="CQ93" s="443"/>
      <c r="CR93" s="217">
        <f t="shared" si="228"/>
        <v>0.17620137299771166</v>
      </c>
      <c r="CS93" s="172">
        <f t="shared" si="290"/>
        <v>312.98928098277725</v>
      </c>
      <c r="CT93" s="172">
        <f t="shared" si="229"/>
        <v>4.2288329519450798</v>
      </c>
      <c r="CU93" s="217">
        <f t="shared" si="230"/>
        <v>20.865952065518481</v>
      </c>
      <c r="CV93" s="217">
        <f t="shared" si="231"/>
        <v>39.123660122847156</v>
      </c>
      <c r="CW93" s="443">
        <f t="shared" si="232"/>
        <v>15</v>
      </c>
      <c r="CX93" s="217">
        <f t="shared" si="233"/>
        <v>21.086984126984127</v>
      </c>
      <c r="CY93" s="217">
        <f t="shared" si="234"/>
        <v>3.5144973544973546</v>
      </c>
      <c r="CZ93" s="217">
        <f t="shared" si="235"/>
        <v>16.117440097057933</v>
      </c>
      <c r="DA93" s="197">
        <f t="shared" si="236"/>
        <v>107.41163055872293</v>
      </c>
      <c r="DB93" s="443">
        <f t="shared" si="291"/>
        <v>50.937407602670291</v>
      </c>
      <c r="DD93" s="217">
        <f t="shared" si="237"/>
        <v>10</v>
      </c>
      <c r="DE93" s="173">
        <f t="shared" si="238"/>
        <v>7.6433121019108281</v>
      </c>
      <c r="DF93" s="173">
        <f t="shared" si="239"/>
        <v>4.1049030786773102</v>
      </c>
      <c r="DG93" s="173"/>
      <c r="DH93" s="173">
        <f t="shared" si="240"/>
        <v>7.6433121019108281</v>
      </c>
      <c r="DI93" s="545">
        <f t="shared" si="241"/>
        <v>230.26666666666671</v>
      </c>
      <c r="DJ93" s="528">
        <f t="shared" si="242"/>
        <v>4.1049030786773093</v>
      </c>
      <c r="DL93" s="173">
        <f t="shared" si="243"/>
        <v>7.9809296510643479</v>
      </c>
      <c r="DM93" s="173">
        <f t="shared" si="244"/>
        <v>21.086984126984127</v>
      </c>
      <c r="DN93" s="173">
        <f t="shared" si="245"/>
        <v>9.4125808348030571</v>
      </c>
      <c r="DP93" s="545">
        <f t="shared" si="246"/>
        <v>8800</v>
      </c>
      <c r="DQ93" s="460">
        <f t="shared" si="247"/>
        <v>50.937407602670291</v>
      </c>
      <c r="DS93">
        <f>IF(CL93&gt;CS93, "",DP93)</f>
        <v>8800</v>
      </c>
      <c r="DT93">
        <f>IF(CL93&gt;CS93, "",DQ93)</f>
        <v>50.937407602670291</v>
      </c>
      <c r="DV93" s="5">
        <f t="shared" si="293"/>
        <v>19.631937451555288</v>
      </c>
      <c r="DW93" s="5">
        <f t="shared" si="249"/>
        <v>3.5144973544973546</v>
      </c>
      <c r="DX93" s="5">
        <f t="shared" si="294"/>
        <v>16.117440097057933</v>
      </c>
      <c r="DY93" s="173">
        <f t="shared" si="295"/>
        <v>0.17901938426453817</v>
      </c>
      <c r="EA93" s="5">
        <f t="shared" si="250"/>
        <v>206.18384479717815</v>
      </c>
      <c r="EB93" s="5">
        <f t="shared" si="251"/>
        <v>9.6648677248677259</v>
      </c>
      <c r="EC93" s="5">
        <f t="shared" si="252"/>
        <v>8.2079556049832068</v>
      </c>
      <c r="ED93" s="5"/>
      <c r="EE93" s="173">
        <f t="shared" si="296"/>
        <v>5.151146165267102</v>
      </c>
      <c r="EF93" s="173">
        <f t="shared" si="253"/>
        <v>11.03113743189164</v>
      </c>
      <c r="EG93" s="173">
        <f t="shared" si="254"/>
        <v>0.2716687963618804</v>
      </c>
      <c r="EH93" s="173"/>
      <c r="EI93" s="528">
        <f t="shared" si="255"/>
        <v>0.53068613631891948</v>
      </c>
      <c r="EJ93" s="528">
        <f t="shared" si="256"/>
        <v>1.8839999999999997</v>
      </c>
      <c r="EK93" s="528">
        <f t="shared" si="257"/>
        <v>6.3671759503337857E-3</v>
      </c>
      <c r="EL93" s="528">
        <f t="shared" si="258"/>
        <v>3.9177437372034205E-2</v>
      </c>
      <c r="EM93">
        <f t="shared" si="259"/>
        <v>3.2399999999999998E-2</v>
      </c>
      <c r="EN93" s="460">
        <f t="shared" si="297"/>
        <v>38.767175950333787</v>
      </c>
      <c r="EO93">
        <f t="shared" si="260"/>
        <v>3.0162363413553281</v>
      </c>
      <c r="EP93" s="460">
        <f t="shared" si="298"/>
        <v>3016.236341355328</v>
      </c>
      <c r="EQ93" s="173">
        <f t="shared" si="261"/>
        <v>5.4669999999999996</v>
      </c>
      <c r="ER93" s="173">
        <f t="shared" si="262"/>
        <v>9.762499999999999E-2</v>
      </c>
      <c r="ES93" s="528"/>
      <c r="EU93" s="460">
        <f t="shared" si="299"/>
        <v>5564.6249999999991</v>
      </c>
      <c r="EV93" s="528">
        <f t="shared" si="263"/>
        <v>0.7960292044783791</v>
      </c>
      <c r="EW93" s="528">
        <f t="shared" si="300"/>
        <v>3.6505797912384264</v>
      </c>
      <c r="EX93" s="528">
        <f t="shared" si="264"/>
        <v>3.6901967458356425E-4</v>
      </c>
      <c r="EY93" s="528">
        <f t="shared" si="265"/>
        <v>1.890594011417486</v>
      </c>
      <c r="EZ93" s="528">
        <f t="shared" si="266"/>
        <v>11.493894411090906</v>
      </c>
      <c r="FA93" s="625">
        <f t="shared" si="267"/>
        <v>2.2649873486452733E-2</v>
      </c>
      <c r="FB93" s="460">
        <f t="shared" si="301"/>
        <v>11516.54428457736</v>
      </c>
      <c r="FC93" s="173">
        <f t="shared" si="302"/>
        <v>20.097405625932691</v>
      </c>
      <c r="FD93" s="5">
        <f t="shared" si="303"/>
        <v>133.76</v>
      </c>
      <c r="FE93" s="173">
        <f t="shared" si="304"/>
        <v>0.86937641679208677</v>
      </c>
      <c r="FF93" s="5">
        <f t="shared" si="305"/>
        <v>86.937641679208681</v>
      </c>
      <c r="FG93">
        <f t="shared" si="306"/>
        <v>88.000000000000014</v>
      </c>
      <c r="FI93" s="562">
        <f t="shared" si="268"/>
        <v>-50</v>
      </c>
      <c r="FJ93">
        <f t="shared" si="269"/>
        <v>-50</v>
      </c>
      <c r="FL93">
        <f t="shared" si="270"/>
        <v>0.82098061573546177</v>
      </c>
    </row>
    <row r="94" spans="5:168">
      <c r="E94" s="170">
        <v>89</v>
      </c>
      <c r="F94" s="217">
        <f t="shared" si="307"/>
        <v>8.9</v>
      </c>
      <c r="G94" s="217">
        <f t="shared" si="271"/>
        <v>0.2225</v>
      </c>
      <c r="H94" s="217">
        <f t="shared" si="176"/>
        <v>133.5</v>
      </c>
      <c r="I94" s="217">
        <f t="shared" si="308"/>
        <v>1.78</v>
      </c>
      <c r="J94" s="541">
        <f t="shared" si="177"/>
        <v>71.395422941247816</v>
      </c>
      <c r="K94" s="443">
        <f t="shared" si="178"/>
        <v>16.025220833333332</v>
      </c>
      <c r="L94" s="172">
        <f t="shared" si="179"/>
        <v>87.420643774581151</v>
      </c>
      <c r="M94" s="443"/>
      <c r="N94" s="217">
        <f t="shared" si="180"/>
        <v>0.18331163145692714</v>
      </c>
      <c r="O94" s="172">
        <f t="shared" si="272"/>
        <v>322.88515109993733</v>
      </c>
      <c r="P94" s="172">
        <f t="shared" si="181"/>
        <v>4.3625371526391534</v>
      </c>
      <c r="Q94" s="217">
        <f t="shared" si="182"/>
        <v>21.525676739995824</v>
      </c>
      <c r="R94" s="217">
        <f t="shared" si="183"/>
        <v>40.360643887492166</v>
      </c>
      <c r="S94" s="443">
        <f t="shared" si="184"/>
        <v>15</v>
      </c>
      <c r="T94" s="217">
        <f t="shared" si="185"/>
        <v>20.672985354888606</v>
      </c>
      <c r="U94" s="217">
        <f t="shared" si="186"/>
        <v>3.4746740622687811</v>
      </c>
      <c r="V94" s="217">
        <f t="shared" si="187"/>
        <v>15.480337328185334</v>
      </c>
      <c r="W94" s="197">
        <f t="shared" si="188"/>
        <v>109.06342881597884</v>
      </c>
      <c r="X94" s="443">
        <f t="shared" si="273"/>
        <v>52.205659376342069</v>
      </c>
      <c r="Z94" s="217">
        <f t="shared" si="189"/>
        <v>10</v>
      </c>
      <c r="AA94" s="173">
        <f t="shared" si="190"/>
        <v>7.4881963405080487</v>
      </c>
      <c r="AB94" s="173">
        <f t="shared" si="191"/>
        <v>4.0834418427153638</v>
      </c>
      <c r="AC94" s="173"/>
      <c r="AD94" s="173">
        <f t="shared" si="192"/>
        <v>7.4881963405080487</v>
      </c>
      <c r="AE94" s="545">
        <f t="shared" si="193"/>
        <v>237.70744236111113</v>
      </c>
      <c r="AF94" s="528">
        <f t="shared" si="194"/>
        <v>4.0834418427153638</v>
      </c>
      <c r="AH94" s="173">
        <f t="shared" si="195"/>
        <v>8.026147744656063</v>
      </c>
      <c r="AI94" s="173">
        <f t="shared" si="196"/>
        <v>20.672985354888606</v>
      </c>
      <c r="AJ94" s="173">
        <f t="shared" si="197"/>
        <v>9.1059150776952631</v>
      </c>
      <c r="AL94" s="545">
        <f t="shared" si="198"/>
        <v>8900</v>
      </c>
      <c r="AM94" s="460">
        <f t="shared" si="199"/>
        <v>52.205659376342069</v>
      </c>
      <c r="AO94">
        <f t="shared" si="274"/>
        <v>8900</v>
      </c>
      <c r="AP94">
        <f t="shared" si="200"/>
        <v>52.205659376342069</v>
      </c>
      <c r="AR94" s="5">
        <f t="shared" si="275"/>
        <v>19.155011390454117</v>
      </c>
      <c r="AS94" s="5">
        <f t="shared" si="201"/>
        <v>3.4746740622687811</v>
      </c>
      <c r="AT94" s="5">
        <f t="shared" si="276"/>
        <v>15.680337328185336</v>
      </c>
      <c r="AU94" s="173">
        <f t="shared" si="277"/>
        <v>0.18139765053861476</v>
      </c>
      <c r="AW94" s="5">
        <f t="shared" si="202"/>
        <v>206.163994361281</v>
      </c>
      <c r="AX94" s="5">
        <f t="shared" si="203"/>
        <v>9.663937235685049</v>
      </c>
      <c r="AY94" s="5">
        <f t="shared" si="204"/>
        <v>8.1444881473524244</v>
      </c>
      <c r="AZ94" s="5"/>
      <c r="BA94" s="173">
        <f t="shared" si="278"/>
        <v>5.0834481534067884</v>
      </c>
      <c r="BB94" s="173">
        <f t="shared" si="205"/>
        <v>10.798888648040196</v>
      </c>
      <c r="BC94" s="173">
        <f t="shared" si="206"/>
        <v>0.26594910082232326</v>
      </c>
      <c r="BD94" s="173"/>
      <c r="BE94" s="528">
        <f t="shared" si="207"/>
        <v>0.51682890256749769</v>
      </c>
      <c r="BF94" s="528">
        <f t="shared" si="208"/>
        <v>1.7690334904024345</v>
      </c>
      <c r="BG94" s="528">
        <f t="shared" si="209"/>
        <v>9.3181128277516539E-2</v>
      </c>
      <c r="BH94" s="528">
        <f t="shared" si="210"/>
        <v>3.9897491064770564E-2</v>
      </c>
      <c r="BI94">
        <f t="shared" si="211"/>
        <v>3.2127940323561519E-2</v>
      </c>
      <c r="BJ94" s="460">
        <f t="shared" si="279"/>
        <v>125.30906860107804</v>
      </c>
      <c r="BK94">
        <f t="shared" si="212"/>
        <v>2.8104190662240467</v>
      </c>
      <c r="BL94" s="460">
        <f t="shared" si="280"/>
        <v>2810.4190662240467</v>
      </c>
      <c r="BM94" s="173">
        <f t="shared" si="213"/>
        <v>5.5291249999999996</v>
      </c>
      <c r="BN94" s="173">
        <f t="shared" si="214"/>
        <v>9.8734374999999999E-2</v>
      </c>
      <c r="BO94" s="528"/>
      <c r="BQ94" s="460">
        <f t="shared" si="281"/>
        <v>5627.859375</v>
      </c>
      <c r="BR94" s="528">
        <f t="shared" si="215"/>
        <v>0.77524335385124654</v>
      </c>
      <c r="BS94" s="528">
        <f t="shared" si="216"/>
        <v>3.4984798809831421</v>
      </c>
      <c r="BT94" s="528">
        <f t="shared" si="217"/>
        <v>3.5364462114101131E-4</v>
      </c>
      <c r="BU94" s="528">
        <f t="shared" si="218"/>
        <v>1.9132510499838533</v>
      </c>
      <c r="BV94" s="528">
        <f t="shared" si="219"/>
        <v>10.960937567137265</v>
      </c>
      <c r="BW94" s="625">
        <f t="shared" si="220"/>
        <v>2.2311253946652284E-2</v>
      </c>
      <c r="BX94" s="460">
        <f t="shared" si="282"/>
        <v>10983.248821083916</v>
      </c>
      <c r="BY94" s="173">
        <f t="shared" si="283"/>
        <v>19.421527262307961</v>
      </c>
      <c r="BZ94" s="5">
        <f t="shared" si="284"/>
        <v>135.28</v>
      </c>
      <c r="CA94" s="173">
        <f t="shared" si="285"/>
        <v>0.8744580767494472</v>
      </c>
      <c r="CB94" s="5">
        <f t="shared" si="286"/>
        <v>87.445807674944717</v>
      </c>
      <c r="CC94">
        <f t="shared" si="287"/>
        <v>89</v>
      </c>
      <c r="CE94" s="562">
        <f t="shared" si="221"/>
        <v>-50</v>
      </c>
      <c r="CF94">
        <f t="shared" si="222"/>
        <v>-50</v>
      </c>
      <c r="CG94" s="173">
        <f t="shared" si="223"/>
        <v>0.82098061573546177</v>
      </c>
      <c r="CH94" s="173">
        <f t="shared" si="224"/>
        <v>9.6304191786782969E-2</v>
      </c>
      <c r="CI94" s="170">
        <v>89</v>
      </c>
      <c r="CJ94" s="217">
        <f t="shared" si="309"/>
        <v>8.9</v>
      </c>
      <c r="CK94" s="217">
        <f t="shared" si="288"/>
        <v>0.2225</v>
      </c>
      <c r="CL94" s="217">
        <f t="shared" si="225"/>
        <v>133.5</v>
      </c>
      <c r="CM94" s="217">
        <f t="shared" si="310"/>
        <v>1.78</v>
      </c>
      <c r="CN94" s="541">
        <f t="shared" si="289"/>
        <v>72</v>
      </c>
      <c r="CO94" s="443">
        <f t="shared" si="226"/>
        <v>15.7</v>
      </c>
      <c r="CP94" s="443">
        <f t="shared" si="227"/>
        <v>87.7</v>
      </c>
      <c r="CQ94" s="443"/>
      <c r="CR94" s="217">
        <f t="shared" si="228"/>
        <v>0.17620137299771166</v>
      </c>
      <c r="CS94" s="172">
        <f t="shared" si="290"/>
        <v>312.98928098277725</v>
      </c>
      <c r="CT94" s="172">
        <f t="shared" si="229"/>
        <v>4.2288329519450798</v>
      </c>
      <c r="CU94" s="217">
        <f t="shared" si="230"/>
        <v>20.865952065518481</v>
      </c>
      <c r="CV94" s="217">
        <f t="shared" si="231"/>
        <v>39.123660122847156</v>
      </c>
      <c r="CW94" s="443">
        <f t="shared" si="232"/>
        <v>15</v>
      </c>
      <c r="CX94" s="217">
        <f t="shared" si="233"/>
        <v>21.32660894660895</v>
      </c>
      <c r="CY94" s="217">
        <f t="shared" si="234"/>
        <v>3.5544348244348249</v>
      </c>
      <c r="CZ94" s="217">
        <f t="shared" si="235"/>
        <v>16.300592825433593</v>
      </c>
      <c r="DA94" s="197">
        <f t="shared" si="236"/>
        <v>107.41163055872293</v>
      </c>
      <c r="DB94" s="443">
        <f t="shared" si="291"/>
        <v>50.365077180168377</v>
      </c>
      <c r="DD94" s="217">
        <f t="shared" si="237"/>
        <v>10</v>
      </c>
      <c r="DE94" s="173">
        <f t="shared" si="238"/>
        <v>7.6433121019108281</v>
      </c>
      <c r="DF94" s="173">
        <f t="shared" si="239"/>
        <v>4.1049030786773102</v>
      </c>
      <c r="DG94" s="173"/>
      <c r="DH94" s="173">
        <f t="shared" si="240"/>
        <v>7.6433121019108281</v>
      </c>
      <c r="DI94" s="545">
        <f t="shared" si="241"/>
        <v>232.88333333333338</v>
      </c>
      <c r="DJ94" s="528">
        <f t="shared" si="242"/>
        <v>4.1049030786773093</v>
      </c>
      <c r="DL94" s="173">
        <f t="shared" si="243"/>
        <v>8.026147744656063</v>
      </c>
      <c r="DM94" s="173">
        <f t="shared" si="244"/>
        <v>21.32660894660895</v>
      </c>
      <c r="DN94" s="173">
        <f t="shared" si="245"/>
        <v>9.5900807011918143</v>
      </c>
      <c r="DP94" s="545">
        <f t="shared" si="246"/>
        <v>8900</v>
      </c>
      <c r="DQ94" s="460">
        <f t="shared" si="247"/>
        <v>50.365077180168377</v>
      </c>
      <c r="DS94">
        <f>IF(CL94&gt;CS94, "",DP94)</f>
        <v>8900</v>
      </c>
      <c r="DT94">
        <f>IF(CL94&gt;CS94, "",DQ94)</f>
        <v>50.365077180168377</v>
      </c>
      <c r="DV94" s="5">
        <f t="shared" si="293"/>
        <v>19.855027649868418</v>
      </c>
      <c r="DW94" s="5">
        <f t="shared" si="249"/>
        <v>3.5544348244348249</v>
      </c>
      <c r="DX94" s="5">
        <f t="shared" si="294"/>
        <v>16.300592825433593</v>
      </c>
      <c r="DY94" s="173">
        <f t="shared" si="295"/>
        <v>0.17901938426453817</v>
      </c>
      <c r="EA94" s="5">
        <f t="shared" si="250"/>
        <v>210.89646624979963</v>
      </c>
      <c r="EB94" s="5">
        <f t="shared" si="251"/>
        <v>9.8857718554593568</v>
      </c>
      <c r="EC94" s="5">
        <f t="shared" si="252"/>
        <v>8.3955599621735519</v>
      </c>
      <c r="ED94" s="5"/>
      <c r="EE94" s="173">
        <f t="shared" si="296"/>
        <v>5.2096819171451374</v>
      </c>
      <c r="EF94" s="173">
        <f t="shared" si="253"/>
        <v>11.156491266344956</v>
      </c>
      <c r="EG94" s="173">
        <f t="shared" si="254"/>
        <v>0.27475594177508361</v>
      </c>
      <c r="EH94" s="173"/>
      <c r="EI94" s="528">
        <f t="shared" si="255"/>
        <v>0.54281571355658065</v>
      </c>
      <c r="EJ94" s="528">
        <f t="shared" si="256"/>
        <v>1.8840000000000001</v>
      </c>
      <c r="EK94" s="528">
        <f t="shared" si="257"/>
        <v>6.2956346475210468E-3</v>
      </c>
      <c r="EL94" s="528">
        <f t="shared" si="258"/>
        <v>3.8737241446505734E-2</v>
      </c>
      <c r="EM94">
        <f t="shared" si="259"/>
        <v>3.2399999999999998E-2</v>
      </c>
      <c r="EN94" s="460">
        <f t="shared" si="297"/>
        <v>38.695634647521047</v>
      </c>
      <c r="EO94">
        <f t="shared" si="260"/>
        <v>3.0433142411435412</v>
      </c>
      <c r="EP94" s="460">
        <f t="shared" si="298"/>
        <v>3043.314241143541</v>
      </c>
      <c r="EQ94" s="173">
        <f t="shared" si="261"/>
        <v>5.5291249999999996</v>
      </c>
      <c r="ER94" s="173">
        <f t="shared" si="262"/>
        <v>9.8734374999999999E-2</v>
      </c>
      <c r="ES94" s="528"/>
      <c r="EU94" s="460">
        <f t="shared" si="299"/>
        <v>5627.859375</v>
      </c>
      <c r="EV94" s="528">
        <f t="shared" si="263"/>
        <v>0.81422357033487092</v>
      </c>
      <c r="EW94" s="528">
        <f t="shared" si="300"/>
        <v>3.734018921280938</v>
      </c>
      <c r="EX94" s="528">
        <f t="shared" si="264"/>
        <v>3.7745413770356572E-4</v>
      </c>
      <c r="EY94" s="528">
        <f t="shared" si="265"/>
        <v>1.890594011417486</v>
      </c>
      <c r="EZ94" s="528">
        <f t="shared" si="266"/>
        <v>11.838955459263204</v>
      </c>
      <c r="FA94" s="625">
        <f t="shared" si="267"/>
        <v>2.2907258412435152E-2</v>
      </c>
      <c r="FB94" s="460">
        <f t="shared" si="301"/>
        <v>11861.862717675638</v>
      </c>
      <c r="FC94" s="173">
        <f t="shared" si="302"/>
        <v>20.533036333819179</v>
      </c>
      <c r="FD94" s="5">
        <f t="shared" si="303"/>
        <v>135.28</v>
      </c>
      <c r="FE94" s="173">
        <f t="shared" si="304"/>
        <v>0.86822003590361652</v>
      </c>
      <c r="FF94" s="5">
        <f t="shared" si="305"/>
        <v>86.822003590361646</v>
      </c>
      <c r="FG94">
        <f t="shared" si="306"/>
        <v>89</v>
      </c>
      <c r="FI94" s="562">
        <f t="shared" si="268"/>
        <v>-50</v>
      </c>
      <c r="FJ94">
        <f t="shared" si="269"/>
        <v>-50</v>
      </c>
      <c r="FL94">
        <f t="shared" si="270"/>
        <v>0.82098061573546177</v>
      </c>
    </row>
    <row r="95" spans="5:168">
      <c r="E95" s="170">
        <v>90</v>
      </c>
      <c r="F95" s="217">
        <f t="shared" si="307"/>
        <v>9</v>
      </c>
      <c r="G95" s="217">
        <f t="shared" si="271"/>
        <v>0.22500000000000001</v>
      </c>
      <c r="H95" s="217">
        <f t="shared" si="176"/>
        <v>135</v>
      </c>
      <c r="I95" s="217">
        <f t="shared" si="308"/>
        <v>1.8</v>
      </c>
      <c r="J95" s="541">
        <f t="shared" si="177"/>
        <v>71.388629940587677</v>
      </c>
      <c r="K95" s="443">
        <f t="shared" si="178"/>
        <v>16.028874999999999</v>
      </c>
      <c r="L95" s="172">
        <f t="shared" si="179"/>
        <v>87.417504940587676</v>
      </c>
      <c r="M95" s="443"/>
      <c r="N95" s="217">
        <f t="shared" si="180"/>
        <v>0.18336001480360076</v>
      </c>
      <c r="O95" s="172">
        <f t="shared" si="272"/>
        <v>322.93964414592762</v>
      </c>
      <c r="P95" s="172">
        <f t="shared" si="181"/>
        <v>4.3632734142383107</v>
      </c>
      <c r="Q95" s="217">
        <f t="shared" si="182"/>
        <v>21.529309609728507</v>
      </c>
      <c r="R95" s="217">
        <f t="shared" si="183"/>
        <v>40.367455518240952</v>
      </c>
      <c r="S95" s="443">
        <f t="shared" si="184"/>
        <v>15</v>
      </c>
      <c r="T95" s="217">
        <f t="shared" si="185"/>
        <v>20.901738520990815</v>
      </c>
      <c r="U95" s="217">
        <f t="shared" si="186"/>
        <v>3.5134567291826784</v>
      </c>
      <c r="V95" s="217">
        <f t="shared" si="187"/>
        <v>15.648064025197639</v>
      </c>
      <c r="W95" s="197">
        <f t="shared" si="188"/>
        <v>109.08183535595776</v>
      </c>
      <c r="X95" s="443">
        <f t="shared" si="273"/>
        <v>51.648835475579141</v>
      </c>
      <c r="Z95" s="217">
        <f t="shared" si="189"/>
        <v>10</v>
      </c>
      <c r="AA95" s="173">
        <f t="shared" si="190"/>
        <v>7.4864892264740979</v>
      </c>
      <c r="AB95" s="173">
        <f t="shared" si="191"/>
        <v>4.0831999259819955</v>
      </c>
      <c r="AC95" s="173"/>
      <c r="AD95" s="173">
        <f t="shared" si="192"/>
        <v>7.4864892264740979</v>
      </c>
      <c r="AE95" s="545">
        <f t="shared" si="193"/>
        <v>240.43312499999996</v>
      </c>
      <c r="AF95" s="528">
        <f t="shared" si="194"/>
        <v>4.0831999259819955</v>
      </c>
      <c r="AH95" s="173">
        <f t="shared" si="195"/>
        <v>8.0711125096145917</v>
      </c>
      <c r="AI95" s="173">
        <f t="shared" si="196"/>
        <v>20.901738520990815</v>
      </c>
      <c r="AJ95" s="173">
        <f t="shared" si="197"/>
        <v>9.2753618674006031</v>
      </c>
      <c r="AL95" s="545">
        <f t="shared" si="198"/>
        <v>9000</v>
      </c>
      <c r="AM95" s="460">
        <f t="shared" si="199"/>
        <v>51.648835475579141</v>
      </c>
      <c r="AO95">
        <f t="shared" si="274"/>
        <v>9000</v>
      </c>
      <c r="AP95">
        <f t="shared" si="200"/>
        <v>51.648835475579141</v>
      </c>
      <c r="AR95" s="5">
        <f t="shared" si="275"/>
        <v>19.361520754380319</v>
      </c>
      <c r="AS95" s="5">
        <f t="shared" si="201"/>
        <v>3.5134567291826784</v>
      </c>
      <c r="AT95" s="5">
        <f t="shared" si="276"/>
        <v>15.84806402519764</v>
      </c>
      <c r="AU95" s="173">
        <f t="shared" si="277"/>
        <v>0.18146594855612258</v>
      </c>
      <c r="AW95" s="5">
        <f t="shared" si="202"/>
        <v>210.8074037509607</v>
      </c>
      <c r="AX95" s="5">
        <f t="shared" si="203"/>
        <v>9.8815970508262829</v>
      </c>
      <c r="AY95" s="5">
        <f t="shared" si="204"/>
        <v>8.324888731434017</v>
      </c>
      <c r="AZ95" s="5"/>
      <c r="BA95" s="173">
        <f t="shared" si="278"/>
        <v>5.1406656086525464</v>
      </c>
      <c r="BB95" s="173">
        <f t="shared" si="205"/>
        <v>10.917926306460735</v>
      </c>
      <c r="BC95" s="173">
        <f t="shared" si="206"/>
        <v>0.26888069491989586</v>
      </c>
      <c r="BD95" s="173"/>
      <c r="BE95" s="528">
        <f t="shared" si="207"/>
        <v>0.52852885799966109</v>
      </c>
      <c r="BF95" s="528">
        <f t="shared" si="208"/>
        <v>1.7694676340301889</v>
      </c>
      <c r="BG95" s="528">
        <f t="shared" si="209"/>
        <v>9.2178490065710397E-2</v>
      </c>
      <c r="BH95" s="528">
        <f t="shared" si="210"/>
        <v>3.9469111269623797E-2</v>
      </c>
      <c r="BI95">
        <f t="shared" si="211"/>
        <v>3.2124883473264455E-2</v>
      </c>
      <c r="BJ95" s="460">
        <f t="shared" si="279"/>
        <v>124.30337353897485</v>
      </c>
      <c r="BK95">
        <f t="shared" si="212"/>
        <v>2.8363532598796724</v>
      </c>
      <c r="BL95" s="460">
        <f t="shared" si="280"/>
        <v>2836.3532598796724</v>
      </c>
      <c r="BM95" s="173">
        <f t="shared" si="213"/>
        <v>5.5912499999999996</v>
      </c>
      <c r="BN95" s="173">
        <f t="shared" si="214"/>
        <v>9.9843749999999995E-2</v>
      </c>
      <c r="BO95" s="528"/>
      <c r="BQ95" s="460">
        <f t="shared" si="281"/>
        <v>5691.0937499999991</v>
      </c>
      <c r="BR95" s="528">
        <f t="shared" si="215"/>
        <v>0.79279328699949159</v>
      </c>
      <c r="BS95" s="528">
        <f t="shared" si="216"/>
        <v>3.5760334449992208</v>
      </c>
      <c r="BT95" s="528">
        <f t="shared" si="217"/>
        <v>3.6148414050303057E-4</v>
      </c>
      <c r="BU95" s="528">
        <f t="shared" si="218"/>
        <v>1.9145969613911236</v>
      </c>
      <c r="BV95" s="528">
        <f t="shared" si="219"/>
        <v>11.272537331324873</v>
      </c>
      <c r="BW95" s="625">
        <f t="shared" si="220"/>
        <v>2.2564481310231362E-2</v>
      </c>
      <c r="BX95" s="460">
        <f t="shared" si="282"/>
        <v>11295.101812635105</v>
      </c>
      <c r="BY95" s="173">
        <f t="shared" si="283"/>
        <v>19.822548822514772</v>
      </c>
      <c r="BZ95" s="5">
        <f t="shared" si="284"/>
        <v>136.80000000000001</v>
      </c>
      <c r="CA95" s="173">
        <f t="shared" si="285"/>
        <v>0.8734374521961219</v>
      </c>
      <c r="CB95" s="5">
        <f t="shared" si="286"/>
        <v>87.343745219612188</v>
      </c>
      <c r="CC95">
        <f t="shared" si="287"/>
        <v>90</v>
      </c>
      <c r="CE95" s="562">
        <f t="shared" si="221"/>
        <v>-50</v>
      </c>
      <c r="CF95">
        <f t="shared" si="222"/>
        <v>-50</v>
      </c>
      <c r="CG95" s="173">
        <f t="shared" si="223"/>
        <v>0.82098061573546188</v>
      </c>
      <c r="CH95" s="173">
        <f t="shared" si="224"/>
        <v>9.6304191786782956E-2</v>
      </c>
      <c r="CI95" s="170">
        <v>90</v>
      </c>
      <c r="CJ95" s="217">
        <f t="shared" si="309"/>
        <v>9</v>
      </c>
      <c r="CK95" s="217">
        <f t="shared" si="288"/>
        <v>0.22500000000000001</v>
      </c>
      <c r="CL95" s="217">
        <f t="shared" si="225"/>
        <v>135</v>
      </c>
      <c r="CM95" s="217">
        <f t="shared" si="310"/>
        <v>1.8</v>
      </c>
      <c r="CN95" s="541">
        <f t="shared" si="289"/>
        <v>72</v>
      </c>
      <c r="CO95" s="443">
        <f t="shared" si="226"/>
        <v>15.7</v>
      </c>
      <c r="CP95" s="443">
        <f t="shared" si="227"/>
        <v>87.7</v>
      </c>
      <c r="CQ95" s="443"/>
      <c r="CR95" s="217">
        <f t="shared" si="228"/>
        <v>0.17620137299771166</v>
      </c>
      <c r="CS95" s="172">
        <f t="shared" si="290"/>
        <v>312.98928098277725</v>
      </c>
      <c r="CT95" s="172">
        <f t="shared" si="229"/>
        <v>4.2288329519450798</v>
      </c>
      <c r="CU95" s="217">
        <f t="shared" si="230"/>
        <v>20.865952065518481</v>
      </c>
      <c r="CV95" s="217">
        <f t="shared" si="231"/>
        <v>39.123660122847156</v>
      </c>
      <c r="CW95" s="443">
        <f t="shared" si="232"/>
        <v>15</v>
      </c>
      <c r="CX95" s="217">
        <f t="shared" si="233"/>
        <v>21.566233766233768</v>
      </c>
      <c r="CY95" s="217">
        <f t="shared" si="234"/>
        <v>3.5943722943722944</v>
      </c>
      <c r="CZ95" s="217">
        <f t="shared" si="235"/>
        <v>16.48374555380925</v>
      </c>
      <c r="DA95" s="197">
        <f t="shared" si="236"/>
        <v>107.41163055872293</v>
      </c>
      <c r="DB95" s="443">
        <f t="shared" si="291"/>
        <v>49.805465211499836</v>
      </c>
      <c r="DD95" s="217">
        <f t="shared" si="237"/>
        <v>10</v>
      </c>
      <c r="DE95" s="173">
        <f t="shared" si="238"/>
        <v>7.6433121019108281</v>
      </c>
      <c r="DF95" s="173">
        <f t="shared" si="239"/>
        <v>4.1049030786773102</v>
      </c>
      <c r="DG95" s="173"/>
      <c r="DH95" s="173">
        <f t="shared" si="240"/>
        <v>7.6433121019108281</v>
      </c>
      <c r="DI95" s="545">
        <f t="shared" si="241"/>
        <v>235.50000000000006</v>
      </c>
      <c r="DJ95" s="528">
        <f t="shared" si="242"/>
        <v>4.1049030786773093</v>
      </c>
      <c r="DL95" s="173">
        <f t="shared" si="243"/>
        <v>8.0711125096145917</v>
      </c>
      <c r="DM95" s="173">
        <f t="shared" si="244"/>
        <v>21.566233766233768</v>
      </c>
      <c r="DN95" s="173">
        <f t="shared" si="245"/>
        <v>9.767580567580568</v>
      </c>
      <c r="DP95" s="545">
        <f t="shared" si="246"/>
        <v>9000</v>
      </c>
      <c r="DQ95" s="460">
        <f t="shared" si="247"/>
        <v>49.805465211499836</v>
      </c>
      <c r="DS95">
        <f>IF(CL95&gt;CS95, "",DP95)</f>
        <v>9000</v>
      </c>
      <c r="DT95">
        <f>IF(CL95&gt;CS95, "",DQ95)</f>
        <v>49.805465211499836</v>
      </c>
      <c r="DV95" s="5">
        <f t="shared" si="293"/>
        <v>20.078117848181549</v>
      </c>
      <c r="DW95" s="5">
        <f t="shared" si="249"/>
        <v>3.5943722943722944</v>
      </c>
      <c r="DX95" s="5">
        <f t="shared" si="294"/>
        <v>16.483745553809253</v>
      </c>
      <c r="DY95" s="173">
        <f t="shared" si="295"/>
        <v>0.17901938426453815</v>
      </c>
      <c r="EA95" s="5">
        <f t="shared" si="250"/>
        <v>215.66233766233765</v>
      </c>
      <c r="EB95" s="5">
        <f t="shared" si="251"/>
        <v>10.109172077922079</v>
      </c>
      <c r="EC95" s="5">
        <f t="shared" si="252"/>
        <v>8.5852841426089856</v>
      </c>
      <c r="ED95" s="5"/>
      <c r="EE95" s="173">
        <f t="shared" si="296"/>
        <v>5.2682176690231719</v>
      </c>
      <c r="EF95" s="173">
        <f t="shared" si="253"/>
        <v>11.28184510079827</v>
      </c>
      <c r="EG95" s="173">
        <f t="shared" si="254"/>
        <v>0.27784308718828687</v>
      </c>
      <c r="EH95" s="173"/>
      <c r="EI95" s="528">
        <f t="shared" si="255"/>
        <v>0.55508234816415891</v>
      </c>
      <c r="EJ95" s="528">
        <f t="shared" si="256"/>
        <v>1.8839999999999997</v>
      </c>
      <c r="EK95" s="528">
        <f t="shared" si="257"/>
        <v>6.225683151437479E-3</v>
      </c>
      <c r="EL95" s="528">
        <f t="shared" si="258"/>
        <v>3.830682765265566E-2</v>
      </c>
      <c r="EM95">
        <f t="shared" si="259"/>
        <v>3.2399999999999998E-2</v>
      </c>
      <c r="EN95" s="460">
        <f t="shared" si="297"/>
        <v>38.625683151437478</v>
      </c>
      <c r="EO95">
        <f t="shared" si="260"/>
        <v>3.0709007132347845</v>
      </c>
      <c r="EP95" s="460">
        <f t="shared" si="298"/>
        <v>3070.9007132347847</v>
      </c>
      <c r="EQ95" s="173">
        <f t="shared" si="261"/>
        <v>5.5912499999999996</v>
      </c>
      <c r="ER95" s="173">
        <f t="shared" si="262"/>
        <v>9.9843749999999995E-2</v>
      </c>
      <c r="ES95" s="528"/>
      <c r="EU95" s="460">
        <f t="shared" si="299"/>
        <v>5691.0937499999991</v>
      </c>
      <c r="EV95" s="528">
        <f t="shared" si="263"/>
        <v>0.83262352224623826</v>
      </c>
      <c r="EW95" s="528">
        <f t="shared" si="300"/>
        <v>3.8184008663521776</v>
      </c>
      <c r="EX95" s="528">
        <f t="shared" si="264"/>
        <v>3.8598390549158992E-4</v>
      </c>
      <c r="EY95" s="528">
        <f t="shared" si="265"/>
        <v>1.8905940114174846</v>
      </c>
      <c r="EZ95" s="528">
        <f t="shared" si="266"/>
        <v>12.197004870933648</v>
      </c>
      <c r="FA95" s="625">
        <f t="shared" si="267"/>
        <v>2.316464333841757E-2</v>
      </c>
      <c r="FB95" s="460">
        <f t="shared" si="301"/>
        <v>12220.169514272065</v>
      </c>
      <c r="FC95" s="173">
        <f t="shared" si="302"/>
        <v>20.98216397750685</v>
      </c>
      <c r="FD95" s="5">
        <f t="shared" si="303"/>
        <v>136.80000000000001</v>
      </c>
      <c r="FE95" s="173">
        <f t="shared" si="304"/>
        <v>0.86701815054014586</v>
      </c>
      <c r="FF95" s="5">
        <f t="shared" si="305"/>
        <v>86.701815054014588</v>
      </c>
      <c r="FG95">
        <f t="shared" si="306"/>
        <v>90</v>
      </c>
      <c r="FI95" s="562">
        <f t="shared" si="268"/>
        <v>-50</v>
      </c>
      <c r="FJ95">
        <f t="shared" si="269"/>
        <v>-50</v>
      </c>
      <c r="FL95">
        <f t="shared" si="270"/>
        <v>0.82098061573546188</v>
      </c>
    </row>
    <row r="96" spans="5:168">
      <c r="E96" s="170">
        <v>91</v>
      </c>
      <c r="F96" s="217">
        <f t="shared" si="307"/>
        <v>9.1</v>
      </c>
      <c r="G96" s="217">
        <f t="shared" si="271"/>
        <v>0.22750000000000001</v>
      </c>
      <c r="H96" s="217">
        <f t="shared" si="176"/>
        <v>136.5</v>
      </c>
      <c r="I96" s="217">
        <f t="shared" si="308"/>
        <v>1.82</v>
      </c>
      <c r="J96" s="541">
        <f t="shared" si="177"/>
        <v>71.381836939927553</v>
      </c>
      <c r="K96" s="443">
        <f t="shared" si="178"/>
        <v>16.032529166666666</v>
      </c>
      <c r="L96" s="172">
        <f t="shared" si="179"/>
        <v>87.414366106594215</v>
      </c>
      <c r="M96" s="443"/>
      <c r="N96" s="217">
        <f t="shared" si="180"/>
        <v>0.18340840162492733</v>
      </c>
      <c r="O96" s="172">
        <f t="shared" si="272"/>
        <v>322.99412709383154</v>
      </c>
      <c r="P96" s="172">
        <f t="shared" si="181"/>
        <v>4.3640095394011018</v>
      </c>
      <c r="Q96" s="217">
        <f t="shared" si="182"/>
        <v>21.532941806255437</v>
      </c>
      <c r="R96" s="217">
        <f t="shared" si="183"/>
        <v>40.374265886728942</v>
      </c>
      <c r="S96" s="443">
        <f t="shared" si="184"/>
        <v>15</v>
      </c>
      <c r="T96" s="217">
        <f t="shared" si="185"/>
        <v>21.130415160822103</v>
      </c>
      <c r="U96" s="217">
        <f t="shared" si="186"/>
        <v>3.5522339127144713</v>
      </c>
      <c r="V96" s="217">
        <f t="shared" si="187"/>
        <v>15.815656986737553</v>
      </c>
      <c r="W96" s="197">
        <f t="shared" si="188"/>
        <v>109.10023848502752</v>
      </c>
      <c r="X96" s="443">
        <f t="shared" si="273"/>
        <v>51.104127937876221</v>
      </c>
      <c r="Z96" s="217">
        <f t="shared" si="189"/>
        <v>10.000000000000002</v>
      </c>
      <c r="AA96" s="173">
        <f t="shared" si="190"/>
        <v>7.4847828906179563</v>
      </c>
      <c r="AB96" s="173">
        <f t="shared" si="191"/>
        <v>4.0829579918753636</v>
      </c>
      <c r="AC96" s="173"/>
      <c r="AD96" s="173">
        <f t="shared" si="192"/>
        <v>7.4847828906179545</v>
      </c>
      <c r="AE96" s="545">
        <f t="shared" si="193"/>
        <v>243.16002569444444</v>
      </c>
      <c r="AF96" s="528">
        <f t="shared" si="194"/>
        <v>4.0829579918753618</v>
      </c>
      <c r="AH96" s="173">
        <f t="shared" si="195"/>
        <v>8.1158281565510411</v>
      </c>
      <c r="AI96" s="173">
        <f t="shared" si="196"/>
        <v>21.130415160822103</v>
      </c>
      <c r="AJ96" s="173">
        <f t="shared" si="197"/>
        <v>9.4447519709793344</v>
      </c>
      <c r="AL96" s="545">
        <f t="shared" si="198"/>
        <v>9100</v>
      </c>
      <c r="AM96" s="460">
        <f t="shared" si="199"/>
        <v>51.104127937876221</v>
      </c>
      <c r="AO96">
        <f t="shared" si="274"/>
        <v>9100</v>
      </c>
      <c r="AP96">
        <f t="shared" si="200"/>
        <v>51.104127937876221</v>
      </c>
      <c r="AR96" s="5">
        <f t="shared" si="275"/>
        <v>19.567890899452024</v>
      </c>
      <c r="AS96" s="5">
        <f t="shared" si="201"/>
        <v>3.5522339127144713</v>
      </c>
      <c r="AT96" s="5">
        <f t="shared" si="276"/>
        <v>16.015656986737554</v>
      </c>
      <c r="AU96" s="173">
        <f t="shared" si="277"/>
        <v>0.18153381634062296</v>
      </c>
      <c r="AW96" s="5">
        <f t="shared" si="202"/>
        <v>215.5021907046779</v>
      </c>
      <c r="AX96" s="5">
        <f t="shared" si="203"/>
        <v>10.101665189281777</v>
      </c>
      <c r="AY96" s="5">
        <f t="shared" si="204"/>
        <v>8.507210705782871</v>
      </c>
      <c r="AZ96" s="5"/>
      <c r="BA96" s="173">
        <f t="shared" si="278"/>
        <v>5.1978790723365593</v>
      </c>
      <c r="BB96" s="173">
        <f t="shared" si="205"/>
        <v>11.036916905198925</v>
      </c>
      <c r="BC96" s="173">
        <f t="shared" si="206"/>
        <v>0.27181113005744811</v>
      </c>
      <c r="BD96" s="173"/>
      <c r="BE96" s="528">
        <f t="shared" si="207"/>
        <v>0.54035893701268745</v>
      </c>
      <c r="BF96" s="528">
        <f t="shared" si="208"/>
        <v>1.76989742054689</v>
      </c>
      <c r="BG96" s="528">
        <f t="shared" si="209"/>
        <v>9.1197663185466904E-2</v>
      </c>
      <c r="BH96" s="528">
        <f t="shared" si="210"/>
        <v>3.9050051132652593E-2</v>
      </c>
      <c r="BI96">
        <f t="shared" si="211"/>
        <v>3.2121826622967399E-2</v>
      </c>
      <c r="BJ96" s="460">
        <f t="shared" si="279"/>
        <v>123.3194898084343</v>
      </c>
      <c r="BK96">
        <f t="shared" si="212"/>
        <v>2.8627497049565345</v>
      </c>
      <c r="BL96" s="460">
        <f t="shared" si="280"/>
        <v>2862.7497049565345</v>
      </c>
      <c r="BM96" s="173">
        <f t="shared" si="213"/>
        <v>5.6533749999999987</v>
      </c>
      <c r="BN96" s="173">
        <f t="shared" si="214"/>
        <v>0.100953125</v>
      </c>
      <c r="BO96" s="528"/>
      <c r="BQ96" s="460">
        <f t="shared" si="281"/>
        <v>5754.3281249999991</v>
      </c>
      <c r="BR96" s="528">
        <f t="shared" si="215"/>
        <v>0.81053840551903111</v>
      </c>
      <c r="BS96" s="528">
        <f t="shared" si="216"/>
        <v>3.6544060431679748</v>
      </c>
      <c r="BT96" s="528">
        <f t="shared" si="217"/>
        <v>3.6940645211553486E-4</v>
      </c>
      <c r="BU96" s="528">
        <f t="shared" si="218"/>
        <v>1.915931745877038</v>
      </c>
      <c r="BV96" s="528">
        <f t="shared" si="219"/>
        <v>11.594916079915212</v>
      </c>
      <c r="BW96" s="625">
        <f t="shared" si="220"/>
        <v>2.2817709234121096E-2</v>
      </c>
      <c r="BX96" s="460">
        <f t="shared" si="282"/>
        <v>11617.733789149333</v>
      </c>
      <c r="BY96" s="173">
        <f t="shared" si="283"/>
        <v>20.234811619105866</v>
      </c>
      <c r="BZ96" s="5">
        <f t="shared" si="284"/>
        <v>138.32</v>
      </c>
      <c r="CA96" s="173">
        <f t="shared" si="285"/>
        <v>0.87237970634586803</v>
      </c>
      <c r="CB96" s="5">
        <f t="shared" si="286"/>
        <v>87.237970634586802</v>
      </c>
      <c r="CC96">
        <f t="shared" si="287"/>
        <v>90.999999999999986</v>
      </c>
      <c r="CE96" s="562">
        <f t="shared" si="221"/>
        <v>-50</v>
      </c>
      <c r="CF96">
        <f t="shared" si="222"/>
        <v>-50</v>
      </c>
      <c r="CG96" s="173">
        <f t="shared" si="223"/>
        <v>0.82098061573546188</v>
      </c>
      <c r="CH96" s="173">
        <f t="shared" si="224"/>
        <v>9.6304191786782956E-2</v>
      </c>
      <c r="CI96" s="170">
        <v>91</v>
      </c>
      <c r="CJ96" s="217">
        <f t="shared" si="309"/>
        <v>9.1</v>
      </c>
      <c r="CK96" s="217">
        <f t="shared" si="288"/>
        <v>0.22750000000000001</v>
      </c>
      <c r="CL96" s="217">
        <f t="shared" si="225"/>
        <v>136.5</v>
      </c>
      <c r="CM96" s="217">
        <f t="shared" si="310"/>
        <v>1.82</v>
      </c>
      <c r="CN96" s="541">
        <f t="shared" si="289"/>
        <v>72</v>
      </c>
      <c r="CO96" s="443">
        <f t="shared" si="226"/>
        <v>15.7</v>
      </c>
      <c r="CP96" s="443">
        <f t="shared" si="227"/>
        <v>87.7</v>
      </c>
      <c r="CQ96" s="443"/>
      <c r="CR96" s="217">
        <f t="shared" si="228"/>
        <v>0.17620137299771166</v>
      </c>
      <c r="CS96" s="172">
        <f t="shared" si="290"/>
        <v>312.98928098277725</v>
      </c>
      <c r="CT96" s="172">
        <f t="shared" si="229"/>
        <v>4.2288329519450798</v>
      </c>
      <c r="CU96" s="217">
        <f t="shared" si="230"/>
        <v>20.865952065518481</v>
      </c>
      <c r="CV96" s="217">
        <f t="shared" si="231"/>
        <v>39.123660122847156</v>
      </c>
      <c r="CW96" s="443">
        <f t="shared" si="232"/>
        <v>15</v>
      </c>
      <c r="CX96" s="217">
        <f t="shared" si="233"/>
        <v>21.805858585858587</v>
      </c>
      <c r="CY96" s="217">
        <f t="shared" si="234"/>
        <v>3.6343097643097644</v>
      </c>
      <c r="CZ96" s="217">
        <f t="shared" si="235"/>
        <v>16.66689828218491</v>
      </c>
      <c r="DA96" s="197">
        <f t="shared" si="236"/>
        <v>107.41163055872293</v>
      </c>
      <c r="DB96" s="443">
        <f t="shared" si="291"/>
        <v>49.258152406977864</v>
      </c>
      <c r="DD96" s="217">
        <f t="shared" si="237"/>
        <v>10</v>
      </c>
      <c r="DE96" s="173">
        <f t="shared" si="238"/>
        <v>7.6433121019108281</v>
      </c>
      <c r="DF96" s="173">
        <f t="shared" si="239"/>
        <v>4.1049030786773102</v>
      </c>
      <c r="DG96" s="173"/>
      <c r="DH96" s="173">
        <f t="shared" si="240"/>
        <v>7.6433121019108281</v>
      </c>
      <c r="DI96" s="545">
        <f t="shared" si="241"/>
        <v>238.11666666666667</v>
      </c>
      <c r="DJ96" s="528">
        <f t="shared" si="242"/>
        <v>4.1049030786773093</v>
      </c>
      <c r="DL96" s="173">
        <f t="shared" si="243"/>
        <v>8.1158281565510411</v>
      </c>
      <c r="DM96" s="173">
        <f t="shared" si="244"/>
        <v>21.805858585858587</v>
      </c>
      <c r="DN96" s="173">
        <f t="shared" si="245"/>
        <v>9.9450804339693235</v>
      </c>
      <c r="DP96" s="545">
        <f t="shared" si="246"/>
        <v>9100</v>
      </c>
      <c r="DQ96" s="460">
        <f t="shared" si="247"/>
        <v>49.258152406977864</v>
      </c>
      <c r="DS96">
        <f t="shared" ref="DS96:DS105" si="311">IF(CL96&gt;CS96, "",DP96)</f>
        <v>9100</v>
      </c>
      <c r="DT96">
        <f t="shared" ref="DT96:DT105" si="312">IF(CL96&gt;CS96, "",DQ96)</f>
        <v>49.258152406977864</v>
      </c>
      <c r="DV96" s="5">
        <f t="shared" si="293"/>
        <v>20.301208046494676</v>
      </c>
      <c r="DW96" s="5">
        <f t="shared" si="249"/>
        <v>3.6343097643097644</v>
      </c>
      <c r="DX96" s="5">
        <f t="shared" si="294"/>
        <v>16.66689828218491</v>
      </c>
      <c r="DY96" s="173">
        <f t="shared" si="295"/>
        <v>0.17901938426453815</v>
      </c>
      <c r="EA96" s="5">
        <f t="shared" si="250"/>
        <v>220.48145903479238</v>
      </c>
      <c r="EB96" s="5">
        <f t="shared" si="251"/>
        <v>10.335068392255893</v>
      </c>
      <c r="EC96" s="5">
        <f t="shared" si="252"/>
        <v>8.7771281462895061</v>
      </c>
      <c r="ED96" s="5"/>
      <c r="EE96" s="173">
        <f t="shared" si="296"/>
        <v>5.3267534209012073</v>
      </c>
      <c r="EF96" s="173">
        <f t="shared" si="253"/>
        <v>11.407198935251582</v>
      </c>
      <c r="EG96" s="173">
        <f t="shared" si="254"/>
        <v>0.28093023260149003</v>
      </c>
      <c r="EH96" s="173"/>
      <c r="EI96" s="528">
        <f t="shared" si="255"/>
        <v>0.56748604014165427</v>
      </c>
      <c r="EJ96" s="528">
        <f t="shared" si="256"/>
        <v>1.8840000000000001</v>
      </c>
      <c r="EK96" s="528">
        <f t="shared" si="257"/>
        <v>6.1572690508722326E-3</v>
      </c>
      <c r="EL96" s="528">
        <f t="shared" si="258"/>
        <v>3.788587350262649E-2</v>
      </c>
      <c r="EM96">
        <f t="shared" si="259"/>
        <v>3.2399999999999998E-2</v>
      </c>
      <c r="EN96" s="460">
        <f t="shared" si="297"/>
        <v>38.557269050872229</v>
      </c>
      <c r="EO96">
        <f t="shared" si="260"/>
        <v>3.0990035791737585</v>
      </c>
      <c r="EP96" s="460">
        <f t="shared" si="298"/>
        <v>3099.0035791737587</v>
      </c>
      <c r="EQ96" s="173">
        <f t="shared" si="261"/>
        <v>5.6533749999999987</v>
      </c>
      <c r="ER96" s="173">
        <f t="shared" si="262"/>
        <v>0.100953125</v>
      </c>
      <c r="ES96" s="528"/>
      <c r="EU96" s="460">
        <f t="shared" si="299"/>
        <v>5754.3281249999991</v>
      </c>
      <c r="EV96" s="528">
        <f t="shared" si="263"/>
        <v>0.85122906021248146</v>
      </c>
      <c r="EW96" s="528">
        <f t="shared" si="300"/>
        <v>3.9037256264521445</v>
      </c>
      <c r="EX96" s="528">
        <f t="shared" si="264"/>
        <v>3.9460897794763646E-4</v>
      </c>
      <c r="EY96" s="528">
        <f t="shared" si="265"/>
        <v>1.890594011417488</v>
      </c>
      <c r="EZ96" s="528">
        <f t="shared" si="266"/>
        <v>12.568719099288913</v>
      </c>
      <c r="FA96" s="625">
        <f t="shared" si="267"/>
        <v>2.3422028264399986E-2</v>
      </c>
      <c r="FB96" s="460">
        <f t="shared" si="301"/>
        <v>12592.141127553314</v>
      </c>
      <c r="FC96" s="173">
        <f t="shared" si="302"/>
        <v>21.44547283172707</v>
      </c>
      <c r="FD96" s="5">
        <f t="shared" si="303"/>
        <v>138.32</v>
      </c>
      <c r="FE96" s="173">
        <f t="shared" si="304"/>
        <v>0.86576903975795505</v>
      </c>
      <c r="FF96" s="5">
        <f t="shared" si="305"/>
        <v>86.576903975795503</v>
      </c>
      <c r="FG96">
        <f t="shared" si="306"/>
        <v>90.999999999999986</v>
      </c>
      <c r="FI96" s="562">
        <f t="shared" si="268"/>
        <v>-50</v>
      </c>
      <c r="FJ96">
        <f t="shared" si="269"/>
        <v>-50</v>
      </c>
      <c r="FL96">
        <f t="shared" si="270"/>
        <v>0.82098061573546188</v>
      </c>
    </row>
    <row r="97" spans="5:169">
      <c r="E97" s="170">
        <v>92</v>
      </c>
      <c r="F97" s="217">
        <f t="shared" si="307"/>
        <v>9.2000000000000011</v>
      </c>
      <c r="G97" s="217">
        <f t="shared" si="271"/>
        <v>0.23</v>
      </c>
      <c r="H97" s="217">
        <f t="shared" si="176"/>
        <v>138.00000000000003</v>
      </c>
      <c r="I97" s="217">
        <f t="shared" si="308"/>
        <v>1.84</v>
      </c>
      <c r="J97" s="541">
        <f t="shared" si="177"/>
        <v>71.375043939267414</v>
      </c>
      <c r="K97" s="443">
        <f t="shared" si="178"/>
        <v>16.036183333333334</v>
      </c>
      <c r="L97" s="172">
        <f t="shared" si="179"/>
        <v>87.41122727260074</v>
      </c>
      <c r="M97" s="443"/>
      <c r="N97" s="217">
        <f t="shared" si="180"/>
        <v>0.1834567919212812</v>
      </c>
      <c r="O97" s="172">
        <f t="shared" si="272"/>
        <v>323.04859994256128</v>
      </c>
      <c r="P97" s="172">
        <f t="shared" si="181"/>
        <v>4.3647455281128282</v>
      </c>
      <c r="Q97" s="217">
        <f t="shared" si="182"/>
        <v>21.536573329504087</v>
      </c>
      <c r="R97" s="217">
        <f t="shared" si="183"/>
        <v>40.38107499282016</v>
      </c>
      <c r="S97" s="443">
        <f t="shared" si="184"/>
        <v>15</v>
      </c>
      <c r="T97" s="217">
        <f t="shared" si="185"/>
        <v>21.359015334617876</v>
      </c>
      <c r="U97" s="217">
        <f t="shared" si="186"/>
        <v>3.5910056214256842</v>
      </c>
      <c r="V97" s="217">
        <f t="shared" si="187"/>
        <v>15.983116349302641</v>
      </c>
      <c r="W97" s="197">
        <f t="shared" si="188"/>
        <v>109.1186382028207</v>
      </c>
      <c r="X97" s="443">
        <f t="shared" si="273"/>
        <v>50.571145534567961</v>
      </c>
      <c r="Z97" s="217">
        <f t="shared" si="189"/>
        <v>10</v>
      </c>
      <c r="AA97" s="173">
        <f t="shared" si="190"/>
        <v>7.4830773324076487</v>
      </c>
      <c r="AB97" s="173">
        <f t="shared" si="191"/>
        <v>4.0827160403935947</v>
      </c>
      <c r="AC97" s="173"/>
      <c r="AD97" s="173">
        <f t="shared" si="192"/>
        <v>7.4830773324076487</v>
      </c>
      <c r="AE97" s="545">
        <f t="shared" si="193"/>
        <v>245.88814444444449</v>
      </c>
      <c r="AF97" s="528">
        <f t="shared" si="194"/>
        <v>4.0827160403935947</v>
      </c>
      <c r="AH97" s="173">
        <f t="shared" si="195"/>
        <v>8.1602987807111695</v>
      </c>
      <c r="AI97" s="173">
        <f t="shared" si="196"/>
        <v>21.359015334617876</v>
      </c>
      <c r="AJ97" s="173">
        <f t="shared" si="197"/>
        <v>9.6140854330502776</v>
      </c>
      <c r="AL97" s="545">
        <f t="shared" si="198"/>
        <v>9200.0000000000018</v>
      </c>
      <c r="AM97" s="460">
        <f t="shared" si="199"/>
        <v>50.571145534567961</v>
      </c>
      <c r="AO97">
        <f t="shared" si="274"/>
        <v>9200.0000000000018</v>
      </c>
      <c r="AP97">
        <f t="shared" si="200"/>
        <v>50.571145534567961</v>
      </c>
      <c r="AR97" s="5">
        <f t="shared" si="275"/>
        <v>19.774121970728327</v>
      </c>
      <c r="AS97" s="5">
        <f t="shared" si="201"/>
        <v>3.5910056214256842</v>
      </c>
      <c r="AT97" s="5">
        <f t="shared" si="276"/>
        <v>16.183116349302644</v>
      </c>
      <c r="AU97" s="173">
        <f t="shared" si="277"/>
        <v>0.18160126789656994</v>
      </c>
      <c r="AW97" s="5">
        <f t="shared" si="202"/>
        <v>220.24834478077531</v>
      </c>
      <c r="AX97" s="5">
        <f t="shared" si="203"/>
        <v>10.324141161598844</v>
      </c>
      <c r="AY97" s="5">
        <f t="shared" si="204"/>
        <v>8.691452350177034</v>
      </c>
      <c r="AZ97" s="5"/>
      <c r="BA97" s="173">
        <f t="shared" si="278"/>
        <v>5.2550885489930215</v>
      </c>
      <c r="BB97" s="173">
        <f t="shared" si="205"/>
        <v>11.15586047915577</v>
      </c>
      <c r="BC97" s="173">
        <f t="shared" si="206"/>
        <v>0.27474040709450293</v>
      </c>
      <c r="BD97" s="173"/>
      <c r="BE97" s="528">
        <f t="shared" si="207"/>
        <v>0.55231911315515159</v>
      </c>
      <c r="BF97" s="528">
        <f t="shared" si="208"/>
        <v>1.7703229881366518</v>
      </c>
      <c r="BG97" s="528">
        <f t="shared" si="209"/>
        <v>9.0237943364721879E-2</v>
      </c>
      <c r="BH97" s="528">
        <f t="shared" si="210"/>
        <v>3.8640009728941882E-2</v>
      </c>
      <c r="BI97">
        <f t="shared" si="211"/>
        <v>3.2118769772670336E-2</v>
      </c>
      <c r="BJ97" s="460">
        <f t="shared" si="279"/>
        <v>122.35671313739222</v>
      </c>
      <c r="BK97">
        <f t="shared" si="212"/>
        <v>2.889615459437457</v>
      </c>
      <c r="BL97" s="460">
        <f t="shared" si="280"/>
        <v>2889.615459437457</v>
      </c>
      <c r="BM97" s="173">
        <f t="shared" si="213"/>
        <v>5.7155000000000005</v>
      </c>
      <c r="BN97" s="173">
        <f t="shared" si="214"/>
        <v>0.1020625</v>
      </c>
      <c r="BO97" s="528"/>
      <c r="BQ97" s="460">
        <f t="shared" si="281"/>
        <v>5817.5625</v>
      </c>
      <c r="BR97" s="528">
        <f t="shared" si="215"/>
        <v>0.82847866973272744</v>
      </c>
      <c r="BS97" s="528">
        <f t="shared" si="216"/>
        <v>3.7335966909116882</v>
      </c>
      <c r="BT97" s="528">
        <f t="shared" si="217"/>
        <v>3.7741145645226598E-4</v>
      </c>
      <c r="BU97" s="528">
        <f t="shared" si="218"/>
        <v>1.9172557617241601</v>
      </c>
      <c r="BV97" s="528">
        <f t="shared" si="219"/>
        <v>11.928586031755284</v>
      </c>
      <c r="BW97" s="625">
        <f t="shared" si="220"/>
        <v>2.3070937700281537E-2</v>
      </c>
      <c r="BX97" s="460">
        <f t="shared" si="282"/>
        <v>11951.656969455564</v>
      </c>
      <c r="BY97" s="173">
        <f t="shared" si="283"/>
        <v>20.658834928893022</v>
      </c>
      <c r="BZ97" s="5">
        <f t="shared" si="284"/>
        <v>139.84000000000003</v>
      </c>
      <c r="CA97" s="173">
        <f t="shared" si="285"/>
        <v>0.87128358322323241</v>
      </c>
      <c r="CB97" s="5">
        <f t="shared" si="286"/>
        <v>87.128358322323237</v>
      </c>
      <c r="CC97">
        <f t="shared" si="287"/>
        <v>92.000000000000014</v>
      </c>
      <c r="CE97" s="562">
        <f t="shared" si="221"/>
        <v>-50</v>
      </c>
      <c r="CF97">
        <f t="shared" si="222"/>
        <v>-50</v>
      </c>
      <c r="CG97" s="173">
        <f t="shared" si="223"/>
        <v>0.82098061573546188</v>
      </c>
      <c r="CH97" s="173">
        <f t="shared" si="224"/>
        <v>9.6304191786782956E-2</v>
      </c>
      <c r="CI97" s="170">
        <v>92</v>
      </c>
      <c r="CJ97" s="217">
        <f t="shared" si="309"/>
        <v>9.2000000000000011</v>
      </c>
      <c r="CK97" s="217">
        <f t="shared" si="288"/>
        <v>0.23</v>
      </c>
      <c r="CL97" s="217">
        <f t="shared" si="225"/>
        <v>138.00000000000003</v>
      </c>
      <c r="CM97" s="217">
        <f t="shared" si="310"/>
        <v>1.84</v>
      </c>
      <c r="CN97" s="541">
        <f t="shared" si="289"/>
        <v>72</v>
      </c>
      <c r="CO97" s="443">
        <f t="shared" si="226"/>
        <v>15.7</v>
      </c>
      <c r="CP97" s="443">
        <f t="shared" si="227"/>
        <v>87.7</v>
      </c>
      <c r="CQ97" s="443"/>
      <c r="CR97" s="217">
        <f t="shared" si="228"/>
        <v>0.17620137299771166</v>
      </c>
      <c r="CS97" s="172">
        <f t="shared" si="290"/>
        <v>312.98928098277725</v>
      </c>
      <c r="CT97" s="172">
        <f t="shared" si="229"/>
        <v>4.2288329519450798</v>
      </c>
      <c r="CU97" s="217">
        <f t="shared" si="230"/>
        <v>20.865952065518481</v>
      </c>
      <c r="CV97" s="217">
        <f t="shared" si="231"/>
        <v>39.123660122847156</v>
      </c>
      <c r="CW97" s="443">
        <f t="shared" si="232"/>
        <v>15</v>
      </c>
      <c r="CX97" s="217">
        <f t="shared" si="233"/>
        <v>22.045483405483413</v>
      </c>
      <c r="CY97" s="217">
        <f t="shared" si="234"/>
        <v>3.6742472342472356</v>
      </c>
      <c r="CZ97" s="217">
        <f t="shared" si="235"/>
        <v>16.850051010560573</v>
      </c>
      <c r="DA97" s="197">
        <f t="shared" si="236"/>
        <v>107.41163055872293</v>
      </c>
      <c r="DB97" s="443">
        <f t="shared" si="291"/>
        <v>48.722737706901995</v>
      </c>
      <c r="DD97" s="217">
        <f t="shared" si="237"/>
        <v>10</v>
      </c>
      <c r="DE97" s="173">
        <f t="shared" si="238"/>
        <v>7.6433121019108281</v>
      </c>
      <c r="DF97" s="173">
        <f t="shared" si="239"/>
        <v>4.1049030786773102</v>
      </c>
      <c r="DG97" s="173"/>
      <c r="DH97" s="173">
        <f t="shared" si="240"/>
        <v>7.6433121019108281</v>
      </c>
      <c r="DI97" s="545">
        <f t="shared" si="241"/>
        <v>240.73333333333338</v>
      </c>
      <c r="DJ97" s="528">
        <f t="shared" si="242"/>
        <v>4.1049030786773093</v>
      </c>
      <c r="DL97" s="173">
        <f t="shared" si="243"/>
        <v>8.1602987807111695</v>
      </c>
      <c r="DM97" s="173">
        <f t="shared" si="244"/>
        <v>22.045483405483413</v>
      </c>
      <c r="DN97" s="173">
        <f t="shared" si="245"/>
        <v>10.122580300358083</v>
      </c>
      <c r="DP97" s="545">
        <f t="shared" si="246"/>
        <v>9200.0000000000018</v>
      </c>
      <c r="DQ97" s="460">
        <f t="shared" si="247"/>
        <v>48.722737706901995</v>
      </c>
      <c r="DS97">
        <f t="shared" si="311"/>
        <v>9200.0000000000018</v>
      </c>
      <c r="DT97">
        <f t="shared" si="312"/>
        <v>48.722737706901995</v>
      </c>
      <c r="DV97" s="5">
        <f t="shared" si="293"/>
        <v>20.524298244807813</v>
      </c>
      <c r="DW97" s="5">
        <f t="shared" si="249"/>
        <v>3.6742472342472356</v>
      </c>
      <c r="DX97" s="5">
        <f t="shared" si="294"/>
        <v>16.850051010560577</v>
      </c>
      <c r="DY97" s="173">
        <f t="shared" si="295"/>
        <v>0.17901938426453815</v>
      </c>
      <c r="EA97" s="5">
        <f t="shared" si="250"/>
        <v>225.35383036716382</v>
      </c>
      <c r="EB97" s="5">
        <f t="shared" si="251"/>
        <v>10.563460798460802</v>
      </c>
      <c r="EC97" s="5">
        <f t="shared" si="252"/>
        <v>8.971091973215124</v>
      </c>
      <c r="ED97" s="5"/>
      <c r="EE97" s="173">
        <f t="shared" si="296"/>
        <v>5.3852891727792436</v>
      </c>
      <c r="EF97" s="173">
        <f t="shared" si="253"/>
        <v>11.5325527697049</v>
      </c>
      <c r="EG97" s="173">
        <f t="shared" si="254"/>
        <v>0.28401737801469323</v>
      </c>
      <c r="EH97" s="173"/>
      <c r="EI97" s="528">
        <f t="shared" si="255"/>
        <v>0.58002678948906705</v>
      </c>
      <c r="EJ97" s="528">
        <f t="shared" si="256"/>
        <v>1.8839999999999995</v>
      </c>
      <c r="EK97" s="528">
        <f t="shared" si="257"/>
        <v>6.0903422133627488E-3</v>
      </c>
      <c r="EL97" s="528">
        <f t="shared" si="258"/>
        <v>3.7474070529771829E-2</v>
      </c>
      <c r="EM97">
        <f t="shared" si="259"/>
        <v>3.2399999999999998E-2</v>
      </c>
      <c r="EN97" s="460">
        <f t="shared" si="297"/>
        <v>38.490342213362744</v>
      </c>
      <c r="EO97">
        <f t="shared" si="260"/>
        <v>3.1276309027873817</v>
      </c>
      <c r="EP97" s="460">
        <f t="shared" si="298"/>
        <v>3127.6309027873817</v>
      </c>
      <c r="EQ97" s="173">
        <f t="shared" si="261"/>
        <v>5.7155000000000005</v>
      </c>
      <c r="ER97" s="173">
        <f t="shared" si="262"/>
        <v>0.1020625</v>
      </c>
      <c r="ES97" s="528"/>
      <c r="EU97" s="460">
        <f t="shared" si="299"/>
        <v>5817.5625</v>
      </c>
      <c r="EV97" s="528">
        <f t="shared" si="263"/>
        <v>0.87004018423360041</v>
      </c>
      <c r="EW97" s="528">
        <f t="shared" si="300"/>
        <v>3.9899932015808446</v>
      </c>
      <c r="EX97" s="528">
        <f t="shared" si="264"/>
        <v>4.0332935507170578E-4</v>
      </c>
      <c r="EY97" s="528">
        <f t="shared" si="265"/>
        <v>1.890594011417488</v>
      </c>
      <c r="EZ97" s="528">
        <f t="shared" si="266"/>
        <v>12.954823533481884</v>
      </c>
      <c r="FA97" s="625">
        <f t="shared" si="267"/>
        <v>2.3679413190382411E-2</v>
      </c>
      <c r="FB97" s="460">
        <f t="shared" si="301"/>
        <v>12978.502946672266</v>
      </c>
      <c r="FC97" s="173">
        <f t="shared" si="302"/>
        <v>21.92369634945965</v>
      </c>
      <c r="FD97" s="5">
        <f t="shared" si="303"/>
        <v>139.84000000000003</v>
      </c>
      <c r="FE97" s="173">
        <f t="shared" si="304"/>
        <v>0.86447084949086672</v>
      </c>
      <c r="FF97" s="5">
        <f t="shared" si="305"/>
        <v>86.447084949086673</v>
      </c>
      <c r="FG97">
        <f t="shared" si="306"/>
        <v>92.000000000000014</v>
      </c>
      <c r="FI97" s="562">
        <f t="shared" si="268"/>
        <v>-50</v>
      </c>
      <c r="FJ97">
        <f t="shared" si="269"/>
        <v>-50</v>
      </c>
      <c r="FL97">
        <f t="shared" si="270"/>
        <v>0.82098061573546188</v>
      </c>
    </row>
    <row r="98" spans="5:169">
      <c r="E98" s="170">
        <v>93</v>
      </c>
      <c r="F98" s="217">
        <f t="shared" si="307"/>
        <v>9.3000000000000007</v>
      </c>
      <c r="G98" s="217">
        <f t="shared" si="271"/>
        <v>0.23250000000000001</v>
      </c>
      <c r="H98" s="217">
        <f t="shared" si="176"/>
        <v>139.5</v>
      </c>
      <c r="I98" s="217">
        <f t="shared" si="308"/>
        <v>1.86</v>
      </c>
      <c r="J98" s="541">
        <f t="shared" si="177"/>
        <v>71.368250938607275</v>
      </c>
      <c r="K98" s="443">
        <f t="shared" si="178"/>
        <v>16.039837500000001</v>
      </c>
      <c r="L98" s="172">
        <f t="shared" si="179"/>
        <v>87.40808843860728</v>
      </c>
      <c r="M98" s="443"/>
      <c r="N98" s="217">
        <f t="shared" si="180"/>
        <v>0.18350518569303667</v>
      </c>
      <c r="O98" s="172">
        <f t="shared" si="272"/>
        <v>323.10306269102881</v>
      </c>
      <c r="P98" s="172">
        <f t="shared" si="181"/>
        <v>4.3654813803587897</v>
      </c>
      <c r="Q98" s="217">
        <f t="shared" si="182"/>
        <v>21.540204179401922</v>
      </c>
      <c r="R98" s="217">
        <f t="shared" si="183"/>
        <v>40.387882836378601</v>
      </c>
      <c r="S98" s="443">
        <f t="shared" si="184"/>
        <v>15</v>
      </c>
      <c r="T98" s="217">
        <f t="shared" si="185"/>
        <v>21.587539102561614</v>
      </c>
      <c r="U98" s="217">
        <f t="shared" si="186"/>
        <v>3.6297718638723673</v>
      </c>
      <c r="V98" s="217">
        <f t="shared" si="187"/>
        <v>16.150442249227236</v>
      </c>
      <c r="W98" s="197">
        <f t="shared" si="188"/>
        <v>109.13703450896973</v>
      </c>
      <c r="X98" s="443">
        <f t="shared" si="273"/>
        <v>50.049513700875274</v>
      </c>
      <c r="Z98" s="217">
        <f t="shared" si="189"/>
        <v>9.9999999999999982</v>
      </c>
      <c r="AA98" s="173">
        <f t="shared" si="190"/>
        <v>7.4813725513116927</v>
      </c>
      <c r="AB98" s="173">
        <f t="shared" si="191"/>
        <v>4.0824740715348149</v>
      </c>
      <c r="AC98" s="173"/>
      <c r="AD98" s="173">
        <f t="shared" si="192"/>
        <v>7.4813725513116944</v>
      </c>
      <c r="AE98" s="545">
        <f t="shared" si="193"/>
        <v>248.61748125000003</v>
      </c>
      <c r="AF98" s="528">
        <f t="shared" si="194"/>
        <v>4.0824740715348167</v>
      </c>
      <c r="AH98" s="173">
        <f t="shared" si="195"/>
        <v>8.204528366352676</v>
      </c>
      <c r="AI98" s="173">
        <f t="shared" si="196"/>
        <v>21.587539102561614</v>
      </c>
      <c r="AJ98" s="173">
        <f t="shared" si="197"/>
        <v>9.7833622981937882</v>
      </c>
      <c r="AL98" s="545">
        <f t="shared" si="198"/>
        <v>9300</v>
      </c>
      <c r="AM98" s="460">
        <f t="shared" si="199"/>
        <v>50.049513700875274</v>
      </c>
      <c r="AO98">
        <f t="shared" si="274"/>
        <v>9300</v>
      </c>
      <c r="AP98">
        <f t="shared" si="200"/>
        <v>50.049513700875274</v>
      </c>
      <c r="AR98" s="5">
        <f t="shared" si="275"/>
        <v>19.980214113099603</v>
      </c>
      <c r="AS98" s="5">
        <f t="shared" si="201"/>
        <v>3.6297718638723673</v>
      </c>
      <c r="AT98" s="5">
        <f t="shared" si="276"/>
        <v>16.350442249227235</v>
      </c>
      <c r="AU98" s="173">
        <f t="shared" si="277"/>
        <v>0.18166831663193161</v>
      </c>
      <c r="AW98" s="5">
        <f t="shared" si="202"/>
        <v>225.04585556008678</v>
      </c>
      <c r="AX98" s="5">
        <f t="shared" si="203"/>
        <v>10.549024479379069</v>
      </c>
      <c r="AY98" s="5">
        <f t="shared" si="204"/>
        <v>8.8776119468386039</v>
      </c>
      <c r="AZ98" s="5"/>
      <c r="BA98" s="173">
        <f t="shared" si="278"/>
        <v>5.3122940432190973</v>
      </c>
      <c r="BB98" s="173">
        <f t="shared" si="205"/>
        <v>11.274757063159031</v>
      </c>
      <c r="BC98" s="173">
        <f t="shared" si="206"/>
        <v>0.2776685268887793</v>
      </c>
      <c r="BD98" s="173"/>
      <c r="BE98" s="528">
        <f t="shared" si="207"/>
        <v>0.56440936003242204</v>
      </c>
      <c r="BF98" s="528">
        <f t="shared" si="208"/>
        <v>1.7707444690978145</v>
      </c>
      <c r="BG98" s="528">
        <f t="shared" si="209"/>
        <v>8.929865632898322E-2</v>
      </c>
      <c r="BH98" s="528">
        <f t="shared" si="210"/>
        <v>3.8238698951090194E-2</v>
      </c>
      <c r="BI98">
        <f t="shared" si="211"/>
        <v>3.2115712922373273E-2</v>
      </c>
      <c r="BJ98" s="460">
        <f t="shared" si="279"/>
        <v>121.41436925135649</v>
      </c>
      <c r="BK98">
        <f t="shared" si="212"/>
        <v>2.9169577813363863</v>
      </c>
      <c r="BL98" s="460">
        <f t="shared" si="280"/>
        <v>2916.9577813363862</v>
      </c>
      <c r="BM98" s="173">
        <f t="shared" si="213"/>
        <v>5.7776249999999996</v>
      </c>
      <c r="BN98" s="173">
        <f t="shared" si="214"/>
        <v>0.103171875</v>
      </c>
      <c r="BO98" s="528"/>
      <c r="BQ98" s="460">
        <f t="shared" si="281"/>
        <v>5880.796875</v>
      </c>
      <c r="BR98" s="528">
        <f t="shared" si="215"/>
        <v>0.84661404004863305</v>
      </c>
      <c r="BS98" s="528">
        <f t="shared" si="216"/>
        <v>3.8136044049976334</v>
      </c>
      <c r="BT98" s="528">
        <f t="shared" si="217"/>
        <v>3.8549905412292378E-4</v>
      </c>
      <c r="BU98" s="528">
        <f t="shared" si="218"/>
        <v>1.9185693520630276</v>
      </c>
      <c r="BV98" s="528">
        <f t="shared" si="219"/>
        <v>12.274093227109189</v>
      </c>
      <c r="BW98" s="625">
        <f t="shared" si="220"/>
        <v>2.3324166691441481E-2</v>
      </c>
      <c r="BX98" s="460">
        <f t="shared" si="282"/>
        <v>12297.41739380063</v>
      </c>
      <c r="BY98" s="173">
        <f t="shared" si="283"/>
        <v>21.095172050137016</v>
      </c>
      <c r="BZ98" s="5">
        <f t="shared" si="284"/>
        <v>141.36000000000001</v>
      </c>
      <c r="CA98" s="173">
        <f t="shared" si="285"/>
        <v>0.87014773500946696</v>
      </c>
      <c r="CB98" s="5">
        <f t="shared" si="286"/>
        <v>87.014773500946703</v>
      </c>
      <c r="CC98">
        <f t="shared" si="287"/>
        <v>93</v>
      </c>
      <c r="CE98" s="562">
        <f t="shared" si="221"/>
        <v>-50</v>
      </c>
      <c r="CF98">
        <f t="shared" si="222"/>
        <v>-50</v>
      </c>
      <c r="CG98" s="173">
        <f t="shared" si="223"/>
        <v>0.82098061573546177</v>
      </c>
      <c r="CH98" s="173">
        <f t="shared" si="224"/>
        <v>9.6304191786782969E-2</v>
      </c>
      <c r="CI98" s="170">
        <v>93</v>
      </c>
      <c r="CJ98" s="217">
        <f t="shared" si="309"/>
        <v>9.3000000000000007</v>
      </c>
      <c r="CK98" s="217">
        <f t="shared" si="288"/>
        <v>0.23250000000000001</v>
      </c>
      <c r="CL98" s="217">
        <f t="shared" si="225"/>
        <v>139.5</v>
      </c>
      <c r="CM98" s="217">
        <f t="shared" si="310"/>
        <v>1.86</v>
      </c>
      <c r="CN98" s="541">
        <f t="shared" si="289"/>
        <v>72</v>
      </c>
      <c r="CO98" s="443">
        <f t="shared" si="226"/>
        <v>15.7</v>
      </c>
      <c r="CP98" s="443">
        <f t="shared" si="227"/>
        <v>87.7</v>
      </c>
      <c r="CQ98" s="443"/>
      <c r="CR98" s="217">
        <f t="shared" si="228"/>
        <v>0.17620137299771166</v>
      </c>
      <c r="CS98" s="172">
        <f t="shared" si="290"/>
        <v>312.98928098277725</v>
      </c>
      <c r="CT98" s="172">
        <f t="shared" si="229"/>
        <v>4.2288329519450798</v>
      </c>
      <c r="CU98" s="217">
        <f t="shared" si="230"/>
        <v>20.865952065518481</v>
      </c>
      <c r="CV98" s="217">
        <f t="shared" si="231"/>
        <v>39.123660122847156</v>
      </c>
      <c r="CW98" s="443">
        <f t="shared" si="232"/>
        <v>15</v>
      </c>
      <c r="CX98" s="217">
        <f t="shared" si="233"/>
        <v>22.285108225108228</v>
      </c>
      <c r="CY98" s="217">
        <f t="shared" si="234"/>
        <v>3.7141847041847043</v>
      </c>
      <c r="CZ98" s="217">
        <f t="shared" si="235"/>
        <v>17.033203738936226</v>
      </c>
      <c r="DA98" s="197">
        <f t="shared" si="236"/>
        <v>107.41163055872293</v>
      </c>
      <c r="DB98" s="443">
        <f t="shared" si="291"/>
        <v>48.198837301451462</v>
      </c>
      <c r="DD98" s="217">
        <f t="shared" si="237"/>
        <v>10</v>
      </c>
      <c r="DE98" s="173">
        <f t="shared" si="238"/>
        <v>7.6433121019108281</v>
      </c>
      <c r="DF98" s="173">
        <f t="shared" si="239"/>
        <v>4.1049030786773102</v>
      </c>
      <c r="DG98" s="173"/>
      <c r="DH98" s="173">
        <f t="shared" si="240"/>
        <v>7.6433121019108281</v>
      </c>
      <c r="DI98" s="545">
        <f t="shared" si="241"/>
        <v>243.35</v>
      </c>
      <c r="DJ98" s="528">
        <f t="shared" si="242"/>
        <v>4.1049030786773093</v>
      </c>
      <c r="DL98" s="173">
        <f t="shared" si="243"/>
        <v>8.204528366352676</v>
      </c>
      <c r="DM98" s="173">
        <f t="shared" si="244"/>
        <v>22.285108225108228</v>
      </c>
      <c r="DN98" s="173">
        <f t="shared" si="245"/>
        <v>10.300080166746834</v>
      </c>
      <c r="DP98" s="545">
        <f t="shared" si="246"/>
        <v>9300</v>
      </c>
      <c r="DQ98" s="460">
        <f t="shared" si="247"/>
        <v>48.198837301451462</v>
      </c>
      <c r="DS98">
        <f t="shared" si="311"/>
        <v>9300</v>
      </c>
      <c r="DT98">
        <f t="shared" si="312"/>
        <v>48.198837301451462</v>
      </c>
      <c r="DV98" s="5">
        <f t="shared" si="293"/>
        <v>20.747388443120926</v>
      </c>
      <c r="DW98" s="5">
        <f t="shared" si="249"/>
        <v>3.7141847041847043</v>
      </c>
      <c r="DX98" s="5">
        <f t="shared" si="294"/>
        <v>17.033203738936223</v>
      </c>
      <c r="DY98" s="173">
        <f t="shared" si="295"/>
        <v>0.17901938426453823</v>
      </c>
      <c r="EA98" s="5">
        <f t="shared" si="250"/>
        <v>230.27945165945169</v>
      </c>
      <c r="EB98" s="5">
        <f t="shared" si="251"/>
        <v>10.794349296536797</v>
      </c>
      <c r="EC98" s="5">
        <f t="shared" si="252"/>
        <v>9.1671756233858144</v>
      </c>
      <c r="ED98" s="5"/>
      <c r="EE98" s="173">
        <f t="shared" si="296"/>
        <v>5.443824924657279</v>
      </c>
      <c r="EF98" s="173">
        <f t="shared" si="253"/>
        <v>11.657906604158212</v>
      </c>
      <c r="EG98" s="173">
        <f t="shared" si="254"/>
        <v>0.28710452342789639</v>
      </c>
      <c r="EH98" s="173"/>
      <c r="EI98" s="528">
        <f t="shared" si="255"/>
        <v>0.59270459620639659</v>
      </c>
      <c r="EJ98" s="528">
        <f t="shared" si="256"/>
        <v>1.8840000000000003</v>
      </c>
      <c r="EK98" s="528">
        <f t="shared" si="257"/>
        <v>6.0248546626814328E-3</v>
      </c>
      <c r="EL98" s="528">
        <f t="shared" si="258"/>
        <v>3.7071123534828068E-2</v>
      </c>
      <c r="EM98">
        <f t="shared" si="259"/>
        <v>3.2399999999999998E-2</v>
      </c>
      <c r="EN98" s="460">
        <f t="shared" si="297"/>
        <v>38.424854662681433</v>
      </c>
      <c r="EO98">
        <f t="shared" si="260"/>
        <v>3.1567909963765626</v>
      </c>
      <c r="EP98" s="460">
        <f t="shared" si="298"/>
        <v>3156.7909963765624</v>
      </c>
      <c r="EQ98" s="173">
        <f t="shared" si="261"/>
        <v>5.7776249999999996</v>
      </c>
      <c r="ER98" s="173">
        <f t="shared" si="262"/>
        <v>0.103171875</v>
      </c>
      <c r="ES98" s="528"/>
      <c r="EU98" s="460">
        <f t="shared" si="299"/>
        <v>5880.796875</v>
      </c>
      <c r="EV98" s="528">
        <f t="shared" si="263"/>
        <v>0.88905689430959478</v>
      </c>
      <c r="EW98" s="528">
        <f t="shared" si="300"/>
        <v>4.0772035917382698</v>
      </c>
      <c r="EX98" s="528">
        <f t="shared" si="264"/>
        <v>4.1214503686379754E-4</v>
      </c>
      <c r="EY98" s="528">
        <f t="shared" si="265"/>
        <v>1.8905940114174864</v>
      </c>
      <c r="EZ98" s="528">
        <f t="shared" si="266"/>
        <v>13.356096980426274</v>
      </c>
      <c r="FA98" s="625">
        <f t="shared" si="267"/>
        <v>2.3936798116364823E-2</v>
      </c>
      <c r="FB98" s="460">
        <f t="shared" si="301"/>
        <v>13380.03377854264</v>
      </c>
      <c r="FC98" s="173">
        <f t="shared" si="302"/>
        <v>22.417621649919198</v>
      </c>
      <c r="FD98" s="5">
        <f t="shared" si="303"/>
        <v>141.36000000000001</v>
      </c>
      <c r="FE98" s="173">
        <f t="shared" si="304"/>
        <v>0.86312158264309335</v>
      </c>
      <c r="FF98" s="5">
        <f t="shared" si="305"/>
        <v>86.312158264309332</v>
      </c>
      <c r="FG98">
        <f t="shared" si="306"/>
        <v>93</v>
      </c>
      <c r="FI98" s="562">
        <f t="shared" si="268"/>
        <v>-50</v>
      </c>
      <c r="FJ98">
        <f t="shared" si="269"/>
        <v>-50</v>
      </c>
      <c r="FL98">
        <f t="shared" si="270"/>
        <v>0.82098061573546177</v>
      </c>
    </row>
    <row r="99" spans="5:169">
      <c r="E99" s="170">
        <v>94</v>
      </c>
      <c r="F99" s="217">
        <f t="shared" si="307"/>
        <v>9.3999999999999986</v>
      </c>
      <c r="G99" s="217">
        <f t="shared" si="271"/>
        <v>0.23499999999999999</v>
      </c>
      <c r="H99" s="217">
        <f t="shared" si="176"/>
        <v>140.99999999999997</v>
      </c>
      <c r="I99" s="217">
        <f t="shared" si="308"/>
        <v>1.88</v>
      </c>
      <c r="J99" s="541">
        <f t="shared" si="177"/>
        <v>71.361457937947137</v>
      </c>
      <c r="K99" s="443">
        <f t="shared" si="178"/>
        <v>16.043491666666664</v>
      </c>
      <c r="L99" s="172">
        <f t="shared" si="179"/>
        <v>87.404949604613805</v>
      </c>
      <c r="M99" s="443"/>
      <c r="N99" s="217">
        <f t="shared" si="180"/>
        <v>0.1835535829405682</v>
      </c>
      <c r="O99" s="172">
        <f t="shared" si="272"/>
        <v>323.15751533814591</v>
      </c>
      <c r="P99" s="172">
        <f t="shared" si="181"/>
        <v>4.3662170961242834</v>
      </c>
      <c r="Q99" s="217">
        <f t="shared" si="182"/>
        <v>21.543834355876395</v>
      </c>
      <c r="R99" s="217">
        <f t="shared" si="183"/>
        <v>40.394689417268239</v>
      </c>
      <c r="S99" s="443">
        <f t="shared" si="184"/>
        <v>15</v>
      </c>
      <c r="T99" s="217">
        <f t="shared" si="185"/>
        <v>21.815986524785014</v>
      </c>
      <c r="U99" s="217">
        <f t="shared" si="186"/>
        <v>3.6685326486051215</v>
      </c>
      <c r="V99" s="217">
        <f t="shared" si="187"/>
        <v>16.317634822682734</v>
      </c>
      <c r="W99" s="197">
        <f t="shared" si="188"/>
        <v>109.15542740310708</v>
      </c>
      <c r="X99" s="443">
        <f t="shared" si="273"/>
        <v>49.538873658031775</v>
      </c>
      <c r="Z99" s="217">
        <f t="shared" si="189"/>
        <v>9.9999999999999982</v>
      </c>
      <c r="AA99" s="173">
        <f t="shared" si="190"/>
        <v>7.4796685467990907</v>
      </c>
      <c r="AB99" s="173">
        <f t="shared" si="191"/>
        <v>4.0822320852971572</v>
      </c>
      <c r="AC99" s="173"/>
      <c r="AD99" s="173">
        <f t="shared" si="192"/>
        <v>7.4796685467990924</v>
      </c>
      <c r="AE99" s="545">
        <f t="shared" si="193"/>
        <v>251.34803611111099</v>
      </c>
      <c r="AF99" s="528">
        <f t="shared" si="194"/>
        <v>4.082232085297159</v>
      </c>
      <c r="AH99" s="173">
        <f t="shared" si="195"/>
        <v>8.2485207909112539</v>
      </c>
      <c r="AI99" s="173">
        <f t="shared" si="196"/>
        <v>21.815986524785014</v>
      </c>
      <c r="AJ99" s="173">
        <f t="shared" si="197"/>
        <v>9.9525826109518611</v>
      </c>
      <c r="AL99" s="545">
        <f t="shared" si="198"/>
        <v>9399.9999999999982</v>
      </c>
      <c r="AM99" s="460">
        <f t="shared" si="199"/>
        <v>49.538873658031775</v>
      </c>
      <c r="AO99">
        <f t="shared" si="274"/>
        <v>9399.9999999999982</v>
      </c>
      <c r="AP99">
        <f t="shared" si="200"/>
        <v>49.538873658031775</v>
      </c>
      <c r="AR99" s="5">
        <f t="shared" si="275"/>
        <v>20.186167471287856</v>
      </c>
      <c r="AS99" s="5">
        <f t="shared" si="201"/>
        <v>3.6685326486051215</v>
      </c>
      <c r="AT99" s="5">
        <f t="shared" si="276"/>
        <v>16.517634822682734</v>
      </c>
      <c r="AU99" s="173">
        <f t="shared" si="277"/>
        <v>0.18173497538961381</v>
      </c>
      <c r="AW99" s="5">
        <f t="shared" si="202"/>
        <v>229.89471264592092</v>
      </c>
      <c r="AX99" s="5">
        <f t="shared" si="203"/>
        <v>10.776314655277545</v>
      </c>
      <c r="AY99" s="5">
        <f t="shared" si="204"/>
        <v>9.0656877804303289</v>
      </c>
      <c r="AZ99" s="5"/>
      <c r="BA99" s="173">
        <f t="shared" si="278"/>
        <v>5.369495559671452</v>
      </c>
      <c r="BB99" s="173">
        <f t="shared" si="205"/>
        <v>11.393606691965557</v>
      </c>
      <c r="BC99" s="173">
        <f t="shared" si="206"/>
        <v>0.28059549029624981</v>
      </c>
      <c r="BD99" s="173"/>
      <c r="BE99" s="528">
        <f t="shared" si="207"/>
        <v>0.5766296513066288</v>
      </c>
      <c r="BF99" s="528">
        <f t="shared" si="208"/>
        <v>1.7711619901530096</v>
      </c>
      <c r="BG99" s="528">
        <f t="shared" si="209"/>
        <v>8.8379156221022784E-2</v>
      </c>
      <c r="BH99" s="528">
        <f t="shared" si="210"/>
        <v>3.7845842833967525E-2</v>
      </c>
      <c r="BI99">
        <f t="shared" si="211"/>
        <v>3.2112656072076209E-2</v>
      </c>
      <c r="BJ99" s="460">
        <f t="shared" si="279"/>
        <v>120.49181229309899</v>
      </c>
      <c r="BK99">
        <f t="shared" si="212"/>
        <v>2.9447841341357348</v>
      </c>
      <c r="BL99" s="460">
        <f t="shared" si="280"/>
        <v>2944.7841341357348</v>
      </c>
      <c r="BM99" s="173">
        <f t="shared" si="213"/>
        <v>5.8397499999999978</v>
      </c>
      <c r="BN99" s="173">
        <f t="shared" si="214"/>
        <v>0.10428124999999999</v>
      </c>
      <c r="BO99" s="528"/>
      <c r="BQ99" s="460">
        <f t="shared" si="281"/>
        <v>5944.0312499999973</v>
      </c>
      <c r="BR99" s="528">
        <f t="shared" si="215"/>
        <v>0.86494447695994314</v>
      </c>
      <c r="BS99" s="528">
        <f t="shared" si="216"/>
        <v>3.8944282035360698</v>
      </c>
      <c r="BT99" s="528">
        <f t="shared" si="217"/>
        <v>3.9366914587296407E-4</v>
      </c>
      <c r="BU99" s="528">
        <f t="shared" si="218"/>
        <v>1.9198728456644714</v>
      </c>
      <c r="BV99" s="528">
        <f t="shared" si="219"/>
        <v>12.632020350668798</v>
      </c>
      <c r="BW99" s="625">
        <f t="shared" si="220"/>
        <v>2.3577396191058003E-2</v>
      </c>
      <c r="BX99" s="460">
        <f t="shared" si="282"/>
        <v>12655.597746859856</v>
      </c>
      <c r="BY99" s="173">
        <f t="shared" si="283"/>
        <v>21.544413130995586</v>
      </c>
      <c r="BZ99" s="5">
        <f t="shared" si="284"/>
        <v>142.87999999999997</v>
      </c>
      <c r="CA99" s="173">
        <f t="shared" si="285"/>
        <v>0.86897071596155651</v>
      </c>
      <c r="CB99" s="5">
        <f t="shared" si="286"/>
        <v>86.897071596155655</v>
      </c>
      <c r="CC99">
        <f t="shared" si="287"/>
        <v>93.999999999999986</v>
      </c>
      <c r="CE99" s="562">
        <f t="shared" si="221"/>
        <v>-50</v>
      </c>
      <c r="CF99">
        <f t="shared" si="222"/>
        <v>-50</v>
      </c>
      <c r="CG99" s="173">
        <f t="shared" si="223"/>
        <v>0.82098061573546177</v>
      </c>
      <c r="CH99" s="173">
        <f t="shared" si="224"/>
        <v>9.6304191786782969E-2</v>
      </c>
      <c r="CI99" s="170">
        <v>94</v>
      </c>
      <c r="CJ99" s="217">
        <f t="shared" si="309"/>
        <v>9.3999999999999986</v>
      </c>
      <c r="CK99" s="217">
        <f t="shared" si="288"/>
        <v>0.23499999999999999</v>
      </c>
      <c r="CL99" s="217">
        <f t="shared" si="225"/>
        <v>140.99999999999997</v>
      </c>
      <c r="CM99" s="217">
        <f t="shared" si="310"/>
        <v>1.88</v>
      </c>
      <c r="CN99" s="541">
        <f t="shared" si="289"/>
        <v>72</v>
      </c>
      <c r="CO99" s="443">
        <f t="shared" si="226"/>
        <v>15.7</v>
      </c>
      <c r="CP99" s="443">
        <f t="shared" si="227"/>
        <v>87.7</v>
      </c>
      <c r="CQ99" s="443"/>
      <c r="CR99" s="217">
        <f t="shared" si="228"/>
        <v>0.17620137299771166</v>
      </c>
      <c r="CS99" s="172">
        <f t="shared" si="290"/>
        <v>312.98928098277725</v>
      </c>
      <c r="CT99" s="172">
        <f t="shared" si="229"/>
        <v>4.2288329519450798</v>
      </c>
      <c r="CU99" s="217">
        <f t="shared" si="230"/>
        <v>20.865952065518481</v>
      </c>
      <c r="CV99" s="217">
        <f t="shared" si="231"/>
        <v>39.123660122847156</v>
      </c>
      <c r="CW99" s="443">
        <f t="shared" si="232"/>
        <v>15</v>
      </c>
      <c r="CX99" s="217">
        <f t="shared" si="233"/>
        <v>22.52473304473304</v>
      </c>
      <c r="CY99" s="217">
        <f t="shared" si="234"/>
        <v>3.7541221741221733</v>
      </c>
      <c r="CZ99" s="217">
        <f t="shared" si="235"/>
        <v>17.216356467311879</v>
      </c>
      <c r="DA99" s="197">
        <f t="shared" si="236"/>
        <v>107.41163055872293</v>
      </c>
      <c r="DB99" s="443">
        <f t="shared" si="291"/>
        <v>47.68608371313816</v>
      </c>
      <c r="DD99" s="217">
        <f t="shared" si="237"/>
        <v>10</v>
      </c>
      <c r="DE99" s="173">
        <f t="shared" si="238"/>
        <v>7.6433121019108281</v>
      </c>
      <c r="DF99" s="173">
        <f t="shared" si="239"/>
        <v>4.1049030786773102</v>
      </c>
      <c r="DG99" s="173"/>
      <c r="DH99" s="173">
        <f t="shared" si="240"/>
        <v>7.6433121019108281</v>
      </c>
      <c r="DI99" s="545">
        <f t="shared" si="241"/>
        <v>245.96666666666667</v>
      </c>
      <c r="DJ99" s="528">
        <f t="shared" si="242"/>
        <v>4.1049030786773093</v>
      </c>
      <c r="DL99" s="173">
        <f t="shared" si="243"/>
        <v>8.2485207909112539</v>
      </c>
      <c r="DM99" s="173">
        <f t="shared" si="244"/>
        <v>22.52473304473304</v>
      </c>
      <c r="DN99" s="173">
        <f t="shared" si="245"/>
        <v>10.477580033135583</v>
      </c>
      <c r="DP99" s="545">
        <f t="shared" si="246"/>
        <v>9399.9999999999982</v>
      </c>
      <c r="DQ99" s="460">
        <f t="shared" si="247"/>
        <v>47.68608371313816</v>
      </c>
      <c r="DS99">
        <f t="shared" si="311"/>
        <v>9399.9999999999982</v>
      </c>
      <c r="DT99">
        <f t="shared" si="312"/>
        <v>47.68608371313816</v>
      </c>
      <c r="DV99" s="5">
        <f t="shared" si="293"/>
        <v>20.970478641434052</v>
      </c>
      <c r="DW99" s="5">
        <f t="shared" si="249"/>
        <v>3.7541221741221733</v>
      </c>
      <c r="DX99" s="5">
        <f t="shared" si="294"/>
        <v>17.216356467311879</v>
      </c>
      <c r="DY99" s="173">
        <f t="shared" si="295"/>
        <v>0.17901938426453817</v>
      </c>
      <c r="EA99" s="5">
        <f t="shared" si="250"/>
        <v>235.25832291165614</v>
      </c>
      <c r="EB99" s="5">
        <f t="shared" si="251"/>
        <v>11.027733886483883</v>
      </c>
      <c r="EC99" s="5">
        <f t="shared" si="252"/>
        <v>9.3653790968016004</v>
      </c>
      <c r="ED99" s="5"/>
      <c r="EE99" s="173">
        <f t="shared" si="296"/>
        <v>5.5023606765353117</v>
      </c>
      <c r="EF99" s="173">
        <f t="shared" si="253"/>
        <v>11.783260438611523</v>
      </c>
      <c r="EG99" s="173">
        <f t="shared" si="254"/>
        <v>0.29019166884109948</v>
      </c>
      <c r="EH99" s="173"/>
      <c r="EI99" s="528">
        <f t="shared" si="255"/>
        <v>0.60551946029364268</v>
      </c>
      <c r="EJ99" s="528">
        <f t="shared" si="256"/>
        <v>1.8840000000000001</v>
      </c>
      <c r="EK99" s="528">
        <f t="shared" si="257"/>
        <v>5.9607604641422696E-3</v>
      </c>
      <c r="EL99" s="528">
        <f t="shared" si="258"/>
        <v>3.6676749880202246E-2</v>
      </c>
      <c r="EM99">
        <f t="shared" si="259"/>
        <v>3.2399999999999998E-2</v>
      </c>
      <c r="EN99" s="460">
        <f t="shared" si="297"/>
        <v>38.360760464142267</v>
      </c>
      <c r="EO99">
        <f t="shared" si="260"/>
        <v>3.1864924272436581</v>
      </c>
      <c r="EP99" s="460">
        <f t="shared" si="298"/>
        <v>3186.4924272436583</v>
      </c>
      <c r="EQ99" s="173">
        <f t="shared" si="261"/>
        <v>5.8397499999999978</v>
      </c>
      <c r="ER99" s="173">
        <f t="shared" si="262"/>
        <v>0.10428124999999999</v>
      </c>
      <c r="ES99" s="528"/>
      <c r="EU99" s="460">
        <f t="shared" si="299"/>
        <v>5944.0312499999973</v>
      </c>
      <c r="EV99" s="528">
        <f t="shared" si="263"/>
        <v>0.90827919044046401</v>
      </c>
      <c r="EW99" s="528">
        <f t="shared" si="300"/>
        <v>4.1653567969244216</v>
      </c>
      <c r="EX99" s="528">
        <f t="shared" si="264"/>
        <v>4.2105602332391176E-4</v>
      </c>
      <c r="EY99" s="528">
        <f t="shared" si="265"/>
        <v>1.8905940114174864</v>
      </c>
      <c r="EZ99" s="528">
        <f t="shared" si="266"/>
        <v>13.773376648977507</v>
      </c>
      <c r="FA99" s="625">
        <f t="shared" si="267"/>
        <v>2.4194183042347231E-2</v>
      </c>
      <c r="FB99" s="460">
        <f t="shared" si="301"/>
        <v>13797.570832019854</v>
      </c>
      <c r="FC99" s="173">
        <f t="shared" si="302"/>
        <v>22.928094509263509</v>
      </c>
      <c r="FD99" s="5">
        <f t="shared" si="303"/>
        <v>142.87999999999997</v>
      </c>
      <c r="FE99" s="173">
        <f t="shared" si="304"/>
        <v>0.86171908809926923</v>
      </c>
      <c r="FF99" s="5">
        <f t="shared" si="305"/>
        <v>86.171908809926919</v>
      </c>
      <c r="FG99">
        <f t="shared" si="306"/>
        <v>93.999999999999986</v>
      </c>
      <c r="FI99" s="562">
        <f t="shared" si="268"/>
        <v>-50</v>
      </c>
      <c r="FJ99">
        <f t="shared" si="269"/>
        <v>-50</v>
      </c>
      <c r="FL99">
        <f t="shared" si="270"/>
        <v>0.82098061573546177</v>
      </c>
    </row>
    <row r="100" spans="5:169">
      <c r="E100" s="170">
        <v>95</v>
      </c>
      <c r="F100" s="217">
        <f t="shared" si="307"/>
        <v>9.5</v>
      </c>
      <c r="G100" s="217">
        <f t="shared" si="271"/>
        <v>0.23749999999999999</v>
      </c>
      <c r="H100" s="217">
        <f t="shared" si="176"/>
        <v>142.5</v>
      </c>
      <c r="I100" s="217">
        <f t="shared" si="308"/>
        <v>1.9</v>
      </c>
      <c r="J100" s="541">
        <f t="shared" si="177"/>
        <v>71.354664937286998</v>
      </c>
      <c r="K100" s="443">
        <f t="shared" si="178"/>
        <v>16.047145833333332</v>
      </c>
      <c r="L100" s="172">
        <f t="shared" si="179"/>
        <v>87.40181077062033</v>
      </c>
      <c r="M100" s="443"/>
      <c r="N100" s="217">
        <f t="shared" si="180"/>
        <v>0.18360198366425032</v>
      </c>
      <c r="O100" s="172">
        <f t="shared" si="272"/>
        <v>323.21195788282455</v>
      </c>
      <c r="P100" s="172">
        <f t="shared" si="181"/>
        <v>4.3669526753946073</v>
      </c>
      <c r="Q100" s="217">
        <f t="shared" si="182"/>
        <v>21.547463858854972</v>
      </c>
      <c r="R100" s="217">
        <f t="shared" si="183"/>
        <v>40.401494735353069</v>
      </c>
      <c r="S100" s="443">
        <f t="shared" si="184"/>
        <v>15</v>
      </c>
      <c r="T100" s="217">
        <f t="shared" si="185"/>
        <v>22.044357661368018</v>
      </c>
      <c r="U100" s="217">
        <f t="shared" si="186"/>
        <v>3.7072879841690991</v>
      </c>
      <c r="V100" s="217">
        <f t="shared" si="187"/>
        <v>16.484694205677776</v>
      </c>
      <c r="W100" s="197">
        <f t="shared" si="188"/>
        <v>109.17381688486519</v>
      </c>
      <c r="X100" s="443">
        <f t="shared" si="273"/>
        <v>49.038881590329062</v>
      </c>
      <c r="Z100" s="217">
        <f t="shared" si="189"/>
        <v>10</v>
      </c>
      <c r="AA100" s="173">
        <f t="shared" si="190"/>
        <v>7.4779653183393213</v>
      </c>
      <c r="AB100" s="173">
        <f t="shared" si="191"/>
        <v>4.0819900816787484</v>
      </c>
      <c r="AC100" s="173"/>
      <c r="AD100" s="173">
        <f t="shared" si="192"/>
        <v>7.4779653183393213</v>
      </c>
      <c r="AE100" s="545">
        <f t="shared" si="193"/>
        <v>254.07980902777771</v>
      </c>
      <c r="AF100" s="528">
        <f t="shared" si="194"/>
        <v>4.0819900816787484</v>
      </c>
      <c r="AH100" s="173">
        <f t="shared" si="195"/>
        <v>8.2922798289677111</v>
      </c>
      <c r="AI100" s="173">
        <f t="shared" si="196"/>
        <v>22.044357661368018</v>
      </c>
      <c r="AJ100" s="173">
        <f t="shared" si="197"/>
        <v>10.121746415828161</v>
      </c>
      <c r="AL100" s="545">
        <f t="shared" si="198"/>
        <v>9500</v>
      </c>
      <c r="AM100" s="460">
        <f t="shared" si="199"/>
        <v>49.038881590329062</v>
      </c>
      <c r="AO100">
        <f t="shared" si="274"/>
        <v>9500</v>
      </c>
      <c r="AP100">
        <f t="shared" si="200"/>
        <v>49.038881590329062</v>
      </c>
      <c r="AR100" s="5">
        <f t="shared" si="275"/>
        <v>20.391982189846875</v>
      </c>
      <c r="AS100" s="5">
        <f t="shared" si="201"/>
        <v>3.7072879841690991</v>
      </c>
      <c r="AT100" s="5">
        <f t="shared" si="276"/>
        <v>16.684694205677776</v>
      </c>
      <c r="AU100" s="173">
        <f t="shared" si="277"/>
        <v>0.18180125647691817</v>
      </c>
      <c r="AW100" s="5">
        <f t="shared" si="202"/>
        <v>234.79490566404294</v>
      </c>
      <c r="AX100" s="5">
        <f t="shared" si="203"/>
        <v>11.006011203002013</v>
      </c>
      <c r="AY100" s="5">
        <f t="shared" si="204"/>
        <v>9.2556781380520796</v>
      </c>
      <c r="AZ100" s="5"/>
      <c r="BA100" s="173">
        <f t="shared" si="278"/>
        <v>5.4266931030629841</v>
      </c>
      <c r="BB100" s="173">
        <f t="shared" si="205"/>
        <v>11.512409400263421</v>
      </c>
      <c r="BC100" s="173">
        <f t="shared" si="206"/>
        <v>0.28352129817119326</v>
      </c>
      <c r="BD100" s="173"/>
      <c r="BE100" s="528">
        <f t="shared" si="207"/>
        <v>0.58897996069662717</v>
      </c>
      <c r="BF100" s="528">
        <f t="shared" si="208"/>
        <v>1.7715756727398386</v>
      </c>
      <c r="BG100" s="528">
        <f t="shared" si="209"/>
        <v>8.7478824119430545E-2</v>
      </c>
      <c r="BH100" s="528">
        <f t="shared" si="210"/>
        <v>3.7461176921715855E-2</v>
      </c>
      <c r="BI100">
        <f t="shared" si="211"/>
        <v>3.2109599221779146E-2</v>
      </c>
      <c r="BJ100" s="460">
        <f t="shared" si="279"/>
        <v>119.5884233412097</v>
      </c>
      <c r="BK100">
        <f t="shared" si="212"/>
        <v>2.9731021924684615</v>
      </c>
      <c r="BL100" s="460">
        <f t="shared" si="280"/>
        <v>2973.1021924684615</v>
      </c>
      <c r="BM100" s="173">
        <f t="shared" si="213"/>
        <v>5.9018749999999995</v>
      </c>
      <c r="BN100" s="173">
        <f t="shared" si="214"/>
        <v>0.10539062499999999</v>
      </c>
      <c r="BO100" s="528"/>
      <c r="BQ100" s="460">
        <f t="shared" si="281"/>
        <v>6007.265625</v>
      </c>
      <c r="BR100" s="528">
        <f t="shared" si="215"/>
        <v>0.8834699410449407</v>
      </c>
      <c r="BS100" s="528">
        <f t="shared" si="216"/>
        <v>3.9760671059782067</v>
      </c>
      <c r="BT100" s="528">
        <f t="shared" si="217"/>
        <v>4.019216325833934E-4</v>
      </c>
      <c r="BU100" s="528">
        <f t="shared" si="218"/>
        <v>1.9211665576827448</v>
      </c>
      <c r="BV100" s="528">
        <f t="shared" si="219"/>
        <v>13.00298984231002</v>
      </c>
      <c r="BW100" s="625">
        <f t="shared" si="220"/>
        <v>2.3830626183278556E-2</v>
      </c>
      <c r="BX100" s="460">
        <f t="shared" si="282"/>
        <v>13026.820468493299</v>
      </c>
      <c r="BY100" s="173">
        <f t="shared" si="283"/>
        <v>22.00718828596176</v>
      </c>
      <c r="BZ100" s="5">
        <f t="shared" si="284"/>
        <v>144.4</v>
      </c>
      <c r="CA100" s="173">
        <f t="shared" si="285"/>
        <v>0.86775097570819126</v>
      </c>
      <c r="CB100" s="5">
        <f t="shared" si="286"/>
        <v>86.775097570819128</v>
      </c>
      <c r="CC100">
        <f t="shared" si="287"/>
        <v>95</v>
      </c>
      <c r="CE100" s="562">
        <f t="shared" si="221"/>
        <v>-50</v>
      </c>
      <c r="CF100">
        <f t="shared" si="222"/>
        <v>-50</v>
      </c>
      <c r="CG100" s="173">
        <f t="shared" si="223"/>
        <v>0.82098061573546177</v>
      </c>
      <c r="CH100" s="173">
        <f t="shared" si="224"/>
        <v>9.6304191786782969E-2</v>
      </c>
      <c r="CI100" s="170">
        <v>95</v>
      </c>
      <c r="CJ100" s="217">
        <f t="shared" si="309"/>
        <v>9.5</v>
      </c>
      <c r="CK100" s="217">
        <f t="shared" si="288"/>
        <v>0.23749999999999999</v>
      </c>
      <c r="CL100" s="217">
        <f t="shared" si="225"/>
        <v>142.5</v>
      </c>
      <c r="CM100" s="217">
        <f t="shared" si="310"/>
        <v>1.9</v>
      </c>
      <c r="CN100" s="541">
        <f t="shared" si="289"/>
        <v>72</v>
      </c>
      <c r="CO100" s="443">
        <f t="shared" si="226"/>
        <v>15.7</v>
      </c>
      <c r="CP100" s="443">
        <f t="shared" si="227"/>
        <v>87.7</v>
      </c>
      <c r="CQ100" s="443"/>
      <c r="CR100" s="217">
        <f t="shared" si="228"/>
        <v>0.17620137299771166</v>
      </c>
      <c r="CS100" s="172">
        <f t="shared" si="290"/>
        <v>312.98928098277725</v>
      </c>
      <c r="CT100" s="172">
        <f t="shared" si="229"/>
        <v>4.2288329519450798</v>
      </c>
      <c r="CU100" s="217">
        <f t="shared" si="230"/>
        <v>20.865952065518481</v>
      </c>
      <c r="CV100" s="217">
        <f t="shared" si="231"/>
        <v>39.123660122847156</v>
      </c>
      <c r="CW100" s="443">
        <f t="shared" si="232"/>
        <v>15</v>
      </c>
      <c r="CX100" s="217">
        <f t="shared" si="233"/>
        <v>22.764357864357866</v>
      </c>
      <c r="CY100" s="217">
        <f t="shared" si="234"/>
        <v>3.7940596440596446</v>
      </c>
      <c r="CZ100" s="217">
        <f t="shared" si="235"/>
        <v>17.399509195687543</v>
      </c>
      <c r="DA100" s="197">
        <f t="shared" si="236"/>
        <v>107.41163055872293</v>
      </c>
      <c r="DB100" s="443">
        <f t="shared" si="291"/>
        <v>47.184124937210377</v>
      </c>
      <c r="DD100" s="217">
        <f t="shared" si="237"/>
        <v>10</v>
      </c>
      <c r="DE100" s="173">
        <f t="shared" si="238"/>
        <v>7.6433121019108281</v>
      </c>
      <c r="DF100" s="173">
        <f t="shared" si="239"/>
        <v>4.1049030786773102</v>
      </c>
      <c r="DG100" s="173"/>
      <c r="DH100" s="173">
        <f t="shared" si="240"/>
        <v>7.6433121019108281</v>
      </c>
      <c r="DI100" s="545">
        <f t="shared" si="241"/>
        <v>248.58333333333334</v>
      </c>
      <c r="DJ100" s="528">
        <f t="shared" si="242"/>
        <v>4.1049030786773093</v>
      </c>
      <c r="DL100" s="173">
        <f t="shared" si="243"/>
        <v>8.2922798289677111</v>
      </c>
      <c r="DM100" s="173">
        <f t="shared" si="244"/>
        <v>22.764357864357866</v>
      </c>
      <c r="DN100" s="173">
        <f t="shared" si="245"/>
        <v>10.655079899524344</v>
      </c>
      <c r="DP100" s="545">
        <f t="shared" si="246"/>
        <v>9500</v>
      </c>
      <c r="DQ100" s="460">
        <f t="shared" si="247"/>
        <v>47.184124937210377</v>
      </c>
      <c r="DS100">
        <f t="shared" si="311"/>
        <v>9500</v>
      </c>
      <c r="DT100">
        <f t="shared" si="312"/>
        <v>47.184124937210377</v>
      </c>
      <c r="DV100" s="5">
        <f t="shared" si="293"/>
        <v>21.193568839747183</v>
      </c>
      <c r="DW100" s="5">
        <f t="shared" si="249"/>
        <v>3.7940596440596446</v>
      </c>
      <c r="DX100" s="5">
        <f t="shared" si="294"/>
        <v>17.399509195687539</v>
      </c>
      <c r="DY100" s="173">
        <f t="shared" si="295"/>
        <v>0.17901938426453823</v>
      </c>
      <c r="EA100" s="5">
        <f t="shared" si="250"/>
        <v>240.29044412377749</v>
      </c>
      <c r="EB100" s="5">
        <f t="shared" si="251"/>
        <v>11.263614568302069</v>
      </c>
      <c r="EC100" s="5">
        <f t="shared" si="252"/>
        <v>9.5657023934624767</v>
      </c>
      <c r="ED100" s="5"/>
      <c r="EE100" s="173">
        <f t="shared" si="296"/>
        <v>5.5608964284133497</v>
      </c>
      <c r="EF100" s="173">
        <f t="shared" si="253"/>
        <v>11.908614273064838</v>
      </c>
      <c r="EG100" s="173">
        <f t="shared" si="254"/>
        <v>0.29327881425430269</v>
      </c>
      <c r="EH100" s="173"/>
      <c r="EI100" s="528">
        <f t="shared" si="255"/>
        <v>0.61847138175080707</v>
      </c>
      <c r="EJ100" s="528">
        <f t="shared" si="256"/>
        <v>1.8840000000000001</v>
      </c>
      <c r="EK100" s="528">
        <f t="shared" si="257"/>
        <v>5.8980156171512966E-3</v>
      </c>
      <c r="EL100" s="528">
        <f t="shared" si="258"/>
        <v>3.6290678828831691E-2</v>
      </c>
      <c r="EM100">
        <f t="shared" si="259"/>
        <v>3.2399999999999998E-2</v>
      </c>
      <c r="EN100" s="460">
        <f t="shared" si="297"/>
        <v>38.298015617151293</v>
      </c>
      <c r="EO100">
        <f t="shared" si="260"/>
        <v>3.2167440245642602</v>
      </c>
      <c r="EP100" s="460">
        <f t="shared" si="298"/>
        <v>3216.7440245642601</v>
      </c>
      <c r="EQ100" s="173">
        <f t="shared" si="261"/>
        <v>5.9018749999999995</v>
      </c>
      <c r="ER100" s="173">
        <f t="shared" si="262"/>
        <v>0.10539062499999999</v>
      </c>
      <c r="ES100" s="528"/>
      <c r="EU100" s="460">
        <f t="shared" si="299"/>
        <v>6007.265625</v>
      </c>
      <c r="EV100" s="528">
        <f t="shared" si="263"/>
        <v>0.92770707262621044</v>
      </c>
      <c r="EW100" s="528">
        <f t="shared" si="300"/>
        <v>4.2544528171393079</v>
      </c>
      <c r="EX100" s="528">
        <f t="shared" si="264"/>
        <v>4.3006231445204886E-4</v>
      </c>
      <c r="EY100" s="528">
        <f t="shared" si="265"/>
        <v>1.890594011417488</v>
      </c>
      <c r="EZ100" s="528">
        <f t="shared" si="266"/>
        <v>14.207563703432127</v>
      </c>
      <c r="FA100" s="625">
        <f t="shared" si="267"/>
        <v>2.445156796832966E-2</v>
      </c>
      <c r="FB100" s="460">
        <f t="shared" si="301"/>
        <v>14232.015271400456</v>
      </c>
      <c r="FC100" s="173">
        <f t="shared" si="302"/>
        <v>23.456024920964719</v>
      </c>
      <c r="FD100" s="5">
        <f t="shared" si="303"/>
        <v>144.4</v>
      </c>
      <c r="FE100" s="173">
        <f t="shared" si="304"/>
        <v>0.86026104852650342</v>
      </c>
      <c r="FF100" s="5">
        <f t="shared" si="305"/>
        <v>86.026104852650349</v>
      </c>
      <c r="FG100">
        <f t="shared" si="306"/>
        <v>95</v>
      </c>
      <c r="FI100" s="562">
        <f t="shared" si="268"/>
        <v>-50</v>
      </c>
      <c r="FJ100">
        <f t="shared" si="269"/>
        <v>-50</v>
      </c>
      <c r="FL100">
        <f t="shared" si="270"/>
        <v>0.82098061573546177</v>
      </c>
    </row>
    <row r="101" spans="5:169">
      <c r="E101" s="170">
        <v>96</v>
      </c>
      <c r="F101" s="217">
        <f t="shared" si="307"/>
        <v>9.6</v>
      </c>
      <c r="G101" s="217">
        <f t="shared" si="271"/>
        <v>0.24</v>
      </c>
      <c r="H101" s="217">
        <f t="shared" si="176"/>
        <v>144</v>
      </c>
      <c r="I101" s="217">
        <f t="shared" si="308"/>
        <v>1.92</v>
      </c>
      <c r="J101" s="541">
        <f t="shared" si="177"/>
        <v>71.347871936626859</v>
      </c>
      <c r="K101" s="443">
        <f t="shared" si="178"/>
        <v>16.050799999999999</v>
      </c>
      <c r="L101" s="172">
        <f t="shared" si="179"/>
        <v>87.398671936626855</v>
      </c>
      <c r="M101" s="443"/>
      <c r="N101" s="217">
        <f t="shared" si="180"/>
        <v>0.1836503878644575</v>
      </c>
      <c r="O101" s="172">
        <f t="shared" si="272"/>
        <v>323.26639032397611</v>
      </c>
      <c r="P101" s="172">
        <f t="shared" si="181"/>
        <v>4.3676881181550549</v>
      </c>
      <c r="Q101" s="217">
        <f t="shared" si="182"/>
        <v>21.551092688265076</v>
      </c>
      <c r="R101" s="217">
        <f t="shared" si="183"/>
        <v>40.408298790497014</v>
      </c>
      <c r="S101" s="443">
        <f t="shared" si="184"/>
        <v>15</v>
      </c>
      <c r="T101" s="217">
        <f t="shared" si="185"/>
        <v>22.272652572338846</v>
      </c>
      <c r="U101" s="217">
        <f t="shared" si="186"/>
        <v>3.7460378791040094</v>
      </c>
      <c r="V101" s="217">
        <f t="shared" si="187"/>
        <v>16.651620534058502</v>
      </c>
      <c r="W101" s="197">
        <f t="shared" si="188"/>
        <v>109.19220295387638</v>
      </c>
      <c r="X101" s="443">
        <f t="shared" si="273"/>
        <v>48.549207873112927</v>
      </c>
      <c r="Z101" s="217">
        <f t="shared" si="189"/>
        <v>10</v>
      </c>
      <c r="AA101" s="173">
        <f t="shared" si="190"/>
        <v>7.4762628654023482</v>
      </c>
      <c r="AB101" s="173">
        <f>0.5*AA101*Z101*Nps*W101/1000*(Pout/Pout_total)</f>
        <v>4.0817480606777128</v>
      </c>
      <c r="AC101" s="173"/>
      <c r="AD101" s="173">
        <f t="shared" si="192"/>
        <v>7.4762628654023482</v>
      </c>
      <c r="AE101" s="545">
        <f>MAX(10, F101/(0.5*AD101/1000000*Isw_min*Nps)/1000*Pout_total/Pout)</f>
        <v>256.81279999999998</v>
      </c>
      <c r="AF101" s="528">
        <f t="shared" si="194"/>
        <v>4.0817480606777128</v>
      </c>
      <c r="AH101" s="173">
        <f t="shared" si="195"/>
        <v>8.3358091560276435</v>
      </c>
      <c r="AI101" s="173">
        <f>MAX(IF(F101&gt;AB101,T101,AH101),Isw_min)</f>
        <v>22.272652572338846</v>
      </c>
      <c r="AJ101" s="173">
        <f>IF(F101&gt;AF101, (AI101-Isw_min)/1.08*0.8+1.2, AE101*0.2/350+1)</f>
        <v>10.290853757288033</v>
      </c>
      <c r="AL101" s="545">
        <f t="shared" si="198"/>
        <v>9600</v>
      </c>
      <c r="AM101" s="460">
        <f t="shared" si="199"/>
        <v>48.549207873112927</v>
      </c>
      <c r="AO101">
        <f t="shared" si="274"/>
        <v>9600</v>
      </c>
      <c r="AP101">
        <f t="shared" si="200"/>
        <v>48.549207873112927</v>
      </c>
      <c r="AR101" s="5">
        <f t="shared" si="275"/>
        <v>20.59765841316251</v>
      </c>
      <c r="AS101" s="5">
        <f t="shared" si="201"/>
        <v>3.7460378791040094</v>
      </c>
      <c r="AT101" s="5">
        <f t="shared" si="276"/>
        <v>16.851620534058501</v>
      </c>
      <c r="AU101" s="173">
        <f t="shared" si="277"/>
        <v>0.18186717169317562</v>
      </c>
      <c r="AW101" s="5">
        <f t="shared" si="202"/>
        <v>239.7464242626566</v>
      </c>
      <c r="AX101" s="5">
        <f t="shared" si="203"/>
        <v>11.238113637312027</v>
      </c>
      <c r="AY101" s="5">
        <f t="shared" si="204"/>
        <v>9.4475813092374086</v>
      </c>
      <c r="AZ101" s="5"/>
      <c r="BA101" s="173">
        <f t="shared" si="278"/>
        <v>5.4838866781597488</v>
      </c>
      <c r="BB101" s="173">
        <f t="shared" si="205"/>
        <v>11.631165222673927</v>
      </c>
      <c r="BC101" s="173">
        <f t="shared" si="206"/>
        <v>0.28644595136624418</v>
      </c>
      <c r="BD101" s="173"/>
      <c r="BE101" s="528">
        <f t="shared" si="207"/>
        <v>0.60146026197795932</v>
      </c>
      <c r="BF101" s="528">
        <f t="shared" si="208"/>
        <v>1.7719856332835415</v>
      </c>
      <c r="BG101" s="528">
        <f t="shared" si="209"/>
        <v>8.6597066648888429E-2</v>
      </c>
      <c r="BH101" s="528">
        <f t="shared" si="210"/>
        <v>3.7084447673939883E-2</v>
      </c>
      <c r="BI101">
        <f t="shared" si="211"/>
        <v>3.2106542371482083E-2</v>
      </c>
      <c r="BJ101" s="460">
        <f t="shared" si="279"/>
        <v>118.70360902037051</v>
      </c>
      <c r="BK101">
        <f t="shared" si="212"/>
        <v>3.0019198480529159</v>
      </c>
      <c r="BL101" s="460">
        <f t="shared" si="280"/>
        <v>3001.9198480529158</v>
      </c>
      <c r="BM101" s="173">
        <f t="shared" si="213"/>
        <v>5.9639999999999995</v>
      </c>
      <c r="BN101" s="173">
        <f t="shared" si="214"/>
        <v>0.1065</v>
      </c>
      <c r="BO101" s="528"/>
      <c r="BQ101" s="460">
        <f t="shared" si="281"/>
        <v>6070.4999999999991</v>
      </c>
      <c r="BR101" s="528">
        <f t="shared" si="215"/>
        <v>0.90219039296693881</v>
      </c>
      <c r="BS101" s="528">
        <f t="shared" si="216"/>
        <v>4.0585201331141816</v>
      </c>
      <c r="BT101" s="528">
        <f t="shared" si="217"/>
        <v>4.1025641527056366E-4</v>
      </c>
      <c r="BU101" s="528">
        <f t="shared" si="218"/>
        <v>1.9224507903529426</v>
      </c>
      <c r="BV101" s="528">
        <f>(BU101+(BR101+BS101+BT101)*(1+Ltc*(Ta-25)))/(1-(BR101+BS101+BT101)*Ltc*ThetaCa)</f>
        <v>13.387667330413434</v>
      </c>
      <c r="BW101" s="625">
        <f t="shared" si="220"/>
        <v>2.4083856652905179E-2</v>
      </c>
      <c r="BX101" s="460">
        <f t="shared" si="282"/>
        <v>13411.75118706634</v>
      </c>
      <c r="BY101" s="173">
        <f t="shared" si="283"/>
        <v>22.484171035119257</v>
      </c>
      <c r="BZ101" s="5">
        <f t="shared" si="284"/>
        <v>145.91999999999999</v>
      </c>
      <c r="CA101" s="173">
        <f t="shared" si="285"/>
        <v>0.86648685185813845</v>
      </c>
      <c r="CB101" s="5">
        <f t="shared" si="286"/>
        <v>86.648685185813846</v>
      </c>
      <c r="CC101">
        <f t="shared" si="287"/>
        <v>96</v>
      </c>
      <c r="CE101" s="562">
        <f t="shared" si="221"/>
        <v>-50</v>
      </c>
      <c r="CF101">
        <f t="shared" si="222"/>
        <v>-50</v>
      </c>
      <c r="CG101" s="173">
        <f t="shared" si="223"/>
        <v>0.82098061573546177</v>
      </c>
      <c r="CH101" s="173">
        <f t="shared" si="224"/>
        <v>9.6304191786782956E-2</v>
      </c>
      <c r="CI101" s="170">
        <v>96</v>
      </c>
      <c r="CJ101" s="217">
        <f t="shared" si="309"/>
        <v>9.6</v>
      </c>
      <c r="CK101" s="217">
        <f t="shared" si="288"/>
        <v>0.24</v>
      </c>
      <c r="CL101" s="217">
        <f t="shared" si="225"/>
        <v>144</v>
      </c>
      <c r="CM101" s="217">
        <f t="shared" si="310"/>
        <v>1.92</v>
      </c>
      <c r="CN101" s="541">
        <f t="shared" si="289"/>
        <v>72</v>
      </c>
      <c r="CO101" s="443">
        <f t="shared" si="226"/>
        <v>15.7</v>
      </c>
      <c r="CP101" s="443">
        <f t="shared" si="227"/>
        <v>87.7</v>
      </c>
      <c r="CQ101" s="443"/>
      <c r="CR101" s="217">
        <f t="shared" si="228"/>
        <v>0.17620137299771166</v>
      </c>
      <c r="CS101" s="172">
        <f t="shared" si="290"/>
        <v>312.98928098277725</v>
      </c>
      <c r="CT101" s="172">
        <f t="shared" si="229"/>
        <v>4.2288329519450798</v>
      </c>
      <c r="CU101" s="217">
        <f t="shared" si="230"/>
        <v>20.865952065518481</v>
      </c>
      <c r="CV101" s="217">
        <f t="shared" si="231"/>
        <v>39.123660122847156</v>
      </c>
      <c r="CW101" s="443">
        <f t="shared" si="232"/>
        <v>15</v>
      </c>
      <c r="CX101" s="217">
        <f t="shared" si="233"/>
        <v>23.003982683982684</v>
      </c>
      <c r="CY101" s="217">
        <f t="shared" si="234"/>
        <v>3.8339971139971145</v>
      </c>
      <c r="CZ101" s="217">
        <f t="shared" si="235"/>
        <v>17.582661924063203</v>
      </c>
      <c r="DA101" s="197">
        <f t="shared" si="236"/>
        <v>107.41163055872293</v>
      </c>
      <c r="DB101" s="443">
        <f t="shared" si="291"/>
        <v>46.692623635781096</v>
      </c>
      <c r="DD101" s="217">
        <f t="shared" si="237"/>
        <v>10</v>
      </c>
      <c r="DE101" s="173">
        <f t="shared" si="238"/>
        <v>7.6433121019108281</v>
      </c>
      <c r="DF101" s="173">
        <f t="shared" si="239"/>
        <v>4.1049030786773102</v>
      </c>
      <c r="DG101" s="173"/>
      <c r="DH101" s="173">
        <f t="shared" si="240"/>
        <v>7.6433121019108281</v>
      </c>
      <c r="DI101" s="545">
        <f t="shared" si="241"/>
        <v>251.2</v>
      </c>
      <c r="DJ101" s="528">
        <f t="shared" si="242"/>
        <v>4.1049030786773093</v>
      </c>
      <c r="DL101" s="173">
        <f t="shared" si="243"/>
        <v>8.3358091560276435</v>
      </c>
      <c r="DM101" s="173">
        <f t="shared" si="244"/>
        <v>23.003982683982684</v>
      </c>
      <c r="DN101" s="173">
        <f t="shared" si="245"/>
        <v>10.832579765913099</v>
      </c>
      <c r="DP101" s="545">
        <f t="shared" si="246"/>
        <v>9600</v>
      </c>
      <c r="DQ101" s="460">
        <f t="shared" si="247"/>
        <v>46.692623635781096</v>
      </c>
      <c r="DS101">
        <f t="shared" si="311"/>
        <v>9600</v>
      </c>
      <c r="DT101">
        <f t="shared" si="312"/>
        <v>46.692623635781096</v>
      </c>
      <c r="DV101" s="5">
        <f t="shared" si="293"/>
        <v>21.416659038060317</v>
      </c>
      <c r="DW101" s="5">
        <f t="shared" si="249"/>
        <v>3.8339971139971145</v>
      </c>
      <c r="DX101" s="5">
        <f t="shared" si="294"/>
        <v>17.582661924063203</v>
      </c>
      <c r="DY101" s="173">
        <f t="shared" si="295"/>
        <v>0.17901938426453817</v>
      </c>
      <c r="EA101" s="5">
        <f t="shared" si="250"/>
        <v>245.3758152958153</v>
      </c>
      <c r="EB101" s="5">
        <f t="shared" si="251"/>
        <v>11.501991341991342</v>
      </c>
      <c r="EC101" s="5">
        <f t="shared" si="252"/>
        <v>9.7681455133684452</v>
      </c>
      <c r="ED101" s="5"/>
      <c r="EE101" s="173">
        <f t="shared" si="296"/>
        <v>5.6194321802913842</v>
      </c>
      <c r="EF101" s="173">
        <f t="shared" si="253"/>
        <v>12.033968107518152</v>
      </c>
      <c r="EG101" s="173">
        <f t="shared" si="254"/>
        <v>0.29636595966750595</v>
      </c>
      <c r="EH101" s="173"/>
      <c r="EI101" s="528">
        <f t="shared" si="255"/>
        <v>0.63156036057788767</v>
      </c>
      <c r="EJ101" s="528">
        <f t="shared" si="256"/>
        <v>1.8839999999999997</v>
      </c>
      <c r="EK101" s="528">
        <f t="shared" si="257"/>
        <v>5.8365779544726371E-3</v>
      </c>
      <c r="EL101" s="528">
        <f t="shared" si="258"/>
        <v>3.5912650924364686E-2</v>
      </c>
      <c r="EM101">
        <f t="shared" si="259"/>
        <v>3.2399999999999998E-2</v>
      </c>
      <c r="EN101" s="460">
        <f t="shared" si="297"/>
        <v>38.236577954472637</v>
      </c>
      <c r="EO101">
        <f t="shared" si="260"/>
        <v>3.2475548866128792</v>
      </c>
      <c r="EP101" s="460">
        <f t="shared" si="298"/>
        <v>3247.5548866128793</v>
      </c>
      <c r="EQ101" s="173">
        <f t="shared" si="261"/>
        <v>5.9639999999999995</v>
      </c>
      <c r="ER101" s="173">
        <f t="shared" si="262"/>
        <v>0.1065</v>
      </c>
      <c r="ES101" s="528"/>
      <c r="EU101" s="460">
        <f t="shared" si="299"/>
        <v>6070.4999999999991</v>
      </c>
      <c r="EV101" s="528">
        <f t="shared" si="263"/>
        <v>0.94734054086683139</v>
      </c>
      <c r="EW101" s="528">
        <f t="shared" si="300"/>
        <v>4.3444916523829198</v>
      </c>
      <c r="EX101" s="528">
        <f t="shared" si="264"/>
        <v>4.3916391024820879E-4</v>
      </c>
      <c r="EY101" s="528">
        <f t="shared" si="265"/>
        <v>1.8905940114174846</v>
      </c>
      <c r="EZ101" s="528">
        <f t="shared" si="266"/>
        <v>14.659629463667654</v>
      </c>
      <c r="FA101" s="625">
        <f t="shared" si="267"/>
        <v>2.4708952894312072E-2</v>
      </c>
      <c r="FB101" s="460">
        <f t="shared" si="301"/>
        <v>14684.338416561966</v>
      </c>
      <c r="FC101" s="173">
        <f t="shared" si="302"/>
        <v>24.002393303174845</v>
      </c>
      <c r="FD101" s="5">
        <f t="shared" si="303"/>
        <v>145.91999999999999</v>
      </c>
      <c r="FE101" s="173">
        <f t="shared" si="304"/>
        <v>0.85874496682523849</v>
      </c>
      <c r="FF101" s="5">
        <f t="shared" si="305"/>
        <v>85.874496682523855</v>
      </c>
      <c r="FG101">
        <f t="shared" si="306"/>
        <v>96</v>
      </c>
      <c r="FI101" s="562">
        <f t="shared" si="268"/>
        <v>-50</v>
      </c>
      <c r="FJ101">
        <f t="shared" si="269"/>
        <v>-50</v>
      </c>
      <c r="FL101">
        <f t="shared" si="270"/>
        <v>0.82098061573546177</v>
      </c>
    </row>
    <row r="102" spans="5:169">
      <c r="E102" s="170">
        <v>97</v>
      </c>
      <c r="F102" s="217">
        <f t="shared" si="307"/>
        <v>9.6999999999999993</v>
      </c>
      <c r="G102" s="217">
        <f t="shared" si="271"/>
        <v>0.24249999999999999</v>
      </c>
      <c r="H102" s="217">
        <f t="shared" si="176"/>
        <v>145.5</v>
      </c>
      <c r="I102" s="217">
        <f t="shared" si="308"/>
        <v>1.94</v>
      </c>
      <c r="J102" s="541">
        <f t="shared" si="177"/>
        <v>71.341078935966721</v>
      </c>
      <c r="K102" s="443">
        <f t="shared" si="178"/>
        <v>16.054454166666666</v>
      </c>
      <c r="L102" s="172">
        <f t="shared" si="179"/>
        <v>87.395533102633379</v>
      </c>
      <c r="M102" s="443"/>
      <c r="N102" s="217">
        <f t="shared" si="180"/>
        <v>0.18369879554156432</v>
      </c>
      <c r="O102" s="172">
        <f>N102*J102*Isw_max*0.5*Efficiency*Pout/(Pout+Pout2)</f>
        <v>323.32081266051193</v>
      </c>
      <c r="P102" s="172">
        <f t="shared" si="181"/>
        <v>4.368423424390917</v>
      </c>
      <c r="Q102" s="217">
        <f t="shared" si="182"/>
        <v>21.554720844034129</v>
      </c>
      <c r="R102" s="217">
        <f t="shared" si="183"/>
        <v>40.415101582563992</v>
      </c>
      <c r="S102" s="443">
        <f t="shared" si="184"/>
        <v>15</v>
      </c>
      <c r="T102" s="217">
        <f t="shared" si="185"/>
        <v>22.500871317674118</v>
      </c>
      <c r="U102" s="217">
        <f t="shared" si="186"/>
        <v>3.7847823419441333</v>
      </c>
      <c r="V102" s="217">
        <f t="shared" si="187"/>
        <v>16.818413943508787</v>
      </c>
      <c r="W102" s="197">
        <f t="shared" si="188"/>
        <v>109.21058560977293</v>
      </c>
      <c r="X102" s="443">
        <f t="shared" si="273"/>
        <v>48.069536348088562</v>
      </c>
      <c r="Z102" s="217">
        <f t="shared" si="189"/>
        <v>10</v>
      </c>
      <c r="AA102" s="173">
        <f t="shared" si="190"/>
        <v>7.4745611874586215</v>
      </c>
      <c r="AB102" s="173">
        <f>0.5*AA102*Z102*Nps*W102/1000*(Pout/Pout_total)</f>
        <v>4.0815060222921797</v>
      </c>
      <c r="AC102" s="173"/>
      <c r="AD102" s="173">
        <f t="shared" si="192"/>
        <v>7.4745611874586215</v>
      </c>
      <c r="AE102" s="545">
        <f>MAX(10, F102/(0.5*AD102/1000000*Isw_min*Nps)/1000*Pout_total/Pout)</f>
        <v>259.54700902777773</v>
      </c>
      <c r="AF102" s="528">
        <f t="shared" si="194"/>
        <v>4.0815060222921788</v>
      </c>
      <c r="AH102" s="173">
        <f t="shared" si="195"/>
        <v>8.3791123521244071</v>
      </c>
      <c r="AI102" s="173">
        <f>MAX(IF(F102&gt;AB102,T102,AH102),Isw_min)</f>
        <v>22.500871317674118</v>
      </c>
      <c r="AJ102" s="173">
        <f>IF(F102&gt;AF102, (AI102-Isw_min)/1.08*0.8+1.2, AE102*0.2/350+1)</f>
        <v>10.459904679758605</v>
      </c>
      <c r="AL102" s="545">
        <f t="shared" si="198"/>
        <v>9700</v>
      </c>
      <c r="AM102" s="460">
        <f t="shared" si="199"/>
        <v>48.069536348088562</v>
      </c>
      <c r="AO102">
        <f t="shared" si="274"/>
        <v>9700</v>
      </c>
      <c r="AP102">
        <f t="shared" si="200"/>
        <v>48.069536348088562</v>
      </c>
      <c r="AR102" s="5">
        <f t="shared" si="275"/>
        <v>20.803196285452916</v>
      </c>
      <c r="AS102" s="5">
        <f t="shared" si="201"/>
        <v>3.7847823419441333</v>
      </c>
      <c r="AT102" s="5">
        <f t="shared" si="276"/>
        <v>17.018413943508783</v>
      </c>
      <c r="AU102" s="173">
        <f t="shared" si="277"/>
        <v>0.1819327323556873</v>
      </c>
      <c r="AW102" s="5">
        <f t="shared" si="202"/>
        <v>244.74925811238728</v>
      </c>
      <c r="AX102" s="5">
        <f t="shared" si="203"/>
        <v>11.472621474018153</v>
      </c>
      <c r="AY102" s="5">
        <f t="shared" si="204"/>
        <v>9.6413955859500931</v>
      </c>
      <c r="AZ102" s="5"/>
      <c r="BA102" s="173">
        <f t="shared" si="278"/>
        <v>5.5410762897781005</v>
      </c>
      <c r="BB102" s="173">
        <f t="shared" si="205"/>
        <v>11.749874193753548</v>
      </c>
      <c r="BC102" s="173">
        <f t="shared" si="206"/>
        <v>0.28936945073244036</v>
      </c>
      <c r="BD102" s="173"/>
      <c r="BE102" s="528">
        <f t="shared" si="207"/>
        <v>0.61407052898282088</v>
      </c>
      <c r="BF102" s="528">
        <f t="shared" si="208"/>
        <v>1.7723919834529671</v>
      </c>
      <c r="BG102" s="528">
        <f t="shared" si="209"/>
        <v>8.5733314675607686E-2</v>
      </c>
      <c r="BH102" s="528">
        <f t="shared" si="210"/>
        <v>3.6715411908286942E-2</v>
      </c>
      <c r="BI102">
        <f t="shared" si="211"/>
        <v>3.2103485521185027E-2</v>
      </c>
      <c r="BJ102" s="460">
        <f t="shared" si="279"/>
        <v>117.83680019679271</v>
      </c>
      <c r="BK102">
        <f t="shared" si="212"/>
        <v>3.0312452158892191</v>
      </c>
      <c r="BL102" s="460">
        <f t="shared" si="280"/>
        <v>3031.2452158892193</v>
      </c>
      <c r="BM102" s="173">
        <f t="shared" si="213"/>
        <v>6.0261249999999986</v>
      </c>
      <c r="BN102" s="173">
        <f t="shared" si="214"/>
        <v>0.10760937499999999</v>
      </c>
      <c r="BO102" s="528"/>
      <c r="BQ102" s="460">
        <f t="shared" si="281"/>
        <v>6133.7343749999982</v>
      </c>
      <c r="BR102" s="528">
        <f t="shared" si="215"/>
        <v>0.92110579347423116</v>
      </c>
      <c r="BS102" s="528">
        <f t="shared" si="216"/>
        <v>4.1417863070710679</v>
      </c>
      <c r="BT102" s="528">
        <f t="shared" si="217"/>
        <v>4.1867339508597115E-4</v>
      </c>
      <c r="BU102" s="528">
        <f t="shared" si="218"/>
        <v>1.9237258336460437</v>
      </c>
      <c r="BV102" s="528">
        <f>(BU102+(BR102+BS102+BT102)*(1+Ltc*(Ta-25)))/(1-(BR102+BS102+BT102)*Ltc*ThetaCa)</f>
        <v>13.786765427466529</v>
      </c>
      <c r="BW102" s="625">
        <f t="shared" si="220"/>
        <v>2.4337087585361267E-2</v>
      </c>
      <c r="BX102" s="460">
        <f t="shared" si="282"/>
        <v>13811.102515051891</v>
      </c>
      <c r="BY102" s="173">
        <f t="shared" si="283"/>
        <v>22.976082105941106</v>
      </c>
      <c r="BZ102" s="5">
        <f t="shared" si="284"/>
        <v>147.44</v>
      </c>
      <c r="CA102" s="173">
        <f t="shared" si="285"/>
        <v>0.86517656184785563</v>
      </c>
      <c r="CB102" s="5">
        <f t="shared" si="286"/>
        <v>86.517656184785565</v>
      </c>
      <c r="CC102">
        <f t="shared" si="287"/>
        <v>97</v>
      </c>
      <c r="CE102" s="562">
        <f t="shared" si="221"/>
        <v>-50</v>
      </c>
      <c r="CF102">
        <f t="shared" si="222"/>
        <v>-50</v>
      </c>
      <c r="CG102" s="173">
        <f t="shared" si="223"/>
        <v>0.82098061573546177</v>
      </c>
      <c r="CH102" s="173">
        <f t="shared" si="224"/>
        <v>9.6304191786782956E-2</v>
      </c>
      <c r="CI102" s="170">
        <v>97</v>
      </c>
      <c r="CJ102" s="217">
        <f t="shared" si="309"/>
        <v>9.6999999999999993</v>
      </c>
      <c r="CK102" s="217">
        <f t="shared" si="288"/>
        <v>0.24249999999999999</v>
      </c>
      <c r="CL102" s="217">
        <f t="shared" si="225"/>
        <v>145.5</v>
      </c>
      <c r="CM102" s="217">
        <f t="shared" si="310"/>
        <v>1.94</v>
      </c>
      <c r="CN102" s="541">
        <f t="shared" si="289"/>
        <v>72</v>
      </c>
      <c r="CO102" s="443">
        <f t="shared" si="226"/>
        <v>15.7</v>
      </c>
      <c r="CP102" s="443">
        <f t="shared" si="227"/>
        <v>87.7</v>
      </c>
      <c r="CQ102" s="443"/>
      <c r="CR102" s="217">
        <f t="shared" si="228"/>
        <v>0.17620137299771166</v>
      </c>
      <c r="CS102" s="172">
        <f t="shared" si="290"/>
        <v>312.98928098277725</v>
      </c>
      <c r="CT102" s="172">
        <f t="shared" si="229"/>
        <v>4.2288329519450798</v>
      </c>
      <c r="CU102" s="217">
        <f t="shared" si="230"/>
        <v>20.865952065518481</v>
      </c>
      <c r="CV102" s="217">
        <f t="shared" si="231"/>
        <v>39.123660122847156</v>
      </c>
      <c r="CW102" s="443">
        <f t="shared" si="232"/>
        <v>15</v>
      </c>
      <c r="CX102" s="217">
        <f t="shared" si="233"/>
        <v>23.243607503607503</v>
      </c>
      <c r="CY102" s="217">
        <f t="shared" si="234"/>
        <v>3.873934583934584</v>
      </c>
      <c r="CZ102" s="217">
        <f t="shared" si="235"/>
        <v>17.765814652438859</v>
      </c>
      <c r="DA102" s="197">
        <f t="shared" si="236"/>
        <v>107.41163055872293</v>
      </c>
      <c r="DB102" s="443">
        <f t="shared" si="291"/>
        <v>46.211256381803977</v>
      </c>
      <c r="DD102" s="217">
        <f t="shared" si="237"/>
        <v>10</v>
      </c>
      <c r="DE102" s="173">
        <f t="shared" si="238"/>
        <v>7.6433121019108281</v>
      </c>
      <c r="DF102" s="173">
        <f t="shared" si="239"/>
        <v>4.1049030786773102</v>
      </c>
      <c r="DG102" s="173"/>
      <c r="DH102" s="173">
        <f t="shared" si="240"/>
        <v>7.6433121019108281</v>
      </c>
      <c r="DI102" s="545">
        <f t="shared" si="241"/>
        <v>253.81666666666672</v>
      </c>
      <c r="DJ102" s="528">
        <f t="shared" si="242"/>
        <v>4.1049030786773093</v>
      </c>
      <c r="DL102" s="173">
        <f t="shared" si="243"/>
        <v>8.3791123521244071</v>
      </c>
      <c r="DM102" s="173">
        <f t="shared" si="244"/>
        <v>23.243607503607503</v>
      </c>
      <c r="DN102" s="173">
        <f t="shared" si="245"/>
        <v>11.010079632301855</v>
      </c>
      <c r="DP102" s="545">
        <f t="shared" si="246"/>
        <v>9700</v>
      </c>
      <c r="DQ102" s="460">
        <f t="shared" si="247"/>
        <v>46.211256381803977</v>
      </c>
      <c r="DS102">
        <f t="shared" si="311"/>
        <v>9700</v>
      </c>
      <c r="DT102">
        <f t="shared" si="312"/>
        <v>46.211256381803977</v>
      </c>
      <c r="DV102" s="5">
        <f t="shared" si="293"/>
        <v>21.63974923637344</v>
      </c>
      <c r="DW102" s="5">
        <f t="shared" si="249"/>
        <v>3.873934583934584</v>
      </c>
      <c r="DX102" s="5">
        <f t="shared" si="294"/>
        <v>17.765814652438856</v>
      </c>
      <c r="DY102" s="173">
        <f t="shared" si="295"/>
        <v>0.1790193842645382</v>
      </c>
      <c r="EA102" s="5">
        <f t="shared" si="250"/>
        <v>250.51443642776971</v>
      </c>
      <c r="EB102" s="5">
        <f t="shared" si="251"/>
        <v>11.742864207551706</v>
      </c>
      <c r="EC102" s="5">
        <f t="shared" si="252"/>
        <v>9.9727084565194968</v>
      </c>
      <c r="ED102" s="5"/>
      <c r="EE102" s="173">
        <f t="shared" si="296"/>
        <v>5.6779679321694188</v>
      </c>
      <c r="EF102" s="173">
        <f t="shared" si="253"/>
        <v>12.159321941971466</v>
      </c>
      <c r="EG102" s="173">
        <f t="shared" si="254"/>
        <v>0.2994531050807091</v>
      </c>
      <c r="EH102" s="173"/>
      <c r="EI102" s="528">
        <f t="shared" si="255"/>
        <v>0.64478639677488536</v>
      </c>
      <c r="EJ102" s="528">
        <f t="shared" si="256"/>
        <v>1.8839999999999997</v>
      </c>
      <c r="EK102" s="528">
        <f t="shared" si="257"/>
        <v>5.7764070477254962E-3</v>
      </c>
      <c r="EL102" s="528">
        <f t="shared" si="258"/>
        <v>3.5542417409680518E-2</v>
      </c>
      <c r="EM102">
        <f t="shared" si="259"/>
        <v>3.2399999999999998E-2</v>
      </c>
      <c r="EN102" s="460">
        <f t="shared" si="297"/>
        <v>38.17640704772549</v>
      </c>
      <c r="EO102">
        <f t="shared" si="260"/>
        <v>3.2789343883532585</v>
      </c>
      <c r="EP102" s="460">
        <f t="shared" si="298"/>
        <v>3278.9343883532583</v>
      </c>
      <c r="EQ102" s="173">
        <f t="shared" si="261"/>
        <v>6.0261249999999986</v>
      </c>
      <c r="ER102" s="173">
        <f t="shared" si="262"/>
        <v>0.10760937499999999</v>
      </c>
      <c r="ES102" s="528"/>
      <c r="EU102" s="460">
        <f t="shared" si="299"/>
        <v>6133.7343749999982</v>
      </c>
      <c r="EV102" s="528">
        <f t="shared" si="263"/>
        <v>0.96717959516232788</v>
      </c>
      <c r="EW102" s="528">
        <f t="shared" si="300"/>
        <v>4.4354733026552626</v>
      </c>
      <c r="EX102" s="528">
        <f t="shared" si="264"/>
        <v>4.4836081071239107E-4</v>
      </c>
      <c r="EY102" s="528">
        <f t="shared" si="265"/>
        <v>1.8905940114174846</v>
      </c>
      <c r="EZ102" s="528">
        <f t="shared" si="266"/>
        <v>15.130622341485266</v>
      </c>
      <c r="FA102" s="625">
        <f t="shared" si="267"/>
        <v>2.496633782029449E-2</v>
      </c>
      <c r="FB102" s="460">
        <f t="shared" si="301"/>
        <v>15155.588679305562</v>
      </c>
      <c r="FC102" s="173">
        <f t="shared" si="302"/>
        <v>24.568257442658819</v>
      </c>
      <c r="FD102" s="5">
        <f t="shared" si="303"/>
        <v>147.44</v>
      </c>
      <c r="FE102" s="173">
        <f t="shared" si="304"/>
        <v>0.8571681510647885</v>
      </c>
      <c r="FF102" s="5">
        <f t="shared" si="305"/>
        <v>85.716815106478847</v>
      </c>
      <c r="FG102">
        <f t="shared" si="306"/>
        <v>97</v>
      </c>
      <c r="FI102" s="562">
        <f t="shared" si="268"/>
        <v>-50</v>
      </c>
      <c r="FJ102">
        <f t="shared" si="269"/>
        <v>-50</v>
      </c>
      <c r="FL102">
        <f t="shared" si="270"/>
        <v>0.82098061573546177</v>
      </c>
    </row>
    <row r="103" spans="5:169">
      <c r="E103" s="170">
        <v>98</v>
      </c>
      <c r="F103" s="217">
        <f t="shared" si="307"/>
        <v>9.8000000000000007</v>
      </c>
      <c r="G103" s="217">
        <f t="shared" si="271"/>
        <v>0.245</v>
      </c>
      <c r="H103" s="217">
        <f t="shared" si="176"/>
        <v>147</v>
      </c>
      <c r="I103" s="217">
        <f t="shared" si="308"/>
        <v>1.96</v>
      </c>
      <c r="J103" s="541">
        <f t="shared" si="177"/>
        <v>71.334285935306582</v>
      </c>
      <c r="K103" s="443">
        <f t="shared" si="178"/>
        <v>16.058108333333333</v>
      </c>
      <c r="L103" s="172">
        <f t="shared" si="179"/>
        <v>87.392394268639919</v>
      </c>
      <c r="M103" s="443"/>
      <c r="N103" s="217">
        <f t="shared" si="180"/>
        <v>0.18374720669594541</v>
      </c>
      <c r="O103" s="172">
        <f>N103*J103*Isw_max*0.5*Efficiency*Pout/(Pout+Pout2)</f>
        <v>323.37522489134335</v>
      </c>
      <c r="P103" s="172">
        <f t="shared" si="181"/>
        <v>4.3691585940874837</v>
      </c>
      <c r="Q103" s="217">
        <f t="shared" si="182"/>
        <v>21.558348326089558</v>
      </c>
      <c r="R103" s="217">
        <f t="shared" si="183"/>
        <v>40.421903111417919</v>
      </c>
      <c r="S103" s="443">
        <f t="shared" si="184"/>
        <v>15</v>
      </c>
      <c r="T103" s="217">
        <f t="shared" si="185"/>
        <v>22.729013957298861</v>
      </c>
      <c r="U103" s="217">
        <f t="shared" si="186"/>
        <v>3.8235213812183249</v>
      </c>
      <c r="V103" s="217">
        <f t="shared" si="187"/>
        <v>16.985074569550459</v>
      </c>
      <c r="W103" s="197">
        <f t="shared" si="188"/>
        <v>109.22896485218708</v>
      </c>
      <c r="X103" s="443">
        <f t="shared" si="273"/>
        <v>47.599563642586325</v>
      </c>
      <c r="Z103" s="217">
        <f t="shared" si="189"/>
        <v>10.000000000000002</v>
      </c>
      <c r="AA103" s="173">
        <f t="shared" si="190"/>
        <v>7.4728602839790721</v>
      </c>
      <c r="AB103" s="173">
        <f>0.5*AA103*Z103*Nps*W103/1000*(Pout/Pout_total)</f>
        <v>4.0812639665202752</v>
      </c>
      <c r="AC103" s="173"/>
      <c r="AD103" s="173">
        <f t="shared" si="192"/>
        <v>7.4728602839790703</v>
      </c>
      <c r="AE103" s="545">
        <f>MAX(10, F103/(0.5*AD103/1000000*Isw_min*Nps)/1000*Pout_total/Pout)</f>
        <v>262.28243611111105</v>
      </c>
      <c r="AF103" s="528">
        <f t="shared" si="194"/>
        <v>4.0812639665202735</v>
      </c>
      <c r="AH103" s="173">
        <f t="shared" si="195"/>
        <v>8.4221929052553364</v>
      </c>
      <c r="AI103" s="173">
        <f>MAX(IF(F103&gt;AB103,T103,AH103),Isw_min)</f>
        <v>22.729013957298861</v>
      </c>
      <c r="AJ103" s="173">
        <f>IF(F103&gt;AF103, (AI103-Isw_min)/1.08*0.8+1.2, AE103*0.2/350+1)</f>
        <v>10.628899227628786</v>
      </c>
      <c r="AL103" s="545">
        <f t="shared" si="198"/>
        <v>9800</v>
      </c>
      <c r="AM103" s="460">
        <f t="shared" si="199"/>
        <v>47.599563642586325</v>
      </c>
      <c r="AO103">
        <f t="shared" si="274"/>
        <v>9800</v>
      </c>
      <c r="AP103">
        <f t="shared" si="200"/>
        <v>47.599563642586325</v>
      </c>
      <c r="AR103" s="5">
        <f t="shared" si="275"/>
        <v>21.008595950768783</v>
      </c>
      <c r="AS103" s="5">
        <f t="shared" si="201"/>
        <v>3.8235213812183249</v>
      </c>
      <c r="AT103" s="5">
        <f t="shared" si="276"/>
        <v>17.185074569550459</v>
      </c>
      <c r="AU103" s="173">
        <f t="shared" si="277"/>
        <v>0.18199794932409122</v>
      </c>
      <c r="AW103" s="5">
        <f t="shared" si="202"/>
        <v>249.80339690626388</v>
      </c>
      <c r="AX103" s="5">
        <f t="shared" si="203"/>
        <v>11.70953422998112</v>
      </c>
      <c r="AY103" s="5">
        <f t="shared" si="204"/>
        <v>9.837119262580698</v>
      </c>
      <c r="AZ103" s="5"/>
      <c r="BA103" s="173">
        <f t="shared" si="278"/>
        <v>5.598261942781976</v>
      </c>
      <c r="BB103" s="173">
        <f t="shared" si="205"/>
        <v>11.868536347995672</v>
      </c>
      <c r="BC103" s="173">
        <f t="shared" si="206"/>
        <v>0.29229179711926601</v>
      </c>
      <c r="BD103" s="173"/>
      <c r="BE103" s="528">
        <f t="shared" si="207"/>
        <v>0.62681073560002054</v>
      </c>
      <c r="BF103" s="528">
        <f t="shared" si="208"/>
        <v>1.7727948304010122</v>
      </c>
      <c r="BG103" s="528">
        <f t="shared" si="209"/>
        <v>8.4887022081901908E-2</v>
      </c>
      <c r="BH103" s="528">
        <f t="shared" si="210"/>
        <v>3.6353836276840419E-2</v>
      </c>
      <c r="BI103">
        <f t="shared" si="211"/>
        <v>3.2100428670887964E-2</v>
      </c>
      <c r="BJ103" s="460">
        <f t="shared" si="279"/>
        <v>116.98745075278988</v>
      </c>
      <c r="BK103">
        <f t="shared" si="212"/>
        <v>3.0610866407264514</v>
      </c>
      <c r="BL103" s="460">
        <f t="shared" si="280"/>
        <v>3061.0866407264516</v>
      </c>
      <c r="BM103" s="173">
        <f t="shared" si="213"/>
        <v>6.0882500000000004</v>
      </c>
      <c r="BN103" s="173">
        <f t="shared" si="214"/>
        <v>0.10871874999999999</v>
      </c>
      <c r="BO103" s="528"/>
      <c r="BQ103" s="460">
        <f t="shared" si="281"/>
        <v>6196.9687500000009</v>
      </c>
      <c r="BR103" s="528">
        <f t="shared" si="215"/>
        <v>0.9402161034000307</v>
      </c>
      <c r="BS103" s="528">
        <f t="shared" si="216"/>
        <v>4.2258646513108333</v>
      </c>
      <c r="BT103" s="528">
        <f t="shared" si="217"/>
        <v>4.2717247331605076E-4</v>
      </c>
      <c r="BU103" s="528">
        <f t="shared" si="218"/>
        <v>1.9249919658844485</v>
      </c>
      <c r="BV103" s="528">
        <f>(BU103+(BR103+BS103+BT103)*(1+Ltc*(Ta-25)))/(1-(BR103+BS103+BT103)*Ltc*ThetaCa)</f>
        <v>14.201047933351456</v>
      </c>
      <c r="BW103" s="625">
        <f t="shared" si="220"/>
        <v>2.4590318966660016E-2</v>
      </c>
      <c r="BX103" s="460">
        <f t="shared" si="282"/>
        <v>14225.638252318115</v>
      </c>
      <c r="BY103" s="173">
        <f t="shared" si="283"/>
        <v>23.483693643044568</v>
      </c>
      <c r="BZ103" s="5">
        <f t="shared" si="284"/>
        <v>148.96</v>
      </c>
      <c r="CA103" s="173">
        <f t="shared" si="285"/>
        <v>0.86381819394534998</v>
      </c>
      <c r="CB103" s="5">
        <f t="shared" si="286"/>
        <v>86.381819394535</v>
      </c>
      <c r="CC103">
        <f t="shared" si="287"/>
        <v>98.000000000000014</v>
      </c>
      <c r="CE103" s="562">
        <f t="shared" si="221"/>
        <v>-50</v>
      </c>
      <c r="CF103">
        <f t="shared" si="222"/>
        <v>-50</v>
      </c>
      <c r="CG103" s="173">
        <f t="shared" si="223"/>
        <v>0.82098061573546177</v>
      </c>
      <c r="CH103" s="173">
        <f t="shared" si="224"/>
        <v>9.6304191786782969E-2</v>
      </c>
      <c r="CI103" s="170">
        <v>98</v>
      </c>
      <c r="CJ103" s="217">
        <f t="shared" si="309"/>
        <v>9.8000000000000007</v>
      </c>
      <c r="CK103" s="217">
        <f t="shared" si="288"/>
        <v>0.245</v>
      </c>
      <c r="CL103" s="217">
        <f t="shared" si="225"/>
        <v>147</v>
      </c>
      <c r="CM103" s="217">
        <f t="shared" si="310"/>
        <v>1.96</v>
      </c>
      <c r="CN103" s="541">
        <f t="shared" si="289"/>
        <v>72</v>
      </c>
      <c r="CO103" s="443">
        <f t="shared" si="226"/>
        <v>15.7</v>
      </c>
      <c r="CP103" s="443">
        <f t="shared" si="227"/>
        <v>87.7</v>
      </c>
      <c r="CQ103" s="443"/>
      <c r="CR103" s="217">
        <f t="shared" si="228"/>
        <v>0.17620137299771166</v>
      </c>
      <c r="CS103" s="172">
        <f t="shared" si="290"/>
        <v>312.98928098277725</v>
      </c>
      <c r="CT103" s="172">
        <f t="shared" si="229"/>
        <v>4.2288329519450798</v>
      </c>
      <c r="CU103" s="217">
        <f t="shared" si="230"/>
        <v>20.865952065518481</v>
      </c>
      <c r="CV103" s="217">
        <f t="shared" si="231"/>
        <v>39.123660122847156</v>
      </c>
      <c r="CW103" s="443">
        <f t="shared" si="232"/>
        <v>15</v>
      </c>
      <c r="CX103" s="217">
        <f t="shared" si="233"/>
        <v>23.483232323232325</v>
      </c>
      <c r="CY103" s="217">
        <f t="shared" si="234"/>
        <v>3.9138720538720544</v>
      </c>
      <c r="CZ103" s="217">
        <f t="shared" si="235"/>
        <v>17.948967380814516</v>
      </c>
      <c r="DA103" s="197">
        <f t="shared" si="236"/>
        <v>107.41163055872293</v>
      </c>
      <c r="DB103" s="443">
        <f t="shared" si="291"/>
        <v>45.739712949336592</v>
      </c>
      <c r="DD103" s="217">
        <f t="shared" si="237"/>
        <v>10</v>
      </c>
      <c r="DE103" s="173">
        <f t="shared" si="238"/>
        <v>7.6433121019108281</v>
      </c>
      <c r="DF103" s="173">
        <f t="shared" si="239"/>
        <v>4.1049030786773102</v>
      </c>
      <c r="DG103" s="173"/>
      <c r="DH103" s="173">
        <f t="shared" si="240"/>
        <v>7.6433121019108281</v>
      </c>
      <c r="DI103" s="545">
        <f t="shared" si="241"/>
        <v>256.43333333333339</v>
      </c>
      <c r="DJ103" s="528">
        <f t="shared" si="242"/>
        <v>4.1049030786773093</v>
      </c>
      <c r="DL103" s="173">
        <f t="shared" si="243"/>
        <v>8.4221929052553364</v>
      </c>
      <c r="DM103" s="173">
        <f t="shared" si="244"/>
        <v>23.483232323232325</v>
      </c>
      <c r="DN103" s="173">
        <f t="shared" si="245"/>
        <v>11.187579498690612</v>
      </c>
      <c r="DP103" s="545">
        <f t="shared" si="246"/>
        <v>9800</v>
      </c>
      <c r="DQ103" s="460">
        <f t="shared" si="247"/>
        <v>45.739712949336592</v>
      </c>
      <c r="DS103">
        <f t="shared" si="311"/>
        <v>9800</v>
      </c>
      <c r="DT103">
        <f t="shared" si="312"/>
        <v>45.739712949336592</v>
      </c>
      <c r="DV103" s="5">
        <f t="shared" si="293"/>
        <v>21.86283943468657</v>
      </c>
      <c r="DW103" s="5">
        <f t="shared" si="249"/>
        <v>3.9138720538720544</v>
      </c>
      <c r="DX103" s="5">
        <f t="shared" si="294"/>
        <v>17.948967380814516</v>
      </c>
      <c r="DY103" s="173">
        <f t="shared" si="295"/>
        <v>0.1790193842645382</v>
      </c>
      <c r="EA103" s="5">
        <f t="shared" si="250"/>
        <v>255.70630751964092</v>
      </c>
      <c r="EB103" s="5">
        <f t="shared" si="251"/>
        <v>11.986233164983167</v>
      </c>
      <c r="EC103" s="5">
        <f t="shared" si="252"/>
        <v>10.179391222915639</v>
      </c>
      <c r="ED103" s="5"/>
      <c r="EE103" s="173">
        <f t="shared" si="296"/>
        <v>5.736503684047455</v>
      </c>
      <c r="EF103" s="173">
        <f t="shared" si="253"/>
        <v>12.284675776424782</v>
      </c>
      <c r="EG103" s="173">
        <f t="shared" si="254"/>
        <v>0.30254025049391231</v>
      </c>
      <c r="EH103" s="173"/>
      <c r="EI103" s="528">
        <f t="shared" si="255"/>
        <v>0.65814949034180048</v>
      </c>
      <c r="EJ103" s="528">
        <f t="shared" si="256"/>
        <v>1.8840000000000001</v>
      </c>
      <c r="EK103" s="528">
        <f t="shared" si="257"/>
        <v>5.7174641186670738E-3</v>
      </c>
      <c r="EL103" s="528">
        <f t="shared" si="258"/>
        <v>3.5179739681010312E-2</v>
      </c>
      <c r="EM103">
        <f t="shared" si="259"/>
        <v>3.2399999999999998E-2</v>
      </c>
      <c r="EN103" s="460">
        <f t="shared" si="297"/>
        <v>38.117464118667073</v>
      </c>
      <c r="EO103">
        <f t="shared" si="260"/>
        <v>3.3108921894049232</v>
      </c>
      <c r="EP103" s="460">
        <f t="shared" si="298"/>
        <v>3310.8921894049231</v>
      </c>
      <c r="EQ103" s="173">
        <f t="shared" si="261"/>
        <v>6.0882500000000004</v>
      </c>
      <c r="ER103" s="173">
        <f t="shared" si="262"/>
        <v>0.10871874999999999</v>
      </c>
      <c r="ES103" s="528"/>
      <c r="EU103" s="460">
        <f t="shared" si="299"/>
        <v>6196.9687500000009</v>
      </c>
      <c r="EV103" s="528">
        <f t="shared" si="263"/>
        <v>0.98722423551270067</v>
      </c>
      <c r="EW103" s="528">
        <f t="shared" si="300"/>
        <v>4.5273977679563346</v>
      </c>
      <c r="EX103" s="528">
        <f t="shared" si="264"/>
        <v>4.5765301584459607E-4</v>
      </c>
      <c r="EY103" s="528">
        <f t="shared" si="265"/>
        <v>1.890594011417488</v>
      </c>
      <c r="EZ103" s="528">
        <f t="shared" si="266"/>
        <v>15.621675617179935</v>
      </c>
      <c r="FA103" s="625">
        <f t="shared" si="267"/>
        <v>2.5223722746276916E-2</v>
      </c>
      <c r="FB103" s="460">
        <f t="shared" si="301"/>
        <v>15646.899339926213</v>
      </c>
      <c r="FC103" s="173">
        <f t="shared" si="302"/>
        <v>25.154760279331136</v>
      </c>
      <c r="FD103" s="5">
        <f t="shared" si="303"/>
        <v>148.96</v>
      </c>
      <c r="FE103" s="173">
        <f t="shared" si="304"/>
        <v>0.85552769771514192</v>
      </c>
      <c r="FF103" s="5">
        <f t="shared" si="305"/>
        <v>85.552769771514193</v>
      </c>
      <c r="FG103">
        <f t="shared" si="306"/>
        <v>98.000000000000014</v>
      </c>
      <c r="FI103" s="562">
        <f t="shared" si="268"/>
        <v>-50</v>
      </c>
      <c r="FJ103">
        <f t="shared" si="269"/>
        <v>-50</v>
      </c>
      <c r="FL103">
        <f t="shared" si="270"/>
        <v>0.82098061573546177</v>
      </c>
    </row>
    <row r="104" spans="5:169">
      <c r="E104" s="170">
        <v>99</v>
      </c>
      <c r="F104" s="217">
        <f>IF(PLOT_TYPE=1, E104/100*Iout_max, min_I*EXP(O104*rr/100))</f>
        <v>9.9</v>
      </c>
      <c r="G104" s="217">
        <f t="shared" si="271"/>
        <v>0.2475</v>
      </c>
      <c r="H104" s="217">
        <f t="shared" si="176"/>
        <v>148.5</v>
      </c>
      <c r="I104" s="217">
        <f t="shared" si="308"/>
        <v>1.98</v>
      </c>
      <c r="J104" s="541">
        <f t="shared" si="177"/>
        <v>71.327492934646457</v>
      </c>
      <c r="K104" s="443">
        <f t="shared" si="178"/>
        <v>16.0617625</v>
      </c>
      <c r="L104" s="172">
        <f t="shared" si="179"/>
        <v>87.389255434646458</v>
      </c>
      <c r="M104" s="443"/>
      <c r="N104" s="217">
        <f t="shared" si="180"/>
        <v>0.18379562132797544</v>
      </c>
      <c r="O104" s="172">
        <f>N104*J104*Isw_max*0.5*Efficiency*Pout/(Pout+Pout2)</f>
        <v>323.42962701538136</v>
      </c>
      <c r="P104" s="172">
        <f t="shared" si="181"/>
        <v>4.3698936272300415</v>
      </c>
      <c r="Q104" s="217">
        <f t="shared" si="182"/>
        <v>21.561975134358757</v>
      </c>
      <c r="R104" s="217">
        <f t="shared" si="183"/>
        <v>40.42870337692267</v>
      </c>
      <c r="S104" s="443">
        <f t="shared" si="184"/>
        <v>15</v>
      </c>
      <c r="T104" s="217">
        <f t="shared" si="185"/>
        <v>22.957080551086584</v>
      </c>
      <c r="U104" s="217">
        <f t="shared" si="186"/>
        <v>3.8622550054500171</v>
      </c>
      <c r="V104" s="217">
        <f t="shared" si="187"/>
        <v>17.151602547543522</v>
      </c>
      <c r="W104" s="197">
        <f t="shared" si="188"/>
        <v>109.24734068075104</v>
      </c>
      <c r="X104" s="443">
        <f t="shared" si="273"/>
        <v>47.138998529708125</v>
      </c>
      <c r="Z104" s="217">
        <f t="shared" si="189"/>
        <v>10</v>
      </c>
      <c r="AA104" s="173">
        <f t="shared" si="190"/>
        <v>7.4711601544351058</v>
      </c>
      <c r="AB104" s="173">
        <f>0.5*AA104*Z104*Nps*W104/1000*(Pout/Pout_total)</f>
        <v>4.0810218933601226</v>
      </c>
      <c r="AC104" s="173"/>
      <c r="AD104" s="173">
        <f t="shared" si="192"/>
        <v>7.4711601544351058</v>
      </c>
      <c r="AE104" s="545">
        <f>MAX(10, F104/(0.5*AD104/1000000*Isw_min*Nps)/1000*Pout_total/Pout)</f>
        <v>265.01908125000006</v>
      </c>
      <c r="AF104" s="528">
        <f t="shared" si="194"/>
        <v>4.0810218933601226</v>
      </c>
      <c r="AH104" s="173">
        <f t="shared" si="195"/>
        <v>8.4650542146605794</v>
      </c>
      <c r="AI104" s="173">
        <f>MAX(IF(F104&gt;AB104,T104,AH104),Isw_min)</f>
        <v>22.957080551086584</v>
      </c>
      <c r="AJ104" s="173">
        <f>IF(F104&gt;AF104, (AI104-Isw_min)/1.08*0.8+1.2, AE104*0.2/350+1)</f>
        <v>10.797837445249321</v>
      </c>
      <c r="AL104" s="545">
        <f t="shared" si="198"/>
        <v>9900</v>
      </c>
      <c r="AM104" s="460">
        <f t="shared" si="199"/>
        <v>47.138998529708125</v>
      </c>
      <c r="AO104">
        <f t="shared" si="274"/>
        <v>9900</v>
      </c>
      <c r="AP104">
        <f t="shared" si="200"/>
        <v>47.138998529708125</v>
      </c>
      <c r="AR104" s="5">
        <f t="shared" si="275"/>
        <v>21.213857552993538</v>
      </c>
      <c r="AS104" s="5">
        <f t="shared" si="201"/>
        <v>3.8622550054500171</v>
      </c>
      <c r="AT104" s="5">
        <f t="shared" si="276"/>
        <v>17.351602547543521</v>
      </c>
      <c r="AU104" s="173">
        <f t="shared" si="277"/>
        <v>0.1820628330232662</v>
      </c>
      <c r="AW104" s="5">
        <f t="shared" si="202"/>
        <v>254.90883035970114</v>
      </c>
      <c r="AX104" s="5">
        <f t="shared" si="203"/>
        <v>11.948851423110991</v>
      </c>
      <c r="AY104" s="5">
        <f t="shared" si="204"/>
        <v>10.034750635943098</v>
      </c>
      <c r="AZ104" s="5"/>
      <c r="BA104" s="173">
        <f t="shared" si="278"/>
        <v>5.6554436420803667</v>
      </c>
      <c r="BB104" s="173">
        <f t="shared" si="205"/>
        <v>11.98715171983231</v>
      </c>
      <c r="BC104" s="173">
        <f t="shared" si="206"/>
        <v>0.29521299137469381</v>
      </c>
      <c r="BD104" s="173"/>
      <c r="BE104" s="528">
        <f t="shared" si="207"/>
        <v>0.63968085577494482</v>
      </c>
      <c r="BF104" s="528">
        <f t="shared" si="208"/>
        <v>1.7731942769906195</v>
      </c>
      <c r="BG104" s="528">
        <f t="shared" si="209"/>
        <v>8.4057664614351643E-2</v>
      </c>
      <c r="BH104" s="528">
        <f t="shared" si="210"/>
        <v>3.5999496773957675E-2</v>
      </c>
      <c r="BI104">
        <f t="shared" si="211"/>
        <v>3.2097371820590907E-2</v>
      </c>
      <c r="BJ104" s="460">
        <f t="shared" si="279"/>
        <v>116.15503643494255</v>
      </c>
      <c r="BK104">
        <f t="shared" si="212"/>
        <v>3.0914527038107051</v>
      </c>
      <c r="BL104" s="460">
        <f t="shared" si="280"/>
        <v>3091.4527038107053</v>
      </c>
      <c r="BM104" s="173">
        <f t="shared" si="213"/>
        <v>6.1503749999999995</v>
      </c>
      <c r="BN104" s="173">
        <f t="shared" si="214"/>
        <v>0.109828125</v>
      </c>
      <c r="BO104" s="528"/>
      <c r="BQ104" s="460">
        <f t="shared" si="281"/>
        <v>6260.2031249999991</v>
      </c>
      <c r="BR104" s="528">
        <f t="shared" si="215"/>
        <v>0.95952128366241718</v>
      </c>
      <c r="BS104" s="528">
        <f t="shared" si="216"/>
        <v>4.3107541906283604</v>
      </c>
      <c r="BT104" s="528">
        <f t="shared" si="217"/>
        <v>4.3575355138197522E-4</v>
      </c>
      <c r="BU104" s="528">
        <f t="shared" si="218"/>
        <v>1.9262494543208539</v>
      </c>
      <c r="BV104" s="528">
        <f>(BU104+(BR104+BS104+BT104)*(1+Ltc*(Ta-25)))/(1-(BR104+BS104+BT104)*Ltc*ThetaCa)</f>
        <v>14.631334498344025</v>
      </c>
      <c r="BW104" s="625">
        <f t="shared" si="220"/>
        <v>2.4843550783374985E-2</v>
      </c>
      <c r="BX104" s="460">
        <f t="shared" si="282"/>
        <v>14656.1780491274</v>
      </c>
      <c r="BY104" s="173">
        <f t="shared" si="283"/>
        <v>24.007833877938104</v>
      </c>
      <c r="BZ104" s="5">
        <f t="shared" si="284"/>
        <v>150.47999999999999</v>
      </c>
      <c r="CA104" s="173">
        <f t="shared" si="285"/>
        <v>0.86240969731601658</v>
      </c>
      <c r="CB104" s="5">
        <f t="shared" si="286"/>
        <v>86.240969731601652</v>
      </c>
      <c r="CC104">
        <f t="shared" si="287"/>
        <v>99</v>
      </c>
      <c r="CE104" s="562">
        <f t="shared" si="221"/>
        <v>-50</v>
      </c>
      <c r="CF104">
        <f t="shared" si="222"/>
        <v>-50</v>
      </c>
      <c r="CG104" s="173">
        <f t="shared" si="223"/>
        <v>0.82098061573546177</v>
      </c>
      <c r="CH104" s="173">
        <f t="shared" si="224"/>
        <v>9.6304191786782956E-2</v>
      </c>
      <c r="CI104" s="170">
        <v>99</v>
      </c>
      <c r="CJ104" s="217">
        <f t="shared" si="309"/>
        <v>9.9</v>
      </c>
      <c r="CK104" s="217">
        <f t="shared" si="288"/>
        <v>0.2475</v>
      </c>
      <c r="CL104" s="217">
        <f t="shared" si="225"/>
        <v>148.5</v>
      </c>
      <c r="CM104" s="217">
        <f t="shared" si="310"/>
        <v>1.98</v>
      </c>
      <c r="CN104" s="541">
        <f t="shared" si="289"/>
        <v>72</v>
      </c>
      <c r="CO104" s="443">
        <f t="shared" si="226"/>
        <v>15.7</v>
      </c>
      <c r="CP104" s="443">
        <f t="shared" si="227"/>
        <v>87.7</v>
      </c>
      <c r="CQ104" s="443"/>
      <c r="CR104" s="217">
        <f t="shared" si="228"/>
        <v>0.17620137299771166</v>
      </c>
      <c r="CS104" s="172">
        <f t="shared" si="290"/>
        <v>312.98928098277725</v>
      </c>
      <c r="CT104" s="172">
        <f t="shared" si="229"/>
        <v>4.2288329519450798</v>
      </c>
      <c r="CU104" s="217">
        <f t="shared" si="230"/>
        <v>20.865952065518481</v>
      </c>
      <c r="CV104" s="217">
        <f t="shared" si="231"/>
        <v>39.123660122847156</v>
      </c>
      <c r="CW104" s="443">
        <f t="shared" si="232"/>
        <v>15</v>
      </c>
      <c r="CX104" s="217">
        <f t="shared" si="233"/>
        <v>23.722857142857144</v>
      </c>
      <c r="CY104" s="217">
        <f t="shared" si="234"/>
        <v>3.9538095238095239</v>
      </c>
      <c r="CZ104" s="217">
        <f t="shared" si="235"/>
        <v>18.132120109190172</v>
      </c>
      <c r="DA104" s="197">
        <f t="shared" si="236"/>
        <v>107.41163055872293</v>
      </c>
      <c r="DB104" s="443">
        <f t="shared" si="291"/>
        <v>45.277695646818046</v>
      </c>
      <c r="DD104" s="217">
        <f t="shared" si="237"/>
        <v>10</v>
      </c>
      <c r="DE104" s="173">
        <f t="shared" si="238"/>
        <v>7.6433121019108281</v>
      </c>
      <c r="DF104" s="173">
        <f t="shared" si="239"/>
        <v>4.1049030786773102</v>
      </c>
      <c r="DG104" s="173"/>
      <c r="DH104" s="173">
        <f t="shared" si="240"/>
        <v>7.6433121019108281</v>
      </c>
      <c r="DI104" s="545">
        <f t="shared" si="241"/>
        <v>259.05</v>
      </c>
      <c r="DJ104" s="528">
        <f t="shared" si="242"/>
        <v>4.1049030786773093</v>
      </c>
      <c r="DL104" s="173">
        <f t="shared" si="243"/>
        <v>8.4650542146605794</v>
      </c>
      <c r="DM104" s="173">
        <f t="shared" si="244"/>
        <v>23.722857142857144</v>
      </c>
      <c r="DN104" s="173">
        <f t="shared" si="245"/>
        <v>11.365079365079366</v>
      </c>
      <c r="DP104" s="545">
        <f t="shared" si="246"/>
        <v>9900</v>
      </c>
      <c r="DQ104" s="460">
        <f t="shared" si="247"/>
        <v>45.277695646818046</v>
      </c>
      <c r="DS104">
        <f t="shared" si="311"/>
        <v>9900</v>
      </c>
      <c r="DT104">
        <f t="shared" si="312"/>
        <v>45.277695646818046</v>
      </c>
      <c r="DV104" s="5">
        <f t="shared" si="293"/>
        <v>22.085929632999694</v>
      </c>
      <c r="DW104" s="5">
        <f t="shared" si="249"/>
        <v>3.9538095238095239</v>
      </c>
      <c r="DX104" s="5">
        <f t="shared" si="294"/>
        <v>18.132120109190168</v>
      </c>
      <c r="DY104" s="173">
        <f t="shared" si="295"/>
        <v>0.17901938426453823</v>
      </c>
      <c r="EA104" s="5">
        <f t="shared" si="250"/>
        <v>260.95142857142861</v>
      </c>
      <c r="EB104" s="5">
        <f t="shared" si="251"/>
        <v>12.232098214285715</v>
      </c>
      <c r="EC104" s="5">
        <f t="shared" si="252"/>
        <v>10.388193812556867</v>
      </c>
      <c r="ED104" s="5"/>
      <c r="EE104" s="173">
        <f t="shared" si="296"/>
        <v>5.7950394359254904</v>
      </c>
      <c r="EF104" s="173">
        <f t="shared" si="253"/>
        <v>12.410029610878096</v>
      </c>
      <c r="EG104" s="173">
        <f t="shared" si="254"/>
        <v>0.30562739590711546</v>
      </c>
      <c r="EH104" s="173"/>
      <c r="EI104" s="528">
        <f t="shared" si="255"/>
        <v>0.67164964127863258</v>
      </c>
      <c r="EJ104" s="528">
        <f t="shared" si="256"/>
        <v>1.8840000000000006</v>
      </c>
      <c r="EK104" s="528">
        <f t="shared" si="257"/>
        <v>5.6597119558522554E-3</v>
      </c>
      <c r="EL104" s="528">
        <f t="shared" si="258"/>
        <v>3.4824388775141525E-2</v>
      </c>
      <c r="EM104">
        <f t="shared" si="259"/>
        <v>3.2399999999999998E-2</v>
      </c>
      <c r="EN104" s="460">
        <f t="shared" si="297"/>
        <v>38.059711955852258</v>
      </c>
      <c r="EO104">
        <f t="shared" si="260"/>
        <v>3.3434382423987654</v>
      </c>
      <c r="EP104" s="460">
        <f t="shared" si="298"/>
        <v>3343.4382423987654</v>
      </c>
      <c r="EQ104" s="173">
        <f t="shared" si="261"/>
        <v>6.1503749999999995</v>
      </c>
      <c r="ER104" s="173">
        <f t="shared" si="262"/>
        <v>0.109828125</v>
      </c>
      <c r="ES104" s="528"/>
      <c r="EU104" s="460">
        <f t="shared" si="299"/>
        <v>6260.2031249999991</v>
      </c>
      <c r="EV104" s="528">
        <f t="shared" si="263"/>
        <v>1.0074744619179488</v>
      </c>
      <c r="EW104" s="528">
        <f t="shared" si="300"/>
        <v>4.620265048286134</v>
      </c>
      <c r="EX104" s="528">
        <f t="shared" si="264"/>
        <v>4.6704052564482346E-4</v>
      </c>
      <c r="EY104" s="528">
        <f t="shared" si="265"/>
        <v>1.890594011417488</v>
      </c>
      <c r="EZ104" s="528">
        <f t="shared" si="266"/>
        <v>16.134016177509356</v>
      </c>
      <c r="FA104" s="625">
        <f t="shared" si="267"/>
        <v>2.5481107672259331E-2</v>
      </c>
      <c r="FB104" s="460">
        <f t="shared" si="301"/>
        <v>16159.497285181615</v>
      </c>
      <c r="FC104" s="173">
        <f t="shared" si="302"/>
        <v>25.76313865258038</v>
      </c>
      <c r="FD104" s="5">
        <f t="shared" si="303"/>
        <v>150.47999999999999</v>
      </c>
      <c r="FE104" s="173">
        <f t="shared" si="304"/>
        <v>0.85382047295829189</v>
      </c>
      <c r="FF104" s="5">
        <f t="shared" si="305"/>
        <v>85.382047295829182</v>
      </c>
      <c r="FG104">
        <f t="shared" si="306"/>
        <v>99</v>
      </c>
      <c r="FI104" s="562">
        <f t="shared" si="268"/>
        <v>-50</v>
      </c>
      <c r="FJ104">
        <f t="shared" si="269"/>
        <v>-50</v>
      </c>
      <c r="FL104">
        <f t="shared" si="270"/>
        <v>0.82098061573546177</v>
      </c>
    </row>
    <row r="105" spans="5:169" ht="13">
      <c r="E105" s="170">
        <v>100</v>
      </c>
      <c r="F105" s="217">
        <f>IF(PLOT_TYPE=1, E105/100*Iout_max, min_I*EXP(O105*rr/100))</f>
        <v>10</v>
      </c>
      <c r="G105" s="217">
        <f t="shared" si="271"/>
        <v>0.25</v>
      </c>
      <c r="H105" s="217">
        <f t="shared" si="176"/>
        <v>150</v>
      </c>
      <c r="I105" s="217">
        <f t="shared" si="308"/>
        <v>2</v>
      </c>
      <c r="J105" s="541">
        <f t="shared" si="177"/>
        <v>71.320699933986319</v>
      </c>
      <c r="K105" s="443">
        <f t="shared" si="178"/>
        <v>16.065416666666668</v>
      </c>
      <c r="L105" s="172">
        <f t="shared" si="179"/>
        <v>87.386116600652983</v>
      </c>
      <c r="M105" s="443"/>
      <c r="N105" s="217">
        <f t="shared" si="180"/>
        <v>0.18384403943802924</v>
      </c>
      <c r="O105" s="172">
        <f>N105*J105*Isw_max*0.5*Efficiency*Pout/(Pout+Pout2)</f>
        <v>323.48401903153695</v>
      </c>
      <c r="P105" s="172">
        <f t="shared" si="181"/>
        <v>4.3706285238038776</v>
      </c>
      <c r="Q105" s="217">
        <f t="shared" si="182"/>
        <v>21.565601268769129</v>
      </c>
      <c r="R105" s="217">
        <f t="shared" si="183"/>
        <v>40.435502378942118</v>
      </c>
      <c r="S105" s="443">
        <f t="shared" si="184"/>
        <v>15</v>
      </c>
      <c r="T105" s="217">
        <f t="shared" si="185"/>
        <v>23.185071158859362</v>
      </c>
      <c r="U105" s="217">
        <f t="shared" si="186"/>
        <v>3.9009832231572399</v>
      </c>
      <c r="V105" s="217">
        <f t="shared" si="187"/>
        <v>17.317998012686402</v>
      </c>
      <c r="W105" s="197">
        <f t="shared" si="188"/>
        <v>109.26571309509691</v>
      </c>
      <c r="X105" s="443">
        <f t="shared" si="273"/>
        <v>46.687561326518541</v>
      </c>
      <c r="Z105" s="217">
        <f t="shared" si="189"/>
        <v>10</v>
      </c>
      <c r="AA105" s="173">
        <f t="shared" si="190"/>
        <v>7.4694607982986225</v>
      </c>
      <c r="AB105" s="173">
        <f>0.5*AA105*Z105*Nps*W105/1000*(Pout/Pout_total)</f>
        <v>4.0807798028098539</v>
      </c>
      <c r="AC105" s="173"/>
      <c r="AD105" s="173">
        <f t="shared" si="192"/>
        <v>7.4694607982986225</v>
      </c>
      <c r="AE105" s="545">
        <f>MAX(10, F105/(0.5*AD105/1000000*Isw_min*Nps)/1000*Pout_total/Pout)</f>
        <v>267.75694444444446</v>
      </c>
      <c r="AF105" s="528">
        <f t="shared" si="194"/>
        <v>4.0807798028098548</v>
      </c>
      <c r="AH105" s="173">
        <f t="shared" si="195"/>
        <v>8.5076995939532551</v>
      </c>
      <c r="AI105" s="173">
        <f>MAX(IF(F105&gt;AB105,T105,AH105),Isw_min)</f>
        <v>23.185071158859362</v>
      </c>
      <c r="AJ105" s="173">
        <f>IF(F105&gt;AF105, (AI105-Isw_min)/1.08*0.8+1.2, AE105*0.2/350+1)</f>
        <v>10.966719376932861</v>
      </c>
      <c r="AL105" s="545">
        <f t="shared" si="198"/>
        <v>10000</v>
      </c>
      <c r="AM105" s="460">
        <f t="shared" si="199"/>
        <v>46.687561326518541</v>
      </c>
      <c r="AO105">
        <f t="shared" si="274"/>
        <v>10000</v>
      </c>
      <c r="AP105" s="3">
        <f t="shared" si="200"/>
        <v>46.687561326518541</v>
      </c>
      <c r="AR105" s="5">
        <f t="shared" si="275"/>
        <v>21.418981235843642</v>
      </c>
      <c r="AS105" s="5">
        <f t="shared" si="201"/>
        <v>3.9009832231572399</v>
      </c>
      <c r="AT105" s="5">
        <f t="shared" si="276"/>
        <v>17.517998012686402</v>
      </c>
      <c r="AU105" s="173">
        <f t="shared" si="277"/>
        <v>0.18212739346487361</v>
      </c>
      <c r="AW105" s="5">
        <f t="shared" si="202"/>
        <v>260.06554821048269</v>
      </c>
      <c r="AX105" s="5">
        <f t="shared" si="203"/>
        <v>12.190572572366374</v>
      </c>
      <c r="AY105" s="5">
        <f t="shared" si="204"/>
        <v>10.234288005271072</v>
      </c>
      <c r="AZ105" s="5"/>
      <c r="BA105" s="173">
        <f t="shared" si="278"/>
        <v>5.7126213926249321</v>
      </c>
      <c r="BB105" s="173">
        <f t="shared" si="205"/>
        <v>12.105720343635678</v>
      </c>
      <c r="BC105" s="173">
        <f t="shared" si="206"/>
        <v>0.29813303434522376</v>
      </c>
      <c r="BD105" s="173"/>
      <c r="BE105" s="528">
        <f t="shared" si="207"/>
        <v>0.65268086350952037</v>
      </c>
      <c r="BF105" s="528">
        <f t="shared" si="208"/>
        <v>1.773590422007342</v>
      </c>
      <c r="BG105" s="528">
        <f t="shared" si="209"/>
        <v>8.3244738800455326E-2</v>
      </c>
      <c r="BH105" s="528">
        <f t="shared" si="210"/>
        <v>3.5652178273371284E-2</v>
      </c>
      <c r="BI105">
        <f t="shared" si="211"/>
        <v>3.2094314970293844E-2</v>
      </c>
      <c r="BJ105" s="460">
        <f t="shared" si="279"/>
        <v>115.33905377074917</v>
      </c>
      <c r="BK105">
        <f t="shared" si="212"/>
        <v>3.1223522299246951</v>
      </c>
      <c r="BL105" s="460">
        <f t="shared" si="280"/>
        <v>3122.3522299246952</v>
      </c>
      <c r="BM105" s="173">
        <f t="shared" si="213"/>
        <v>6.2124999999999995</v>
      </c>
      <c r="BN105" s="173">
        <f t="shared" si="214"/>
        <v>0.11093749999999999</v>
      </c>
      <c r="BO105" s="528"/>
      <c r="BQ105" s="460">
        <f t="shared" si="281"/>
        <v>6323.4375</v>
      </c>
      <c r="BR105" s="528">
        <f t="shared" si="215"/>
        <v>0.9790212952642805</v>
      </c>
      <c r="BS105" s="528">
        <f t="shared" si="216"/>
        <v>4.3964539511494412</v>
      </c>
      <c r="BT105" s="528">
        <f t="shared" si="217"/>
        <v>4.4441653083945182E-4</v>
      </c>
      <c r="BU105" s="528">
        <f t="shared" si="218"/>
        <v>1.927498555682932</v>
      </c>
      <c r="BV105" s="528">
        <f>(BU105+(BR105+BS105+BT105)*(1+Ltc*(Ta-25)))/(1-(BR105+BS105+BT105)*Ltc*ThetaCa)</f>
        <v>15.078505805575588</v>
      </c>
      <c r="BW105" s="625">
        <f t="shared" si="220"/>
        <v>2.5096783022612305E-2</v>
      </c>
      <c r="BX105" s="460">
        <f t="shared" si="282"/>
        <v>15103.6025885982</v>
      </c>
      <c r="BY105" s="173">
        <f>SUM(BK105,BM105:BP105,BV105:BW105)+BI105+BG105</f>
        <v>24.664731372293645</v>
      </c>
      <c r="BZ105" s="5">
        <f t="shared" si="284"/>
        <v>152</v>
      </c>
      <c r="CA105" s="173">
        <f t="shared" si="285"/>
        <v>0.86038678359453336</v>
      </c>
      <c r="CB105" s="5">
        <f t="shared" si="286"/>
        <v>86.038678359453343</v>
      </c>
      <c r="CC105">
        <f t="shared" si="287"/>
        <v>100</v>
      </c>
      <c r="CE105" s="562">
        <f t="shared" si="221"/>
        <v>-50</v>
      </c>
      <c r="CF105">
        <f t="shared" si="222"/>
        <v>-50</v>
      </c>
      <c r="CG105" s="173">
        <f t="shared" si="223"/>
        <v>0.82098061573546177</v>
      </c>
      <c r="CH105" s="173">
        <f t="shared" si="224"/>
        <v>9.6304191786782983E-2</v>
      </c>
      <c r="CI105" s="170">
        <v>100</v>
      </c>
      <c r="CJ105" s="217">
        <f t="shared" si="309"/>
        <v>10</v>
      </c>
      <c r="CK105" s="217">
        <f t="shared" si="288"/>
        <v>0.25</v>
      </c>
      <c r="CL105" s="217">
        <f t="shared" si="225"/>
        <v>150</v>
      </c>
      <c r="CM105" s="217">
        <f t="shared" si="310"/>
        <v>2</v>
      </c>
      <c r="CN105" s="541">
        <f t="shared" si="289"/>
        <v>72</v>
      </c>
      <c r="CO105" s="443">
        <f t="shared" si="226"/>
        <v>15.7</v>
      </c>
      <c r="CP105" s="443">
        <f t="shared" si="227"/>
        <v>87.7</v>
      </c>
      <c r="CQ105" s="443"/>
      <c r="CR105" s="217">
        <f t="shared" si="228"/>
        <v>0.17620137299771166</v>
      </c>
      <c r="CS105" s="172">
        <f t="shared" si="290"/>
        <v>312.98928098277725</v>
      </c>
      <c r="CT105" s="172">
        <f t="shared" si="229"/>
        <v>4.2288329519450798</v>
      </c>
      <c r="CU105" s="217">
        <f t="shared" si="230"/>
        <v>20.865952065518481</v>
      </c>
      <c r="CV105" s="217">
        <f t="shared" si="231"/>
        <v>39.123660122847156</v>
      </c>
      <c r="CW105" s="443">
        <f t="shared" si="232"/>
        <v>15</v>
      </c>
      <c r="CX105" s="217">
        <f t="shared" si="233"/>
        <v>23.962481962481963</v>
      </c>
      <c r="CY105" s="217">
        <f t="shared" si="234"/>
        <v>3.9937469937469934</v>
      </c>
      <c r="CZ105" s="217">
        <f t="shared" si="235"/>
        <v>18.315272837565832</v>
      </c>
      <c r="DA105" s="197">
        <f t="shared" si="236"/>
        <v>107.41163055872293</v>
      </c>
      <c r="DB105" s="443">
        <f t="shared" si="291"/>
        <v>44.824918690349868</v>
      </c>
      <c r="DD105" s="217">
        <f t="shared" si="237"/>
        <v>10</v>
      </c>
      <c r="DE105" s="173">
        <f t="shared" si="238"/>
        <v>7.6433121019108281</v>
      </c>
      <c r="DF105" s="173">
        <f t="shared" si="239"/>
        <v>4.1049030786773102</v>
      </c>
      <c r="DG105" s="173"/>
      <c r="DH105" s="173">
        <f t="shared" si="240"/>
        <v>7.6433121019108281</v>
      </c>
      <c r="DI105" s="545">
        <f t="shared" si="241"/>
        <v>261.66666666666669</v>
      </c>
      <c r="DJ105" s="528">
        <f t="shared" si="242"/>
        <v>4.1049030786773093</v>
      </c>
      <c r="DL105" s="173">
        <f t="shared" si="243"/>
        <v>8.5076995939532551</v>
      </c>
      <c r="DM105" s="173">
        <f t="shared" si="244"/>
        <v>23.962481962481963</v>
      </c>
      <c r="DN105" s="173">
        <f t="shared" si="245"/>
        <v>11.542579231468121</v>
      </c>
      <c r="DP105" s="545">
        <f t="shared" si="246"/>
        <v>10000</v>
      </c>
      <c r="DQ105" s="460">
        <f t="shared" si="247"/>
        <v>44.824918690349868</v>
      </c>
      <c r="DS105">
        <f t="shared" si="311"/>
        <v>10000</v>
      </c>
      <c r="DT105">
        <f t="shared" si="312"/>
        <v>44.824918690349868</v>
      </c>
      <c r="DV105" s="5">
        <f t="shared" si="293"/>
        <v>22.309019831312824</v>
      </c>
      <c r="DW105" s="5">
        <f t="shared" si="249"/>
        <v>3.9937469937469934</v>
      </c>
      <c r="DX105" s="5">
        <f t="shared" si="294"/>
        <v>18.315272837565832</v>
      </c>
      <c r="DY105" s="173">
        <f t="shared" si="295"/>
        <v>0.1790193842645382</v>
      </c>
      <c r="EA105" s="5">
        <f t="shared" si="250"/>
        <v>266.24979958313287</v>
      </c>
      <c r="EB105" s="5">
        <f t="shared" si="251"/>
        <v>12.480459355459354</v>
      </c>
      <c r="EC105" s="5">
        <f t="shared" si="252"/>
        <v>10.599116225443192</v>
      </c>
      <c r="ED105" s="5"/>
      <c r="EE105" s="173">
        <f t="shared" si="296"/>
        <v>5.8535751878035249</v>
      </c>
      <c r="EF105" s="173">
        <f t="shared" si="253"/>
        <v>12.535383445331409</v>
      </c>
      <c r="EG105" s="173">
        <f t="shared" si="254"/>
        <v>0.30871454132031861</v>
      </c>
      <c r="EH105" s="173"/>
      <c r="EI105" s="528">
        <f t="shared" si="255"/>
        <v>0.68528684958538155</v>
      </c>
      <c r="EJ105" s="528">
        <f t="shared" si="256"/>
        <v>1.8840000000000006</v>
      </c>
      <c r="EK105" s="528">
        <f t="shared" si="257"/>
        <v>5.6031148362937332E-3</v>
      </c>
      <c r="EL105" s="528">
        <f t="shared" si="258"/>
        <v>3.4476144887390113E-2</v>
      </c>
      <c r="EM105">
        <f t="shared" si="259"/>
        <v>3.2399999999999998E-2</v>
      </c>
      <c r="EN105" s="460">
        <f t="shared" si="297"/>
        <v>38.003114836293733</v>
      </c>
      <c r="EO105">
        <f t="shared" si="260"/>
        <v>3.3765828017354789</v>
      </c>
      <c r="EP105" s="460">
        <f t="shared" si="298"/>
        <v>3376.5828017354788</v>
      </c>
      <c r="EQ105" s="173">
        <f t="shared" si="261"/>
        <v>6.2124999999999995</v>
      </c>
      <c r="ER105" s="173">
        <f t="shared" si="262"/>
        <v>0.11093749999999999</v>
      </c>
      <c r="ES105" s="528"/>
      <c r="EU105" s="460">
        <f t="shared" si="299"/>
        <v>6323.4375</v>
      </c>
      <c r="EV105" s="528">
        <f t="shared" si="263"/>
        <v>1.0279302743780723</v>
      </c>
      <c r="EW105" s="528">
        <f t="shared" si="300"/>
        <v>4.7140751436446626</v>
      </c>
      <c r="EX105" s="528">
        <f t="shared" si="264"/>
        <v>4.7652334011307357E-4</v>
      </c>
      <c r="EY105" s="528">
        <f t="shared" si="265"/>
        <v>1.890594011417488</v>
      </c>
      <c r="EZ105" s="528">
        <f t="shared" si="266"/>
        <v>16.66897435662348</v>
      </c>
      <c r="FA105" s="625">
        <f t="shared" si="267"/>
        <v>2.5738492598241746E-2</v>
      </c>
      <c r="FB105" s="460">
        <f t="shared" si="301"/>
        <v>16694.71284922172</v>
      </c>
      <c r="FC105" s="173">
        <f t="shared" si="302"/>
        <v>26.394733150957197</v>
      </c>
      <c r="FD105" s="5">
        <f t="shared" si="303"/>
        <v>152</v>
      </c>
      <c r="FE105" s="173">
        <f t="shared" si="304"/>
        <v>0.85204309182927485</v>
      </c>
      <c r="FF105" s="5">
        <f t="shared" si="305"/>
        <v>85.204309182927489</v>
      </c>
      <c r="FG105">
        <f t="shared" si="306"/>
        <v>100</v>
      </c>
      <c r="FI105" s="562">
        <f t="shared" si="268"/>
        <v>-50</v>
      </c>
      <c r="FJ105">
        <f t="shared" si="269"/>
        <v>-50</v>
      </c>
      <c r="FL105">
        <f t="shared" si="270"/>
        <v>0.82098061573546177</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2.5000000000000001E-4</v>
      </c>
      <c r="H110" s="217">
        <f t="shared" ref="H110:H141" si="314">F110*Vout</f>
        <v>1.5000000000000002E-8</v>
      </c>
      <c r="I110" s="217">
        <f t="shared" ref="I110:I141" si="315">Vout2*G110</f>
        <v>2E-3</v>
      </c>
      <c r="J110" s="541">
        <f t="shared" ref="J110:J141" si="316">VIN_min-(F110/CG110/Nps+G110/CH110/(Nps/Nsec1sec2))*(Rdcr_pri+RON/1000)</f>
        <v>18.995282505350442</v>
      </c>
      <c r="K110" s="443">
        <f t="shared" ref="K110:K141" si="317">MAX((S110+Vfwd2+Rdcr_sec*F110/CG110)*Nps,(Vout2+Vfwd22+Rdcr_sec2*G110/CH110)*Nps/Nsec1sec2)</f>
        <v>15.7016051118613</v>
      </c>
      <c r="L110" s="172">
        <f t="shared" ref="L110:L141" si="318">MAX((Vout+Vfwd2+F110/CG110*Rdcr_sec)*Nps+J110, (Vout2+Vfwd22+G110/CH110*Rdcr_sec2)*Nps/Nsec1sec2+J110)</f>
        <v>34.696887617211743</v>
      </c>
      <c r="M110" s="443"/>
      <c r="N110" s="217">
        <f t="shared" ref="N110:N141" si="319">MAX((Vout+Vfwd2+F110/CG110*Rdcr_sec)*Nps/((Vout+Vfwd2+F110/CG110*Rdcr_sec)*Nps+J110), (Vout2+Vfwd22+G110/CH110*Rdcr_sec2)*Nps/Nsec1sec2/((Vout2+Vfwd22+G110/CH110*Rdcr_sec2)*Nps/Nsec1sec2+J110))</f>
        <v>0.45253641436335512</v>
      </c>
      <c r="O110" s="172">
        <f t="shared" ref="O110:O141" si="320">N110*J110*Isw_max*0.5*Efficiency*Pout/(Pout+Pout2)</f>
        <v>212.07377552936492</v>
      </c>
      <c r="P110" s="172">
        <f t="shared" ref="P110:P141" si="321">N110*J110*Isw_max*0.5*Efficiency*(Pout2/Pout_total)</f>
        <v>2.8653523449300864</v>
      </c>
      <c r="Q110" s="217">
        <f t="shared" ref="Q110:Q173" si="322">O110/Vout</f>
        <v>14.138251701957662</v>
      </c>
      <c r="R110" s="217">
        <f t="shared" ref="R110:R141" si="323">O110/Vout2</f>
        <v>26.509221941170615</v>
      </c>
      <c r="S110" s="217">
        <f t="shared" ref="S110:S141" si="324">MIN(Vout,O110/F110)</f>
        <v>15</v>
      </c>
      <c r="T110" s="217">
        <f t="shared" ref="T110:T141" si="325">MIN(2*(Vout*F110+Vout2*G110)/(Efficiency*J110*N110), Isw_max)</f>
        <v>4.6533311538196419E-4</v>
      </c>
      <c r="U110" s="217">
        <f t="shared" ref="U110:U173" si="326">L*T110/J110*1000000</f>
        <v>2.9396758816357244E-4</v>
      </c>
      <c r="V110" s="217">
        <f t="shared" ref="V110:V173" si="327">L*T110/K110*1000000</f>
        <v>3.5563226465078467E-4</v>
      </c>
      <c r="W110" s="197">
        <f t="shared" ref="W110:W173" si="328">IF(1/((350000*L)*(1/J110+1/K110))&gt;Isw_min, 350, 0.001/((Isw_min*L)*(1/J110+1/K110)))</f>
        <v>71.633808623252165</v>
      </c>
      <c r="X110" s="443">
        <f>MIN(1/(U110+V110+0.2)*1000, 350)</f>
        <v>350</v>
      </c>
      <c r="Z110" s="217">
        <f t="shared" ref="Z110:Z173" si="329">1/((W110*1000*L)*(1/J110+1/K110))</f>
        <v>9.9999999999999982</v>
      </c>
      <c r="AA110" s="173">
        <f t="shared" ref="AA110:AA173" si="330">L*Z110/K110*1000000</f>
        <v>7.6425307568937413</v>
      </c>
      <c r="AB110" s="173">
        <f t="shared" ref="AB110:AB141" si="331">0.5*AA110*Z110*Nps*W110/1000*(Pout/(Pout+Pout2))</f>
        <v>2.7013005870229181</v>
      </c>
      <c r="AC110" s="173"/>
      <c r="AD110" s="173">
        <f t="shared" ref="AD110:AD173" si="332">L*Isw_min/K110*1000000</f>
        <v>7.6425307568937431</v>
      </c>
      <c r="AE110" s="545">
        <f t="shared" ref="AE110:AE141" si="333">MAX(10, F110/(0.5*AD110/1000000*Isw_min*Nps)/1000*Pout_total/Pout)</f>
        <v>10</v>
      </c>
      <c r="AF110" s="528">
        <f t="shared" ref="AF110:AF141" si="334">0.5*AD110/1000000*Isw_min*Nps*W110*1000*(Pout/Pout_total)</f>
        <v>2.7373179281832241</v>
      </c>
      <c r="AH110" s="173">
        <f t="shared" ref="AH110:AH141" si="335">SQRT((H110+I110)/(0.5*L*Fsw_DCM))</f>
        <v>3.0860785719713863E-2</v>
      </c>
      <c r="AI110" s="173">
        <f t="shared" ref="AI110:AI141" si="336">MAX(IF(F110&gt;AB110,T110,AH110),Isw_min)</f>
        <v>10</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6.3173580053994636</v>
      </c>
      <c r="AT110" s="5">
        <f>AR110-AS110</f>
        <v>93.68264199460053</v>
      </c>
      <c r="AU110" s="173">
        <f>AS110/AR110</f>
        <v>6.3173580053994635E-2</v>
      </c>
      <c r="AW110" s="5">
        <f t="shared" ref="AW110:AW169" si="342">F110*AS110/Vout_ripple*1000</f>
        <v>4.2115720035996427E-8</v>
      </c>
      <c r="AX110" s="5">
        <f t="shared" ref="AX110:AX169" si="343">G110*AS110/Vout_ripple2*1000</f>
        <v>1.9741743766873321E-2</v>
      </c>
      <c r="AY110" s="5">
        <f t="shared" ref="AY110:AY169" si="344">H110/Efficiency/J110*AT110/Vinripple1</f>
        <v>2.0549541262901449E-8</v>
      </c>
      <c r="AZ110" s="5"/>
      <c r="BA110" s="173">
        <f t="shared" ref="BA110:BA169" si="345">AI110*SQRT(AU110/3)</f>
        <v>1.4511326616818399</v>
      </c>
      <c r="BB110" s="173">
        <f t="shared" ref="BB110:BB169" si="346">AI110*Npri_sec1*SQRT((1-AU110)/3)*(Pout/Pout_total)</f>
        <v>5.5881613551805671</v>
      </c>
      <c r="BC110" s="173">
        <f t="shared" ref="BC110:BC169" si="347">AI110*Npri_sec2*SQRT((1-AU110)/3)*(Pout2/Pout_total)</f>
        <v>0.13762216984523123</v>
      </c>
      <c r="BD110" s="173"/>
      <c r="BE110" s="528">
        <f t="shared" ref="BE110:BE169" si="348">Rdson*BA110^2</f>
        <v>4.2115720035996417E-2</v>
      </c>
      <c r="BF110" s="528">
        <f t="shared" ref="BF110:BF141" si="349">0.5*L110*AI110*AM110*1000*Tfall</f>
        <v>6.5056664282272025E-2</v>
      </c>
      <c r="BG110" s="528">
        <f t="shared" ref="BG110:BG141" si="350">Qg*Vdd*AM110*1000*0+Qg*J110*AM110*1000</f>
        <v>4.7488206263376111E-3</v>
      </c>
      <c r="BH110" s="528">
        <f t="shared" ref="BH110:BH169" si="351">0.5*(Coss+Csw)*L110^2*AM110*1000</f>
        <v>1.2038740103214214E-3</v>
      </c>
      <c r="BI110">
        <f t="shared" ref="BI110:BI169" si="352">J110*IQ</f>
        <v>8.5478771274076978E-3</v>
      </c>
      <c r="BJ110" s="460">
        <f>(BG110+BI110)*1000</f>
        <v>13.29669775374531</v>
      </c>
      <c r="BK110">
        <f t="shared" ref="BK110:BK141" si="353">(BF110+BG110*0+BH110+BI110*0+BE110*(1+RdsonTC*(Ta-25)))/(1-BE110*RdsonTC*ThetaJA)</f>
        <v>0.12095789147589477</v>
      </c>
      <c r="BL110" s="460">
        <f>SUM(BE110:BI110)*1000</f>
        <v>121.67295608233516</v>
      </c>
      <c r="BM110" s="173">
        <f t="shared" ref="BM110:BM141" si="354">Vfwd2*F110*(1+Diode_TC/1000*(Ta-25))</f>
        <v>6.212499999999999E-10</v>
      </c>
      <c r="BN110" s="173">
        <f t="shared" ref="BN110:BN141" si="355">Vfwd2*G110*(1+Diode_TC/1000*(Ta-25))</f>
        <v>1.5531249999999999E-4</v>
      </c>
      <c r="BO110" s="528"/>
      <c r="BQ110" s="460">
        <f t="shared" ref="BQ110:BQ169" si="356">SUM(BM110:BP110)*1000</f>
        <v>0.15531312124999999</v>
      </c>
      <c r="BR110" s="528">
        <f t="shared" ref="BR110:BR169" si="357">Rdcr_pri*BA110^2</f>
        <v>6.3173580053994621E-2</v>
      </c>
      <c r="BS110" s="528">
        <f t="shared" ref="BS110:BS169" si="358">Rdcr_sec*BB110^2</f>
        <v>0.93682641994600535</v>
      </c>
      <c r="BT110" s="528">
        <f t="shared" ref="BT110:BT169" si="359">Rdcr_sec2*BC110^2</f>
        <v>9.4699308164548373E-5</v>
      </c>
      <c r="BU110" s="528">
        <f t="shared" ref="BU110:BU169" si="360">AI110^2.5*AM110^2.5*k_core</f>
        <v>5.0000000000000096E-3</v>
      </c>
      <c r="BV110" s="528"/>
      <c r="BW110" s="625">
        <f t="shared" ref="BW110:BW141" si="361">0.5*Lleak*0.000000001*AI110^2*AM110*1000</f>
        <v>1.0000000000000002E-3</v>
      </c>
      <c r="BX110" s="460">
        <f t="shared" ref="BX110:BX169" si="362">SUM(BR110:BW110)*1000</f>
        <v>1006.0946993081645</v>
      </c>
      <c r="BY110" s="173">
        <f t="shared" ref="BY110:BY169" si="363">SUM(BE110:BI110,BM110:BP110,BR110:BW110)</f>
        <v>1.1279229685117496</v>
      </c>
      <c r="BZ110" s="5">
        <f t="shared" ref="BZ110:BZ169" si="364">MIN(H110+I110,O110+P110)</f>
        <v>2.000015E-3</v>
      </c>
      <c r="CA110" s="173">
        <f t="shared" ref="CA110:CA169" si="365">BZ110/(BZ110+BY110)</f>
        <v>1.7700454183027978E-3</v>
      </c>
      <c r="CB110" s="5">
        <f t="shared" ref="CB110:CB169" si="366">CA110*100</f>
        <v>0.17700454183027978</v>
      </c>
      <c r="CC110">
        <f t="shared" ref="CC110:CC169" si="367">F110/Iout*100</f>
        <v>1E-8</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3.947710169758614E-6</v>
      </c>
      <c r="CH110" s="173">
        <f t="shared" ref="CH110:CH141" si="371">MIN(SQRT(2*DT110*1000*Ls2_*(CM110+CK110*Vfwd22))/(Vout2+Vfwd22), 1-DY110)</f>
        <v>1.4384190816097088E-3</v>
      </c>
      <c r="CI110" s="170">
        <v>0.1</v>
      </c>
      <c r="CJ110" s="217">
        <v>1.0000000000000001E-9</v>
      </c>
      <c r="CK110" s="217">
        <f t="shared" ref="CK110:CK173" si="372">IF(PLOT_TYPE=1, CI110/100*Iout2, min_I*EXP(CU110*rr/100))</f>
        <v>2.5000000000000001E-4</v>
      </c>
      <c r="CL110" s="217">
        <f t="shared" ref="CL110:CL173" si="373">CJ110*Vout</f>
        <v>1.5000000000000002E-8</v>
      </c>
      <c r="CM110" s="217">
        <f t="shared" ref="CM110:CM173" si="374">Vout2*CK110</f>
        <v>2E-3</v>
      </c>
      <c r="CN110" s="541">
        <f t="shared" ref="CN110:CN173" si="375">VIN_min</f>
        <v>19</v>
      </c>
      <c r="CO110" s="443">
        <f t="shared" ref="CO110:CO141" si="376">(CW110+Vfwd2)*Nps</f>
        <v>15.7</v>
      </c>
      <c r="CP110" s="443">
        <f t="shared" ref="CP110:CP141" si="377">(Vout+Vfwd2)*Nps+CN110</f>
        <v>34.700000000000003</v>
      </c>
      <c r="CQ110" s="443"/>
      <c r="CR110" s="217">
        <f t="shared" ref="CR110:CR173" si="378">(Vout+Vfwd1)*Nps/((Vout+Vfwd1)*Nps+CN110)</f>
        <v>0.44767441860465118</v>
      </c>
      <c r="CS110" s="172">
        <f t="shared" ref="CS110:CS173" si="379">CR110*CN110*Isw_max*0.5*Efficiency*Pout/(Pout+Pout2)</f>
        <v>209.84738372093025</v>
      </c>
      <c r="CT110" s="172">
        <f t="shared" ref="CT110:CT173" si="380">CR110*CN110*Isw_max*0.5*Efficiency*(Pout2/Pout_total)</f>
        <v>2.835271317829458</v>
      </c>
      <c r="CU110" s="217">
        <f t="shared" ref="CU110:CU173" si="381">CS110/Vout</f>
        <v>13.989825581395349</v>
      </c>
      <c r="CV110" s="217">
        <f t="shared" ref="CV110:CV173" si="382">CS110/Vout2</f>
        <v>26.230922965116282</v>
      </c>
      <c r="CW110" s="217">
        <f t="shared" ref="CW110:CW173" si="383">MIN(Vout,CS110/CJ110)</f>
        <v>15</v>
      </c>
      <c r="CX110" s="217">
        <f t="shared" ref="CX110:CX173" si="384">MIN(2*(Vout*CJ110+Vout2*CK110)/(Efficiency*CN110*CR110), Isw_max)</f>
        <v>4.7027010252904987E-4</v>
      </c>
      <c r="CY110" s="217">
        <f t="shared" ref="CY110:CY173" si="385">L*CX110/CN110*1000000</f>
        <v>2.9701269633413676E-4</v>
      </c>
      <c r="CZ110" s="217">
        <f t="shared" ref="CZ110:CZ173" si="386">L*CX110/CO110*1000000</f>
        <v>3.5944211658271328E-4</v>
      </c>
      <c r="DA110" s="197">
        <f t="shared" ref="DA110:DA173" si="387">IF(1/((350000*L)*(1/CN110+1/CO110))&gt;Isw_min, 350, 0.001/((Isw_min*L)*(1/CN110+1/CO110)))</f>
        <v>71.63784822286263</v>
      </c>
      <c r="DB110" s="443">
        <f t="shared" ref="DB110:DB173" si="388">MIN(1/(CY110+CZ110)*1000, 350)</f>
        <v>350</v>
      </c>
      <c r="DD110" s="217">
        <f t="shared" ref="DD110:DD173" si="389">1/((DA110*1000*L)*(1/CN110+1/CO110))</f>
        <v>10.000000000000002</v>
      </c>
      <c r="DE110" s="173">
        <f t="shared" ref="DE110:DE173" si="390">L*DD110/CO110*1000000</f>
        <v>7.6433121019108299</v>
      </c>
      <c r="DF110" s="173">
        <f t="shared" ref="DF110:DF173" si="391">0.5*DE110*DD110*Nps*DA110/1000*(Pout/(Pout+Pout2))</f>
        <v>2.7017291066282429</v>
      </c>
      <c r="DG110" s="173"/>
      <c r="DH110" s="173">
        <f t="shared" ref="DH110:DH173" si="392">L*Isw_min/CO110*1000000</f>
        <v>7.6433121019108281</v>
      </c>
      <c r="DI110" s="545">
        <f t="shared" ref="DI110:DI173" si="393">MAX(10, CJ110/(0.5*DH110/1000000*Isw_min*Nps)/1000*Pout_total/Pout)</f>
        <v>10</v>
      </c>
      <c r="DJ110" s="528">
        <f t="shared" ref="DJ110:DJ173" si="394">0.5*DH110/1000000*Isw_min*Nps*DA110*1000*(Pout/Pout_total)</f>
        <v>2.7377521613832849</v>
      </c>
      <c r="DL110" s="173">
        <f t="shared" ref="DL110:DL173" si="395">SQRT((CL110+CM110)/(0.5*L*Fsw_DCM))</f>
        <v>3.0860785719713863E-2</v>
      </c>
      <c r="DM110" s="173">
        <f t="shared" ref="DM110:DM173" si="396">MAX(IF(CJ110&gt;DF110,CX110,DL110),Isw_min)</f>
        <v>10</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6.3157894736842106</v>
      </c>
      <c r="DX110" s="5">
        <f t="shared" ref="DX110:DX173" si="404">DV110-DW110</f>
        <v>93.684210526315795</v>
      </c>
      <c r="DY110" s="173">
        <f t="shared" ref="DY110:DY173" si="405">DW110/DV110</f>
        <v>6.3157894736842107E-2</v>
      </c>
      <c r="EA110" s="5">
        <f t="shared" ref="EA110:EA173" si="406">CJ110*DW110/Vout_ripple*1000</f>
        <v>4.2105263157894737E-8</v>
      </c>
      <c r="EB110" s="5">
        <f t="shared" ref="EB110:EB173" si="407">CK110*DW110/Vout_ripple2*1000</f>
        <v>1.9736842105263157E-2</v>
      </c>
      <c r="EC110" s="5">
        <f t="shared" ref="EC110:EC173" si="408">CL110/Efficiency/CN110*DX110/Vinripple1</f>
        <v>2.0544783010156974E-8</v>
      </c>
      <c r="ED110" s="5"/>
      <c r="EE110" s="173">
        <f t="shared" ref="EE110:EE173" si="409">DM110*SQRT(DY110/3)</f>
        <v>1.4509525002200232</v>
      </c>
      <c r="EF110" s="173">
        <f t="shared" ref="EF110:EF173" si="410">DM110*Npri_sec1*SQRT((1-DY110)/3)*(Pout/Pout_total)</f>
        <v>5.5882081363741811</v>
      </c>
      <c r="EG110" s="173">
        <f t="shared" ref="EG110:EG173" si="411">DM110*Npri_sec2*SQRT((1-DY110)/3)*(Pout2/Pout_total)</f>
        <v>0.13762332194678378</v>
      </c>
      <c r="EH110" s="173"/>
      <c r="EI110" s="528">
        <f t="shared" ref="EI110:EI173" si="412">Rdson*EE110^2</f>
        <v>4.2105263157894729E-2</v>
      </c>
      <c r="EJ110" s="528">
        <f t="shared" ref="EJ110:EJ173" si="413">0.5*CP110*DM110*DQ110*1000*Trise</f>
        <v>6.9400000000000003E-2</v>
      </c>
      <c r="EK110" s="528">
        <f t="shared" ref="EK110:EK173" si="414">Qg*Vdd*DQ110*1000</f>
        <v>1.2499999999999998E-3</v>
      </c>
      <c r="EL110" s="528">
        <f t="shared" ref="EL110:EL173" si="415">0.5*(Coss+Csw)*CP110^2*DQ110*1000</f>
        <v>1.2040900000000001E-3</v>
      </c>
      <c r="EM110">
        <f t="shared" ref="EM110:EM173" si="416">CN110*IQ</f>
        <v>8.5500000000000003E-3</v>
      </c>
      <c r="EN110" s="460">
        <f t="shared" ref="EN110:EN173" si="417">(EK110+EM110)*1000</f>
        <v>9.7999999999999989</v>
      </c>
      <c r="EP110" s="460">
        <f>SUM(EI110:EM110)*1000</f>
        <v>122.50935315789474</v>
      </c>
      <c r="EQ110" s="173">
        <f t="shared" ref="EQ110:EQ173" si="418">Vfwd2*CJ110</f>
        <v>6.9999999999999996E-10</v>
      </c>
      <c r="ER110" s="173">
        <f t="shared" ref="ER110:ER141" si="419">Vfwd22*CK110*(1+Diode_TC/1000*(Ta-25))</f>
        <v>1.1093749999999999E-4</v>
      </c>
      <c r="ES110" s="528"/>
      <c r="EU110" s="460">
        <f t="shared" ref="EU110:EU169" si="420">SUM(EQ110:ET110)*1000</f>
        <v>0.11093819999999999</v>
      </c>
      <c r="EV110" s="528">
        <f t="shared" ref="EV110:EV173" si="421">Rdcr_pri*EE110^2</f>
        <v>6.315789473684208E-2</v>
      </c>
      <c r="EW110" s="528">
        <f t="shared" ref="EW110:EW173" si="422">Rdcr_sec*EF110^2</f>
        <v>0.93684210526315792</v>
      </c>
      <c r="EX110" s="528">
        <f t="shared" ref="EX110:EX173" si="423">Rdcr_sec2*EG110^2</f>
        <v>9.4700893718340488E-5</v>
      </c>
      <c r="EY110" s="528">
        <f t="shared" ref="EY110:EY173" si="424">DM110^2.5*DQ110^2.5*k_core</f>
        <v>5.0000000000000096E-3</v>
      </c>
      <c r="EZ110" s="528"/>
      <c r="FA110" s="625">
        <f t="shared" ref="FA110:FA173" si="425">0.5*Lleak*0.000000001*DM110^2*DQ110*1000</f>
        <v>1.0000000000000002E-3</v>
      </c>
      <c r="FB110" s="460">
        <f t="shared" ref="FB110:FB169" si="426">SUM(EV110:FA110)*1000</f>
        <v>1006.0947008937185</v>
      </c>
      <c r="FC110" s="173">
        <f t="shared" ref="FC110:FC173" si="427">SUM(EI110:EM110,EQ110:ET110,EV110:FA110)</f>
        <v>1.1287149922516131</v>
      </c>
      <c r="FD110" s="5">
        <f t="shared" ref="FD110:FD173" si="428">MIN(CL110+CM110,CS110+CT110)</f>
        <v>2.000015E-3</v>
      </c>
      <c r="FE110" s="173">
        <f t="shared" ref="FE110:FE173" si="429">FD110/(FD110+FC110)</f>
        <v>1.7688055674270763E-3</v>
      </c>
      <c r="FF110" s="5">
        <f t="shared" ref="FF110:FF173" si="430">FE110*100</f>
        <v>0.17688055674270764</v>
      </c>
      <c r="FG110">
        <f t="shared" ref="FG110:FG173" si="431">CJ110/Iout*100</f>
        <v>1E-8</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0.1</v>
      </c>
      <c r="G111" s="217">
        <f t="shared" si="313"/>
        <v>2.5000000000000001E-3</v>
      </c>
      <c r="H111" s="217">
        <f t="shared" si="314"/>
        <v>1.5</v>
      </c>
      <c r="I111" s="217">
        <f t="shared" si="315"/>
        <v>0.02</v>
      </c>
      <c r="J111" s="541">
        <f t="shared" si="316"/>
        <v>18.858466322827447</v>
      </c>
      <c r="K111" s="443">
        <f t="shared" si="317"/>
        <v>15.775993420767852</v>
      </c>
      <c r="L111" s="172">
        <f t="shared" si="318"/>
        <v>34.634459743595301</v>
      </c>
      <c r="M111" s="443"/>
      <c r="N111" s="217">
        <f t="shared" si="319"/>
        <v>0.45549991359935077</v>
      </c>
      <c r="O111" s="172">
        <f t="shared" si="320"/>
        <v>211.92507682559625</v>
      </c>
      <c r="P111" s="172">
        <f t="shared" si="321"/>
        <v>2.8633432602213893</v>
      </c>
      <c r="Q111" s="217">
        <f t="shared" si="322"/>
        <v>14.128338455039749</v>
      </c>
      <c r="R111" s="217">
        <f t="shared" si="323"/>
        <v>26.490634603199531</v>
      </c>
      <c r="S111" s="217">
        <f t="shared" si="324"/>
        <v>15</v>
      </c>
      <c r="T111" s="217">
        <f t="shared" si="325"/>
        <v>0.35389865665459336</v>
      </c>
      <c r="U111" s="217">
        <f t="shared" si="326"/>
        <v>0.22519243119545476</v>
      </c>
      <c r="V111" s="217">
        <f t="shared" si="327"/>
        <v>0.26919280241741</v>
      </c>
      <c r="W111" s="197">
        <f t="shared" si="328"/>
        <v>71.583581505534738</v>
      </c>
      <c r="X111" s="443">
        <f t="shared" ref="X111:X174" si="435">MIN(1/(U111+V111+0.2)*1000, 350)</f>
        <v>350</v>
      </c>
      <c r="Z111" s="217">
        <f t="shared" si="329"/>
        <v>10</v>
      </c>
      <c r="AA111" s="173">
        <f t="shared" si="330"/>
        <v>7.6064940444276212</v>
      </c>
      <c r="AB111" s="173">
        <f t="shared" si="331"/>
        <v>2.6866780578979403</v>
      </c>
      <c r="AC111" s="173"/>
      <c r="AD111" s="173">
        <f t="shared" si="332"/>
        <v>7.6064940444276212</v>
      </c>
      <c r="AE111" s="545">
        <f t="shared" si="333"/>
        <v>10</v>
      </c>
      <c r="AF111" s="528">
        <f t="shared" si="334"/>
        <v>2.7225004320032462</v>
      </c>
      <c r="AH111" s="173">
        <f t="shared" si="335"/>
        <v>0.85076995939532551</v>
      </c>
      <c r="AI111" s="173">
        <f t="shared" si="336"/>
        <v>10</v>
      </c>
      <c r="AJ111" s="173">
        <f t="shared" si="337"/>
        <v>1.0057142857142858</v>
      </c>
      <c r="AL111" s="545">
        <f t="shared" si="338"/>
        <v>100</v>
      </c>
      <c r="AM111" s="460">
        <f t="shared" si="339"/>
        <v>10</v>
      </c>
      <c r="AO111" s="460">
        <f t="shared" si="340"/>
        <v>100</v>
      </c>
      <c r="AP111" s="460">
        <f t="shared" si="341"/>
        <v>10</v>
      </c>
      <c r="AR111" s="5">
        <f t="shared" si="275"/>
        <v>100</v>
      </c>
      <c r="AS111" s="5">
        <f>L*AI111/J111*1000000</f>
        <v>6.3631897708852723</v>
      </c>
      <c r="AT111" s="5">
        <f>AR111-AS111</f>
        <v>93.63681022911473</v>
      </c>
      <c r="AU111" s="173">
        <f>AS111/AR111</f>
        <v>6.3631897708852719E-2</v>
      </c>
      <c r="AW111" s="5">
        <f t="shared" si="342"/>
        <v>4.2421265139235143</v>
      </c>
      <c r="AX111" s="5">
        <f t="shared" si="343"/>
        <v>0.19884968034016476</v>
      </c>
      <c r="AY111" s="5">
        <f t="shared" si="344"/>
        <v>2.0688499757924594</v>
      </c>
      <c r="AZ111" s="5"/>
      <c r="BA111" s="173">
        <f t="shared" si="345"/>
        <v>1.4563870560265759</v>
      </c>
      <c r="BB111" s="173">
        <f t="shared" si="346"/>
        <v>5.5867942575659235</v>
      </c>
      <c r="BC111" s="173">
        <f t="shared" si="347"/>
        <v>0.13758850171574122</v>
      </c>
      <c r="BD111" s="173"/>
      <c r="BE111" s="528">
        <f t="shared" si="348"/>
        <v>4.2421265139235137E-2</v>
      </c>
      <c r="BF111" s="528">
        <f t="shared" si="349"/>
        <v>6.4939612019241186E-2</v>
      </c>
      <c r="BG111" s="528">
        <f t="shared" si="350"/>
        <v>4.7146165807068615E-3</v>
      </c>
      <c r="BH111" s="528">
        <f t="shared" si="351"/>
        <v>1.1995458017307237E-3</v>
      </c>
      <c r="BI111">
        <f t="shared" si="352"/>
        <v>8.4863098452723513E-3</v>
      </c>
      <c r="BJ111" s="460">
        <f t="shared" ref="BJ111:BJ174" si="436">(BG111+BI111)*1000</f>
        <v>13.200926425979212</v>
      </c>
      <c r="BK111">
        <f t="shared" si="353"/>
        <v>0.12123613906679533</v>
      </c>
      <c r="BL111" s="460">
        <f t="shared" ref="BL111:BL174" si="437">SUM(BE111:BI111)*1000</f>
        <v>121.76134938618625</v>
      </c>
      <c r="BM111" s="173">
        <f t="shared" si="354"/>
        <v>6.2124999999999993E-2</v>
      </c>
      <c r="BN111" s="173">
        <f t="shared" si="355"/>
        <v>1.5531249999999998E-3</v>
      </c>
      <c r="BO111" s="528"/>
      <c r="BQ111" s="460">
        <f t="shared" si="356"/>
        <v>63.678124999999987</v>
      </c>
      <c r="BR111" s="528">
        <f t="shared" si="357"/>
        <v>6.3631897708852692E-2</v>
      </c>
      <c r="BS111" s="528">
        <f t="shared" si="358"/>
        <v>0.93636810229114731</v>
      </c>
      <c r="BT111" s="528">
        <f t="shared" si="359"/>
        <v>9.4652979021912626E-5</v>
      </c>
      <c r="BU111" s="528">
        <f t="shared" si="360"/>
        <v>5.0000000000000096E-3</v>
      </c>
      <c r="BV111" s="528"/>
      <c r="BW111" s="625">
        <f t="shared" si="361"/>
        <v>1.0000000000000002E-3</v>
      </c>
      <c r="BX111" s="460">
        <f t="shared" si="362"/>
        <v>1006.094652979022</v>
      </c>
      <c r="BY111" s="173">
        <f t="shared" si="363"/>
        <v>1.1915341273652083</v>
      </c>
      <c r="BZ111" s="5">
        <f t="shared" si="364"/>
        <v>1.52</v>
      </c>
      <c r="CA111" s="173">
        <f t="shared" si="365"/>
        <v>0.56056827190922376</v>
      </c>
      <c r="CB111" s="5">
        <f t="shared" si="366"/>
        <v>56.056827190922377</v>
      </c>
      <c r="CC111">
        <f t="shared" si="367"/>
        <v>1</v>
      </c>
      <c r="CE111" s="562">
        <f t="shared" si="368"/>
        <v>-50</v>
      </c>
      <c r="CF111">
        <f t="shared" si="369"/>
        <v>-50</v>
      </c>
      <c r="CG111" s="173">
        <f t="shared" si="370"/>
        <v>3.9477101697586142E-2</v>
      </c>
      <c r="CH111" s="173">
        <f t="shared" si="371"/>
        <v>4.5486805277342992E-3</v>
      </c>
      <c r="CI111" s="170">
        <v>1</v>
      </c>
      <c r="CJ111" s="217">
        <f t="shared" ref="CJ111:CJ174" si="438">IF(PLOT_TYPE=1, CI111/100*Iout_max, min_I*EXP(CS111*rr/100))</f>
        <v>0.1</v>
      </c>
      <c r="CK111" s="217">
        <f t="shared" si="372"/>
        <v>2.5000000000000001E-3</v>
      </c>
      <c r="CL111" s="217">
        <f t="shared" si="373"/>
        <v>1.5</v>
      </c>
      <c r="CM111" s="217">
        <f t="shared" si="374"/>
        <v>0.02</v>
      </c>
      <c r="CN111" s="541">
        <f t="shared" si="375"/>
        <v>19</v>
      </c>
      <c r="CO111" s="443">
        <f t="shared" si="376"/>
        <v>15.7</v>
      </c>
      <c r="CP111" s="443">
        <f t="shared" si="377"/>
        <v>34.700000000000003</v>
      </c>
      <c r="CQ111" s="443"/>
      <c r="CR111" s="217">
        <f t="shared" si="378"/>
        <v>0.44767441860465118</v>
      </c>
      <c r="CS111" s="172">
        <f t="shared" si="379"/>
        <v>209.84738372093025</v>
      </c>
      <c r="CT111" s="172">
        <f t="shared" si="380"/>
        <v>2.835271317829458</v>
      </c>
      <c r="CU111" s="217">
        <f t="shared" si="381"/>
        <v>13.989825581395349</v>
      </c>
      <c r="CV111" s="217">
        <f t="shared" si="382"/>
        <v>26.230922965116282</v>
      </c>
      <c r="CW111" s="217">
        <f t="shared" si="383"/>
        <v>15</v>
      </c>
      <c r="CX111" s="217">
        <f t="shared" si="384"/>
        <v>0.35740259740259739</v>
      </c>
      <c r="CY111" s="217">
        <f t="shared" si="385"/>
        <v>0.22572795625427203</v>
      </c>
      <c r="CZ111" s="217">
        <f t="shared" si="386"/>
        <v>0.27317395979816361</v>
      </c>
      <c r="DA111" s="197">
        <f t="shared" si="387"/>
        <v>71.63784822286263</v>
      </c>
      <c r="DB111" s="443">
        <f t="shared" si="388"/>
        <v>350</v>
      </c>
      <c r="DD111" s="217">
        <f t="shared" si="389"/>
        <v>10.000000000000002</v>
      </c>
      <c r="DE111" s="173">
        <f t="shared" si="390"/>
        <v>7.6433121019108299</v>
      </c>
      <c r="DF111" s="173">
        <f t="shared" si="391"/>
        <v>2.7017291066282429</v>
      </c>
      <c r="DG111" s="173"/>
      <c r="DH111" s="173">
        <f t="shared" si="392"/>
        <v>7.6433121019108281</v>
      </c>
      <c r="DI111" s="545">
        <f t="shared" si="393"/>
        <v>10</v>
      </c>
      <c r="DJ111" s="528">
        <f t="shared" si="394"/>
        <v>2.7377521613832849</v>
      </c>
      <c r="DL111" s="173">
        <f t="shared" si="395"/>
        <v>0.85076995939532551</v>
      </c>
      <c r="DM111" s="173">
        <f t="shared" si="396"/>
        <v>10</v>
      </c>
      <c r="DN111" s="173">
        <f t="shared" si="397"/>
        <v>1.0057142857142858</v>
      </c>
      <c r="DP111" s="545">
        <f t="shared" si="398"/>
        <v>100</v>
      </c>
      <c r="DQ111" s="460">
        <f t="shared" si="399"/>
        <v>10</v>
      </c>
      <c r="DS111" s="460">
        <f t="shared" si="400"/>
        <v>100</v>
      </c>
      <c r="DT111" s="460">
        <f t="shared" si="401"/>
        <v>10</v>
      </c>
      <c r="DV111" s="5">
        <f t="shared" si="402"/>
        <v>100</v>
      </c>
      <c r="DW111" s="5">
        <f t="shared" si="403"/>
        <v>6.3157894736842106</v>
      </c>
      <c r="DX111" s="5">
        <f t="shared" si="404"/>
        <v>93.684210526315795</v>
      </c>
      <c r="DY111" s="173">
        <f t="shared" si="405"/>
        <v>6.3157894736842107E-2</v>
      </c>
      <c r="EA111" s="5">
        <f t="shared" si="406"/>
        <v>4.2105263157894743</v>
      </c>
      <c r="EB111" s="5">
        <f t="shared" si="407"/>
        <v>0.19736842105263158</v>
      </c>
      <c r="EC111" s="5">
        <f t="shared" si="408"/>
        <v>2.0544783010156973</v>
      </c>
      <c r="ED111" s="5"/>
      <c r="EE111" s="173">
        <f t="shared" si="409"/>
        <v>1.4509525002200232</v>
      </c>
      <c r="EF111" s="173">
        <f t="shared" si="410"/>
        <v>5.5882081363741811</v>
      </c>
      <c r="EG111" s="173">
        <f t="shared" si="411"/>
        <v>0.13762332194678378</v>
      </c>
      <c r="EH111" s="173"/>
      <c r="EI111" s="528">
        <f t="shared" si="412"/>
        <v>4.2105263157894729E-2</v>
      </c>
      <c r="EJ111" s="528">
        <f t="shared" si="413"/>
        <v>6.9400000000000003E-2</v>
      </c>
      <c r="EK111" s="528">
        <f t="shared" si="414"/>
        <v>1.2499999999999998E-3</v>
      </c>
      <c r="EL111" s="528">
        <f t="shared" si="415"/>
        <v>1.2040900000000001E-3</v>
      </c>
      <c r="EM111">
        <f t="shared" si="416"/>
        <v>8.5500000000000003E-3</v>
      </c>
      <c r="EN111" s="460">
        <f t="shared" si="417"/>
        <v>9.7999999999999989</v>
      </c>
      <c r="EP111" s="460">
        <f t="shared" ref="EP111:EP174" si="439">SUM(EI111:EM111)*1000</f>
        <v>122.50935315789474</v>
      </c>
      <c r="EQ111" s="173">
        <f t="shared" si="418"/>
        <v>6.9999999999999993E-2</v>
      </c>
      <c r="ER111" s="173">
        <f t="shared" si="419"/>
        <v>1.1093749999999999E-3</v>
      </c>
      <c r="ES111" s="528"/>
      <c r="EU111" s="460">
        <f t="shared" si="420"/>
        <v>71.109374999999986</v>
      </c>
      <c r="EV111" s="528">
        <f t="shared" si="421"/>
        <v>6.315789473684208E-2</v>
      </c>
      <c r="EW111" s="528">
        <f t="shared" si="422"/>
        <v>0.93684210526315792</v>
      </c>
      <c r="EX111" s="528">
        <f t="shared" si="423"/>
        <v>9.4700893718340488E-5</v>
      </c>
      <c r="EY111" s="528">
        <f t="shared" si="424"/>
        <v>5.0000000000000096E-3</v>
      </c>
      <c r="EZ111" s="528"/>
      <c r="FA111" s="625">
        <f t="shared" si="425"/>
        <v>1.0000000000000002E-3</v>
      </c>
      <c r="FB111" s="460">
        <f t="shared" si="426"/>
        <v>1006.0947008937185</v>
      </c>
      <c r="FC111" s="173">
        <f t="shared" si="427"/>
        <v>1.1997134290516132</v>
      </c>
      <c r="FD111" s="5">
        <f t="shared" si="428"/>
        <v>1.52</v>
      </c>
      <c r="FE111" s="173">
        <f t="shared" si="429"/>
        <v>0.55888241156717622</v>
      </c>
      <c r="FF111" s="5">
        <f t="shared" si="430"/>
        <v>55.888241156717619</v>
      </c>
      <c r="FG111">
        <f t="shared" si="431"/>
        <v>1</v>
      </c>
      <c r="FI111" s="562">
        <f t="shared" si="432"/>
        <v>-50</v>
      </c>
      <c r="FJ111">
        <f t="shared" si="433"/>
        <v>-50</v>
      </c>
    </row>
    <row r="112" spans="5:169">
      <c r="E112" s="170">
        <v>3</v>
      </c>
      <c r="F112" s="217">
        <f>IF(PLOT_TYPE=1, E112/100*Iout_max, min_I*EXP(O112*rr/100))</f>
        <v>0.3</v>
      </c>
      <c r="G112" s="217">
        <f>IF(PLOT_TYPE=1, E112/100*Iout2, min_I*EXP(Q112*rr/100))</f>
        <v>7.4999999999999997E-3</v>
      </c>
      <c r="H112" s="217">
        <f>F112*Vout</f>
        <v>4.5</v>
      </c>
      <c r="I112" s="217">
        <f>Vout2*G112</f>
        <v>0.06</v>
      </c>
      <c r="J112" s="541">
        <f>VIN_min-(F112/CG112/Nps+G112/CH112/(Nps/Nsec1sec2))*(Rdcr_pri+RON/1000)</f>
        <v>18.754856480155087</v>
      </c>
      <c r="K112" s="443">
        <f t="shared" si="317"/>
        <v>15.831624465810881</v>
      </c>
      <c r="L112" s="172">
        <f t="shared" si="318"/>
        <v>34.586480945965967</v>
      </c>
      <c r="M112" s="443"/>
      <c r="N112" s="217">
        <f t="shared" si="319"/>
        <v>0.45774025089584663</v>
      </c>
      <c r="O112" s="172">
        <f>N112*J112*Isw_max*0.5*Efficiency*Pout/(Pout+Pout2)</f>
        <v>211.79735306106377</v>
      </c>
      <c r="P112" s="172">
        <f>N112*J112*Isw_max*0.5*Efficiency*(Pout2/Pout_total)</f>
        <v>2.8616175702472617</v>
      </c>
      <c r="Q112" s="217">
        <f>O112/Vout</f>
        <v>14.119823537404251</v>
      </c>
      <c r="R112" s="217">
        <f>O112/Vout2</f>
        <v>26.474669132632972</v>
      </c>
      <c r="S112" s="217">
        <f>MIN(Vout,O112/F112)</f>
        <v>15</v>
      </c>
      <c r="T112" s="217">
        <f>MIN(2*(Vout*F112+Vout2*G112)/(Efficiency*J112*N112), Isw_max)</f>
        <v>1.0623362225642627</v>
      </c>
      <c r="U112" s="217">
        <f>L*T112/J112*1000000</f>
        <v>0.67971912684376545</v>
      </c>
      <c r="V112" s="217">
        <f>L*T112/K112*1000000</f>
        <v>0.8052259386458489</v>
      </c>
      <c r="W112" s="197">
        <f>IF(1/((350000*L)*(1/J112+1/K112))&gt;Isw_min, 350, 0.001/((Isw_min*L)*(1/J112+1/K112)))</f>
        <v>71.540439256181529</v>
      </c>
      <c r="X112" s="443">
        <f t="shared" si="435"/>
        <v>350</v>
      </c>
      <c r="Z112" s="217">
        <f>1/((W112*1000*L)*(1/J112+1/K112))</f>
        <v>10</v>
      </c>
      <c r="AA112" s="173">
        <f>L*Z112/K112*1000000</f>
        <v>7.5797654409467272</v>
      </c>
      <c r="AB112" s="173">
        <f>0.5*AA112*Z112*Nps*W112/1000*(Pout/(Pout+Pout2))</f>
        <v>2.6756237620270724</v>
      </c>
      <c r="AC112" s="173"/>
      <c r="AD112" s="173">
        <f>L*Isw_min/K112*1000000</f>
        <v>7.5797654409467272</v>
      </c>
      <c r="AE112" s="545">
        <f>MAX(10, F112/(0.5*AD112/1000000*Isw_min*Nps)/1000*Pout_total/Pout)</f>
        <v>10</v>
      </c>
      <c r="AF112" s="528">
        <f>0.5*AD112/1000000*Isw_min*Nps*W112*1000*(Pout/Pout_total)</f>
        <v>2.7112987455207667</v>
      </c>
      <c r="AH112" s="173">
        <f>SQRT((H112+I112)/(0.5*L*Fsw_DCM))</f>
        <v>1.4735767952260144</v>
      </c>
      <c r="AI112" s="173">
        <f>MAX(IF(F112&gt;AB112,T112,AH112),Isw_min)</f>
        <v>10</v>
      </c>
      <c r="AJ112" s="173">
        <f>IF(F112&gt;AF112, (AI112-Isw_min)/1.08*0.8+1.2, AE112*0.2/350+1)</f>
        <v>1.0057142857142858</v>
      </c>
      <c r="AL112" s="545">
        <f>F112*1000</f>
        <v>300</v>
      </c>
      <c r="AM112" s="460">
        <f>IF(F112&gt;AF112, X112, AE112)</f>
        <v>10</v>
      </c>
      <c r="AO112" s="460">
        <f>IF(H112&gt;O112, "",AL112)</f>
        <v>300</v>
      </c>
      <c r="AP112" s="460">
        <f>IF(H112&gt;O112, "",AM112)</f>
        <v>10</v>
      </c>
      <c r="AR112" s="5">
        <f>1/AM112*1000</f>
        <v>100</v>
      </c>
      <c r="AS112" s="5">
        <f>L*AI112/J112*1000000</f>
        <v>6.398342750688311</v>
      </c>
      <c r="AT112" s="5">
        <f>AR112-AS112</f>
        <v>93.601657249311685</v>
      </c>
      <c r="AU112" s="173">
        <f>AS112/AR112</f>
        <v>6.3983427506883114E-2</v>
      </c>
      <c r="AW112" s="5">
        <f>F112*AS112/Vout_ripple*1000</f>
        <v>12.79668550137662</v>
      </c>
      <c r="AX112" s="5">
        <f>G112*AS112/Vout_ripple2*1000</f>
        <v>0.59984463287702916</v>
      </c>
      <c r="AY112" s="5">
        <f>H112/Efficiency/J112*AT112/Vinripple1</f>
        <v>6.238494636599432</v>
      </c>
      <c r="AZ112" s="5"/>
      <c r="BA112" s="173">
        <f>AI112*SQRT(AU112/3)</f>
        <v>1.460404367596901</v>
      </c>
      <c r="BB112" s="173">
        <f>AI112*Npri_sec1*SQRT((1-AU112)/3)*(Pout/Pout_total)</f>
        <v>5.5857454664921153</v>
      </c>
      <c r="BC112" s="173">
        <f>AI112*Npri_sec2*SQRT((1-AU112)/3)*(Pout2/Pout_total)</f>
        <v>0.13756267266498232</v>
      </c>
      <c r="BD112" s="173"/>
      <c r="BE112" s="528">
        <f>Rdson*BA112^2</f>
        <v>4.2655618337922085E-2</v>
      </c>
      <c r="BF112" s="528">
        <f t="shared" si="349"/>
        <v>6.4849651773686193E-2</v>
      </c>
      <c r="BG112" s="528">
        <f t="shared" si="350"/>
        <v>4.6887141200387715E-3</v>
      </c>
      <c r="BH112" s="528">
        <f>0.5*(Coss+Csw)*L112^2*AM112*1000</f>
        <v>1.1962246642256669E-3</v>
      </c>
      <c r="BI112">
        <f>J112*IQ</f>
        <v>8.4396854160697886E-3</v>
      </c>
      <c r="BJ112" s="460">
        <f>(BG112+BI112)*1000</f>
        <v>13.12839953610856</v>
      </c>
      <c r="BK112">
        <f t="shared" si="353"/>
        <v>0.12144939833287227</v>
      </c>
      <c r="BL112" s="460">
        <f>SUM(BE112:BI112)*1000</f>
        <v>121.82989431194251</v>
      </c>
      <c r="BM112" s="173">
        <f t="shared" si="354"/>
        <v>0.18637499999999999</v>
      </c>
      <c r="BN112" s="173">
        <f t="shared" si="355"/>
        <v>4.6593749999999995E-3</v>
      </c>
      <c r="BO112" s="528"/>
      <c r="BQ112" s="460">
        <f>SUM(BM112:BP112)*1000</f>
        <v>191.03437499999998</v>
      </c>
      <c r="BR112" s="528">
        <f>Rdcr_pri*BA112^2</f>
        <v>6.3983427506883128E-2</v>
      </c>
      <c r="BS112" s="528">
        <f>Rdcr_sec*BB112^2</f>
        <v>0.93601657249311654</v>
      </c>
      <c r="BT112" s="528">
        <f>Rdcr_sec2*BC112^2</f>
        <v>9.461744455366537E-5</v>
      </c>
      <c r="BU112" s="528">
        <f>AI112^2.5*AM112^2.5*k_core</f>
        <v>5.0000000000000096E-3</v>
      </c>
      <c r="BV112" s="528"/>
      <c r="BW112" s="625">
        <f>0.5*Lleak*0.000000001*AI112^2*AM112*1000</f>
        <v>1.0000000000000002E-3</v>
      </c>
      <c r="BX112" s="460">
        <f>SUM(BR112:BW112)*1000</f>
        <v>1006.0946174445533</v>
      </c>
      <c r="BY112" s="173">
        <f>SUM(BE112:BI112,BM112:BP112,BR112:BW112)</f>
        <v>1.3189588867564959</v>
      </c>
      <c r="BZ112" s="5">
        <f>MIN(H112+I112,O112+P112)</f>
        <v>4.5599999999999996</v>
      </c>
      <c r="CA112" s="173">
        <f>BZ112/(BZ112+BY112)</f>
        <v>0.77564754029362093</v>
      </c>
      <c r="CB112" s="5">
        <f>CA112*100</f>
        <v>77.564754029362092</v>
      </c>
      <c r="CC112">
        <f>F112/Iout*100</f>
        <v>3</v>
      </c>
      <c r="CE112" s="562">
        <f>IF(ABS(F112-Ioutmax_Vinmin)&lt;Iout/200, AM112, -50)</f>
        <v>-50</v>
      </c>
      <c r="CF112">
        <f>IF(ABS(F112-Ioutmax_Vinmin)&lt;Iout/200, (O112+P112)*CA112, -50)</f>
        <v>-50</v>
      </c>
      <c r="CG112" s="173">
        <f>MIN(SQRT(2*DT112*1000*Ls1_*(CL112+CJ112*Vfwd1))/(CW112+Vfwd1), 1-DY112)</f>
        <v>6.8376345875782771E-2</v>
      </c>
      <c r="CH112" s="173">
        <f t="shared" si="371"/>
        <v>7.8785457814350198E-3</v>
      </c>
      <c r="CI112" s="170">
        <v>3</v>
      </c>
      <c r="CJ112" s="217">
        <f>IF(PLOT_TYPE=1, CI112/100*Iout_max, min_I*EXP(CS112*rr/100))</f>
        <v>0.3</v>
      </c>
      <c r="CK112" s="217">
        <f>IF(PLOT_TYPE=1, CI112/100*Iout2, min_I*EXP(CU112*rr/100))</f>
        <v>7.4999999999999997E-3</v>
      </c>
      <c r="CL112" s="217">
        <f>CJ112*Vout</f>
        <v>4.5</v>
      </c>
      <c r="CM112" s="217">
        <f>Vout2*CK112</f>
        <v>0.06</v>
      </c>
      <c r="CN112" s="541">
        <f t="shared" si="375"/>
        <v>19</v>
      </c>
      <c r="CO112" s="443">
        <f t="shared" si="376"/>
        <v>15.7</v>
      </c>
      <c r="CP112" s="443">
        <f t="shared" si="377"/>
        <v>34.700000000000003</v>
      </c>
      <c r="CQ112" s="443"/>
      <c r="CR112" s="217">
        <f>(Vout+Vfwd1)*Nps/((Vout+Vfwd1)*Nps+CN112)</f>
        <v>0.44767441860465118</v>
      </c>
      <c r="CS112" s="172">
        <f>CR112*CN112*Isw_max*0.5*Efficiency*Pout/(Pout+Pout2)</f>
        <v>209.84738372093025</v>
      </c>
      <c r="CT112" s="172">
        <f>CR112*CN112*Isw_max*0.5*Efficiency*(Pout2/Pout_total)</f>
        <v>2.835271317829458</v>
      </c>
      <c r="CU112" s="217">
        <f>CS112/Vout</f>
        <v>13.989825581395349</v>
      </c>
      <c r="CV112" s="217">
        <f>CS112/Vout2</f>
        <v>26.230922965116282</v>
      </c>
      <c r="CW112" s="217">
        <f>MIN(Vout,CS112/CJ112)</f>
        <v>15</v>
      </c>
      <c r="CX112" s="217">
        <f>MIN(2*(Vout*CJ112+Vout2*CK112)/(Efficiency*CN112*CR112), Isw_max)</f>
        <v>1.0722077922077922</v>
      </c>
      <c r="CY112" s="217">
        <f>L*CX112/CN112*1000000</f>
        <v>0.67718386876281611</v>
      </c>
      <c r="CZ112" s="217">
        <f>L*CX112/CO112*1000000</f>
        <v>0.81952187939449084</v>
      </c>
      <c r="DA112" s="197">
        <f>IF(1/((350000*L)*(1/CN112+1/CO112))&gt;Isw_min, 350, 0.001/((Isw_min*L)*(1/CN112+1/CO112)))</f>
        <v>71.63784822286263</v>
      </c>
      <c r="DB112" s="443">
        <f>MIN(1/(CY112+CZ112)*1000, 350)</f>
        <v>350</v>
      </c>
      <c r="DD112" s="217">
        <f>1/((DA112*1000*L)*(1/CN112+1/CO112))</f>
        <v>10.000000000000002</v>
      </c>
      <c r="DE112" s="173">
        <f>L*DD112/CO112*1000000</f>
        <v>7.6433121019108299</v>
      </c>
      <c r="DF112" s="173">
        <f>0.5*DE112*DD112*Nps*DA112/1000*(Pout/(Pout+Pout2))</f>
        <v>2.7017291066282429</v>
      </c>
      <c r="DG112" s="173"/>
      <c r="DH112" s="173">
        <f>L*Isw_min/CO112*1000000</f>
        <v>7.6433121019108281</v>
      </c>
      <c r="DI112" s="545">
        <f>MAX(10, CJ112/(0.5*DH112/1000000*Isw_min*Nps)/1000*Pout_total/Pout)</f>
        <v>10</v>
      </c>
      <c r="DJ112" s="528">
        <f>0.5*DH112/1000000*Isw_min*Nps*DA112*1000*(Pout/Pout_total)</f>
        <v>2.7377521613832849</v>
      </c>
      <c r="DL112" s="173">
        <f>SQRT((CL112+CM112)/(0.5*L*Fsw_DCM))</f>
        <v>1.4735767952260144</v>
      </c>
      <c r="DM112" s="173">
        <f>MAX(IF(CJ112&gt;DF112,CX112,DL112),Isw_min)</f>
        <v>10</v>
      </c>
      <c r="DN112" s="173">
        <f>IF(CJ112&gt;DJ112, (DM112-Isw_min)/1.08*0.8+1.2, DI112*0.2/350+1)</f>
        <v>1.0057142857142858</v>
      </c>
      <c r="DP112" s="545">
        <f>CJ112*1000</f>
        <v>300</v>
      </c>
      <c r="DQ112" s="460">
        <f>IF(CJ112&gt;DJ112, DB112, DI112)</f>
        <v>10</v>
      </c>
      <c r="DS112" s="460">
        <f>IF(CL112&gt;CS112, "",DP112)</f>
        <v>300</v>
      </c>
      <c r="DT112" s="460">
        <f>IF(CL112&gt;CS112, "",DQ112)</f>
        <v>10</v>
      </c>
      <c r="DV112" s="5">
        <f>1/DQ112*1000</f>
        <v>100</v>
      </c>
      <c r="DW112" s="5">
        <f>L*DM112/CN112*1000000</f>
        <v>6.3157894736842106</v>
      </c>
      <c r="DX112" s="5">
        <f>DV112-DW112</f>
        <v>93.684210526315795</v>
      </c>
      <c r="DY112" s="173">
        <f>DW112/DV112</f>
        <v>6.3157894736842107E-2</v>
      </c>
      <c r="EA112" s="5">
        <f>CJ112*DW112/Vout_ripple*1000</f>
        <v>12.631578947368421</v>
      </c>
      <c r="EB112" s="5">
        <f>CK112*DW112/Vout_ripple2*1000</f>
        <v>0.5921052631578948</v>
      </c>
      <c r="EC112" s="5">
        <f>CL112/Efficiency/CN112*DX112/Vinripple1</f>
        <v>6.1634349030470919</v>
      </c>
      <c r="ED112" s="5"/>
      <c r="EE112" s="173">
        <f>DM112*SQRT(DY112/3)</f>
        <v>1.4509525002200232</v>
      </c>
      <c r="EF112" s="173">
        <f>DM112*Npri_sec1*SQRT((1-DY112)/3)*(Pout/Pout_total)</f>
        <v>5.5882081363741811</v>
      </c>
      <c r="EG112" s="173">
        <f>DM112*Npri_sec2*SQRT((1-DY112)/3)*(Pout2/Pout_total)</f>
        <v>0.13762332194678378</v>
      </c>
      <c r="EH112" s="173"/>
      <c r="EI112" s="528">
        <f>Rdson*EE112^2</f>
        <v>4.2105263157894729E-2</v>
      </c>
      <c r="EJ112" s="528">
        <f>0.5*CP112*DM112*DQ112*1000*Trise</f>
        <v>6.9400000000000003E-2</v>
      </c>
      <c r="EK112" s="528">
        <f>Qg*Vdd*DQ112*1000</f>
        <v>1.2499999999999998E-3</v>
      </c>
      <c r="EL112" s="528">
        <f>0.5*(Coss+Csw)*CP112^2*DQ112*1000</f>
        <v>1.2040900000000001E-3</v>
      </c>
      <c r="EM112">
        <f>CN112*IQ</f>
        <v>8.5500000000000003E-3</v>
      </c>
      <c r="EN112" s="460">
        <f>(EK112+EM112)*1000</f>
        <v>9.7999999999999989</v>
      </c>
      <c r="EP112" s="460">
        <f>SUM(EI112:EM112)*1000</f>
        <v>122.50935315789474</v>
      </c>
      <c r="EQ112" s="173">
        <f>Vfwd2*CJ112</f>
        <v>0.21</v>
      </c>
      <c r="ER112" s="173">
        <f t="shared" si="419"/>
        <v>3.3281249999999999E-3</v>
      </c>
      <c r="ES112" s="528"/>
      <c r="EU112" s="460">
        <f>SUM(EQ112:ET112)*1000</f>
        <v>213.32812499999997</v>
      </c>
      <c r="EV112" s="528">
        <f>Rdcr_pri*EE112^2</f>
        <v>6.315789473684208E-2</v>
      </c>
      <c r="EW112" s="528">
        <f>Rdcr_sec*EF112^2</f>
        <v>0.93684210526315792</v>
      </c>
      <c r="EX112" s="528">
        <f>Rdcr_sec2*EG112^2</f>
        <v>9.4700893718340488E-5</v>
      </c>
      <c r="EY112" s="528">
        <f>DM112^2.5*DQ112^2.5*k_core</f>
        <v>5.0000000000000096E-3</v>
      </c>
      <c r="EZ112" s="528"/>
      <c r="FA112" s="625">
        <f>0.5*Lleak*0.000000001*DM112^2*DQ112*1000</f>
        <v>1.0000000000000002E-3</v>
      </c>
      <c r="FB112" s="460">
        <f>SUM(EV112:FA112)*1000</f>
        <v>1006.0947008937185</v>
      </c>
      <c r="FC112" s="173">
        <f>SUM(EI112:EM112,EQ112:ET112,EV112:FA112)</f>
        <v>1.3419321790516132</v>
      </c>
      <c r="FD112" s="5">
        <f>MIN(CL112+CM112,CS112+CT112)</f>
        <v>4.5599999999999996</v>
      </c>
      <c r="FE112" s="173">
        <f>FD112/(FD112+FC112)</f>
        <v>0.77262832944528181</v>
      </c>
      <c r="FF112" s="5">
        <f>FE112*100</f>
        <v>77.262832944528185</v>
      </c>
      <c r="FG112">
        <f>CJ112/Iout*100</f>
        <v>3</v>
      </c>
      <c r="FI112" s="562">
        <f>IF(ABS(CJ112-Ioutmax_Vinmin)&lt;Iout/200, DQ112, -50)</f>
        <v>-50</v>
      </c>
      <c r="FJ112">
        <f>IF(ABS(CJ112-Ioutmax_Vinmin)&lt;Iout/200, (CS112+CT112)*FE112, -50)</f>
        <v>-50</v>
      </c>
    </row>
    <row r="113" spans="5:166">
      <c r="E113" s="170">
        <v>3</v>
      </c>
      <c r="F113" s="217">
        <f t="shared" si="434"/>
        <v>0.3</v>
      </c>
      <c r="G113" s="217">
        <f t="shared" si="313"/>
        <v>7.4999999999999997E-3</v>
      </c>
      <c r="H113" s="217">
        <f t="shared" si="314"/>
        <v>4.5</v>
      </c>
      <c r="I113" s="217">
        <f t="shared" si="315"/>
        <v>0.06</v>
      </c>
      <c r="J113" s="541">
        <f t="shared" si="316"/>
        <v>18.754856480155087</v>
      </c>
      <c r="K113" s="443">
        <f t="shared" si="317"/>
        <v>15.831624465810881</v>
      </c>
      <c r="L113" s="172">
        <f t="shared" si="318"/>
        <v>34.586480945965967</v>
      </c>
      <c r="M113" s="443"/>
      <c r="N113" s="217">
        <f t="shared" si="319"/>
        <v>0.45774025089584663</v>
      </c>
      <c r="O113" s="172">
        <f t="shared" si="320"/>
        <v>211.79735306106377</v>
      </c>
      <c r="P113" s="172">
        <f t="shared" si="321"/>
        <v>2.8616175702472617</v>
      </c>
      <c r="Q113" s="217">
        <f t="shared" si="322"/>
        <v>14.119823537404251</v>
      </c>
      <c r="R113" s="217">
        <f t="shared" si="323"/>
        <v>26.474669132632972</v>
      </c>
      <c r="S113" s="217">
        <f t="shared" si="324"/>
        <v>15</v>
      </c>
      <c r="T113" s="217">
        <f t="shared" si="325"/>
        <v>1.0623362225642627</v>
      </c>
      <c r="U113" s="217">
        <f t="shared" si="326"/>
        <v>0.67971912684376545</v>
      </c>
      <c r="V113" s="217">
        <f t="shared" si="327"/>
        <v>0.8052259386458489</v>
      </c>
      <c r="W113" s="197">
        <f t="shared" si="328"/>
        <v>71.540439256181529</v>
      </c>
      <c r="X113" s="443">
        <f t="shared" si="435"/>
        <v>350</v>
      </c>
      <c r="Z113" s="217">
        <f t="shared" si="329"/>
        <v>10</v>
      </c>
      <c r="AA113" s="173">
        <f t="shared" si="330"/>
        <v>7.5797654409467272</v>
      </c>
      <c r="AB113" s="173">
        <f t="shared" si="331"/>
        <v>2.6756237620270724</v>
      </c>
      <c r="AC113" s="173"/>
      <c r="AD113" s="173">
        <f t="shared" si="332"/>
        <v>7.5797654409467272</v>
      </c>
      <c r="AE113" s="545">
        <f t="shared" si="333"/>
        <v>10</v>
      </c>
      <c r="AF113" s="528">
        <f t="shared" si="334"/>
        <v>2.7112987455207667</v>
      </c>
      <c r="AH113" s="173">
        <f t="shared" si="335"/>
        <v>1.4735767952260144</v>
      </c>
      <c r="AI113" s="173">
        <f t="shared" si="336"/>
        <v>10</v>
      </c>
      <c r="AJ113" s="173">
        <f t="shared" si="337"/>
        <v>1.0057142857142858</v>
      </c>
      <c r="AL113" s="545">
        <f t="shared" si="338"/>
        <v>300</v>
      </c>
      <c r="AM113" s="460">
        <f t="shared" si="339"/>
        <v>10</v>
      </c>
      <c r="AO113" s="460">
        <f t="shared" si="340"/>
        <v>300</v>
      </c>
      <c r="AP113" s="460">
        <f t="shared" si="341"/>
        <v>10</v>
      </c>
      <c r="AR113" s="5">
        <f t="shared" si="275"/>
        <v>100</v>
      </c>
      <c r="AS113" s="5">
        <f>L*AI113/J113*1000000</f>
        <v>6.398342750688311</v>
      </c>
      <c r="AT113" s="5">
        <f>AR113-AS113</f>
        <v>93.601657249311685</v>
      </c>
      <c r="AU113" s="173">
        <f>AS113/AR113</f>
        <v>6.3983427506883114E-2</v>
      </c>
      <c r="AW113" s="5">
        <f t="shared" si="342"/>
        <v>12.79668550137662</v>
      </c>
      <c r="AX113" s="5">
        <f t="shared" si="343"/>
        <v>0.59984463287702916</v>
      </c>
      <c r="AY113" s="5">
        <f t="shared" si="344"/>
        <v>6.238494636599432</v>
      </c>
      <c r="AZ113" s="5"/>
      <c r="BA113" s="173">
        <f t="shared" si="345"/>
        <v>1.460404367596901</v>
      </c>
      <c r="BB113" s="173">
        <f t="shared" si="346"/>
        <v>5.5857454664921153</v>
      </c>
      <c r="BC113" s="173">
        <f t="shared" si="347"/>
        <v>0.13756267266498232</v>
      </c>
      <c r="BD113" s="173"/>
      <c r="BE113" s="528">
        <f t="shared" si="348"/>
        <v>4.2655618337922085E-2</v>
      </c>
      <c r="BF113" s="528">
        <f t="shared" si="349"/>
        <v>6.4849651773686193E-2</v>
      </c>
      <c r="BG113" s="528">
        <f t="shared" si="350"/>
        <v>4.6887141200387715E-3</v>
      </c>
      <c r="BH113" s="528">
        <f t="shared" si="351"/>
        <v>1.1962246642256669E-3</v>
      </c>
      <c r="BI113">
        <f t="shared" si="352"/>
        <v>8.4396854160697886E-3</v>
      </c>
      <c r="BJ113" s="460">
        <f t="shared" si="436"/>
        <v>13.12839953610856</v>
      </c>
      <c r="BK113">
        <f t="shared" si="353"/>
        <v>0.12144939833287227</v>
      </c>
      <c r="BL113" s="460">
        <f t="shared" si="437"/>
        <v>121.82989431194251</v>
      </c>
      <c r="BM113" s="173">
        <f t="shared" si="354"/>
        <v>0.18637499999999999</v>
      </c>
      <c r="BN113" s="173">
        <f t="shared" si="355"/>
        <v>4.6593749999999995E-3</v>
      </c>
      <c r="BO113" s="528"/>
      <c r="BQ113" s="460">
        <f t="shared" si="356"/>
        <v>191.03437499999998</v>
      </c>
      <c r="BR113" s="528">
        <f t="shared" si="357"/>
        <v>6.3983427506883128E-2</v>
      </c>
      <c r="BS113" s="528">
        <f t="shared" si="358"/>
        <v>0.93601657249311654</v>
      </c>
      <c r="BT113" s="528">
        <f t="shared" si="359"/>
        <v>9.461744455366537E-5</v>
      </c>
      <c r="BU113" s="528">
        <f t="shared" si="360"/>
        <v>5.0000000000000096E-3</v>
      </c>
      <c r="BV113" s="528"/>
      <c r="BW113" s="625">
        <f t="shared" si="361"/>
        <v>1.0000000000000002E-3</v>
      </c>
      <c r="BX113" s="460">
        <f t="shared" si="362"/>
        <v>1006.0946174445533</v>
      </c>
      <c r="BY113" s="173">
        <f t="shared" si="363"/>
        <v>1.3189588867564959</v>
      </c>
      <c r="BZ113" s="5">
        <f t="shared" si="364"/>
        <v>4.5599999999999996</v>
      </c>
      <c r="CA113" s="173">
        <f t="shared" si="365"/>
        <v>0.77564754029362093</v>
      </c>
      <c r="CB113" s="5">
        <f t="shared" si="366"/>
        <v>77.564754029362092</v>
      </c>
      <c r="CC113">
        <f t="shared" si="367"/>
        <v>3</v>
      </c>
      <c r="CE113" s="562">
        <f t="shared" si="368"/>
        <v>-50</v>
      </c>
      <c r="CF113">
        <f t="shared" si="369"/>
        <v>-50</v>
      </c>
      <c r="CG113" s="173">
        <f t="shared" si="370"/>
        <v>6.8376345875782771E-2</v>
      </c>
      <c r="CH113" s="173">
        <f t="shared" si="371"/>
        <v>7.8785457814350198E-3</v>
      </c>
      <c r="CI113" s="170">
        <v>3</v>
      </c>
      <c r="CJ113" s="217">
        <f t="shared" si="438"/>
        <v>0.3</v>
      </c>
      <c r="CK113" s="217">
        <f t="shared" si="372"/>
        <v>7.4999999999999997E-3</v>
      </c>
      <c r="CL113" s="217">
        <f t="shared" si="373"/>
        <v>4.5</v>
      </c>
      <c r="CM113" s="217">
        <f t="shared" si="374"/>
        <v>0.06</v>
      </c>
      <c r="CN113" s="541">
        <f t="shared" si="375"/>
        <v>19</v>
      </c>
      <c r="CO113" s="443">
        <f t="shared" si="376"/>
        <v>15.7</v>
      </c>
      <c r="CP113" s="443">
        <f t="shared" si="377"/>
        <v>34.700000000000003</v>
      </c>
      <c r="CQ113" s="443"/>
      <c r="CR113" s="217">
        <f t="shared" si="378"/>
        <v>0.44767441860465118</v>
      </c>
      <c r="CS113" s="172">
        <f t="shared" si="379"/>
        <v>209.84738372093025</v>
      </c>
      <c r="CT113" s="172">
        <f t="shared" si="380"/>
        <v>2.835271317829458</v>
      </c>
      <c r="CU113" s="217">
        <f t="shared" si="381"/>
        <v>13.989825581395349</v>
      </c>
      <c r="CV113" s="217">
        <f t="shared" si="382"/>
        <v>26.230922965116282</v>
      </c>
      <c r="CW113" s="217">
        <f t="shared" si="383"/>
        <v>15</v>
      </c>
      <c r="CX113" s="217">
        <f t="shared" si="384"/>
        <v>1.0722077922077922</v>
      </c>
      <c r="CY113" s="217">
        <f t="shared" si="385"/>
        <v>0.67718386876281611</v>
      </c>
      <c r="CZ113" s="217">
        <f t="shared" si="386"/>
        <v>0.81952187939449084</v>
      </c>
      <c r="DA113" s="197">
        <f t="shared" si="387"/>
        <v>71.63784822286263</v>
      </c>
      <c r="DB113" s="443">
        <f t="shared" si="388"/>
        <v>350</v>
      </c>
      <c r="DD113" s="217">
        <f t="shared" si="389"/>
        <v>10.000000000000002</v>
      </c>
      <c r="DE113" s="173">
        <f t="shared" si="390"/>
        <v>7.6433121019108299</v>
      </c>
      <c r="DF113" s="173">
        <f t="shared" si="391"/>
        <v>2.7017291066282429</v>
      </c>
      <c r="DG113" s="173"/>
      <c r="DH113" s="173">
        <f t="shared" si="392"/>
        <v>7.6433121019108281</v>
      </c>
      <c r="DI113" s="545">
        <f t="shared" si="393"/>
        <v>10</v>
      </c>
      <c r="DJ113" s="528">
        <f t="shared" si="394"/>
        <v>2.7377521613832849</v>
      </c>
      <c r="DL113" s="173">
        <f t="shared" si="395"/>
        <v>1.4735767952260144</v>
      </c>
      <c r="DM113" s="173">
        <f t="shared" si="396"/>
        <v>10</v>
      </c>
      <c r="DN113" s="173">
        <f t="shared" si="397"/>
        <v>1.0057142857142858</v>
      </c>
      <c r="DP113" s="545">
        <f t="shared" si="398"/>
        <v>300</v>
      </c>
      <c r="DQ113" s="460">
        <f t="shared" si="399"/>
        <v>10</v>
      </c>
      <c r="DS113" s="460">
        <f t="shared" si="400"/>
        <v>300</v>
      </c>
      <c r="DT113" s="460">
        <f t="shared" si="401"/>
        <v>10</v>
      </c>
      <c r="DV113" s="5">
        <f t="shared" si="402"/>
        <v>100</v>
      </c>
      <c r="DW113" s="5">
        <f t="shared" si="403"/>
        <v>6.3157894736842106</v>
      </c>
      <c r="DX113" s="5">
        <f t="shared" si="404"/>
        <v>93.684210526315795</v>
      </c>
      <c r="DY113" s="173">
        <f t="shared" si="405"/>
        <v>6.3157894736842107E-2</v>
      </c>
      <c r="EA113" s="5">
        <f t="shared" si="406"/>
        <v>12.631578947368421</v>
      </c>
      <c r="EB113" s="5">
        <f t="shared" si="407"/>
        <v>0.5921052631578948</v>
      </c>
      <c r="EC113" s="5">
        <f t="shared" si="408"/>
        <v>6.1634349030470919</v>
      </c>
      <c r="ED113" s="5"/>
      <c r="EE113" s="173">
        <f t="shared" si="409"/>
        <v>1.4509525002200232</v>
      </c>
      <c r="EF113" s="173">
        <f t="shared" si="410"/>
        <v>5.5882081363741811</v>
      </c>
      <c r="EG113" s="173">
        <f t="shared" si="411"/>
        <v>0.13762332194678378</v>
      </c>
      <c r="EH113" s="173"/>
      <c r="EI113" s="528">
        <f t="shared" si="412"/>
        <v>4.2105263157894729E-2</v>
      </c>
      <c r="EJ113" s="528">
        <f t="shared" si="413"/>
        <v>6.9400000000000003E-2</v>
      </c>
      <c r="EK113" s="528">
        <f t="shared" si="414"/>
        <v>1.2499999999999998E-3</v>
      </c>
      <c r="EL113" s="528">
        <f t="shared" si="415"/>
        <v>1.2040900000000001E-3</v>
      </c>
      <c r="EM113">
        <f t="shared" si="416"/>
        <v>8.5500000000000003E-3</v>
      </c>
      <c r="EN113" s="460">
        <f t="shared" si="417"/>
        <v>9.7999999999999989</v>
      </c>
      <c r="EP113" s="460">
        <f t="shared" si="439"/>
        <v>122.50935315789474</v>
      </c>
      <c r="EQ113" s="173">
        <f t="shared" si="418"/>
        <v>0.21</v>
      </c>
      <c r="ER113" s="173">
        <f t="shared" si="419"/>
        <v>3.3281249999999999E-3</v>
      </c>
      <c r="ES113" s="528"/>
      <c r="EU113" s="460">
        <f t="shared" si="420"/>
        <v>213.32812499999997</v>
      </c>
      <c r="EV113" s="528">
        <f t="shared" si="421"/>
        <v>6.315789473684208E-2</v>
      </c>
      <c r="EW113" s="528">
        <f t="shared" si="422"/>
        <v>0.93684210526315792</v>
      </c>
      <c r="EX113" s="528">
        <f t="shared" si="423"/>
        <v>9.4700893718340488E-5</v>
      </c>
      <c r="EY113" s="528">
        <f t="shared" si="424"/>
        <v>5.0000000000000096E-3</v>
      </c>
      <c r="EZ113" s="528"/>
      <c r="FA113" s="625">
        <f t="shared" si="425"/>
        <v>1.0000000000000002E-3</v>
      </c>
      <c r="FB113" s="460">
        <f t="shared" si="426"/>
        <v>1006.0947008937185</v>
      </c>
      <c r="FC113" s="173">
        <f t="shared" si="427"/>
        <v>1.3419321790516132</v>
      </c>
      <c r="FD113" s="5">
        <f t="shared" si="428"/>
        <v>4.5599999999999996</v>
      </c>
      <c r="FE113" s="173">
        <f t="shared" si="429"/>
        <v>0.77262832944528181</v>
      </c>
      <c r="FF113" s="5">
        <f t="shared" si="430"/>
        <v>77.262832944528185</v>
      </c>
      <c r="FG113">
        <f t="shared" si="431"/>
        <v>3</v>
      </c>
      <c r="FI113" s="562">
        <f t="shared" si="432"/>
        <v>-50</v>
      </c>
      <c r="FJ113">
        <f t="shared" si="433"/>
        <v>-50</v>
      </c>
    </row>
    <row r="114" spans="5:166">
      <c r="E114" s="170">
        <v>4</v>
      </c>
      <c r="F114" s="217">
        <f t="shared" si="434"/>
        <v>0.4</v>
      </c>
      <c r="G114" s="217">
        <f t="shared" si="313"/>
        <v>0.01</v>
      </c>
      <c r="H114" s="217">
        <f t="shared" si="314"/>
        <v>6</v>
      </c>
      <c r="I114" s="217">
        <f t="shared" si="315"/>
        <v>0.08</v>
      </c>
      <c r="J114" s="541">
        <f t="shared" si="316"/>
        <v>18.723315016620045</v>
      </c>
      <c r="K114" s="443">
        <f t="shared" si="317"/>
        <v>15.848559966660831</v>
      </c>
      <c r="L114" s="172">
        <f t="shared" si="318"/>
        <v>34.571874983280878</v>
      </c>
      <c r="M114" s="443"/>
      <c r="N114" s="217">
        <f t="shared" si="319"/>
        <v>0.4584235010199843</v>
      </c>
      <c r="O114" s="172">
        <f t="shared" si="320"/>
        <v>211.75676695606103</v>
      </c>
      <c r="P114" s="172">
        <f t="shared" si="321"/>
        <v>2.8610692068730028</v>
      </c>
      <c r="Q114" s="217">
        <f t="shared" si="322"/>
        <v>14.117117797070735</v>
      </c>
      <c r="R114" s="217">
        <f t="shared" si="323"/>
        <v>26.469595869507629</v>
      </c>
      <c r="S114" s="217">
        <f t="shared" si="324"/>
        <v>15</v>
      </c>
      <c r="T114" s="217">
        <f t="shared" si="325"/>
        <v>1.4167197786045214</v>
      </c>
      <c r="U114" s="217">
        <f t="shared" si="326"/>
        <v>0.90799291301585072</v>
      </c>
      <c r="V114" s="217">
        <f t="shared" si="327"/>
        <v>1.0726928742432715</v>
      </c>
      <c r="W114" s="197">
        <f t="shared" si="328"/>
        <v>71.526730171825065</v>
      </c>
      <c r="X114" s="443">
        <f t="shared" si="435"/>
        <v>350</v>
      </c>
      <c r="Z114" s="217">
        <f t="shared" si="329"/>
        <v>10</v>
      </c>
      <c r="AA114" s="173">
        <f t="shared" si="330"/>
        <v>7.5716658328853255</v>
      </c>
      <c r="AB114" s="173">
        <f t="shared" si="331"/>
        <v>2.6722524620724464</v>
      </c>
      <c r="AC114" s="173"/>
      <c r="AD114" s="173">
        <f t="shared" si="332"/>
        <v>7.5716658328853255</v>
      </c>
      <c r="AE114" s="545">
        <f t="shared" si="333"/>
        <v>10.565706644440553</v>
      </c>
      <c r="AF114" s="528">
        <f t="shared" si="334"/>
        <v>2.7078824949000788</v>
      </c>
      <c r="AH114" s="173">
        <f t="shared" si="335"/>
        <v>1.701539918790651</v>
      </c>
      <c r="AI114" s="173">
        <f t="shared" si="336"/>
        <v>10</v>
      </c>
      <c r="AJ114" s="173">
        <f t="shared" si="337"/>
        <v>1.0060375466539659</v>
      </c>
      <c r="AL114" s="545">
        <f t="shared" si="338"/>
        <v>400</v>
      </c>
      <c r="AM114" s="460">
        <f t="shared" si="339"/>
        <v>10.565706644440553</v>
      </c>
      <c r="AO114" s="460">
        <f t="shared" si="340"/>
        <v>400</v>
      </c>
      <c r="AP114" s="460">
        <f t="shared" si="341"/>
        <v>10.565706644440553</v>
      </c>
      <c r="AR114" s="5">
        <f t="shared" si="275"/>
        <v>94.645822911066574</v>
      </c>
      <c r="AS114" s="5">
        <f>L*AI114/J114*1000000</f>
        <v>6.4091214559750833</v>
      </c>
      <c r="AT114" s="5">
        <f>AR114-AS114</f>
        <v>88.236701455091492</v>
      </c>
      <c r="AU114" s="173">
        <f>AS114/AR114</f>
        <v>6.7716897152422448E-2</v>
      </c>
      <c r="AW114" s="5">
        <f t="shared" si="342"/>
        <v>17.090990549266891</v>
      </c>
      <c r="AX114" s="5">
        <f t="shared" si="343"/>
        <v>0.80114018199688541</v>
      </c>
      <c r="AY114" s="5">
        <f t="shared" si="344"/>
        <v>7.8544407847263153</v>
      </c>
      <c r="AZ114" s="5"/>
      <c r="BA114" s="173">
        <f t="shared" si="345"/>
        <v>1.5024080354819551</v>
      </c>
      <c r="BB114" s="173">
        <f t="shared" si="346"/>
        <v>5.5745944631203965</v>
      </c>
      <c r="BC114" s="173">
        <f t="shared" si="347"/>
        <v>0.13728805187606313</v>
      </c>
      <c r="BD114" s="173"/>
      <c r="BE114" s="528">
        <f t="shared" si="348"/>
        <v>4.5144598101614961E-2</v>
      </c>
      <c r="BF114" s="528">
        <f t="shared" si="349"/>
        <v>6.8489304229053541E-2</v>
      </c>
      <c r="BG114" s="528">
        <f t="shared" si="350"/>
        <v>4.9456263469263989E-3</v>
      </c>
      <c r="BH114" s="528">
        <f t="shared" si="351"/>
        <v>1.2628286205326558E-3</v>
      </c>
      <c r="BI114">
        <f t="shared" si="352"/>
        <v>8.4254917574790207E-3</v>
      </c>
      <c r="BJ114" s="460">
        <f t="shared" si="436"/>
        <v>13.37111810440542</v>
      </c>
      <c r="BK114">
        <f t="shared" si="353"/>
        <v>0.12846372009888296</v>
      </c>
      <c r="BL114" s="460">
        <f t="shared" si="437"/>
        <v>128.2678490556066</v>
      </c>
      <c r="BM114" s="173">
        <f t="shared" si="354"/>
        <v>0.24849999999999997</v>
      </c>
      <c r="BN114" s="173">
        <f t="shared" si="355"/>
        <v>6.2124999999999993E-3</v>
      </c>
      <c r="BO114" s="528"/>
      <c r="BQ114" s="460">
        <f t="shared" si="356"/>
        <v>254.71249999999995</v>
      </c>
      <c r="BR114" s="528">
        <f t="shared" si="357"/>
        <v>6.7716897152422434E-2</v>
      </c>
      <c r="BS114" s="528">
        <f t="shared" si="358"/>
        <v>0.93228310284757743</v>
      </c>
      <c r="BT114" s="528">
        <f t="shared" si="359"/>
        <v>9.4240045939623015E-5</v>
      </c>
      <c r="BU114" s="528">
        <f t="shared" si="360"/>
        <v>5.7374164636718877E-3</v>
      </c>
      <c r="BV114" s="528"/>
      <c r="BW114" s="625">
        <f t="shared" si="361"/>
        <v>1.0565706644440555E-3</v>
      </c>
      <c r="BX114" s="460">
        <f t="shared" si="362"/>
        <v>1006.8882271740556</v>
      </c>
      <c r="BY114" s="173">
        <f t="shared" si="363"/>
        <v>1.3898685762296621</v>
      </c>
      <c r="BZ114" s="5">
        <f t="shared" si="364"/>
        <v>6.08</v>
      </c>
      <c r="CA114" s="173">
        <f t="shared" si="365"/>
        <v>0.8139366761213912</v>
      </c>
      <c r="CB114" s="5">
        <f t="shared" si="366"/>
        <v>81.393667612139126</v>
      </c>
      <c r="CC114">
        <f t="shared" si="367"/>
        <v>4</v>
      </c>
      <c r="CE114" s="562">
        <f t="shared" si="368"/>
        <v>-50</v>
      </c>
      <c r="CF114">
        <f t="shared" si="369"/>
        <v>-50</v>
      </c>
      <c r="CG114" s="173">
        <f t="shared" si="370"/>
        <v>8.0775462392209965E-2</v>
      </c>
      <c r="CH114" s="173">
        <f t="shared" si="371"/>
        <v>9.3072124624753293E-3</v>
      </c>
      <c r="CI114" s="170">
        <v>4</v>
      </c>
      <c r="CJ114" s="217">
        <f t="shared" si="438"/>
        <v>0.4</v>
      </c>
      <c r="CK114" s="217">
        <f t="shared" si="372"/>
        <v>0.01</v>
      </c>
      <c r="CL114" s="217">
        <f t="shared" si="373"/>
        <v>6</v>
      </c>
      <c r="CM114" s="217">
        <f t="shared" si="374"/>
        <v>0.08</v>
      </c>
      <c r="CN114" s="541">
        <f t="shared" si="375"/>
        <v>19</v>
      </c>
      <c r="CO114" s="443">
        <f t="shared" si="376"/>
        <v>15.7</v>
      </c>
      <c r="CP114" s="443">
        <f t="shared" si="377"/>
        <v>34.700000000000003</v>
      </c>
      <c r="CQ114" s="443"/>
      <c r="CR114" s="217">
        <f t="shared" si="378"/>
        <v>0.44767441860465118</v>
      </c>
      <c r="CS114" s="172">
        <f t="shared" si="379"/>
        <v>209.84738372093025</v>
      </c>
      <c r="CT114" s="172">
        <f t="shared" si="380"/>
        <v>2.835271317829458</v>
      </c>
      <c r="CU114" s="217">
        <f t="shared" si="381"/>
        <v>13.989825581395349</v>
      </c>
      <c r="CV114" s="217">
        <f t="shared" si="382"/>
        <v>26.230922965116282</v>
      </c>
      <c r="CW114" s="217">
        <f t="shared" si="383"/>
        <v>15</v>
      </c>
      <c r="CX114" s="217">
        <f t="shared" si="384"/>
        <v>1.4296103896103896</v>
      </c>
      <c r="CY114" s="217">
        <f t="shared" si="385"/>
        <v>0.90291182501708811</v>
      </c>
      <c r="CZ114" s="217">
        <f t="shared" si="386"/>
        <v>1.0926958391926545</v>
      </c>
      <c r="DA114" s="197">
        <f t="shared" si="387"/>
        <v>71.63784822286263</v>
      </c>
      <c r="DB114" s="443">
        <f t="shared" si="388"/>
        <v>350</v>
      </c>
      <c r="DD114" s="217">
        <f t="shared" si="389"/>
        <v>10.000000000000002</v>
      </c>
      <c r="DE114" s="173">
        <f t="shared" si="390"/>
        <v>7.6433121019108299</v>
      </c>
      <c r="DF114" s="173">
        <f t="shared" si="391"/>
        <v>2.7017291066282429</v>
      </c>
      <c r="DG114" s="173"/>
      <c r="DH114" s="173">
        <f t="shared" si="392"/>
        <v>7.6433121019108281</v>
      </c>
      <c r="DI114" s="545">
        <f t="shared" si="393"/>
        <v>10.466666666666669</v>
      </c>
      <c r="DJ114" s="528">
        <f t="shared" si="394"/>
        <v>2.7377521613832849</v>
      </c>
      <c r="DL114" s="173">
        <f t="shared" si="395"/>
        <v>1.701539918790651</v>
      </c>
      <c r="DM114" s="173">
        <f t="shared" si="396"/>
        <v>10</v>
      </c>
      <c r="DN114" s="173">
        <f t="shared" si="397"/>
        <v>1.0059809523809524</v>
      </c>
      <c r="DP114" s="545">
        <f t="shared" si="398"/>
        <v>400</v>
      </c>
      <c r="DQ114" s="460">
        <f t="shared" si="399"/>
        <v>10.466666666666669</v>
      </c>
      <c r="DS114" s="460">
        <f t="shared" si="400"/>
        <v>400</v>
      </c>
      <c r="DT114" s="460">
        <f t="shared" si="401"/>
        <v>10.466666666666669</v>
      </c>
      <c r="DV114" s="5">
        <f t="shared" si="402"/>
        <v>95.541401273885327</v>
      </c>
      <c r="DW114" s="5">
        <f t="shared" si="403"/>
        <v>6.3157894736842106</v>
      </c>
      <c r="DX114" s="5">
        <f t="shared" si="404"/>
        <v>89.225611800201122</v>
      </c>
      <c r="DY114" s="173">
        <f t="shared" si="405"/>
        <v>6.610526315789475E-2</v>
      </c>
      <c r="EA114" s="5">
        <f t="shared" si="406"/>
        <v>16.842105263157897</v>
      </c>
      <c r="EB114" s="5">
        <f t="shared" si="407"/>
        <v>0.78947368421052633</v>
      </c>
      <c r="EC114" s="5">
        <f t="shared" si="408"/>
        <v>7.8268080526492199</v>
      </c>
      <c r="ED114" s="5"/>
      <c r="EE114" s="173">
        <f t="shared" si="409"/>
        <v>1.4844220329575497</v>
      </c>
      <c r="EF114" s="173">
        <f t="shared" si="410"/>
        <v>5.5794107718829515</v>
      </c>
      <c r="EG114" s="173">
        <f t="shared" si="411"/>
        <v>0.13740666528401937</v>
      </c>
      <c r="EH114" s="173"/>
      <c r="EI114" s="528">
        <f t="shared" si="412"/>
        <v>4.4070175438596496E-2</v>
      </c>
      <c r="EJ114" s="528">
        <f t="shared" si="413"/>
        <v>7.2638666666666685E-2</v>
      </c>
      <c r="EK114" s="528">
        <f t="shared" si="414"/>
        <v>1.3083333333333334E-3</v>
      </c>
      <c r="EL114" s="528">
        <f t="shared" si="415"/>
        <v>1.2602808666666672E-3</v>
      </c>
      <c r="EM114">
        <f t="shared" si="416"/>
        <v>8.5500000000000003E-3</v>
      </c>
      <c r="EN114" s="460">
        <f t="shared" si="417"/>
        <v>9.8583333333333343</v>
      </c>
      <c r="EP114" s="460">
        <f t="shared" si="439"/>
        <v>127.82745630526318</v>
      </c>
      <c r="EQ114" s="173">
        <f t="shared" si="418"/>
        <v>0.27999999999999997</v>
      </c>
      <c r="ER114" s="173">
        <f t="shared" si="419"/>
        <v>4.4374999999999996E-3</v>
      </c>
      <c r="ES114" s="528"/>
      <c r="EU114" s="460">
        <f t="shared" si="420"/>
        <v>284.43749999999994</v>
      </c>
      <c r="EV114" s="528">
        <f t="shared" si="421"/>
        <v>6.6105263157894736E-2</v>
      </c>
      <c r="EW114" s="528">
        <f t="shared" si="422"/>
        <v>0.93389473684210533</v>
      </c>
      <c r="EX114" s="528">
        <f t="shared" si="423"/>
        <v>9.4402958322372678E-5</v>
      </c>
      <c r="EY114" s="528">
        <f t="shared" si="424"/>
        <v>5.6039078827065068E-3</v>
      </c>
      <c r="EZ114" s="528"/>
      <c r="FA114" s="625">
        <f t="shared" si="425"/>
        <v>1.0466666666666669E-3</v>
      </c>
      <c r="FB114" s="460">
        <f t="shared" si="426"/>
        <v>1006.7449775076956</v>
      </c>
      <c r="FC114" s="173">
        <f t="shared" si="427"/>
        <v>1.4190099338129587</v>
      </c>
      <c r="FD114" s="5">
        <f t="shared" si="428"/>
        <v>6.08</v>
      </c>
      <c r="FE114" s="173">
        <f t="shared" si="429"/>
        <v>0.81077369594956028</v>
      </c>
      <c r="FF114" s="5">
        <f t="shared" si="430"/>
        <v>81.077369594956025</v>
      </c>
      <c r="FG114">
        <f t="shared" si="431"/>
        <v>4</v>
      </c>
      <c r="FI114" s="562">
        <f t="shared" si="432"/>
        <v>-50</v>
      </c>
      <c r="FJ114">
        <f t="shared" si="433"/>
        <v>-50</v>
      </c>
    </row>
    <row r="115" spans="5:166">
      <c r="E115" s="170">
        <v>5</v>
      </c>
      <c r="F115" s="217">
        <f t="shared" si="434"/>
        <v>0.5</v>
      </c>
      <c r="G115" s="217">
        <f t="shared" si="313"/>
        <v>1.2500000000000001E-2</v>
      </c>
      <c r="H115" s="217">
        <f t="shared" si="314"/>
        <v>7.5</v>
      </c>
      <c r="I115" s="217">
        <f t="shared" si="315"/>
        <v>0.1</v>
      </c>
      <c r="J115" s="541">
        <f t="shared" si="316"/>
        <v>18.723315016620045</v>
      </c>
      <c r="K115" s="443">
        <f t="shared" si="317"/>
        <v>15.848559966660831</v>
      </c>
      <c r="L115" s="172">
        <f t="shared" si="318"/>
        <v>34.571874983280878</v>
      </c>
      <c r="M115" s="443"/>
      <c r="N115" s="217">
        <f t="shared" si="319"/>
        <v>0.4584235010199843</v>
      </c>
      <c r="O115" s="172">
        <f t="shared" si="320"/>
        <v>211.75676695606103</v>
      </c>
      <c r="P115" s="172">
        <f t="shared" si="321"/>
        <v>2.8610692068730028</v>
      </c>
      <c r="Q115" s="217">
        <f t="shared" si="322"/>
        <v>14.117117797070735</v>
      </c>
      <c r="R115" s="217">
        <f t="shared" si="323"/>
        <v>26.469595869507629</v>
      </c>
      <c r="S115" s="217">
        <f t="shared" si="324"/>
        <v>15</v>
      </c>
      <c r="T115" s="217">
        <f t="shared" si="325"/>
        <v>1.7708997232556516</v>
      </c>
      <c r="U115" s="217">
        <f t="shared" si="326"/>
        <v>1.1349911412698133</v>
      </c>
      <c r="V115" s="217">
        <f t="shared" si="327"/>
        <v>1.3408660928040896</v>
      </c>
      <c r="W115" s="197">
        <f t="shared" si="328"/>
        <v>71.526730171825065</v>
      </c>
      <c r="X115" s="443">
        <f t="shared" si="435"/>
        <v>350</v>
      </c>
      <c r="Z115" s="217">
        <f t="shared" si="329"/>
        <v>10</v>
      </c>
      <c r="AA115" s="173">
        <f t="shared" si="330"/>
        <v>7.5716658328853255</v>
      </c>
      <c r="AB115" s="173">
        <f t="shared" si="331"/>
        <v>2.6722524620724464</v>
      </c>
      <c r="AC115" s="173"/>
      <c r="AD115" s="173">
        <f t="shared" si="332"/>
        <v>7.5716658328853255</v>
      </c>
      <c r="AE115" s="545">
        <f t="shared" si="333"/>
        <v>13.207133305550691</v>
      </c>
      <c r="AF115" s="528">
        <f t="shared" si="334"/>
        <v>2.7078824949000788</v>
      </c>
      <c r="AH115" s="173">
        <f t="shared" si="335"/>
        <v>1.9023794624226835</v>
      </c>
      <c r="AI115" s="173">
        <f t="shared" si="336"/>
        <v>10</v>
      </c>
      <c r="AJ115" s="173">
        <f t="shared" si="337"/>
        <v>1.0075469333174576</v>
      </c>
      <c r="AL115" s="545">
        <f t="shared" si="338"/>
        <v>500</v>
      </c>
      <c r="AM115" s="460">
        <f t="shared" si="339"/>
        <v>13.207133305550691</v>
      </c>
      <c r="AO115" s="460">
        <f t="shared" si="340"/>
        <v>500</v>
      </c>
      <c r="AP115" s="460">
        <f t="shared" si="341"/>
        <v>13.207133305550691</v>
      </c>
      <c r="AR115" s="5">
        <f t="shared" si="275"/>
        <v>75.716658328853256</v>
      </c>
      <c r="AS115" s="5">
        <f t="shared" ref="AS115:AS178" si="440">L*AI115/J115*1000000</f>
        <v>6.4091214559750833</v>
      </c>
      <c r="AT115" s="5">
        <f t="shared" ref="AT115:AT178" si="441">AR115-AS115</f>
        <v>69.307536872878174</v>
      </c>
      <c r="AU115" s="173">
        <f t="shared" ref="AU115:AU178" si="442">AS115/AR115</f>
        <v>8.4646121440528063E-2</v>
      </c>
      <c r="AW115" s="5">
        <f t="shared" si="342"/>
        <v>21.36373818658361</v>
      </c>
      <c r="AX115" s="5">
        <f t="shared" si="343"/>
        <v>1.0014252274961069</v>
      </c>
      <c r="AY115" s="5">
        <f t="shared" si="344"/>
        <v>7.7118128755685369</v>
      </c>
      <c r="AZ115" s="5"/>
      <c r="BA115" s="173">
        <f t="shared" si="345"/>
        <v>1.6797432486397841</v>
      </c>
      <c r="BB115" s="173">
        <f t="shared" si="346"/>
        <v>5.523748360667998</v>
      </c>
      <c r="BC115" s="173">
        <f t="shared" si="347"/>
        <v>0.13603584198037269</v>
      </c>
      <c r="BD115" s="173"/>
      <c r="BE115" s="528">
        <f t="shared" si="348"/>
        <v>5.6430747627018711E-2</v>
      </c>
      <c r="BF115" s="528">
        <f t="shared" si="349"/>
        <v>8.5611630286316937E-2</v>
      </c>
      <c r="BG115" s="528">
        <f t="shared" si="350"/>
        <v>6.1820329336579995E-3</v>
      </c>
      <c r="BH115" s="528">
        <f t="shared" si="351"/>
        <v>1.5785357756658196E-3</v>
      </c>
      <c r="BI115">
        <f t="shared" si="352"/>
        <v>8.4254917574790207E-3</v>
      </c>
      <c r="BJ115" s="460">
        <f t="shared" si="436"/>
        <v>14.607524691137019</v>
      </c>
      <c r="BK115">
        <f t="shared" si="353"/>
        <v>0.16101611080856687</v>
      </c>
      <c r="BL115" s="460">
        <f t="shared" si="437"/>
        <v>158.2284383801385</v>
      </c>
      <c r="BM115" s="173">
        <f t="shared" si="354"/>
        <v>0.31062499999999998</v>
      </c>
      <c r="BN115" s="173">
        <f t="shared" si="355"/>
        <v>7.7656249999999991E-3</v>
      </c>
      <c r="BO115" s="528"/>
      <c r="BQ115" s="460">
        <f t="shared" si="356"/>
        <v>318.390625</v>
      </c>
      <c r="BR115" s="528">
        <f t="shared" si="357"/>
        <v>8.4646121440528063E-2</v>
      </c>
      <c r="BS115" s="528">
        <f t="shared" si="358"/>
        <v>0.91535387855947181</v>
      </c>
      <c r="BT115" s="528">
        <f t="shared" si="359"/>
        <v>9.2528751516544639E-5</v>
      </c>
      <c r="BU115" s="528">
        <f t="shared" si="360"/>
        <v>1.0022854084372489E-2</v>
      </c>
      <c r="BV115" s="528"/>
      <c r="BW115" s="625">
        <f t="shared" si="361"/>
        <v>1.320713330555069E-3</v>
      </c>
      <c r="BX115" s="460">
        <f t="shared" si="362"/>
        <v>1011.4360961664439</v>
      </c>
      <c r="BY115" s="173">
        <f t="shared" si="363"/>
        <v>1.4880551595465825</v>
      </c>
      <c r="BZ115" s="5">
        <f t="shared" si="364"/>
        <v>7.6</v>
      </c>
      <c r="CA115" s="173">
        <f t="shared" si="365"/>
        <v>0.83626252994476491</v>
      </c>
      <c r="CB115" s="5">
        <f t="shared" si="366"/>
        <v>83.626252994476488</v>
      </c>
      <c r="CC115">
        <f t="shared" si="367"/>
        <v>5</v>
      </c>
      <c r="CE115" s="562">
        <f t="shared" si="368"/>
        <v>-50</v>
      </c>
      <c r="CF115">
        <f t="shared" si="369"/>
        <v>-50</v>
      </c>
      <c r="CG115" s="173">
        <f t="shared" si="370"/>
        <v>0.10096932799026244</v>
      </c>
      <c r="CH115" s="173">
        <f t="shared" si="371"/>
        <v>1.163401557809416E-2</v>
      </c>
      <c r="CI115" s="170">
        <v>5</v>
      </c>
      <c r="CJ115" s="217">
        <f t="shared" si="438"/>
        <v>0.5</v>
      </c>
      <c r="CK115" s="217">
        <f t="shared" si="372"/>
        <v>1.2500000000000001E-2</v>
      </c>
      <c r="CL115" s="217">
        <f t="shared" si="373"/>
        <v>7.5</v>
      </c>
      <c r="CM115" s="217">
        <f t="shared" si="374"/>
        <v>0.1</v>
      </c>
      <c r="CN115" s="541">
        <f t="shared" si="375"/>
        <v>19</v>
      </c>
      <c r="CO115" s="443">
        <f t="shared" si="376"/>
        <v>15.7</v>
      </c>
      <c r="CP115" s="443">
        <f t="shared" si="377"/>
        <v>34.700000000000003</v>
      </c>
      <c r="CQ115" s="443"/>
      <c r="CR115" s="217">
        <f t="shared" si="378"/>
        <v>0.44767441860465118</v>
      </c>
      <c r="CS115" s="172">
        <f t="shared" si="379"/>
        <v>209.84738372093025</v>
      </c>
      <c r="CT115" s="172">
        <f t="shared" si="380"/>
        <v>2.835271317829458</v>
      </c>
      <c r="CU115" s="217">
        <f t="shared" si="381"/>
        <v>13.989825581395349</v>
      </c>
      <c r="CV115" s="217">
        <f t="shared" si="382"/>
        <v>26.230922965116282</v>
      </c>
      <c r="CW115" s="217">
        <f t="shared" si="383"/>
        <v>15</v>
      </c>
      <c r="CX115" s="217">
        <f t="shared" si="384"/>
        <v>1.7870129870129869</v>
      </c>
      <c r="CY115" s="217">
        <f t="shared" si="385"/>
        <v>1.1286397812713602</v>
      </c>
      <c r="CZ115" s="217">
        <f t="shared" si="386"/>
        <v>1.3658697989908182</v>
      </c>
      <c r="DA115" s="197">
        <f t="shared" si="387"/>
        <v>71.63784822286263</v>
      </c>
      <c r="DB115" s="443">
        <f t="shared" si="388"/>
        <v>350</v>
      </c>
      <c r="DD115" s="217">
        <f t="shared" si="389"/>
        <v>10.000000000000002</v>
      </c>
      <c r="DE115" s="173">
        <f t="shared" si="390"/>
        <v>7.6433121019108299</v>
      </c>
      <c r="DF115" s="173">
        <f t="shared" si="391"/>
        <v>2.7017291066282429</v>
      </c>
      <c r="DG115" s="173"/>
      <c r="DH115" s="173">
        <f t="shared" si="392"/>
        <v>7.6433121019108281</v>
      </c>
      <c r="DI115" s="545">
        <f t="shared" si="393"/>
        <v>13.083333333333334</v>
      </c>
      <c r="DJ115" s="528">
        <f t="shared" si="394"/>
        <v>2.7377521613832849</v>
      </c>
      <c r="DL115" s="173">
        <f t="shared" si="395"/>
        <v>1.9023794624226835</v>
      </c>
      <c r="DM115" s="173">
        <f t="shared" si="396"/>
        <v>10</v>
      </c>
      <c r="DN115" s="173">
        <f t="shared" si="397"/>
        <v>1.0074761904761904</v>
      </c>
      <c r="DP115" s="545">
        <f t="shared" si="398"/>
        <v>500</v>
      </c>
      <c r="DQ115" s="460">
        <f t="shared" si="399"/>
        <v>13.083333333333334</v>
      </c>
      <c r="DS115" s="460">
        <f t="shared" si="400"/>
        <v>500</v>
      </c>
      <c r="DT115" s="460">
        <f t="shared" si="401"/>
        <v>13.083333333333334</v>
      </c>
      <c r="DV115" s="5">
        <f t="shared" si="402"/>
        <v>76.43312101910827</v>
      </c>
      <c r="DW115" s="5">
        <f t="shared" si="403"/>
        <v>6.3157894736842106</v>
      </c>
      <c r="DX115" s="5">
        <f t="shared" si="404"/>
        <v>70.117331545424065</v>
      </c>
      <c r="DY115" s="173">
        <f t="shared" si="405"/>
        <v>8.2631578947368431E-2</v>
      </c>
      <c r="EA115" s="5">
        <f t="shared" si="406"/>
        <v>21.052631578947366</v>
      </c>
      <c r="EB115" s="5">
        <f t="shared" si="407"/>
        <v>0.98684210526315796</v>
      </c>
      <c r="EC115" s="5">
        <f t="shared" si="408"/>
        <v>7.6883038975245679</v>
      </c>
      <c r="ED115" s="5"/>
      <c r="EE115" s="173">
        <f t="shared" si="409"/>
        <v>1.6596342864957572</v>
      </c>
      <c r="EF115" s="173">
        <f t="shared" si="410"/>
        <v>5.5298234482143327</v>
      </c>
      <c r="EG115" s="173">
        <f t="shared" si="411"/>
        <v>0.13618545590112163</v>
      </c>
      <c r="EH115" s="173"/>
      <c r="EI115" s="528">
        <f t="shared" si="412"/>
        <v>5.5087719298245616E-2</v>
      </c>
      <c r="EJ115" s="528">
        <f t="shared" si="413"/>
        <v>9.0798333333333342E-2</v>
      </c>
      <c r="EK115" s="528">
        <f t="shared" si="414"/>
        <v>1.6354166666666667E-3</v>
      </c>
      <c r="EL115" s="528">
        <f t="shared" si="415"/>
        <v>1.5753510833333337E-3</v>
      </c>
      <c r="EM115">
        <f t="shared" si="416"/>
        <v>8.5500000000000003E-3</v>
      </c>
      <c r="EN115" s="460">
        <f t="shared" si="417"/>
        <v>10.185416666666667</v>
      </c>
      <c r="EP115" s="460">
        <f t="shared" si="439"/>
        <v>157.64682038157895</v>
      </c>
      <c r="EQ115" s="173">
        <f t="shared" si="418"/>
        <v>0.35</v>
      </c>
      <c r="ER115" s="173">
        <f t="shared" si="419"/>
        <v>5.5468749999999997E-3</v>
      </c>
      <c r="ES115" s="528"/>
      <c r="EU115" s="460">
        <f t="shared" si="420"/>
        <v>355.546875</v>
      </c>
      <c r="EV115" s="528">
        <f t="shared" si="421"/>
        <v>8.2631578947368417E-2</v>
      </c>
      <c r="EW115" s="528">
        <f t="shared" si="422"/>
        <v>0.9173684210526315</v>
      </c>
      <c r="EX115" s="528">
        <f t="shared" si="423"/>
        <v>9.2732391994981728E-5</v>
      </c>
      <c r="EY115" s="528">
        <f t="shared" si="424"/>
        <v>9.7896241917020885E-3</v>
      </c>
      <c r="EZ115" s="528"/>
      <c r="FA115" s="625">
        <f t="shared" si="425"/>
        <v>1.3083333333333334E-3</v>
      </c>
      <c r="FB115" s="460">
        <f t="shared" si="426"/>
        <v>1011.1906899170302</v>
      </c>
      <c r="FC115" s="173">
        <f t="shared" si="427"/>
        <v>1.5243843852986092</v>
      </c>
      <c r="FD115" s="5">
        <f t="shared" si="428"/>
        <v>7.6</v>
      </c>
      <c r="FE115" s="173">
        <f t="shared" si="429"/>
        <v>0.83293290583475121</v>
      </c>
      <c r="FF115" s="5">
        <f t="shared" si="430"/>
        <v>83.293290583475127</v>
      </c>
      <c r="FG115">
        <f t="shared" si="431"/>
        <v>5</v>
      </c>
      <c r="FI115" s="562">
        <f t="shared" si="432"/>
        <v>-50</v>
      </c>
      <c r="FJ115">
        <f t="shared" si="433"/>
        <v>-50</v>
      </c>
    </row>
    <row r="116" spans="5:166">
      <c r="E116" s="170">
        <v>6</v>
      </c>
      <c r="F116" s="217">
        <f t="shared" si="434"/>
        <v>0.6</v>
      </c>
      <c r="G116" s="217">
        <f t="shared" si="313"/>
        <v>1.4999999999999999E-2</v>
      </c>
      <c r="H116" s="217">
        <f t="shared" si="314"/>
        <v>9</v>
      </c>
      <c r="I116" s="217">
        <f t="shared" si="315"/>
        <v>0.12</v>
      </c>
      <c r="J116" s="541">
        <f t="shared" si="316"/>
        <v>18.723315016620045</v>
      </c>
      <c r="K116" s="443">
        <f t="shared" si="317"/>
        <v>15.848559966660831</v>
      </c>
      <c r="L116" s="172">
        <f t="shared" si="318"/>
        <v>34.571874983280878</v>
      </c>
      <c r="M116" s="443"/>
      <c r="N116" s="217">
        <f t="shared" si="319"/>
        <v>0.4584235010199843</v>
      </c>
      <c r="O116" s="172">
        <f t="shared" si="320"/>
        <v>211.75676695606103</v>
      </c>
      <c r="P116" s="172">
        <f t="shared" si="321"/>
        <v>2.8610692068730028</v>
      </c>
      <c r="Q116" s="217">
        <f t="shared" si="322"/>
        <v>14.117117797070735</v>
      </c>
      <c r="R116" s="217">
        <f t="shared" si="323"/>
        <v>26.469595869507629</v>
      </c>
      <c r="S116" s="217">
        <f t="shared" si="324"/>
        <v>15</v>
      </c>
      <c r="T116" s="217">
        <f t="shared" si="325"/>
        <v>2.1250796679067818</v>
      </c>
      <c r="U116" s="217">
        <f t="shared" si="326"/>
        <v>1.3619893695237759</v>
      </c>
      <c r="V116" s="217">
        <f t="shared" si="327"/>
        <v>1.6090393113649073</v>
      </c>
      <c r="W116" s="197">
        <f t="shared" si="328"/>
        <v>71.526730171825065</v>
      </c>
      <c r="X116" s="443">
        <f t="shared" si="435"/>
        <v>315.35507894546987</v>
      </c>
      <c r="Z116" s="217">
        <f t="shared" si="329"/>
        <v>10</v>
      </c>
      <c r="AA116" s="173">
        <f t="shared" si="330"/>
        <v>7.5716658328853255</v>
      </c>
      <c r="AB116" s="173">
        <f t="shared" si="331"/>
        <v>2.6722524620724464</v>
      </c>
      <c r="AC116" s="173"/>
      <c r="AD116" s="173">
        <f t="shared" si="332"/>
        <v>7.5716658328853255</v>
      </c>
      <c r="AE116" s="545">
        <f t="shared" si="333"/>
        <v>15.848559966660829</v>
      </c>
      <c r="AF116" s="528">
        <f t="shared" si="334"/>
        <v>2.7078824949000788</v>
      </c>
      <c r="AH116" s="173">
        <f t="shared" si="335"/>
        <v>2.0839522890069109</v>
      </c>
      <c r="AI116" s="173">
        <f t="shared" si="336"/>
        <v>10</v>
      </c>
      <c r="AJ116" s="173">
        <f t="shared" si="337"/>
        <v>1.009056319980949</v>
      </c>
      <c r="AL116" s="545">
        <f t="shared" si="338"/>
        <v>600</v>
      </c>
      <c r="AM116" s="460">
        <f t="shared" si="339"/>
        <v>15.848559966660829</v>
      </c>
      <c r="AO116" s="460">
        <f t="shared" si="340"/>
        <v>600</v>
      </c>
      <c r="AP116" s="460">
        <f t="shared" si="341"/>
        <v>15.848559966660829</v>
      </c>
      <c r="AR116" s="5">
        <f t="shared" si="275"/>
        <v>63.09721527404438</v>
      </c>
      <c r="AS116" s="5">
        <f t="shared" si="440"/>
        <v>6.4091214559750833</v>
      </c>
      <c r="AT116" s="5">
        <f t="shared" si="441"/>
        <v>56.688093818069298</v>
      </c>
      <c r="AU116" s="173">
        <f t="shared" si="442"/>
        <v>0.10157534572863368</v>
      </c>
      <c r="AW116" s="5">
        <f t="shared" si="342"/>
        <v>25.63648582390033</v>
      </c>
      <c r="AX116" s="5">
        <f t="shared" si="343"/>
        <v>1.2017102729953282</v>
      </c>
      <c r="AY116" s="5">
        <f t="shared" si="344"/>
        <v>7.5691849664107576</v>
      </c>
      <c r="AZ116" s="5"/>
      <c r="BA116" s="173">
        <f t="shared" si="345"/>
        <v>1.8400665361940374</v>
      </c>
      <c r="BB116" s="173">
        <f t="shared" si="346"/>
        <v>5.4724298511458516</v>
      </c>
      <c r="BC116" s="173">
        <f t="shared" si="347"/>
        <v>0.13477199790272923</v>
      </c>
      <c r="BD116" s="173"/>
      <c r="BE116" s="528">
        <f t="shared" si="348"/>
        <v>6.7716897152422448E-2</v>
      </c>
      <c r="BF116" s="528">
        <f t="shared" si="349"/>
        <v>0.10273395634358032</v>
      </c>
      <c r="BG116" s="528">
        <f t="shared" si="350"/>
        <v>7.4184395203895992E-3</v>
      </c>
      <c r="BH116" s="528">
        <f t="shared" si="351"/>
        <v>1.8942429307989837E-3</v>
      </c>
      <c r="BI116">
        <f t="shared" si="352"/>
        <v>8.4254917574790207E-3</v>
      </c>
      <c r="BJ116" s="460">
        <f t="shared" si="436"/>
        <v>15.843931277868618</v>
      </c>
      <c r="BK116">
        <f t="shared" si="353"/>
        <v>0.19374594070621917</v>
      </c>
      <c r="BL116" s="460">
        <f t="shared" si="437"/>
        <v>188.18902770467037</v>
      </c>
      <c r="BM116" s="173">
        <f t="shared" si="354"/>
        <v>0.37274999999999997</v>
      </c>
      <c r="BN116" s="173">
        <f t="shared" si="355"/>
        <v>9.3187499999999989E-3</v>
      </c>
      <c r="BO116" s="528"/>
      <c r="BQ116" s="460">
        <f t="shared" si="356"/>
        <v>382.06874999999997</v>
      </c>
      <c r="BR116" s="528">
        <f t="shared" si="357"/>
        <v>0.10157534572863368</v>
      </c>
      <c r="BS116" s="528">
        <f t="shared" si="358"/>
        <v>0.89842465427136609</v>
      </c>
      <c r="BT116" s="528">
        <f t="shared" si="359"/>
        <v>9.0817457093466249E-5</v>
      </c>
      <c r="BU116" s="528">
        <f t="shared" si="360"/>
        <v>1.5810460625069578E-2</v>
      </c>
      <c r="BV116" s="528"/>
      <c r="BW116" s="625">
        <f t="shared" si="361"/>
        <v>1.584855996666083E-3</v>
      </c>
      <c r="BX116" s="460">
        <f t="shared" si="362"/>
        <v>1017.4861340788289</v>
      </c>
      <c r="BY116" s="173">
        <f t="shared" si="363"/>
        <v>1.5877439117834993</v>
      </c>
      <c r="BZ116" s="5">
        <f t="shared" si="364"/>
        <v>9.1199999999999992</v>
      </c>
      <c r="CA116" s="173">
        <f t="shared" si="365"/>
        <v>0.8517200331961392</v>
      </c>
      <c r="CB116" s="5">
        <f t="shared" si="366"/>
        <v>85.172003319613921</v>
      </c>
      <c r="CC116">
        <f t="shared" si="367"/>
        <v>6</v>
      </c>
      <c r="CE116" s="562">
        <f t="shared" si="368"/>
        <v>-50</v>
      </c>
      <c r="CF116">
        <f t="shared" si="369"/>
        <v>-50</v>
      </c>
      <c r="CG116" s="173">
        <f t="shared" si="370"/>
        <v>0.12116319358831493</v>
      </c>
      <c r="CH116" s="173">
        <f t="shared" si="371"/>
        <v>1.3960818693712991E-2</v>
      </c>
      <c r="CI116" s="170">
        <v>6</v>
      </c>
      <c r="CJ116" s="217">
        <f t="shared" si="438"/>
        <v>0.6</v>
      </c>
      <c r="CK116" s="217">
        <f t="shared" si="372"/>
        <v>1.4999999999999999E-2</v>
      </c>
      <c r="CL116" s="217">
        <f t="shared" si="373"/>
        <v>9</v>
      </c>
      <c r="CM116" s="217">
        <f t="shared" si="374"/>
        <v>0.12</v>
      </c>
      <c r="CN116" s="541">
        <f t="shared" si="375"/>
        <v>19</v>
      </c>
      <c r="CO116" s="443">
        <f t="shared" si="376"/>
        <v>15.7</v>
      </c>
      <c r="CP116" s="443">
        <f t="shared" si="377"/>
        <v>34.700000000000003</v>
      </c>
      <c r="CQ116" s="443"/>
      <c r="CR116" s="217">
        <f t="shared" si="378"/>
        <v>0.44767441860465118</v>
      </c>
      <c r="CS116" s="172">
        <f t="shared" si="379"/>
        <v>209.84738372093025</v>
      </c>
      <c r="CT116" s="172">
        <f t="shared" si="380"/>
        <v>2.835271317829458</v>
      </c>
      <c r="CU116" s="217">
        <f t="shared" si="381"/>
        <v>13.989825581395349</v>
      </c>
      <c r="CV116" s="217">
        <f t="shared" si="382"/>
        <v>26.230922965116282</v>
      </c>
      <c r="CW116" s="217">
        <f t="shared" si="383"/>
        <v>15</v>
      </c>
      <c r="CX116" s="217">
        <f t="shared" si="384"/>
        <v>2.1444155844155843</v>
      </c>
      <c r="CY116" s="217">
        <f t="shared" si="385"/>
        <v>1.3543677375256322</v>
      </c>
      <c r="CZ116" s="217">
        <f t="shared" si="386"/>
        <v>1.6390437587889817</v>
      </c>
      <c r="DA116" s="197">
        <f t="shared" si="387"/>
        <v>71.63784822286263</v>
      </c>
      <c r="DB116" s="443">
        <f t="shared" si="388"/>
        <v>334.0670005547737</v>
      </c>
      <c r="DD116" s="217">
        <f t="shared" si="389"/>
        <v>10.000000000000002</v>
      </c>
      <c r="DE116" s="173">
        <f t="shared" si="390"/>
        <v>7.6433121019108299</v>
      </c>
      <c r="DF116" s="173">
        <f t="shared" si="391"/>
        <v>2.7017291066282429</v>
      </c>
      <c r="DG116" s="173"/>
      <c r="DH116" s="173">
        <f t="shared" si="392"/>
        <v>7.6433121019108281</v>
      </c>
      <c r="DI116" s="545">
        <f t="shared" si="393"/>
        <v>15.7</v>
      </c>
      <c r="DJ116" s="528">
        <f t="shared" si="394"/>
        <v>2.7377521613832849</v>
      </c>
      <c r="DL116" s="173">
        <f t="shared" si="395"/>
        <v>2.0839522890069109</v>
      </c>
      <c r="DM116" s="173">
        <f t="shared" si="396"/>
        <v>10</v>
      </c>
      <c r="DN116" s="173">
        <f t="shared" si="397"/>
        <v>1.0089714285714286</v>
      </c>
      <c r="DP116" s="545">
        <f t="shared" si="398"/>
        <v>600</v>
      </c>
      <c r="DQ116" s="460">
        <f t="shared" si="399"/>
        <v>15.7</v>
      </c>
      <c r="DS116" s="460">
        <f t="shared" si="400"/>
        <v>600</v>
      </c>
      <c r="DT116" s="460">
        <f t="shared" si="401"/>
        <v>15.7</v>
      </c>
      <c r="DV116" s="5">
        <f t="shared" si="402"/>
        <v>63.694267515923563</v>
      </c>
      <c r="DW116" s="5">
        <f t="shared" si="403"/>
        <v>6.3157894736842106</v>
      </c>
      <c r="DX116" s="5">
        <f t="shared" si="404"/>
        <v>57.378478042239351</v>
      </c>
      <c r="DY116" s="173">
        <f t="shared" si="405"/>
        <v>9.9157894736842112E-2</v>
      </c>
      <c r="EA116" s="5">
        <f t="shared" si="406"/>
        <v>25.263157894736842</v>
      </c>
      <c r="EB116" s="5">
        <f t="shared" si="407"/>
        <v>1.1842105263157896</v>
      </c>
      <c r="EC116" s="5">
        <f t="shared" si="408"/>
        <v>7.5497997423999141</v>
      </c>
      <c r="ED116" s="5"/>
      <c r="EE116" s="173">
        <f t="shared" si="409"/>
        <v>1.8180382718454351</v>
      </c>
      <c r="EF116" s="173">
        <f t="shared" si="410"/>
        <v>5.4797874206431221</v>
      </c>
      <c r="EG116" s="173">
        <f t="shared" si="411"/>
        <v>0.13495319608485809</v>
      </c>
      <c r="EH116" s="173"/>
      <c r="EI116" s="528">
        <f t="shared" si="412"/>
        <v>6.6105263157894723E-2</v>
      </c>
      <c r="EJ116" s="528">
        <f t="shared" si="413"/>
        <v>0.108958</v>
      </c>
      <c r="EK116" s="528">
        <f t="shared" si="414"/>
        <v>1.9624999999999998E-3</v>
      </c>
      <c r="EL116" s="528">
        <f t="shared" si="415"/>
        <v>1.8904213000000003E-3</v>
      </c>
      <c r="EM116">
        <f t="shared" si="416"/>
        <v>8.5500000000000003E-3</v>
      </c>
      <c r="EN116" s="460">
        <f t="shared" si="417"/>
        <v>10.512500000000001</v>
      </c>
      <c r="EP116" s="460">
        <f t="shared" si="439"/>
        <v>187.46618445789474</v>
      </c>
      <c r="EQ116" s="173">
        <f t="shared" si="418"/>
        <v>0.42</v>
      </c>
      <c r="ER116" s="173">
        <f t="shared" si="419"/>
        <v>6.6562499999999998E-3</v>
      </c>
      <c r="ES116" s="528"/>
      <c r="EU116" s="460">
        <f t="shared" si="420"/>
        <v>426.65624999999994</v>
      </c>
      <c r="EV116" s="528">
        <f t="shared" si="421"/>
        <v>9.915789473684207E-2</v>
      </c>
      <c r="EW116" s="528">
        <f t="shared" si="422"/>
        <v>0.900842105263158</v>
      </c>
      <c r="EX116" s="528">
        <f t="shared" si="423"/>
        <v>9.1061825667590777E-5</v>
      </c>
      <c r="EY116" s="528">
        <f t="shared" si="424"/>
        <v>1.544255423796531E-2</v>
      </c>
      <c r="EZ116" s="528"/>
      <c r="FA116" s="625">
        <f t="shared" si="425"/>
        <v>1.57E-3</v>
      </c>
      <c r="FB116" s="460">
        <f t="shared" si="426"/>
        <v>1017.1036160636329</v>
      </c>
      <c r="FC116" s="173">
        <f t="shared" si="427"/>
        <v>1.6312260505215277</v>
      </c>
      <c r="FD116" s="5">
        <f t="shared" si="428"/>
        <v>9.1199999999999992</v>
      </c>
      <c r="FE116" s="173">
        <f t="shared" si="429"/>
        <v>0.84827534619250244</v>
      </c>
      <c r="FF116" s="5">
        <f t="shared" si="430"/>
        <v>84.827534619250244</v>
      </c>
      <c r="FG116">
        <f t="shared" si="431"/>
        <v>6</v>
      </c>
      <c r="FI116" s="562">
        <f t="shared" si="432"/>
        <v>-50</v>
      </c>
      <c r="FJ116">
        <f t="shared" si="433"/>
        <v>-50</v>
      </c>
    </row>
    <row r="117" spans="5:166">
      <c r="E117" s="170">
        <v>7</v>
      </c>
      <c r="F117" s="217">
        <f t="shared" si="434"/>
        <v>0.70000000000000007</v>
      </c>
      <c r="G117" s="217">
        <f t="shared" si="313"/>
        <v>1.7500000000000002E-2</v>
      </c>
      <c r="H117" s="217">
        <f t="shared" si="314"/>
        <v>10.500000000000002</v>
      </c>
      <c r="I117" s="217">
        <f t="shared" si="315"/>
        <v>0.14000000000000001</v>
      </c>
      <c r="J117" s="541">
        <f t="shared" si="316"/>
        <v>18.723315016620045</v>
      </c>
      <c r="K117" s="443">
        <f t="shared" si="317"/>
        <v>15.848559966660831</v>
      </c>
      <c r="L117" s="172">
        <f t="shared" si="318"/>
        <v>34.571874983280878</v>
      </c>
      <c r="M117" s="443"/>
      <c r="N117" s="217">
        <f t="shared" si="319"/>
        <v>0.4584235010199843</v>
      </c>
      <c r="O117" s="172">
        <f t="shared" si="320"/>
        <v>211.75676695606103</v>
      </c>
      <c r="P117" s="172">
        <f t="shared" si="321"/>
        <v>2.8610692068730028</v>
      </c>
      <c r="Q117" s="217">
        <f t="shared" si="322"/>
        <v>14.117117797070735</v>
      </c>
      <c r="R117" s="217">
        <f t="shared" si="323"/>
        <v>26.469595869507629</v>
      </c>
      <c r="S117" s="217">
        <f t="shared" si="324"/>
        <v>15</v>
      </c>
      <c r="T117" s="217">
        <f t="shared" si="325"/>
        <v>2.4792596125579132</v>
      </c>
      <c r="U117" s="217">
        <f t="shared" si="326"/>
        <v>1.5889875977777392</v>
      </c>
      <c r="V117" s="217">
        <f t="shared" si="327"/>
        <v>1.8772125299257258</v>
      </c>
      <c r="W117" s="197">
        <f t="shared" si="328"/>
        <v>71.526730171825065</v>
      </c>
      <c r="X117" s="443">
        <f t="shared" si="435"/>
        <v>272.76197838834491</v>
      </c>
      <c r="Z117" s="217">
        <f t="shared" si="329"/>
        <v>10</v>
      </c>
      <c r="AA117" s="173">
        <f t="shared" si="330"/>
        <v>7.5716658328853255</v>
      </c>
      <c r="AB117" s="173">
        <f t="shared" si="331"/>
        <v>2.6722524620724464</v>
      </c>
      <c r="AC117" s="173"/>
      <c r="AD117" s="173">
        <f t="shared" si="332"/>
        <v>7.5716658328853255</v>
      </c>
      <c r="AE117" s="545">
        <f t="shared" si="333"/>
        <v>18.489986627770971</v>
      </c>
      <c r="AF117" s="528">
        <f t="shared" si="334"/>
        <v>2.7078824949000788</v>
      </c>
      <c r="AH117" s="173">
        <f t="shared" si="335"/>
        <v>2.2509257354845511</v>
      </c>
      <c r="AI117" s="173">
        <f t="shared" si="336"/>
        <v>10</v>
      </c>
      <c r="AJ117" s="173">
        <f t="shared" si="337"/>
        <v>1.0105657066444405</v>
      </c>
      <c r="AL117" s="545">
        <f t="shared" si="338"/>
        <v>700.00000000000011</v>
      </c>
      <c r="AM117" s="460">
        <f t="shared" si="339"/>
        <v>18.489986627770971</v>
      </c>
      <c r="AO117" s="460">
        <f t="shared" si="340"/>
        <v>700.00000000000011</v>
      </c>
      <c r="AP117" s="460">
        <f t="shared" si="341"/>
        <v>18.489986627770971</v>
      </c>
      <c r="AR117" s="5">
        <f t="shared" si="275"/>
        <v>54.083327377752319</v>
      </c>
      <c r="AS117" s="5">
        <f t="shared" si="440"/>
        <v>6.4091214559750833</v>
      </c>
      <c r="AT117" s="5">
        <f t="shared" si="441"/>
        <v>47.674205921777236</v>
      </c>
      <c r="AU117" s="173">
        <f t="shared" si="442"/>
        <v>0.11850457001673931</v>
      </c>
      <c r="AW117" s="5">
        <f t="shared" si="342"/>
        <v>29.90923346121706</v>
      </c>
      <c r="AX117" s="5">
        <f t="shared" si="343"/>
        <v>1.4019953184945495</v>
      </c>
      <c r="AY117" s="5">
        <f t="shared" si="344"/>
        <v>7.42655705725298</v>
      </c>
      <c r="AZ117" s="5"/>
      <c r="BA117" s="173">
        <f t="shared" si="345"/>
        <v>1.9874990148151797</v>
      </c>
      <c r="BB117" s="173">
        <f t="shared" si="346"/>
        <v>5.4206255173588609</v>
      </c>
      <c r="BC117" s="173">
        <f t="shared" si="347"/>
        <v>0.13349618921181824</v>
      </c>
      <c r="BD117" s="173"/>
      <c r="BE117" s="528">
        <f t="shared" si="348"/>
        <v>7.9003046677826191E-2</v>
      </c>
      <c r="BF117" s="528">
        <f t="shared" si="349"/>
        <v>0.11985628240084371</v>
      </c>
      <c r="BG117" s="528">
        <f t="shared" si="350"/>
        <v>8.6548461071211998E-3</v>
      </c>
      <c r="BH117" s="528">
        <f t="shared" si="351"/>
        <v>2.2099500859321481E-3</v>
      </c>
      <c r="BI117">
        <f t="shared" si="352"/>
        <v>8.4254917574790207E-3</v>
      </c>
      <c r="BJ117" s="460">
        <f t="shared" si="436"/>
        <v>17.080337864600217</v>
      </c>
      <c r="BK117">
        <f t="shared" si="353"/>
        <v>0.22665466455639732</v>
      </c>
      <c r="BL117" s="460">
        <f t="shared" si="437"/>
        <v>218.14961702920226</v>
      </c>
      <c r="BM117" s="173">
        <f t="shared" si="354"/>
        <v>0.43487499999999996</v>
      </c>
      <c r="BN117" s="173">
        <f t="shared" si="355"/>
        <v>1.0871875E-2</v>
      </c>
      <c r="BO117" s="528"/>
      <c r="BQ117" s="460">
        <f t="shared" si="356"/>
        <v>445.74687499999993</v>
      </c>
      <c r="BR117" s="528">
        <f t="shared" si="357"/>
        <v>0.11850457001673929</v>
      </c>
      <c r="BS117" s="528">
        <f t="shared" si="358"/>
        <v>0.88149542998326047</v>
      </c>
      <c r="BT117" s="528">
        <f t="shared" si="359"/>
        <v>8.9106162670387885E-5</v>
      </c>
      <c r="BU117" s="528">
        <f t="shared" si="360"/>
        <v>2.3244033731665323E-2</v>
      </c>
      <c r="BV117" s="528"/>
      <c r="BW117" s="625">
        <f t="shared" si="361"/>
        <v>1.8489986627770972E-3</v>
      </c>
      <c r="BX117" s="460">
        <f t="shared" si="362"/>
        <v>1025.1821385571125</v>
      </c>
      <c r="BY117" s="173">
        <f t="shared" si="363"/>
        <v>1.6890786305863148</v>
      </c>
      <c r="BZ117" s="5">
        <f t="shared" si="364"/>
        <v>10.640000000000002</v>
      </c>
      <c r="CA117" s="173">
        <f t="shared" si="365"/>
        <v>0.86300041704689912</v>
      </c>
      <c r="CB117" s="5">
        <f t="shared" si="366"/>
        <v>86.300041704689917</v>
      </c>
      <c r="CC117">
        <f t="shared" si="367"/>
        <v>7.0000000000000009</v>
      </c>
      <c r="CE117" s="562">
        <f t="shared" si="368"/>
        <v>-50</v>
      </c>
      <c r="CF117">
        <f t="shared" si="369"/>
        <v>-50</v>
      </c>
      <c r="CG117" s="173">
        <f t="shared" si="370"/>
        <v>0.14135705918636746</v>
      </c>
      <c r="CH117" s="173">
        <f t="shared" si="371"/>
        <v>1.6287621809331826E-2</v>
      </c>
      <c r="CI117" s="170">
        <v>7</v>
      </c>
      <c r="CJ117" s="217">
        <f t="shared" si="438"/>
        <v>0.70000000000000007</v>
      </c>
      <c r="CK117" s="217">
        <f t="shared" si="372"/>
        <v>1.7500000000000002E-2</v>
      </c>
      <c r="CL117" s="217">
        <f t="shared" si="373"/>
        <v>10.500000000000002</v>
      </c>
      <c r="CM117" s="217">
        <f t="shared" si="374"/>
        <v>0.14000000000000001</v>
      </c>
      <c r="CN117" s="541">
        <f t="shared" si="375"/>
        <v>19</v>
      </c>
      <c r="CO117" s="443">
        <f t="shared" si="376"/>
        <v>15.7</v>
      </c>
      <c r="CP117" s="443">
        <f t="shared" si="377"/>
        <v>34.700000000000003</v>
      </c>
      <c r="CQ117" s="443"/>
      <c r="CR117" s="217">
        <f t="shared" si="378"/>
        <v>0.44767441860465118</v>
      </c>
      <c r="CS117" s="172">
        <f t="shared" si="379"/>
        <v>209.84738372093025</v>
      </c>
      <c r="CT117" s="172">
        <f t="shared" si="380"/>
        <v>2.835271317829458</v>
      </c>
      <c r="CU117" s="217">
        <f t="shared" si="381"/>
        <v>13.989825581395349</v>
      </c>
      <c r="CV117" s="217">
        <f t="shared" si="382"/>
        <v>26.230922965116282</v>
      </c>
      <c r="CW117" s="217">
        <f t="shared" si="383"/>
        <v>15</v>
      </c>
      <c r="CX117" s="217">
        <f t="shared" si="384"/>
        <v>2.5018181818181824</v>
      </c>
      <c r="CY117" s="217">
        <f t="shared" si="385"/>
        <v>1.5800956937799049</v>
      </c>
      <c r="CZ117" s="217">
        <f t="shared" si="386"/>
        <v>1.9122177185871461</v>
      </c>
      <c r="DA117" s="197">
        <f t="shared" si="387"/>
        <v>71.63784822286263</v>
      </c>
      <c r="DB117" s="443">
        <f t="shared" si="388"/>
        <v>286.34314333266303</v>
      </c>
      <c r="DD117" s="217">
        <f t="shared" si="389"/>
        <v>10.000000000000002</v>
      </c>
      <c r="DE117" s="173">
        <f t="shared" si="390"/>
        <v>7.6433121019108299</v>
      </c>
      <c r="DF117" s="173">
        <f t="shared" si="391"/>
        <v>2.7017291066282429</v>
      </c>
      <c r="DG117" s="173"/>
      <c r="DH117" s="173">
        <f t="shared" si="392"/>
        <v>7.6433121019108281</v>
      </c>
      <c r="DI117" s="545">
        <f t="shared" si="393"/>
        <v>18.31666666666667</v>
      </c>
      <c r="DJ117" s="528">
        <f t="shared" si="394"/>
        <v>2.7377521613832849</v>
      </c>
      <c r="DL117" s="173">
        <f t="shared" si="395"/>
        <v>2.2509257354845511</v>
      </c>
      <c r="DM117" s="173">
        <f t="shared" si="396"/>
        <v>10</v>
      </c>
      <c r="DN117" s="173">
        <f t="shared" si="397"/>
        <v>1.0104666666666666</v>
      </c>
      <c r="DP117" s="545">
        <f t="shared" si="398"/>
        <v>700.00000000000011</v>
      </c>
      <c r="DQ117" s="460">
        <f t="shared" si="399"/>
        <v>18.31666666666667</v>
      </c>
      <c r="DS117" s="460">
        <f t="shared" si="400"/>
        <v>700.00000000000011</v>
      </c>
      <c r="DT117" s="460">
        <f t="shared" si="401"/>
        <v>18.31666666666667</v>
      </c>
      <c r="DV117" s="5">
        <f t="shared" si="402"/>
        <v>54.595086442220193</v>
      </c>
      <c r="DW117" s="5">
        <f t="shared" si="403"/>
        <v>6.3157894736842106</v>
      </c>
      <c r="DX117" s="5">
        <f t="shared" si="404"/>
        <v>48.279296968535981</v>
      </c>
      <c r="DY117" s="173">
        <f t="shared" si="405"/>
        <v>0.11568421052631581</v>
      </c>
      <c r="EA117" s="5">
        <f t="shared" si="406"/>
        <v>29.473684210526319</v>
      </c>
      <c r="EB117" s="5">
        <f t="shared" si="407"/>
        <v>1.3815789473684212</v>
      </c>
      <c r="EC117" s="5">
        <f t="shared" si="408"/>
        <v>7.4112955872752604</v>
      </c>
      <c r="ED117" s="5"/>
      <c r="EE117" s="173">
        <f t="shared" si="409"/>
        <v>1.9637057699353011</v>
      </c>
      <c r="EF117" s="173">
        <f t="shared" si="410"/>
        <v>5.4292902834952699</v>
      </c>
      <c r="EG117" s="173">
        <f t="shared" si="411"/>
        <v>0.13370958031509919</v>
      </c>
      <c r="EH117" s="173"/>
      <c r="EI117" s="528">
        <f t="shared" si="412"/>
        <v>7.7122807017543885E-2</v>
      </c>
      <c r="EJ117" s="528">
        <f t="shared" si="413"/>
        <v>0.12711766666666668</v>
      </c>
      <c r="EK117" s="528">
        <f t="shared" si="414"/>
        <v>2.2895833333333336E-3</v>
      </c>
      <c r="EL117" s="528">
        <f t="shared" si="415"/>
        <v>2.2054915166666673E-3</v>
      </c>
      <c r="EM117">
        <f t="shared" si="416"/>
        <v>8.5500000000000003E-3</v>
      </c>
      <c r="EN117" s="460">
        <f t="shared" si="417"/>
        <v>10.839583333333334</v>
      </c>
      <c r="EP117" s="460">
        <f t="shared" si="439"/>
        <v>217.28554853421056</v>
      </c>
      <c r="EQ117" s="173">
        <f t="shared" si="418"/>
        <v>0.49</v>
      </c>
      <c r="ER117" s="173">
        <f t="shared" si="419"/>
        <v>7.765625E-3</v>
      </c>
      <c r="ES117" s="528"/>
      <c r="EU117" s="460">
        <f t="shared" si="420"/>
        <v>497.765625</v>
      </c>
      <c r="EV117" s="528">
        <f t="shared" si="421"/>
        <v>0.11568421052631581</v>
      </c>
      <c r="EW117" s="528">
        <f t="shared" si="422"/>
        <v>0.88431578947368439</v>
      </c>
      <c r="EX117" s="528">
        <f t="shared" si="423"/>
        <v>8.9391259340199799E-5</v>
      </c>
      <c r="EY117" s="528">
        <f t="shared" si="424"/>
        <v>2.2703149523751295E-2</v>
      </c>
      <c r="EZ117" s="528"/>
      <c r="FA117" s="625">
        <f t="shared" si="425"/>
        <v>1.8316666666666672E-3</v>
      </c>
      <c r="FB117" s="460">
        <f t="shared" si="426"/>
        <v>1024.6242074497584</v>
      </c>
      <c r="FC117" s="173">
        <f t="shared" si="427"/>
        <v>1.7396753809839691</v>
      </c>
      <c r="FD117" s="5">
        <f t="shared" si="428"/>
        <v>10.640000000000002</v>
      </c>
      <c r="FE117" s="173">
        <f t="shared" si="429"/>
        <v>0.8594732634382134</v>
      </c>
      <c r="FF117" s="5">
        <f t="shared" si="430"/>
        <v>85.947326343821345</v>
      </c>
      <c r="FG117">
        <f t="shared" si="431"/>
        <v>7.0000000000000009</v>
      </c>
      <c r="FI117" s="562">
        <f t="shared" si="432"/>
        <v>-50</v>
      </c>
      <c r="FJ117">
        <f t="shared" si="433"/>
        <v>-50</v>
      </c>
    </row>
    <row r="118" spans="5:166">
      <c r="E118" s="170">
        <v>8</v>
      </c>
      <c r="F118" s="217">
        <f t="shared" si="434"/>
        <v>0.8</v>
      </c>
      <c r="G118" s="217">
        <f t="shared" si="313"/>
        <v>0.02</v>
      </c>
      <c r="H118" s="217">
        <f t="shared" si="314"/>
        <v>12</v>
      </c>
      <c r="I118" s="217">
        <f t="shared" si="315"/>
        <v>0.16</v>
      </c>
      <c r="J118" s="541">
        <f t="shared" si="316"/>
        <v>18.723315016620045</v>
      </c>
      <c r="K118" s="443">
        <f t="shared" si="317"/>
        <v>15.848559966660831</v>
      </c>
      <c r="L118" s="172">
        <f t="shared" si="318"/>
        <v>34.571874983280878</v>
      </c>
      <c r="M118" s="443"/>
      <c r="N118" s="217">
        <f t="shared" si="319"/>
        <v>0.4584235010199843</v>
      </c>
      <c r="O118" s="172">
        <f t="shared" si="320"/>
        <v>211.75676695606103</v>
      </c>
      <c r="P118" s="172">
        <f t="shared" si="321"/>
        <v>2.8610692068730028</v>
      </c>
      <c r="Q118" s="217">
        <f t="shared" si="322"/>
        <v>14.117117797070735</v>
      </c>
      <c r="R118" s="217">
        <f t="shared" si="323"/>
        <v>26.469595869507629</v>
      </c>
      <c r="S118" s="217">
        <f t="shared" si="324"/>
        <v>15</v>
      </c>
      <c r="T118" s="217">
        <f t="shared" si="325"/>
        <v>2.8334395572090427</v>
      </c>
      <c r="U118" s="217">
        <f t="shared" si="326"/>
        <v>1.8159858260317014</v>
      </c>
      <c r="V118" s="217">
        <f t="shared" si="327"/>
        <v>2.1453857484865431</v>
      </c>
      <c r="W118" s="197">
        <f t="shared" si="328"/>
        <v>71.526730171825065</v>
      </c>
      <c r="X118" s="443">
        <f t="shared" si="435"/>
        <v>240.30538539826702</v>
      </c>
      <c r="Z118" s="217">
        <f t="shared" si="329"/>
        <v>10</v>
      </c>
      <c r="AA118" s="173">
        <f t="shared" si="330"/>
        <v>7.5716658328853255</v>
      </c>
      <c r="AB118" s="173">
        <f t="shared" si="331"/>
        <v>2.6722524620724464</v>
      </c>
      <c r="AC118" s="173"/>
      <c r="AD118" s="173">
        <f t="shared" si="332"/>
        <v>7.5716658328853255</v>
      </c>
      <c r="AE118" s="545">
        <f t="shared" si="333"/>
        <v>21.131413288881106</v>
      </c>
      <c r="AF118" s="528">
        <f t="shared" si="334"/>
        <v>2.7078824949000788</v>
      </c>
      <c r="AH118" s="173">
        <f t="shared" si="335"/>
        <v>2.4063408300729532</v>
      </c>
      <c r="AI118" s="173">
        <f t="shared" si="336"/>
        <v>10</v>
      </c>
      <c r="AJ118" s="173">
        <f t="shared" si="337"/>
        <v>1.0120750933079321</v>
      </c>
      <c r="AL118" s="545">
        <f t="shared" si="338"/>
        <v>800</v>
      </c>
      <c r="AM118" s="460">
        <f t="shared" si="339"/>
        <v>21.131413288881106</v>
      </c>
      <c r="AO118" s="460">
        <f t="shared" si="340"/>
        <v>800</v>
      </c>
      <c r="AP118" s="460">
        <f t="shared" si="341"/>
        <v>21.131413288881106</v>
      </c>
      <c r="AR118" s="5">
        <f t="shared" si="275"/>
        <v>47.322911455533287</v>
      </c>
      <c r="AS118" s="5">
        <f t="shared" si="440"/>
        <v>6.4091214559750833</v>
      </c>
      <c r="AT118" s="5">
        <f t="shared" si="441"/>
        <v>40.913789999558205</v>
      </c>
      <c r="AU118" s="173">
        <f t="shared" si="442"/>
        <v>0.1354337943048449</v>
      </c>
      <c r="AW118" s="5">
        <f t="shared" si="342"/>
        <v>34.181981098533782</v>
      </c>
      <c r="AX118" s="5">
        <f t="shared" si="343"/>
        <v>1.6022803639937708</v>
      </c>
      <c r="AY118" s="5">
        <f t="shared" si="344"/>
        <v>7.2839291480952015</v>
      </c>
      <c r="AZ118" s="5"/>
      <c r="BA118" s="173">
        <f t="shared" si="345"/>
        <v>2.1247258199968995</v>
      </c>
      <c r="BB118" s="173">
        <f t="shared" si="346"/>
        <v>5.3683212947039447</v>
      </c>
      <c r="BC118" s="173">
        <f t="shared" si="347"/>
        <v>0.13220806953231679</v>
      </c>
      <c r="BD118" s="173"/>
      <c r="BE118" s="528">
        <f t="shared" si="348"/>
        <v>9.0289196203229935E-2</v>
      </c>
      <c r="BF118" s="528">
        <f t="shared" si="349"/>
        <v>0.13697860845810708</v>
      </c>
      <c r="BG118" s="528">
        <f t="shared" si="350"/>
        <v>9.8912526938527978E-3</v>
      </c>
      <c r="BH118" s="528">
        <f t="shared" si="351"/>
        <v>2.5256572410653115E-3</v>
      </c>
      <c r="BI118">
        <f t="shared" si="352"/>
        <v>8.4254917574790207E-3</v>
      </c>
      <c r="BJ118" s="460">
        <f t="shared" si="436"/>
        <v>18.316744451331818</v>
      </c>
      <c r="BK118">
        <f t="shared" si="353"/>
        <v>0.2597437530700758</v>
      </c>
      <c r="BL118" s="460">
        <f t="shared" si="437"/>
        <v>248.11020635373416</v>
      </c>
      <c r="BM118" s="173">
        <f t="shared" si="354"/>
        <v>0.49699999999999994</v>
      </c>
      <c r="BN118" s="173">
        <f t="shared" si="355"/>
        <v>1.2424999999999999E-2</v>
      </c>
      <c r="BO118" s="528"/>
      <c r="BQ118" s="460">
        <f t="shared" si="356"/>
        <v>509.4249999999999</v>
      </c>
      <c r="BR118" s="528">
        <f t="shared" si="357"/>
        <v>0.1354337943048449</v>
      </c>
      <c r="BS118" s="528">
        <f t="shared" si="358"/>
        <v>0.86456620569515508</v>
      </c>
      <c r="BT118" s="528">
        <f t="shared" si="359"/>
        <v>8.7394868247309549E-5</v>
      </c>
      <c r="BU118" s="528">
        <f t="shared" si="360"/>
        <v>3.2455728703629873E-2</v>
      </c>
      <c r="BV118" s="528"/>
      <c r="BW118" s="625">
        <f t="shared" si="361"/>
        <v>2.113141328888111E-3</v>
      </c>
      <c r="BX118" s="460">
        <f t="shared" si="362"/>
        <v>1034.6562649007653</v>
      </c>
      <c r="BY118" s="173">
        <f t="shared" si="363"/>
        <v>1.7921914712544993</v>
      </c>
      <c r="BZ118" s="5">
        <f t="shared" si="364"/>
        <v>12.16</v>
      </c>
      <c r="CA118" s="173">
        <f t="shared" si="365"/>
        <v>0.87154767228166807</v>
      </c>
      <c r="CB118" s="5">
        <f t="shared" si="366"/>
        <v>87.154767228166804</v>
      </c>
      <c r="CC118">
        <f t="shared" si="367"/>
        <v>8</v>
      </c>
      <c r="CE118" s="562">
        <f t="shared" si="368"/>
        <v>-50</v>
      </c>
      <c r="CF118">
        <f t="shared" si="369"/>
        <v>-50</v>
      </c>
      <c r="CG118" s="173">
        <f t="shared" si="370"/>
        <v>0.16155092478441993</v>
      </c>
      <c r="CH118" s="173">
        <f t="shared" si="371"/>
        <v>1.8614424924950659E-2</v>
      </c>
      <c r="CI118" s="170">
        <v>8</v>
      </c>
      <c r="CJ118" s="217">
        <f t="shared" si="438"/>
        <v>0.8</v>
      </c>
      <c r="CK118" s="217">
        <f t="shared" si="372"/>
        <v>0.02</v>
      </c>
      <c r="CL118" s="217">
        <f t="shared" si="373"/>
        <v>12</v>
      </c>
      <c r="CM118" s="217">
        <f t="shared" si="374"/>
        <v>0.16</v>
      </c>
      <c r="CN118" s="541">
        <f t="shared" si="375"/>
        <v>19</v>
      </c>
      <c r="CO118" s="443">
        <f t="shared" si="376"/>
        <v>15.7</v>
      </c>
      <c r="CP118" s="443">
        <f t="shared" si="377"/>
        <v>34.700000000000003</v>
      </c>
      <c r="CQ118" s="443"/>
      <c r="CR118" s="217">
        <f t="shared" si="378"/>
        <v>0.44767441860465118</v>
      </c>
      <c r="CS118" s="172">
        <f t="shared" si="379"/>
        <v>209.84738372093025</v>
      </c>
      <c r="CT118" s="172">
        <f t="shared" si="380"/>
        <v>2.835271317829458</v>
      </c>
      <c r="CU118" s="217">
        <f t="shared" si="381"/>
        <v>13.989825581395349</v>
      </c>
      <c r="CV118" s="217">
        <f t="shared" si="382"/>
        <v>26.230922965116282</v>
      </c>
      <c r="CW118" s="217">
        <f t="shared" si="383"/>
        <v>15</v>
      </c>
      <c r="CX118" s="217">
        <f t="shared" si="384"/>
        <v>2.8592207792207791</v>
      </c>
      <c r="CY118" s="217">
        <f t="shared" si="385"/>
        <v>1.8058236500341762</v>
      </c>
      <c r="CZ118" s="217">
        <f t="shared" si="386"/>
        <v>2.1853916783853089</v>
      </c>
      <c r="DA118" s="197">
        <f t="shared" si="387"/>
        <v>71.63784822286263</v>
      </c>
      <c r="DB118" s="443">
        <f t="shared" si="388"/>
        <v>250.55025041608025</v>
      </c>
      <c r="DD118" s="217">
        <f t="shared" si="389"/>
        <v>10.000000000000002</v>
      </c>
      <c r="DE118" s="173">
        <f t="shared" si="390"/>
        <v>7.6433121019108299</v>
      </c>
      <c r="DF118" s="173">
        <f t="shared" si="391"/>
        <v>2.7017291066282429</v>
      </c>
      <c r="DG118" s="173"/>
      <c r="DH118" s="173">
        <f t="shared" si="392"/>
        <v>7.6433121019108281</v>
      </c>
      <c r="DI118" s="545">
        <f t="shared" si="393"/>
        <v>20.933333333333337</v>
      </c>
      <c r="DJ118" s="528">
        <f t="shared" si="394"/>
        <v>2.7377521613832849</v>
      </c>
      <c r="DL118" s="173">
        <f t="shared" si="395"/>
        <v>2.4063408300729532</v>
      </c>
      <c r="DM118" s="173">
        <f t="shared" si="396"/>
        <v>10</v>
      </c>
      <c r="DN118" s="173">
        <f t="shared" si="397"/>
        <v>1.0119619047619048</v>
      </c>
      <c r="DP118" s="545">
        <f t="shared" si="398"/>
        <v>800</v>
      </c>
      <c r="DQ118" s="460">
        <f t="shared" si="399"/>
        <v>20.933333333333337</v>
      </c>
      <c r="DS118" s="460">
        <f t="shared" si="400"/>
        <v>800</v>
      </c>
      <c r="DT118" s="460">
        <f t="shared" si="401"/>
        <v>20.933333333333337</v>
      </c>
      <c r="DV118" s="5">
        <f t="shared" si="402"/>
        <v>47.770700636942664</v>
      </c>
      <c r="DW118" s="5">
        <f t="shared" si="403"/>
        <v>6.3157894736842106</v>
      </c>
      <c r="DX118" s="5">
        <f t="shared" si="404"/>
        <v>41.454911163258451</v>
      </c>
      <c r="DY118" s="173">
        <f t="shared" si="405"/>
        <v>0.1322105263157895</v>
      </c>
      <c r="EA118" s="5">
        <f t="shared" si="406"/>
        <v>33.684210526315795</v>
      </c>
      <c r="EB118" s="5">
        <f t="shared" si="407"/>
        <v>1.5789473684210527</v>
      </c>
      <c r="EC118" s="5">
        <f t="shared" si="408"/>
        <v>7.2727914321506049</v>
      </c>
      <c r="ED118" s="5"/>
      <c r="EE118" s="173">
        <f t="shared" si="409"/>
        <v>2.0992897712940084</v>
      </c>
      <c r="EF118" s="173">
        <f t="shared" si="410"/>
        <v>5.3783190486873949</v>
      </c>
      <c r="EG118" s="173">
        <f t="shared" si="411"/>
        <v>0.13245428872845819</v>
      </c>
      <c r="EH118" s="173"/>
      <c r="EI118" s="528">
        <f t="shared" si="412"/>
        <v>8.8140350877193005E-2</v>
      </c>
      <c r="EJ118" s="528">
        <f t="shared" si="413"/>
        <v>0.14527733333333337</v>
      </c>
      <c r="EK118" s="528">
        <f t="shared" si="414"/>
        <v>2.6166666666666669E-3</v>
      </c>
      <c r="EL118" s="528">
        <f t="shared" si="415"/>
        <v>2.5205617333333343E-3</v>
      </c>
      <c r="EM118">
        <f t="shared" si="416"/>
        <v>8.5500000000000003E-3</v>
      </c>
      <c r="EN118" s="460">
        <f t="shared" si="417"/>
        <v>11.166666666666666</v>
      </c>
      <c r="EP118" s="460">
        <f t="shared" si="439"/>
        <v>247.10491261052638</v>
      </c>
      <c r="EQ118" s="173">
        <f t="shared" si="418"/>
        <v>0.55999999999999994</v>
      </c>
      <c r="ER118" s="173">
        <f t="shared" si="419"/>
        <v>8.8749999999999992E-3</v>
      </c>
      <c r="ES118" s="528"/>
      <c r="EU118" s="460">
        <f t="shared" si="420"/>
        <v>568.87499999999989</v>
      </c>
      <c r="EV118" s="528">
        <f t="shared" si="421"/>
        <v>0.1322105263157895</v>
      </c>
      <c r="EW118" s="528">
        <f t="shared" si="422"/>
        <v>0.86778947368421044</v>
      </c>
      <c r="EX118" s="528">
        <f t="shared" si="423"/>
        <v>8.7720693012808821E-5</v>
      </c>
      <c r="EY118" s="528">
        <f t="shared" si="424"/>
        <v>3.1700490120052188E-2</v>
      </c>
      <c r="EZ118" s="528"/>
      <c r="FA118" s="625">
        <f t="shared" si="425"/>
        <v>2.0933333333333338E-3</v>
      </c>
      <c r="FB118" s="460">
        <f t="shared" si="426"/>
        <v>1033.8815441463983</v>
      </c>
      <c r="FC118" s="173">
        <f t="shared" si="427"/>
        <v>1.8498614567569245</v>
      </c>
      <c r="FD118" s="5">
        <f t="shared" si="428"/>
        <v>12.16</v>
      </c>
      <c r="FE118" s="173">
        <f t="shared" si="429"/>
        <v>0.86796004639540958</v>
      </c>
      <c r="FF118" s="5">
        <f t="shared" si="430"/>
        <v>86.796004639540953</v>
      </c>
      <c r="FG118">
        <f t="shared" si="431"/>
        <v>8</v>
      </c>
      <c r="FI118" s="562">
        <f t="shared" si="432"/>
        <v>-50</v>
      </c>
      <c r="FJ118">
        <f t="shared" si="433"/>
        <v>-50</v>
      </c>
    </row>
    <row r="119" spans="5:166">
      <c r="E119" s="170">
        <v>9</v>
      </c>
      <c r="F119" s="217">
        <f t="shared" si="434"/>
        <v>0.89999999999999991</v>
      </c>
      <c r="G119" s="217">
        <f t="shared" si="313"/>
        <v>2.2499999999999999E-2</v>
      </c>
      <c r="H119" s="217">
        <f t="shared" si="314"/>
        <v>13.499999999999998</v>
      </c>
      <c r="I119" s="217">
        <f t="shared" si="315"/>
        <v>0.18</v>
      </c>
      <c r="J119" s="541">
        <f t="shared" si="316"/>
        <v>18.723315016620045</v>
      </c>
      <c r="K119" s="443">
        <f t="shared" si="317"/>
        <v>15.848559966660831</v>
      </c>
      <c r="L119" s="172">
        <f t="shared" si="318"/>
        <v>34.571874983280878</v>
      </c>
      <c r="M119" s="443"/>
      <c r="N119" s="217">
        <f t="shared" si="319"/>
        <v>0.4584235010199843</v>
      </c>
      <c r="O119" s="172">
        <f t="shared" si="320"/>
        <v>211.75676695606103</v>
      </c>
      <c r="P119" s="172">
        <f t="shared" si="321"/>
        <v>2.8610692068730028</v>
      </c>
      <c r="Q119" s="217">
        <f t="shared" si="322"/>
        <v>14.117117797070735</v>
      </c>
      <c r="R119" s="217">
        <f t="shared" si="323"/>
        <v>26.469595869507629</v>
      </c>
      <c r="S119" s="217">
        <f t="shared" si="324"/>
        <v>15</v>
      </c>
      <c r="T119" s="217">
        <f t="shared" si="325"/>
        <v>3.1876195018601727</v>
      </c>
      <c r="U119" s="217">
        <f t="shared" si="326"/>
        <v>2.0429840542856641</v>
      </c>
      <c r="V119" s="217">
        <f t="shared" si="327"/>
        <v>2.4135589670473609</v>
      </c>
      <c r="W119" s="197">
        <f t="shared" si="328"/>
        <v>71.526730171825065</v>
      </c>
      <c r="X119" s="443">
        <f t="shared" si="435"/>
        <v>214.75158619145125</v>
      </c>
      <c r="Z119" s="217">
        <f t="shared" si="329"/>
        <v>10</v>
      </c>
      <c r="AA119" s="173">
        <f t="shared" si="330"/>
        <v>7.5716658328853255</v>
      </c>
      <c r="AB119" s="173">
        <f t="shared" si="331"/>
        <v>2.6722524620724464</v>
      </c>
      <c r="AC119" s="173"/>
      <c r="AD119" s="173">
        <f t="shared" si="332"/>
        <v>7.5716658328853255</v>
      </c>
      <c r="AE119" s="545">
        <f t="shared" si="333"/>
        <v>23.772839949991241</v>
      </c>
      <c r="AF119" s="528">
        <f t="shared" si="334"/>
        <v>2.7078824949000788</v>
      </c>
      <c r="AH119" s="173">
        <f t="shared" si="335"/>
        <v>2.5523098781859765</v>
      </c>
      <c r="AI119" s="173">
        <f t="shared" si="336"/>
        <v>10</v>
      </c>
      <c r="AJ119" s="173">
        <f t="shared" si="337"/>
        <v>1.0135844799714235</v>
      </c>
      <c r="AL119" s="545">
        <f t="shared" si="338"/>
        <v>899.99999999999989</v>
      </c>
      <c r="AM119" s="460">
        <f t="shared" si="339"/>
        <v>23.772839949991241</v>
      </c>
      <c r="AO119" s="460">
        <f t="shared" si="340"/>
        <v>899.99999999999989</v>
      </c>
      <c r="AP119" s="460">
        <f t="shared" si="341"/>
        <v>23.772839949991241</v>
      </c>
      <c r="AR119" s="5">
        <f t="shared" si="275"/>
        <v>42.064810182696263</v>
      </c>
      <c r="AS119" s="5">
        <f t="shared" si="440"/>
        <v>6.4091214559750833</v>
      </c>
      <c r="AT119" s="5">
        <f t="shared" si="441"/>
        <v>35.655688726721181</v>
      </c>
      <c r="AU119" s="173">
        <f t="shared" si="442"/>
        <v>0.15236301859295048</v>
      </c>
      <c r="AW119" s="5">
        <f t="shared" si="342"/>
        <v>38.454728735850495</v>
      </c>
      <c r="AX119" s="5">
        <f t="shared" si="343"/>
        <v>1.8025654094929919</v>
      </c>
      <c r="AY119" s="5">
        <f t="shared" si="344"/>
        <v>7.141301238937424</v>
      </c>
      <c r="AZ119" s="5"/>
      <c r="BA119" s="173">
        <f t="shared" si="345"/>
        <v>2.2536120532229327</v>
      </c>
      <c r="BB119" s="173">
        <f t="shared" si="346"/>
        <v>5.3155024265728299</v>
      </c>
      <c r="BC119" s="173">
        <f t="shared" si="347"/>
        <v>0.13090727544657796</v>
      </c>
      <c r="BD119" s="173"/>
      <c r="BE119" s="528">
        <f t="shared" si="348"/>
        <v>0.10157534572863364</v>
      </c>
      <c r="BF119" s="528">
        <f t="shared" si="349"/>
        <v>0.15410093451537046</v>
      </c>
      <c r="BG119" s="528">
        <f t="shared" si="350"/>
        <v>1.1127659280584398E-2</v>
      </c>
      <c r="BH119" s="528">
        <f t="shared" si="351"/>
        <v>2.8413643961984749E-3</v>
      </c>
      <c r="BI119">
        <f t="shared" si="352"/>
        <v>8.4254917574790207E-3</v>
      </c>
      <c r="BJ119" s="460">
        <f t="shared" si="436"/>
        <v>19.553151038063419</v>
      </c>
      <c r="BK119">
        <f t="shared" si="353"/>
        <v>0.29301469312374262</v>
      </c>
      <c r="BL119" s="460">
        <f t="shared" si="437"/>
        <v>278.07079567826605</v>
      </c>
      <c r="BM119" s="173">
        <f t="shared" si="354"/>
        <v>0.55912499999999987</v>
      </c>
      <c r="BN119" s="173">
        <f t="shared" si="355"/>
        <v>1.3978124999999999E-2</v>
      </c>
      <c r="BO119" s="528"/>
      <c r="BQ119" s="460">
        <f t="shared" si="356"/>
        <v>573.10312499999986</v>
      </c>
      <c r="BR119" s="528">
        <f t="shared" si="357"/>
        <v>0.15236301859295046</v>
      </c>
      <c r="BS119" s="528">
        <f t="shared" si="358"/>
        <v>0.84763698140704924</v>
      </c>
      <c r="BT119" s="528">
        <f t="shared" si="359"/>
        <v>8.5683573824231159E-5</v>
      </c>
      <c r="BU119" s="528">
        <f t="shared" si="360"/>
        <v>4.3568506271008368E-2</v>
      </c>
      <c r="BV119" s="528"/>
      <c r="BW119" s="625">
        <f t="shared" si="361"/>
        <v>2.3772839949991243E-3</v>
      </c>
      <c r="BX119" s="460">
        <f t="shared" si="362"/>
        <v>1046.0314738398313</v>
      </c>
      <c r="BY119" s="173">
        <f t="shared" si="363"/>
        <v>1.8972053945180973</v>
      </c>
      <c r="BZ119" s="5">
        <f t="shared" si="364"/>
        <v>13.679999999999998</v>
      </c>
      <c r="CA119" s="173">
        <f t="shared" si="365"/>
        <v>0.87820630552988921</v>
      </c>
      <c r="CB119" s="5">
        <f t="shared" si="366"/>
        <v>87.820630552988916</v>
      </c>
      <c r="CC119">
        <f t="shared" si="367"/>
        <v>9</v>
      </c>
      <c r="CE119" s="562">
        <f t="shared" si="368"/>
        <v>-50</v>
      </c>
      <c r="CF119">
        <f t="shared" si="369"/>
        <v>-50</v>
      </c>
      <c r="CG119" s="173">
        <f t="shared" si="370"/>
        <v>0.18174479038247238</v>
      </c>
      <c r="CH119" s="173">
        <f t="shared" si="371"/>
        <v>2.0941228040569488E-2</v>
      </c>
      <c r="CI119" s="170">
        <v>9</v>
      </c>
      <c r="CJ119" s="217">
        <f t="shared" si="438"/>
        <v>0.89999999999999991</v>
      </c>
      <c r="CK119" s="217">
        <f t="shared" si="372"/>
        <v>2.2499999999999999E-2</v>
      </c>
      <c r="CL119" s="217">
        <f t="shared" si="373"/>
        <v>13.499999999999998</v>
      </c>
      <c r="CM119" s="217">
        <f t="shared" si="374"/>
        <v>0.18</v>
      </c>
      <c r="CN119" s="541">
        <f t="shared" si="375"/>
        <v>19</v>
      </c>
      <c r="CO119" s="443">
        <f t="shared" si="376"/>
        <v>15.7</v>
      </c>
      <c r="CP119" s="443">
        <f t="shared" si="377"/>
        <v>34.700000000000003</v>
      </c>
      <c r="CQ119" s="443"/>
      <c r="CR119" s="217">
        <f t="shared" si="378"/>
        <v>0.44767441860465118</v>
      </c>
      <c r="CS119" s="172">
        <f t="shared" si="379"/>
        <v>209.84738372093025</v>
      </c>
      <c r="CT119" s="172">
        <f t="shared" si="380"/>
        <v>2.835271317829458</v>
      </c>
      <c r="CU119" s="217">
        <f t="shared" si="381"/>
        <v>13.989825581395349</v>
      </c>
      <c r="CV119" s="217">
        <f t="shared" si="382"/>
        <v>26.230922965116282</v>
      </c>
      <c r="CW119" s="217">
        <f t="shared" si="383"/>
        <v>15</v>
      </c>
      <c r="CX119" s="217">
        <f t="shared" si="384"/>
        <v>3.2166233766233758</v>
      </c>
      <c r="CY119" s="217">
        <f t="shared" si="385"/>
        <v>2.0315516062884478</v>
      </c>
      <c r="CZ119" s="217">
        <f t="shared" si="386"/>
        <v>2.458565638183472</v>
      </c>
      <c r="DA119" s="197">
        <f t="shared" si="387"/>
        <v>71.63784822286263</v>
      </c>
      <c r="DB119" s="443">
        <f t="shared" si="388"/>
        <v>222.7113337031825</v>
      </c>
      <c r="DD119" s="217">
        <f t="shared" si="389"/>
        <v>10.000000000000002</v>
      </c>
      <c r="DE119" s="173">
        <f t="shared" si="390"/>
        <v>7.6433121019108299</v>
      </c>
      <c r="DF119" s="173">
        <f t="shared" si="391"/>
        <v>2.7017291066282429</v>
      </c>
      <c r="DG119" s="173"/>
      <c r="DH119" s="173">
        <f t="shared" si="392"/>
        <v>7.6433121019108281</v>
      </c>
      <c r="DI119" s="545">
        <f t="shared" si="393"/>
        <v>23.55</v>
      </c>
      <c r="DJ119" s="528">
        <f t="shared" si="394"/>
        <v>2.7377521613832849</v>
      </c>
      <c r="DL119" s="173">
        <f t="shared" si="395"/>
        <v>2.5523098781859765</v>
      </c>
      <c r="DM119" s="173">
        <f t="shared" si="396"/>
        <v>10</v>
      </c>
      <c r="DN119" s="173">
        <f t="shared" si="397"/>
        <v>1.0134571428571428</v>
      </c>
      <c r="DP119" s="545">
        <f t="shared" si="398"/>
        <v>899.99999999999989</v>
      </c>
      <c r="DQ119" s="460">
        <f t="shared" si="399"/>
        <v>23.55</v>
      </c>
      <c r="DS119" s="460">
        <f t="shared" si="400"/>
        <v>899.99999999999989</v>
      </c>
      <c r="DT119" s="460">
        <f t="shared" si="401"/>
        <v>23.55</v>
      </c>
      <c r="DV119" s="5">
        <f t="shared" si="402"/>
        <v>42.462845010615709</v>
      </c>
      <c r="DW119" s="5">
        <f t="shared" si="403"/>
        <v>6.3157894736842106</v>
      </c>
      <c r="DX119" s="5">
        <f t="shared" si="404"/>
        <v>36.147055536931497</v>
      </c>
      <c r="DY119" s="173">
        <f t="shared" si="405"/>
        <v>0.14873684210526317</v>
      </c>
      <c r="EA119" s="5">
        <f t="shared" si="406"/>
        <v>37.894736842105267</v>
      </c>
      <c r="EB119" s="5">
        <f t="shared" si="407"/>
        <v>1.7763157894736843</v>
      </c>
      <c r="EC119" s="5">
        <f t="shared" si="408"/>
        <v>7.1342872770259511</v>
      </c>
      <c r="ED119" s="5"/>
      <c r="EE119" s="173">
        <f t="shared" si="409"/>
        <v>2.2266330494363245</v>
      </c>
      <c r="EF119" s="173">
        <f t="shared" si="410"/>
        <v>5.3268601067130739</v>
      </c>
      <c r="EG119" s="173">
        <f t="shared" si="411"/>
        <v>0.13118698615748278</v>
      </c>
      <c r="EH119" s="173"/>
      <c r="EI119" s="528">
        <f t="shared" si="412"/>
        <v>9.9157894736842112E-2</v>
      </c>
      <c r="EJ119" s="528">
        <f t="shared" si="413"/>
        <v>0.163437</v>
      </c>
      <c r="EK119" s="528">
        <f t="shared" si="414"/>
        <v>2.9437500000000002E-3</v>
      </c>
      <c r="EL119" s="528">
        <f t="shared" si="415"/>
        <v>2.8356319500000009E-3</v>
      </c>
      <c r="EM119">
        <f t="shared" si="416"/>
        <v>8.5500000000000003E-3</v>
      </c>
      <c r="EN119" s="460">
        <f t="shared" si="417"/>
        <v>11.49375</v>
      </c>
      <c r="EP119" s="460">
        <f t="shared" si="439"/>
        <v>276.92427668684218</v>
      </c>
      <c r="EQ119" s="173">
        <f t="shared" si="418"/>
        <v>0.62999999999999989</v>
      </c>
      <c r="ER119" s="173">
        <f t="shared" si="419"/>
        <v>9.9843749999999985E-3</v>
      </c>
      <c r="ES119" s="528"/>
      <c r="EU119" s="460">
        <f t="shared" si="420"/>
        <v>639.98437499999989</v>
      </c>
      <c r="EV119" s="528">
        <f t="shared" si="421"/>
        <v>0.14873684210526314</v>
      </c>
      <c r="EW119" s="528">
        <f t="shared" si="422"/>
        <v>0.85126315789473661</v>
      </c>
      <c r="EX119" s="528">
        <f t="shared" si="423"/>
        <v>8.6050126685417898E-5</v>
      </c>
      <c r="EY119" s="528">
        <f t="shared" si="424"/>
        <v>4.255467548430255E-2</v>
      </c>
      <c r="EZ119" s="528"/>
      <c r="FA119" s="625">
        <f t="shared" si="425"/>
        <v>2.3550000000000003E-3</v>
      </c>
      <c r="FB119" s="460">
        <f t="shared" si="426"/>
        <v>1044.9957256109878</v>
      </c>
      <c r="FC119" s="173">
        <f t="shared" si="427"/>
        <v>1.9619043772978297</v>
      </c>
      <c r="FD119" s="5">
        <f t="shared" si="428"/>
        <v>13.679999999999998</v>
      </c>
      <c r="FE119" s="173">
        <f t="shared" si="429"/>
        <v>0.87457381595138273</v>
      </c>
      <c r="FF119" s="5">
        <f t="shared" si="430"/>
        <v>87.457381595138273</v>
      </c>
      <c r="FG119">
        <f t="shared" si="431"/>
        <v>9</v>
      </c>
      <c r="FI119" s="562">
        <f t="shared" si="432"/>
        <v>-50</v>
      </c>
      <c r="FJ119">
        <f t="shared" si="433"/>
        <v>-50</v>
      </c>
    </row>
    <row r="120" spans="5:166">
      <c r="E120" s="170">
        <v>10</v>
      </c>
      <c r="F120" s="217">
        <f t="shared" si="434"/>
        <v>1</v>
      </c>
      <c r="G120" s="217">
        <f t="shared" si="313"/>
        <v>2.5000000000000001E-2</v>
      </c>
      <c r="H120" s="217">
        <f t="shared" si="314"/>
        <v>15</v>
      </c>
      <c r="I120" s="217">
        <f t="shared" si="315"/>
        <v>0.2</v>
      </c>
      <c r="J120" s="541">
        <f t="shared" si="316"/>
        <v>18.723315016620045</v>
      </c>
      <c r="K120" s="443">
        <f t="shared" si="317"/>
        <v>15.848559966660831</v>
      </c>
      <c r="L120" s="172">
        <f t="shared" si="318"/>
        <v>34.571874983280878</v>
      </c>
      <c r="M120" s="443"/>
      <c r="N120" s="217">
        <f t="shared" si="319"/>
        <v>0.4584235010199843</v>
      </c>
      <c r="O120" s="172">
        <f t="shared" si="320"/>
        <v>211.75676695606103</v>
      </c>
      <c r="P120" s="172">
        <f t="shared" si="321"/>
        <v>2.8610692068730028</v>
      </c>
      <c r="Q120" s="217">
        <f t="shared" si="322"/>
        <v>14.117117797070735</v>
      </c>
      <c r="R120" s="217">
        <f t="shared" si="323"/>
        <v>26.469595869507629</v>
      </c>
      <c r="S120" s="217">
        <f t="shared" si="324"/>
        <v>15</v>
      </c>
      <c r="T120" s="217">
        <f t="shared" si="325"/>
        <v>3.5417994465113032</v>
      </c>
      <c r="U120" s="217">
        <f t="shared" si="326"/>
        <v>2.2699822825396265</v>
      </c>
      <c r="V120" s="217">
        <f t="shared" si="327"/>
        <v>2.6817321856081793</v>
      </c>
      <c r="W120" s="197">
        <f t="shared" si="328"/>
        <v>71.526730171825065</v>
      </c>
      <c r="X120" s="443">
        <f t="shared" si="435"/>
        <v>194.11013676763991</v>
      </c>
      <c r="Z120" s="217">
        <f t="shared" si="329"/>
        <v>10</v>
      </c>
      <c r="AA120" s="173">
        <f t="shared" si="330"/>
        <v>7.5716658328853255</v>
      </c>
      <c r="AB120" s="173">
        <f t="shared" si="331"/>
        <v>2.6722524620724464</v>
      </c>
      <c r="AC120" s="173"/>
      <c r="AD120" s="173">
        <f t="shared" si="332"/>
        <v>7.5716658328853255</v>
      </c>
      <c r="AE120" s="545">
        <f t="shared" si="333"/>
        <v>26.414266611101382</v>
      </c>
      <c r="AF120" s="528">
        <f t="shared" si="334"/>
        <v>2.7078824949000788</v>
      </c>
      <c r="AH120" s="173">
        <f t="shared" si="335"/>
        <v>2.6903708365381971</v>
      </c>
      <c r="AI120" s="173">
        <f t="shared" si="336"/>
        <v>10</v>
      </c>
      <c r="AJ120" s="173">
        <f t="shared" si="337"/>
        <v>1.0150938666349152</v>
      </c>
      <c r="AL120" s="545">
        <f t="shared" si="338"/>
        <v>1000</v>
      </c>
      <c r="AM120" s="460">
        <f t="shared" si="339"/>
        <v>26.414266611101382</v>
      </c>
      <c r="AO120" s="460">
        <f t="shared" si="340"/>
        <v>1000</v>
      </c>
      <c r="AP120" s="460">
        <f t="shared" si="341"/>
        <v>26.414266611101382</v>
      </c>
      <c r="AR120" s="5">
        <f t="shared" si="275"/>
        <v>37.858329164426628</v>
      </c>
      <c r="AS120" s="5">
        <f t="shared" si="440"/>
        <v>6.4091214559750833</v>
      </c>
      <c r="AT120" s="5">
        <f t="shared" si="441"/>
        <v>31.449207708451546</v>
      </c>
      <c r="AU120" s="173">
        <f t="shared" si="442"/>
        <v>0.16929224288105613</v>
      </c>
      <c r="AW120" s="5">
        <f t="shared" si="342"/>
        <v>42.727476373167221</v>
      </c>
      <c r="AX120" s="5">
        <f t="shared" si="343"/>
        <v>2.0028504549922137</v>
      </c>
      <c r="AY120" s="5">
        <f t="shared" si="344"/>
        <v>6.9986733297796455</v>
      </c>
      <c r="AZ120" s="5"/>
      <c r="BA120" s="173">
        <f t="shared" si="345"/>
        <v>2.3755156835310247</v>
      </c>
      <c r="BB120" s="173">
        <f t="shared" si="346"/>
        <v>5.262153415725491</v>
      </c>
      <c r="BC120" s="173">
        <f t="shared" si="347"/>
        <v>0.1295934252970827</v>
      </c>
      <c r="BD120" s="173"/>
      <c r="BE120" s="528">
        <f t="shared" si="348"/>
        <v>0.11286149525403744</v>
      </c>
      <c r="BF120" s="528">
        <f t="shared" si="349"/>
        <v>0.17122326057263387</v>
      </c>
      <c r="BG120" s="528">
        <f t="shared" si="350"/>
        <v>1.2364065867315999E-2</v>
      </c>
      <c r="BH120" s="528">
        <f t="shared" si="351"/>
        <v>3.1570715513316392E-3</v>
      </c>
      <c r="BI120">
        <f t="shared" si="352"/>
        <v>8.4254917574790207E-3</v>
      </c>
      <c r="BJ120" s="460">
        <f t="shared" si="436"/>
        <v>20.789557624795023</v>
      </c>
      <c r="BK120">
        <f t="shared" si="353"/>
        <v>0.32646898798211871</v>
      </c>
      <c r="BL120" s="460">
        <f t="shared" si="437"/>
        <v>308.03138500279795</v>
      </c>
      <c r="BM120" s="173">
        <f t="shared" si="354"/>
        <v>0.62124999999999997</v>
      </c>
      <c r="BN120" s="173">
        <f t="shared" si="355"/>
        <v>1.5531249999999998E-2</v>
      </c>
      <c r="BO120" s="528"/>
      <c r="BQ120" s="460">
        <f t="shared" si="356"/>
        <v>636.78125</v>
      </c>
      <c r="BR120" s="528">
        <f t="shared" si="357"/>
        <v>0.16929224288105615</v>
      </c>
      <c r="BS120" s="528">
        <f t="shared" si="358"/>
        <v>0.83070775711894351</v>
      </c>
      <c r="BT120" s="528">
        <f t="shared" si="359"/>
        <v>8.3972279401152783E-5</v>
      </c>
      <c r="BU120" s="528">
        <f t="shared" si="360"/>
        <v>5.669782471922459E-2</v>
      </c>
      <c r="BV120" s="528"/>
      <c r="BW120" s="625">
        <f t="shared" si="361"/>
        <v>2.6414266611101381E-3</v>
      </c>
      <c r="BX120" s="460">
        <f t="shared" si="362"/>
        <v>1059.4232236597356</v>
      </c>
      <c r="BY120" s="173">
        <f t="shared" si="363"/>
        <v>2.0042358586625335</v>
      </c>
      <c r="BZ120" s="5">
        <f t="shared" si="364"/>
        <v>15.2</v>
      </c>
      <c r="CA120" s="173">
        <f t="shared" si="365"/>
        <v>0.88350334910961026</v>
      </c>
      <c r="CB120" s="5">
        <f t="shared" si="366"/>
        <v>88.350334910961024</v>
      </c>
      <c r="CC120">
        <f t="shared" si="367"/>
        <v>10</v>
      </c>
      <c r="CE120" s="562">
        <f t="shared" si="368"/>
        <v>-50</v>
      </c>
      <c r="CF120">
        <f t="shared" si="369"/>
        <v>-50</v>
      </c>
      <c r="CG120" s="173">
        <f t="shared" si="370"/>
        <v>0.20193865598052488</v>
      </c>
      <c r="CH120" s="173">
        <f t="shared" si="371"/>
        <v>2.3268031156188321E-2</v>
      </c>
      <c r="CI120" s="170">
        <v>10</v>
      </c>
      <c r="CJ120" s="217">
        <f t="shared" si="438"/>
        <v>1</v>
      </c>
      <c r="CK120" s="217">
        <f t="shared" si="372"/>
        <v>2.5000000000000001E-2</v>
      </c>
      <c r="CL120" s="217">
        <f t="shared" si="373"/>
        <v>15</v>
      </c>
      <c r="CM120" s="217">
        <f t="shared" si="374"/>
        <v>0.2</v>
      </c>
      <c r="CN120" s="541">
        <f t="shared" si="375"/>
        <v>19</v>
      </c>
      <c r="CO120" s="443">
        <f t="shared" si="376"/>
        <v>15.7</v>
      </c>
      <c r="CP120" s="443">
        <f t="shared" si="377"/>
        <v>34.700000000000003</v>
      </c>
      <c r="CQ120" s="443"/>
      <c r="CR120" s="217">
        <f t="shared" si="378"/>
        <v>0.44767441860465118</v>
      </c>
      <c r="CS120" s="172">
        <f t="shared" si="379"/>
        <v>209.84738372093025</v>
      </c>
      <c r="CT120" s="172">
        <f t="shared" si="380"/>
        <v>2.835271317829458</v>
      </c>
      <c r="CU120" s="217">
        <f t="shared" si="381"/>
        <v>13.989825581395349</v>
      </c>
      <c r="CV120" s="217">
        <f t="shared" si="382"/>
        <v>26.230922965116282</v>
      </c>
      <c r="CW120" s="217">
        <f t="shared" si="383"/>
        <v>15</v>
      </c>
      <c r="CX120" s="217">
        <f t="shared" si="384"/>
        <v>3.5740259740259739</v>
      </c>
      <c r="CY120" s="217">
        <f t="shared" si="385"/>
        <v>2.2572795625427204</v>
      </c>
      <c r="CZ120" s="217">
        <f t="shared" si="386"/>
        <v>2.7317395979816363</v>
      </c>
      <c r="DA120" s="197">
        <f t="shared" si="387"/>
        <v>71.63784822286263</v>
      </c>
      <c r="DB120" s="443">
        <f t="shared" si="388"/>
        <v>200.44020033286418</v>
      </c>
      <c r="DD120" s="217">
        <f t="shared" si="389"/>
        <v>10.000000000000002</v>
      </c>
      <c r="DE120" s="173">
        <f t="shared" si="390"/>
        <v>7.6433121019108299</v>
      </c>
      <c r="DF120" s="173">
        <f t="shared" si="391"/>
        <v>2.7017291066282429</v>
      </c>
      <c r="DG120" s="173"/>
      <c r="DH120" s="173">
        <f t="shared" si="392"/>
        <v>7.6433121019108281</v>
      </c>
      <c r="DI120" s="545">
        <f t="shared" si="393"/>
        <v>26.166666666666668</v>
      </c>
      <c r="DJ120" s="528">
        <f t="shared" si="394"/>
        <v>2.7377521613832849</v>
      </c>
      <c r="DL120" s="173">
        <f t="shared" si="395"/>
        <v>2.6903708365381971</v>
      </c>
      <c r="DM120" s="173">
        <f t="shared" si="396"/>
        <v>10</v>
      </c>
      <c r="DN120" s="173">
        <f t="shared" si="397"/>
        <v>1.0149523809523811</v>
      </c>
      <c r="DP120" s="545">
        <f t="shared" si="398"/>
        <v>1000</v>
      </c>
      <c r="DQ120" s="460">
        <f t="shared" si="399"/>
        <v>26.166666666666668</v>
      </c>
      <c r="DS120" s="460">
        <f t="shared" si="400"/>
        <v>1000</v>
      </c>
      <c r="DT120" s="460">
        <f t="shared" si="401"/>
        <v>26.166666666666668</v>
      </c>
      <c r="DV120" s="5">
        <f t="shared" si="402"/>
        <v>38.216560509554135</v>
      </c>
      <c r="DW120" s="5">
        <f t="shared" si="403"/>
        <v>6.3157894736842106</v>
      </c>
      <c r="DX120" s="5">
        <f t="shared" si="404"/>
        <v>31.900771035869923</v>
      </c>
      <c r="DY120" s="173">
        <f t="shared" si="405"/>
        <v>0.16526315789473686</v>
      </c>
      <c r="EA120" s="5">
        <f t="shared" si="406"/>
        <v>42.105263157894733</v>
      </c>
      <c r="EB120" s="5">
        <f t="shared" si="407"/>
        <v>1.9736842105263159</v>
      </c>
      <c r="EC120" s="5">
        <f t="shared" si="408"/>
        <v>6.9957831219012983</v>
      </c>
      <c r="ED120" s="5"/>
      <c r="EE120" s="173">
        <f t="shared" si="409"/>
        <v>2.3470773165416947</v>
      </c>
      <c r="EF120" s="173">
        <f t="shared" si="410"/>
        <v>5.2748991842033117</v>
      </c>
      <c r="EG120" s="173">
        <f t="shared" si="411"/>
        <v>0.12990732108547767</v>
      </c>
      <c r="EH120" s="173"/>
      <c r="EI120" s="528">
        <f t="shared" si="412"/>
        <v>0.11017543859649126</v>
      </c>
      <c r="EJ120" s="528">
        <f t="shared" si="413"/>
        <v>0.18159666666666668</v>
      </c>
      <c r="EK120" s="528">
        <f t="shared" si="414"/>
        <v>3.2708333333333335E-3</v>
      </c>
      <c r="EL120" s="528">
        <f t="shared" si="415"/>
        <v>3.1507021666666675E-3</v>
      </c>
      <c r="EM120">
        <f t="shared" si="416"/>
        <v>8.5500000000000003E-3</v>
      </c>
      <c r="EN120" s="460">
        <f t="shared" si="417"/>
        <v>11.820833333333335</v>
      </c>
      <c r="EP120" s="460">
        <f t="shared" si="439"/>
        <v>306.74364076315794</v>
      </c>
      <c r="EQ120" s="173">
        <f t="shared" si="418"/>
        <v>0.7</v>
      </c>
      <c r="ER120" s="173">
        <f t="shared" si="419"/>
        <v>1.1093749999999999E-2</v>
      </c>
      <c r="ES120" s="528"/>
      <c r="EU120" s="460">
        <f t="shared" si="420"/>
        <v>711.09375</v>
      </c>
      <c r="EV120" s="528">
        <f t="shared" si="421"/>
        <v>0.16526315789473686</v>
      </c>
      <c r="EW120" s="528">
        <f t="shared" si="422"/>
        <v>0.83473684210526289</v>
      </c>
      <c r="EX120" s="528">
        <f t="shared" si="423"/>
        <v>8.4379560358026961E-5</v>
      </c>
      <c r="EY120" s="528">
        <f t="shared" si="424"/>
        <v>5.5378477209763376E-2</v>
      </c>
      <c r="EZ120" s="528"/>
      <c r="FA120" s="625">
        <f t="shared" si="425"/>
        <v>2.6166666666666669E-3</v>
      </c>
      <c r="FB120" s="460">
        <f t="shared" si="426"/>
        <v>1058.0795234367879</v>
      </c>
      <c r="FC120" s="173">
        <f t="shared" si="427"/>
        <v>2.0759169141999454</v>
      </c>
      <c r="FD120" s="5">
        <f t="shared" si="428"/>
        <v>15.2</v>
      </c>
      <c r="FE120" s="173">
        <f t="shared" si="429"/>
        <v>0.87983752616374034</v>
      </c>
      <c r="FF120" s="5">
        <f t="shared" si="430"/>
        <v>87.983752616374034</v>
      </c>
      <c r="FG120">
        <f t="shared" si="431"/>
        <v>10</v>
      </c>
      <c r="FI120" s="562">
        <f t="shared" si="432"/>
        <v>-50</v>
      </c>
      <c r="FJ120">
        <f t="shared" si="433"/>
        <v>-50</v>
      </c>
    </row>
    <row r="121" spans="5:166">
      <c r="E121" s="170">
        <v>11</v>
      </c>
      <c r="F121" s="217">
        <f t="shared" si="434"/>
        <v>1.1000000000000001</v>
      </c>
      <c r="G121" s="217">
        <f t="shared" si="313"/>
        <v>2.75E-2</v>
      </c>
      <c r="H121" s="217">
        <f t="shared" si="314"/>
        <v>16.5</v>
      </c>
      <c r="I121" s="217">
        <f t="shared" si="315"/>
        <v>0.22</v>
      </c>
      <c r="J121" s="541">
        <f t="shared" si="316"/>
        <v>18.723315016620045</v>
      </c>
      <c r="K121" s="443">
        <f t="shared" si="317"/>
        <v>15.848559966660831</v>
      </c>
      <c r="L121" s="172">
        <f t="shared" si="318"/>
        <v>34.571874983280878</v>
      </c>
      <c r="M121" s="443"/>
      <c r="N121" s="217">
        <f t="shared" si="319"/>
        <v>0.4584235010199843</v>
      </c>
      <c r="O121" s="172">
        <f t="shared" si="320"/>
        <v>211.75676695606103</v>
      </c>
      <c r="P121" s="172">
        <f t="shared" si="321"/>
        <v>2.8610692068730028</v>
      </c>
      <c r="Q121" s="217">
        <f t="shared" si="322"/>
        <v>14.117117797070735</v>
      </c>
      <c r="R121" s="217">
        <f t="shared" si="323"/>
        <v>26.469595869507629</v>
      </c>
      <c r="S121" s="217">
        <f t="shared" si="324"/>
        <v>15</v>
      </c>
      <c r="T121" s="217">
        <f t="shared" si="325"/>
        <v>3.8959793911624336</v>
      </c>
      <c r="U121" s="217">
        <f t="shared" si="326"/>
        <v>2.4969805107935894</v>
      </c>
      <c r="V121" s="217">
        <f t="shared" si="327"/>
        <v>2.9499054041689967</v>
      </c>
      <c r="W121" s="197">
        <f t="shared" si="328"/>
        <v>71.526730171825065</v>
      </c>
      <c r="X121" s="443">
        <f t="shared" si="435"/>
        <v>177.08875565385415</v>
      </c>
      <c r="Z121" s="217">
        <f t="shared" si="329"/>
        <v>10</v>
      </c>
      <c r="AA121" s="173">
        <f t="shared" si="330"/>
        <v>7.5716658328853255</v>
      </c>
      <c r="AB121" s="173">
        <f t="shared" si="331"/>
        <v>2.6722524620724464</v>
      </c>
      <c r="AC121" s="173"/>
      <c r="AD121" s="173">
        <f t="shared" si="332"/>
        <v>7.5716658328853255</v>
      </c>
      <c r="AE121" s="545">
        <f t="shared" si="333"/>
        <v>29.055693272211524</v>
      </c>
      <c r="AF121" s="528">
        <f t="shared" si="334"/>
        <v>2.7078824949000788</v>
      </c>
      <c r="AH121" s="173">
        <f t="shared" si="335"/>
        <v>2.8216847382201933</v>
      </c>
      <c r="AI121" s="173">
        <f t="shared" si="336"/>
        <v>10</v>
      </c>
      <c r="AJ121" s="173">
        <f t="shared" si="337"/>
        <v>1.0166032532984066</v>
      </c>
      <c r="AL121" s="545">
        <f t="shared" si="338"/>
        <v>1100</v>
      </c>
      <c r="AM121" s="460">
        <f t="shared" si="339"/>
        <v>29.055693272211524</v>
      </c>
      <c r="AO121" s="460">
        <f t="shared" si="340"/>
        <v>1100</v>
      </c>
      <c r="AP121" s="460">
        <f t="shared" si="341"/>
        <v>29.055693272211524</v>
      </c>
      <c r="AR121" s="5">
        <f t="shared" si="275"/>
        <v>34.416662876751481</v>
      </c>
      <c r="AS121" s="5">
        <f t="shared" si="440"/>
        <v>6.4091214559750833</v>
      </c>
      <c r="AT121" s="5">
        <f t="shared" si="441"/>
        <v>28.007541420776398</v>
      </c>
      <c r="AU121" s="173">
        <f t="shared" si="442"/>
        <v>0.18622146716916174</v>
      </c>
      <c r="AW121" s="5">
        <f t="shared" si="342"/>
        <v>47.000224010483954</v>
      </c>
      <c r="AX121" s="5">
        <f t="shared" si="343"/>
        <v>2.203135500491435</v>
      </c>
      <c r="AY121" s="5">
        <f t="shared" si="344"/>
        <v>6.8560454206218671</v>
      </c>
      <c r="AZ121" s="5"/>
      <c r="BA121" s="173">
        <f t="shared" si="345"/>
        <v>2.4914618678543041</v>
      </c>
      <c r="BB121" s="173">
        <f t="shared" si="346"/>
        <v>5.2082579711801209</v>
      </c>
      <c r="BC121" s="173">
        <f t="shared" si="347"/>
        <v>0.12826611787847517</v>
      </c>
      <c r="BD121" s="173"/>
      <c r="BE121" s="528">
        <f t="shared" si="348"/>
        <v>0.12414764477944117</v>
      </c>
      <c r="BF121" s="528">
        <f t="shared" si="349"/>
        <v>0.18834558662989725</v>
      </c>
      <c r="BG121" s="528">
        <f t="shared" si="350"/>
        <v>1.36004724540476E-2</v>
      </c>
      <c r="BH121" s="528">
        <f t="shared" si="351"/>
        <v>3.4727787064648039E-3</v>
      </c>
      <c r="BI121">
        <f t="shared" si="352"/>
        <v>8.4254917574790207E-3</v>
      </c>
      <c r="BJ121" s="460">
        <f t="shared" si="436"/>
        <v>22.02596421152662</v>
      </c>
      <c r="BK121">
        <f t="shared" si="353"/>
        <v>0.3601081575245676</v>
      </c>
      <c r="BL121" s="460">
        <f t="shared" si="437"/>
        <v>337.99197432732984</v>
      </c>
      <c r="BM121" s="173">
        <f t="shared" si="354"/>
        <v>0.68337499999999995</v>
      </c>
      <c r="BN121" s="173">
        <f t="shared" si="355"/>
        <v>1.7084374999999999E-2</v>
      </c>
      <c r="BO121" s="528"/>
      <c r="BQ121" s="460">
        <f t="shared" si="356"/>
        <v>700.45937500000002</v>
      </c>
      <c r="BR121" s="528">
        <f t="shared" si="357"/>
        <v>0.18622146716916174</v>
      </c>
      <c r="BS121" s="528">
        <f t="shared" si="358"/>
        <v>0.81377853283083801</v>
      </c>
      <c r="BT121" s="528">
        <f t="shared" si="359"/>
        <v>8.2260984978074447E-5</v>
      </c>
      <c r="BU121" s="528">
        <f t="shared" si="360"/>
        <v>7.1952868087402963E-2</v>
      </c>
      <c r="BV121" s="528"/>
      <c r="BW121" s="625">
        <f t="shared" si="361"/>
        <v>2.9055693272211527E-3</v>
      </c>
      <c r="BX121" s="460">
        <f t="shared" si="362"/>
        <v>1074.9406983996016</v>
      </c>
      <c r="BY121" s="173">
        <f t="shared" si="363"/>
        <v>2.1133920477269319</v>
      </c>
      <c r="BZ121" s="5">
        <f t="shared" si="364"/>
        <v>16.72</v>
      </c>
      <c r="CA121" s="173">
        <f t="shared" si="365"/>
        <v>0.88778484288060022</v>
      </c>
      <c r="CB121" s="5">
        <f t="shared" si="366"/>
        <v>88.778484288060028</v>
      </c>
      <c r="CC121">
        <f t="shared" si="367"/>
        <v>11.000000000000002</v>
      </c>
      <c r="CE121" s="562">
        <f t="shared" si="368"/>
        <v>-50</v>
      </c>
      <c r="CF121">
        <f t="shared" si="369"/>
        <v>-50</v>
      </c>
      <c r="CG121" s="173">
        <f t="shared" si="370"/>
        <v>0.22213252157857741</v>
      </c>
      <c r="CH121" s="173">
        <f t="shared" si="371"/>
        <v>2.5594834271807154E-2</v>
      </c>
      <c r="CI121" s="170">
        <v>11</v>
      </c>
      <c r="CJ121" s="217">
        <f t="shared" si="438"/>
        <v>1.1000000000000001</v>
      </c>
      <c r="CK121" s="217">
        <f t="shared" si="372"/>
        <v>2.75E-2</v>
      </c>
      <c r="CL121" s="217">
        <f t="shared" si="373"/>
        <v>16.5</v>
      </c>
      <c r="CM121" s="217">
        <f t="shared" si="374"/>
        <v>0.22</v>
      </c>
      <c r="CN121" s="541">
        <f t="shared" si="375"/>
        <v>19</v>
      </c>
      <c r="CO121" s="443">
        <f t="shared" si="376"/>
        <v>15.7</v>
      </c>
      <c r="CP121" s="443">
        <f t="shared" si="377"/>
        <v>34.700000000000003</v>
      </c>
      <c r="CQ121" s="443"/>
      <c r="CR121" s="217">
        <f t="shared" si="378"/>
        <v>0.44767441860465118</v>
      </c>
      <c r="CS121" s="172">
        <f t="shared" si="379"/>
        <v>209.84738372093025</v>
      </c>
      <c r="CT121" s="172">
        <f t="shared" si="380"/>
        <v>2.835271317829458</v>
      </c>
      <c r="CU121" s="217">
        <f t="shared" si="381"/>
        <v>13.989825581395349</v>
      </c>
      <c r="CV121" s="217">
        <f t="shared" si="382"/>
        <v>26.230922965116282</v>
      </c>
      <c r="CW121" s="217">
        <f t="shared" si="383"/>
        <v>15</v>
      </c>
      <c r="CX121" s="217">
        <f t="shared" si="384"/>
        <v>3.9314285714285711</v>
      </c>
      <c r="CY121" s="217">
        <f t="shared" si="385"/>
        <v>2.4830075187969927</v>
      </c>
      <c r="CZ121" s="217">
        <f t="shared" si="386"/>
        <v>3.0049135577797998</v>
      </c>
      <c r="DA121" s="197">
        <f t="shared" si="387"/>
        <v>71.63784822286263</v>
      </c>
      <c r="DB121" s="443">
        <f t="shared" si="388"/>
        <v>182.21836393896743</v>
      </c>
      <c r="DD121" s="217">
        <f t="shared" si="389"/>
        <v>10.000000000000002</v>
      </c>
      <c r="DE121" s="173">
        <f t="shared" si="390"/>
        <v>7.6433121019108299</v>
      </c>
      <c r="DF121" s="173">
        <f t="shared" si="391"/>
        <v>2.7017291066282429</v>
      </c>
      <c r="DG121" s="173"/>
      <c r="DH121" s="173">
        <f t="shared" si="392"/>
        <v>7.6433121019108281</v>
      </c>
      <c r="DI121" s="545">
        <f t="shared" si="393"/>
        <v>28.783333333333339</v>
      </c>
      <c r="DJ121" s="528">
        <f t="shared" si="394"/>
        <v>2.7377521613832849</v>
      </c>
      <c r="DL121" s="173">
        <f t="shared" si="395"/>
        <v>2.8216847382201933</v>
      </c>
      <c r="DM121" s="173">
        <f t="shared" si="396"/>
        <v>10</v>
      </c>
      <c r="DN121" s="173">
        <f t="shared" si="397"/>
        <v>1.016447619047619</v>
      </c>
      <c r="DP121" s="545">
        <f t="shared" si="398"/>
        <v>1100</v>
      </c>
      <c r="DQ121" s="460">
        <f t="shared" si="399"/>
        <v>28.783333333333339</v>
      </c>
      <c r="DS121" s="460">
        <f t="shared" si="400"/>
        <v>1100</v>
      </c>
      <c r="DT121" s="460">
        <f t="shared" si="401"/>
        <v>28.783333333333339</v>
      </c>
      <c r="DV121" s="5">
        <f t="shared" si="402"/>
        <v>34.742327735958305</v>
      </c>
      <c r="DW121" s="5">
        <f t="shared" si="403"/>
        <v>6.3157894736842106</v>
      </c>
      <c r="DX121" s="5">
        <f t="shared" si="404"/>
        <v>28.426538262274093</v>
      </c>
      <c r="DY121" s="173">
        <f t="shared" si="405"/>
        <v>0.18178947368421056</v>
      </c>
      <c r="EA121" s="5">
        <f t="shared" si="406"/>
        <v>46.315789473684212</v>
      </c>
      <c r="EB121" s="5">
        <f t="shared" si="407"/>
        <v>2.1710526315789478</v>
      </c>
      <c r="EC121" s="5">
        <f t="shared" si="408"/>
        <v>6.8572789667766454</v>
      </c>
      <c r="ED121" s="5"/>
      <c r="EE121" s="173">
        <f t="shared" si="409"/>
        <v>2.4616354569283851</v>
      </c>
      <c r="EF121" s="173">
        <f t="shared" si="410"/>
        <v>5.222421297686191</v>
      </c>
      <c r="EG121" s="173">
        <f t="shared" si="411"/>
        <v>0.12861492450772269</v>
      </c>
      <c r="EH121" s="173"/>
      <c r="EI121" s="528">
        <f t="shared" si="412"/>
        <v>0.12119298245614041</v>
      </c>
      <c r="EJ121" s="528">
        <f t="shared" si="413"/>
        <v>0.1997563333333334</v>
      </c>
      <c r="EK121" s="528">
        <f t="shared" si="414"/>
        <v>3.5979166666666672E-3</v>
      </c>
      <c r="EL121" s="528">
        <f t="shared" si="415"/>
        <v>3.4657723833333349E-3</v>
      </c>
      <c r="EM121">
        <f t="shared" si="416"/>
        <v>8.5500000000000003E-3</v>
      </c>
      <c r="EN121" s="460">
        <f t="shared" si="417"/>
        <v>12.147916666666667</v>
      </c>
      <c r="EP121" s="460">
        <f t="shared" si="439"/>
        <v>336.56300483947382</v>
      </c>
      <c r="EQ121" s="173">
        <f t="shared" si="418"/>
        <v>0.77</v>
      </c>
      <c r="ER121" s="173">
        <f t="shared" si="419"/>
        <v>1.2203124999999999E-2</v>
      </c>
      <c r="ES121" s="528"/>
      <c r="EU121" s="460">
        <f t="shared" si="420"/>
        <v>782.203125</v>
      </c>
      <c r="EV121" s="528">
        <f t="shared" si="421"/>
        <v>0.18178947368421058</v>
      </c>
      <c r="EW121" s="528">
        <f t="shared" si="422"/>
        <v>0.8182105263157895</v>
      </c>
      <c r="EX121" s="528">
        <f t="shared" si="423"/>
        <v>8.2708994030636037E-5</v>
      </c>
      <c r="EY121" s="528">
        <f t="shared" si="424"/>
        <v>7.0278538643904612E-2</v>
      </c>
      <c r="EZ121" s="528"/>
      <c r="FA121" s="625">
        <f t="shared" si="425"/>
        <v>2.8783333333333343E-3</v>
      </c>
      <c r="FB121" s="460">
        <f t="shared" si="426"/>
        <v>1073.2395809712687</v>
      </c>
      <c r="FC121" s="173">
        <f t="shared" si="427"/>
        <v>2.1920057108107427</v>
      </c>
      <c r="FD121" s="5">
        <f t="shared" si="428"/>
        <v>16.72</v>
      </c>
      <c r="FE121" s="173">
        <f t="shared" si="429"/>
        <v>0.88409448768526344</v>
      </c>
      <c r="FF121" s="5">
        <f t="shared" si="430"/>
        <v>88.409448768526346</v>
      </c>
      <c r="FG121">
        <f t="shared" si="431"/>
        <v>11.000000000000002</v>
      </c>
      <c r="FI121" s="562">
        <f t="shared" si="432"/>
        <v>-50</v>
      </c>
      <c r="FJ121">
        <f t="shared" si="433"/>
        <v>-50</v>
      </c>
    </row>
    <row r="122" spans="5:166">
      <c r="E122" s="170">
        <v>12</v>
      </c>
      <c r="F122" s="217">
        <f t="shared" si="434"/>
        <v>1.2</v>
      </c>
      <c r="G122" s="217">
        <f t="shared" si="313"/>
        <v>0.03</v>
      </c>
      <c r="H122" s="217">
        <f t="shared" si="314"/>
        <v>18</v>
      </c>
      <c r="I122" s="217">
        <f t="shared" si="315"/>
        <v>0.24</v>
      </c>
      <c r="J122" s="541">
        <f t="shared" si="316"/>
        <v>18.723315016620045</v>
      </c>
      <c r="K122" s="443">
        <f t="shared" si="317"/>
        <v>15.848559966660831</v>
      </c>
      <c r="L122" s="172">
        <f t="shared" si="318"/>
        <v>34.571874983280878</v>
      </c>
      <c r="M122" s="443"/>
      <c r="N122" s="217">
        <f t="shared" si="319"/>
        <v>0.4584235010199843</v>
      </c>
      <c r="O122" s="172">
        <f t="shared" si="320"/>
        <v>211.75676695606103</v>
      </c>
      <c r="P122" s="172">
        <f t="shared" si="321"/>
        <v>2.8610692068730028</v>
      </c>
      <c r="Q122" s="217">
        <f t="shared" si="322"/>
        <v>14.117117797070735</v>
      </c>
      <c r="R122" s="217">
        <f t="shared" si="323"/>
        <v>26.469595869507629</v>
      </c>
      <c r="S122" s="217">
        <f t="shared" si="324"/>
        <v>15</v>
      </c>
      <c r="T122" s="217">
        <f t="shared" si="325"/>
        <v>4.2501593358135636</v>
      </c>
      <c r="U122" s="217">
        <f t="shared" si="326"/>
        <v>2.7239787390475518</v>
      </c>
      <c r="V122" s="217">
        <f t="shared" si="327"/>
        <v>3.2180786227298146</v>
      </c>
      <c r="W122" s="197">
        <f t="shared" si="328"/>
        <v>71.526730171825065</v>
      </c>
      <c r="X122" s="443">
        <f t="shared" si="435"/>
        <v>162.81189528171771</v>
      </c>
      <c r="Z122" s="217">
        <f t="shared" si="329"/>
        <v>10</v>
      </c>
      <c r="AA122" s="173">
        <f t="shared" si="330"/>
        <v>7.5716658328853255</v>
      </c>
      <c r="AB122" s="173">
        <f t="shared" si="331"/>
        <v>2.6722524620724464</v>
      </c>
      <c r="AC122" s="173"/>
      <c r="AD122" s="173">
        <f t="shared" si="332"/>
        <v>7.5716658328853255</v>
      </c>
      <c r="AE122" s="545">
        <f t="shared" si="333"/>
        <v>31.697119933321659</v>
      </c>
      <c r="AF122" s="528">
        <f t="shared" si="334"/>
        <v>2.7078824949000788</v>
      </c>
      <c r="AH122" s="173">
        <f t="shared" si="335"/>
        <v>2.9471535904520287</v>
      </c>
      <c r="AI122" s="173">
        <f t="shared" si="336"/>
        <v>10</v>
      </c>
      <c r="AJ122" s="173">
        <f t="shared" si="337"/>
        <v>1.018112639961898</v>
      </c>
      <c r="AL122" s="545">
        <f t="shared" si="338"/>
        <v>1200</v>
      </c>
      <c r="AM122" s="460">
        <f t="shared" si="339"/>
        <v>31.697119933321659</v>
      </c>
      <c r="AO122" s="460">
        <f t="shared" si="340"/>
        <v>1200</v>
      </c>
      <c r="AP122" s="460">
        <f t="shared" si="341"/>
        <v>31.697119933321659</v>
      </c>
      <c r="AR122" s="5">
        <f t="shared" si="275"/>
        <v>31.54860763702219</v>
      </c>
      <c r="AS122" s="5">
        <f t="shared" si="440"/>
        <v>6.4091214559750833</v>
      </c>
      <c r="AT122" s="5">
        <f t="shared" si="441"/>
        <v>25.139486181047108</v>
      </c>
      <c r="AU122" s="173">
        <f t="shared" si="442"/>
        <v>0.20315069145726736</v>
      </c>
      <c r="AW122" s="5">
        <f t="shared" si="342"/>
        <v>51.272971647800659</v>
      </c>
      <c r="AX122" s="5">
        <f t="shared" si="343"/>
        <v>2.4034205459906564</v>
      </c>
      <c r="AY122" s="5">
        <f t="shared" si="344"/>
        <v>6.7134175114640886</v>
      </c>
      <c r="AZ122" s="5"/>
      <c r="BA122" s="173">
        <f t="shared" si="345"/>
        <v>2.6022470511544911</v>
      </c>
      <c r="BB122" s="173">
        <f t="shared" si="346"/>
        <v>5.1537989501038055</v>
      </c>
      <c r="BC122" s="173">
        <f t="shared" si="347"/>
        <v>0.12692493100647806</v>
      </c>
      <c r="BD122" s="173"/>
      <c r="BE122" s="528">
        <f t="shared" si="348"/>
        <v>0.1354337943048449</v>
      </c>
      <c r="BF122" s="528">
        <f t="shared" si="349"/>
        <v>0.20546791268716064</v>
      </c>
      <c r="BG122" s="528">
        <f t="shared" si="350"/>
        <v>1.4836879040779198E-2</v>
      </c>
      <c r="BH122" s="528">
        <f t="shared" si="351"/>
        <v>3.7884858615979673E-3</v>
      </c>
      <c r="BI122">
        <f t="shared" si="352"/>
        <v>8.4254917574790207E-3</v>
      </c>
      <c r="BJ122" s="460">
        <f t="shared" si="436"/>
        <v>23.262370798258221</v>
      </c>
      <c r="BK122">
        <f t="shared" si="353"/>
        <v>0.39393373847527191</v>
      </c>
      <c r="BL122" s="460">
        <f t="shared" si="437"/>
        <v>367.95256365186168</v>
      </c>
      <c r="BM122" s="173">
        <f t="shared" si="354"/>
        <v>0.74549999999999994</v>
      </c>
      <c r="BN122" s="173">
        <f t="shared" si="355"/>
        <v>1.8637499999999998E-2</v>
      </c>
      <c r="BO122" s="528"/>
      <c r="BQ122" s="460">
        <f t="shared" si="356"/>
        <v>764.13749999999993</v>
      </c>
      <c r="BR122" s="528">
        <f t="shared" si="357"/>
        <v>0.20315069145726733</v>
      </c>
      <c r="BS122" s="528">
        <f t="shared" si="358"/>
        <v>0.79684930854273262</v>
      </c>
      <c r="BT122" s="528">
        <f t="shared" si="359"/>
        <v>8.054969055499607E-5</v>
      </c>
      <c r="BU122" s="528">
        <f t="shared" si="360"/>
        <v>8.9437471373356683E-2</v>
      </c>
      <c r="BV122" s="528"/>
      <c r="BW122" s="625">
        <f t="shared" si="361"/>
        <v>3.1697119933321661E-3</v>
      </c>
      <c r="BX122" s="460">
        <f t="shared" si="362"/>
        <v>1092.687733057244</v>
      </c>
      <c r="BY122" s="173">
        <f t="shared" si="363"/>
        <v>2.2247777967091054</v>
      </c>
      <c r="BZ122" s="5">
        <f t="shared" si="364"/>
        <v>18.239999999999998</v>
      </c>
      <c r="CA122" s="173">
        <f t="shared" si="365"/>
        <v>0.89128746870308717</v>
      </c>
      <c r="CB122" s="5">
        <f t="shared" si="366"/>
        <v>89.128746870308717</v>
      </c>
      <c r="CC122">
        <f t="shared" si="367"/>
        <v>12</v>
      </c>
      <c r="CE122" s="562">
        <f t="shared" si="368"/>
        <v>-50</v>
      </c>
      <c r="CF122">
        <f t="shared" si="369"/>
        <v>-50</v>
      </c>
      <c r="CG122" s="173">
        <f t="shared" si="370"/>
        <v>0.24232638717662985</v>
      </c>
      <c r="CH122" s="173">
        <f t="shared" si="371"/>
        <v>2.7921637387425983E-2</v>
      </c>
      <c r="CI122" s="170">
        <v>12</v>
      </c>
      <c r="CJ122" s="217">
        <f t="shared" si="438"/>
        <v>1.2</v>
      </c>
      <c r="CK122" s="217">
        <f t="shared" si="372"/>
        <v>0.03</v>
      </c>
      <c r="CL122" s="217">
        <f t="shared" si="373"/>
        <v>18</v>
      </c>
      <c r="CM122" s="217">
        <f t="shared" si="374"/>
        <v>0.24</v>
      </c>
      <c r="CN122" s="541">
        <f t="shared" si="375"/>
        <v>19</v>
      </c>
      <c r="CO122" s="443">
        <f t="shared" si="376"/>
        <v>15.7</v>
      </c>
      <c r="CP122" s="443">
        <f t="shared" si="377"/>
        <v>34.700000000000003</v>
      </c>
      <c r="CQ122" s="443"/>
      <c r="CR122" s="217">
        <f t="shared" si="378"/>
        <v>0.44767441860465118</v>
      </c>
      <c r="CS122" s="172">
        <f t="shared" si="379"/>
        <v>209.84738372093025</v>
      </c>
      <c r="CT122" s="172">
        <f t="shared" si="380"/>
        <v>2.835271317829458</v>
      </c>
      <c r="CU122" s="217">
        <f t="shared" si="381"/>
        <v>13.989825581395349</v>
      </c>
      <c r="CV122" s="217">
        <f t="shared" si="382"/>
        <v>26.230922965116282</v>
      </c>
      <c r="CW122" s="217">
        <f t="shared" si="383"/>
        <v>15</v>
      </c>
      <c r="CX122" s="217">
        <f t="shared" si="384"/>
        <v>4.2888311688311687</v>
      </c>
      <c r="CY122" s="217">
        <f t="shared" si="385"/>
        <v>2.7087354750512644</v>
      </c>
      <c r="CZ122" s="217">
        <f t="shared" si="386"/>
        <v>3.2780875175779634</v>
      </c>
      <c r="DA122" s="197">
        <f t="shared" si="387"/>
        <v>71.63784822286263</v>
      </c>
      <c r="DB122" s="443">
        <f t="shared" si="388"/>
        <v>167.03350027738685</v>
      </c>
      <c r="DD122" s="217">
        <f t="shared" si="389"/>
        <v>10.000000000000002</v>
      </c>
      <c r="DE122" s="173">
        <f t="shared" si="390"/>
        <v>7.6433121019108299</v>
      </c>
      <c r="DF122" s="173">
        <f t="shared" si="391"/>
        <v>2.7017291066282429</v>
      </c>
      <c r="DG122" s="173"/>
      <c r="DH122" s="173">
        <f t="shared" si="392"/>
        <v>7.6433121019108281</v>
      </c>
      <c r="DI122" s="545">
        <f t="shared" si="393"/>
        <v>31.4</v>
      </c>
      <c r="DJ122" s="528">
        <f t="shared" si="394"/>
        <v>2.7377521613832849</v>
      </c>
      <c r="DL122" s="173">
        <f t="shared" si="395"/>
        <v>2.9471535904520287</v>
      </c>
      <c r="DM122" s="173">
        <f t="shared" si="396"/>
        <v>10</v>
      </c>
      <c r="DN122" s="173">
        <f t="shared" si="397"/>
        <v>1.017942857142857</v>
      </c>
      <c r="DP122" s="545">
        <f t="shared" si="398"/>
        <v>1200</v>
      </c>
      <c r="DQ122" s="460">
        <f t="shared" si="399"/>
        <v>31.4</v>
      </c>
      <c r="DS122" s="460">
        <f t="shared" si="400"/>
        <v>1200</v>
      </c>
      <c r="DT122" s="460">
        <f t="shared" si="401"/>
        <v>31.4</v>
      </c>
      <c r="DV122" s="5">
        <f t="shared" si="402"/>
        <v>31.847133757961782</v>
      </c>
      <c r="DW122" s="5">
        <f t="shared" si="403"/>
        <v>6.3157894736842106</v>
      </c>
      <c r="DX122" s="5">
        <f t="shared" si="404"/>
        <v>25.531344284277573</v>
      </c>
      <c r="DY122" s="173">
        <f t="shared" si="405"/>
        <v>0.19831578947368422</v>
      </c>
      <c r="EA122" s="5">
        <f t="shared" si="406"/>
        <v>50.526315789473685</v>
      </c>
      <c r="EB122" s="5">
        <f t="shared" si="407"/>
        <v>2.3684210526315792</v>
      </c>
      <c r="EC122" s="5">
        <f t="shared" si="408"/>
        <v>6.7187748116519916</v>
      </c>
      <c r="ED122" s="5"/>
      <c r="EE122" s="173">
        <f t="shared" si="409"/>
        <v>2.5710943809571587</v>
      </c>
      <c r="EF122" s="173">
        <f t="shared" si="410"/>
        <v>5.1694107031211844</v>
      </c>
      <c r="EG122" s="173">
        <f t="shared" si="411"/>
        <v>0.12730940868863153</v>
      </c>
      <c r="EH122" s="173"/>
      <c r="EI122" s="528">
        <f t="shared" si="412"/>
        <v>0.1322105263157895</v>
      </c>
      <c r="EJ122" s="528">
        <f t="shared" si="413"/>
        <v>0.217916</v>
      </c>
      <c r="EK122" s="528">
        <f t="shared" si="414"/>
        <v>3.9249999999999997E-3</v>
      </c>
      <c r="EL122" s="528">
        <f t="shared" si="415"/>
        <v>3.7808426000000006E-3</v>
      </c>
      <c r="EM122">
        <f t="shared" si="416"/>
        <v>8.5500000000000003E-3</v>
      </c>
      <c r="EN122" s="460">
        <f t="shared" si="417"/>
        <v>12.475</v>
      </c>
      <c r="EP122" s="460">
        <f t="shared" si="439"/>
        <v>366.38236891578953</v>
      </c>
      <c r="EQ122" s="173">
        <f t="shared" si="418"/>
        <v>0.84</v>
      </c>
      <c r="ER122" s="173">
        <f t="shared" si="419"/>
        <v>1.33125E-2</v>
      </c>
      <c r="ES122" s="528"/>
      <c r="EU122" s="460">
        <f t="shared" si="420"/>
        <v>853.31249999999989</v>
      </c>
      <c r="EV122" s="528">
        <f t="shared" si="421"/>
        <v>0.19831578947368422</v>
      </c>
      <c r="EW122" s="528">
        <f t="shared" si="422"/>
        <v>0.80168421052631567</v>
      </c>
      <c r="EX122" s="528">
        <f t="shared" si="423"/>
        <v>8.1038427703245046E-5</v>
      </c>
      <c r="EY122" s="528">
        <f t="shared" si="424"/>
        <v>8.7356278564050566E-2</v>
      </c>
      <c r="EZ122" s="528"/>
      <c r="FA122" s="625">
        <f t="shared" si="425"/>
        <v>3.14E-3</v>
      </c>
      <c r="FB122" s="460">
        <f t="shared" si="426"/>
        <v>1090.5773169917536</v>
      </c>
      <c r="FC122" s="173">
        <f t="shared" si="427"/>
        <v>2.3102721859075439</v>
      </c>
      <c r="FD122" s="5">
        <f t="shared" si="428"/>
        <v>18.239999999999998</v>
      </c>
      <c r="FE122" s="173">
        <f t="shared" si="429"/>
        <v>0.88757948483564009</v>
      </c>
      <c r="FF122" s="5">
        <f t="shared" si="430"/>
        <v>88.757948483564007</v>
      </c>
      <c r="FG122">
        <f t="shared" si="431"/>
        <v>12</v>
      </c>
      <c r="FI122" s="562">
        <f t="shared" si="432"/>
        <v>-50</v>
      </c>
      <c r="FJ122">
        <f t="shared" si="433"/>
        <v>-50</v>
      </c>
    </row>
    <row r="123" spans="5:166">
      <c r="E123" s="170">
        <v>13</v>
      </c>
      <c r="F123" s="217">
        <f t="shared" si="434"/>
        <v>1.3</v>
      </c>
      <c r="G123" s="217">
        <f t="shared" si="313"/>
        <v>3.2500000000000001E-2</v>
      </c>
      <c r="H123" s="217">
        <f t="shared" si="314"/>
        <v>19.5</v>
      </c>
      <c r="I123" s="217">
        <f t="shared" si="315"/>
        <v>0.26</v>
      </c>
      <c r="J123" s="541">
        <f t="shared" si="316"/>
        <v>18.723315016620045</v>
      </c>
      <c r="K123" s="443">
        <f t="shared" si="317"/>
        <v>15.848559966660831</v>
      </c>
      <c r="L123" s="172">
        <f t="shared" si="318"/>
        <v>34.571874983280878</v>
      </c>
      <c r="M123" s="443"/>
      <c r="N123" s="217">
        <f t="shared" si="319"/>
        <v>0.4584235010199843</v>
      </c>
      <c r="O123" s="172">
        <f t="shared" si="320"/>
        <v>211.75676695606103</v>
      </c>
      <c r="P123" s="172">
        <f t="shared" si="321"/>
        <v>2.8610692068730028</v>
      </c>
      <c r="Q123" s="217">
        <f t="shared" si="322"/>
        <v>14.117117797070735</v>
      </c>
      <c r="R123" s="217">
        <f t="shared" si="323"/>
        <v>26.469595869507629</v>
      </c>
      <c r="S123" s="217">
        <f t="shared" si="324"/>
        <v>15</v>
      </c>
      <c r="T123" s="217">
        <f t="shared" si="325"/>
        <v>4.6043392804646945</v>
      </c>
      <c r="U123" s="217">
        <f t="shared" si="326"/>
        <v>2.9509769673015152</v>
      </c>
      <c r="V123" s="217">
        <f t="shared" si="327"/>
        <v>3.4862518412906334</v>
      </c>
      <c r="W123" s="197">
        <f t="shared" si="328"/>
        <v>71.526730171825065</v>
      </c>
      <c r="X123" s="443">
        <f t="shared" si="435"/>
        <v>150.66528951140896</v>
      </c>
      <c r="Z123" s="217">
        <f t="shared" si="329"/>
        <v>10</v>
      </c>
      <c r="AA123" s="173">
        <f t="shared" si="330"/>
        <v>7.5716658328853255</v>
      </c>
      <c r="AB123" s="173">
        <f t="shared" si="331"/>
        <v>2.6722524620724464</v>
      </c>
      <c r="AC123" s="173"/>
      <c r="AD123" s="173">
        <f t="shared" si="332"/>
        <v>7.5716658328853255</v>
      </c>
      <c r="AE123" s="545">
        <f t="shared" si="333"/>
        <v>34.338546594431797</v>
      </c>
      <c r="AF123" s="528">
        <f t="shared" si="334"/>
        <v>2.7078824949000788</v>
      </c>
      <c r="AH123" s="173">
        <f t="shared" si="335"/>
        <v>3.0674947122242622</v>
      </c>
      <c r="AI123" s="173">
        <f t="shared" si="336"/>
        <v>10</v>
      </c>
      <c r="AJ123" s="173">
        <f t="shared" si="337"/>
        <v>1.0196220266253897</v>
      </c>
      <c r="AL123" s="545">
        <f t="shared" si="338"/>
        <v>1300</v>
      </c>
      <c r="AM123" s="460">
        <f t="shared" si="339"/>
        <v>34.338546594431797</v>
      </c>
      <c r="AO123" s="460">
        <f t="shared" si="340"/>
        <v>1300</v>
      </c>
      <c r="AP123" s="460">
        <f t="shared" si="341"/>
        <v>34.338546594431797</v>
      </c>
      <c r="AR123" s="5">
        <f t="shared" si="275"/>
        <v>29.121791664943558</v>
      </c>
      <c r="AS123" s="5">
        <f t="shared" si="440"/>
        <v>6.4091214559750833</v>
      </c>
      <c r="AT123" s="5">
        <f t="shared" si="441"/>
        <v>22.712670208968476</v>
      </c>
      <c r="AU123" s="173">
        <f t="shared" si="442"/>
        <v>0.22007991574537297</v>
      </c>
      <c r="AW123" s="5">
        <f t="shared" si="342"/>
        <v>55.545719285117386</v>
      </c>
      <c r="AX123" s="5">
        <f t="shared" si="343"/>
        <v>2.6037055914898781</v>
      </c>
      <c r="AY123" s="5">
        <f t="shared" si="344"/>
        <v>6.5707896023063093</v>
      </c>
      <c r="AZ123" s="5"/>
      <c r="BA123" s="173">
        <f t="shared" si="345"/>
        <v>2.7085046042996552</v>
      </c>
      <c r="BB123" s="173">
        <f t="shared" si="346"/>
        <v>5.0987582941164113</v>
      </c>
      <c r="BC123" s="173">
        <f t="shared" si="347"/>
        <v>0.12556941994921988</v>
      </c>
      <c r="BD123" s="173"/>
      <c r="BE123" s="528">
        <f t="shared" si="348"/>
        <v>0.14671994383024864</v>
      </c>
      <c r="BF123" s="528">
        <f t="shared" si="349"/>
        <v>0.22259023874442402</v>
      </c>
      <c r="BG123" s="528">
        <f t="shared" si="350"/>
        <v>1.60732856275108E-2</v>
      </c>
      <c r="BH123" s="528">
        <f t="shared" si="351"/>
        <v>4.1041930167311311E-3</v>
      </c>
      <c r="BI123">
        <f t="shared" si="352"/>
        <v>8.4254917574790207E-3</v>
      </c>
      <c r="BJ123" s="460">
        <f t="shared" si="436"/>
        <v>24.498777384989822</v>
      </c>
      <c r="BK123">
        <f t="shared" si="353"/>
        <v>0.4279472846372448</v>
      </c>
      <c r="BL123" s="460">
        <f t="shared" si="437"/>
        <v>397.91315297639363</v>
      </c>
      <c r="BM123" s="173">
        <f t="shared" si="354"/>
        <v>0.80762499999999993</v>
      </c>
      <c r="BN123" s="173">
        <f t="shared" si="355"/>
        <v>2.0190624999999997E-2</v>
      </c>
      <c r="BO123" s="528"/>
      <c r="BQ123" s="460">
        <f t="shared" si="356"/>
        <v>827.81562499999995</v>
      </c>
      <c r="BR123" s="528">
        <f t="shared" si="357"/>
        <v>0.22007991574537294</v>
      </c>
      <c r="BS123" s="528">
        <f t="shared" si="358"/>
        <v>0.77992008425462689</v>
      </c>
      <c r="BT123" s="528">
        <f t="shared" si="359"/>
        <v>7.8838396131917707E-5</v>
      </c>
      <c r="BU123" s="528">
        <f t="shared" si="360"/>
        <v>0.10925083821843092</v>
      </c>
      <c r="BV123" s="528"/>
      <c r="BW123" s="625">
        <f t="shared" si="361"/>
        <v>3.4338546594431803E-3</v>
      </c>
      <c r="BX123" s="460">
        <f t="shared" si="362"/>
        <v>1112.7635312740058</v>
      </c>
      <c r="BY123" s="173">
        <f t="shared" si="363"/>
        <v>2.3384923092503991</v>
      </c>
      <c r="BZ123" s="5">
        <f t="shared" si="364"/>
        <v>19.760000000000002</v>
      </c>
      <c r="CA123" s="173">
        <f t="shared" si="365"/>
        <v>0.89417864908948974</v>
      </c>
      <c r="CB123" s="5">
        <f t="shared" si="366"/>
        <v>89.417864908948971</v>
      </c>
      <c r="CC123">
        <f t="shared" si="367"/>
        <v>13</v>
      </c>
      <c r="CE123" s="562">
        <f t="shared" si="368"/>
        <v>-50</v>
      </c>
      <c r="CF123">
        <f t="shared" si="369"/>
        <v>-50</v>
      </c>
      <c r="CG123" s="173">
        <f t="shared" si="370"/>
        <v>0.26252025277468233</v>
      </c>
      <c r="CH123" s="173">
        <f t="shared" si="371"/>
        <v>3.0248440503044819E-2</v>
      </c>
      <c r="CI123" s="170">
        <v>13</v>
      </c>
      <c r="CJ123" s="217">
        <f t="shared" si="438"/>
        <v>1.3</v>
      </c>
      <c r="CK123" s="217">
        <f t="shared" si="372"/>
        <v>3.2500000000000001E-2</v>
      </c>
      <c r="CL123" s="217">
        <f t="shared" si="373"/>
        <v>19.5</v>
      </c>
      <c r="CM123" s="217">
        <f t="shared" si="374"/>
        <v>0.26</v>
      </c>
      <c r="CN123" s="541">
        <f t="shared" si="375"/>
        <v>19</v>
      </c>
      <c r="CO123" s="443">
        <f t="shared" si="376"/>
        <v>15.7</v>
      </c>
      <c r="CP123" s="443">
        <f t="shared" si="377"/>
        <v>34.700000000000003</v>
      </c>
      <c r="CQ123" s="443"/>
      <c r="CR123" s="217">
        <f t="shared" si="378"/>
        <v>0.44767441860465118</v>
      </c>
      <c r="CS123" s="172">
        <f t="shared" si="379"/>
        <v>209.84738372093025</v>
      </c>
      <c r="CT123" s="172">
        <f t="shared" si="380"/>
        <v>2.835271317829458</v>
      </c>
      <c r="CU123" s="217">
        <f t="shared" si="381"/>
        <v>13.989825581395349</v>
      </c>
      <c r="CV123" s="217">
        <f t="shared" si="382"/>
        <v>26.230922965116282</v>
      </c>
      <c r="CW123" s="217">
        <f t="shared" si="383"/>
        <v>15</v>
      </c>
      <c r="CX123" s="217">
        <f t="shared" si="384"/>
        <v>4.6462337662337667</v>
      </c>
      <c r="CY123" s="217">
        <f t="shared" si="385"/>
        <v>2.9344634313055371</v>
      </c>
      <c r="CZ123" s="217">
        <f t="shared" si="386"/>
        <v>3.5512614773761277</v>
      </c>
      <c r="DA123" s="197">
        <f t="shared" si="387"/>
        <v>71.63784822286263</v>
      </c>
      <c r="DB123" s="443">
        <f t="shared" si="388"/>
        <v>154.1847694868186</v>
      </c>
      <c r="DD123" s="217">
        <f t="shared" si="389"/>
        <v>10.000000000000002</v>
      </c>
      <c r="DE123" s="173">
        <f t="shared" si="390"/>
        <v>7.6433121019108299</v>
      </c>
      <c r="DF123" s="173">
        <f t="shared" si="391"/>
        <v>2.7017291066282429</v>
      </c>
      <c r="DG123" s="173"/>
      <c r="DH123" s="173">
        <f t="shared" si="392"/>
        <v>7.6433121019108281</v>
      </c>
      <c r="DI123" s="545">
        <f t="shared" si="393"/>
        <v>34.016666666666673</v>
      </c>
      <c r="DJ123" s="528">
        <f t="shared" si="394"/>
        <v>2.7377521613832849</v>
      </c>
      <c r="DL123" s="173">
        <f t="shared" si="395"/>
        <v>3.0674947122242622</v>
      </c>
      <c r="DM123" s="173">
        <f t="shared" si="396"/>
        <v>10</v>
      </c>
      <c r="DN123" s="173">
        <f t="shared" si="397"/>
        <v>1.0194380952380953</v>
      </c>
      <c r="DP123" s="545">
        <f t="shared" si="398"/>
        <v>1300</v>
      </c>
      <c r="DQ123" s="460">
        <f t="shared" si="399"/>
        <v>34.016666666666673</v>
      </c>
      <c r="DS123" s="460">
        <f t="shared" si="400"/>
        <v>1300</v>
      </c>
      <c r="DT123" s="460">
        <f t="shared" si="401"/>
        <v>34.016666666666673</v>
      </c>
      <c r="DV123" s="5">
        <f t="shared" si="402"/>
        <v>29.397354238118563</v>
      </c>
      <c r="DW123" s="5">
        <f t="shared" si="403"/>
        <v>6.3157894736842106</v>
      </c>
      <c r="DX123" s="5">
        <f t="shared" si="404"/>
        <v>23.081564764434354</v>
      </c>
      <c r="DY123" s="173">
        <f t="shared" si="405"/>
        <v>0.21484210526315795</v>
      </c>
      <c r="EA123" s="5">
        <f t="shared" si="406"/>
        <v>54.736842105263158</v>
      </c>
      <c r="EB123" s="5">
        <f t="shared" si="407"/>
        <v>2.5657894736842106</v>
      </c>
      <c r="EC123" s="5">
        <f t="shared" si="408"/>
        <v>6.5802706565273379</v>
      </c>
      <c r="ED123" s="5"/>
      <c r="EE123" s="173">
        <f t="shared" si="409"/>
        <v>2.6760798771284704</v>
      </c>
      <c r="EF123" s="173">
        <f t="shared" si="410"/>
        <v>5.1158508407264378</v>
      </c>
      <c r="EG123" s="173">
        <f t="shared" si="411"/>
        <v>0.12599036580298836</v>
      </c>
      <c r="EH123" s="173"/>
      <c r="EI123" s="528">
        <f t="shared" si="412"/>
        <v>0.14322807017543859</v>
      </c>
      <c r="EJ123" s="528">
        <f t="shared" si="413"/>
        <v>0.23607566666666668</v>
      </c>
      <c r="EK123" s="528">
        <f t="shared" si="414"/>
        <v>4.2520833333333334E-3</v>
      </c>
      <c r="EL123" s="528">
        <f t="shared" si="415"/>
        <v>4.0959128166666685E-3</v>
      </c>
      <c r="EM123">
        <f t="shared" si="416"/>
        <v>8.5500000000000003E-3</v>
      </c>
      <c r="EN123" s="460">
        <f t="shared" si="417"/>
        <v>12.802083333333334</v>
      </c>
      <c r="EP123" s="460">
        <f t="shared" si="439"/>
        <v>396.20173299210524</v>
      </c>
      <c r="EQ123" s="173">
        <f t="shared" si="418"/>
        <v>0.90999999999999992</v>
      </c>
      <c r="ER123" s="173">
        <f t="shared" si="419"/>
        <v>1.4421874999999999E-2</v>
      </c>
      <c r="ES123" s="528"/>
      <c r="EU123" s="460">
        <f t="shared" si="420"/>
        <v>924.421875</v>
      </c>
      <c r="EV123" s="528">
        <f t="shared" si="421"/>
        <v>0.21484210526315786</v>
      </c>
      <c r="EW123" s="528">
        <f t="shared" si="422"/>
        <v>0.78515789473684194</v>
      </c>
      <c r="EX123" s="528">
        <f t="shared" si="423"/>
        <v>7.9367861375854095E-5</v>
      </c>
      <c r="EY123" s="528">
        <f t="shared" si="424"/>
        <v>0.1067085921618344</v>
      </c>
      <c r="EZ123" s="528"/>
      <c r="FA123" s="625">
        <f t="shared" si="425"/>
        <v>3.4016666666666674E-3</v>
      </c>
      <c r="FB123" s="460">
        <f t="shared" si="426"/>
        <v>1110.1896266898768</v>
      </c>
      <c r="FC123" s="173">
        <f t="shared" si="427"/>
        <v>2.430813234681982</v>
      </c>
      <c r="FD123" s="5">
        <f t="shared" si="428"/>
        <v>19.760000000000002</v>
      </c>
      <c r="FE123" s="173">
        <f t="shared" si="429"/>
        <v>0.89045857810731932</v>
      </c>
      <c r="FF123" s="5">
        <f t="shared" si="430"/>
        <v>89.045857810731931</v>
      </c>
      <c r="FG123">
        <f t="shared" si="431"/>
        <v>13</v>
      </c>
      <c r="FI123" s="562">
        <f t="shared" si="432"/>
        <v>-50</v>
      </c>
      <c r="FJ123">
        <f t="shared" si="433"/>
        <v>-50</v>
      </c>
    </row>
    <row r="124" spans="5:166">
      <c r="E124" s="170">
        <v>14</v>
      </c>
      <c r="F124" s="217">
        <f t="shared" si="434"/>
        <v>1.4000000000000001</v>
      </c>
      <c r="G124" s="217">
        <f t="shared" si="313"/>
        <v>3.5000000000000003E-2</v>
      </c>
      <c r="H124" s="217">
        <f t="shared" si="314"/>
        <v>21.000000000000004</v>
      </c>
      <c r="I124" s="217">
        <f t="shared" si="315"/>
        <v>0.28000000000000003</v>
      </c>
      <c r="J124" s="541">
        <f t="shared" si="316"/>
        <v>18.723315016620045</v>
      </c>
      <c r="K124" s="443">
        <f t="shared" si="317"/>
        <v>15.848559966660831</v>
      </c>
      <c r="L124" s="172">
        <f t="shared" si="318"/>
        <v>34.571874983280878</v>
      </c>
      <c r="M124" s="443"/>
      <c r="N124" s="217">
        <f t="shared" si="319"/>
        <v>0.4584235010199843</v>
      </c>
      <c r="O124" s="172">
        <f t="shared" si="320"/>
        <v>211.75676695606103</v>
      </c>
      <c r="P124" s="172">
        <f t="shared" si="321"/>
        <v>2.8610692068730028</v>
      </c>
      <c r="Q124" s="217">
        <f t="shared" si="322"/>
        <v>14.117117797070735</v>
      </c>
      <c r="R124" s="217">
        <f t="shared" si="323"/>
        <v>26.469595869507629</v>
      </c>
      <c r="S124" s="217">
        <f t="shared" si="324"/>
        <v>15</v>
      </c>
      <c r="T124" s="217">
        <f t="shared" si="325"/>
        <v>4.9585192251158263</v>
      </c>
      <c r="U124" s="217">
        <f t="shared" si="326"/>
        <v>3.1779751955554785</v>
      </c>
      <c r="V124" s="217">
        <f t="shared" si="327"/>
        <v>3.7544250598514517</v>
      </c>
      <c r="W124" s="197">
        <f t="shared" si="328"/>
        <v>71.526730171825065</v>
      </c>
      <c r="X124" s="443">
        <f t="shared" si="435"/>
        <v>140.20525548070862</v>
      </c>
      <c r="Z124" s="217">
        <f t="shared" si="329"/>
        <v>10</v>
      </c>
      <c r="AA124" s="173">
        <f t="shared" si="330"/>
        <v>7.5716658328853255</v>
      </c>
      <c r="AB124" s="173">
        <f t="shared" si="331"/>
        <v>2.6722524620724464</v>
      </c>
      <c r="AC124" s="173"/>
      <c r="AD124" s="173">
        <f t="shared" si="332"/>
        <v>7.5716658328853255</v>
      </c>
      <c r="AE124" s="545">
        <f t="shared" si="333"/>
        <v>36.979973255541942</v>
      </c>
      <c r="AF124" s="528">
        <f t="shared" si="334"/>
        <v>2.7078824949000788</v>
      </c>
      <c r="AH124" s="173">
        <f t="shared" si="335"/>
        <v>3.1832897030168859</v>
      </c>
      <c r="AI124" s="173">
        <f t="shared" si="336"/>
        <v>10</v>
      </c>
      <c r="AJ124" s="173">
        <f t="shared" si="337"/>
        <v>1.0211314132888811</v>
      </c>
      <c r="AL124" s="545">
        <f t="shared" si="338"/>
        <v>1400.0000000000002</v>
      </c>
      <c r="AM124" s="460">
        <f t="shared" si="339"/>
        <v>36.979973255541942</v>
      </c>
      <c r="AO124" s="460">
        <f t="shared" si="340"/>
        <v>1400.0000000000002</v>
      </c>
      <c r="AP124" s="460">
        <f t="shared" si="341"/>
        <v>36.979973255541942</v>
      </c>
      <c r="AR124" s="5">
        <f t="shared" si="275"/>
        <v>27.041663688876159</v>
      </c>
      <c r="AS124" s="5">
        <f t="shared" si="440"/>
        <v>6.4091214559750833</v>
      </c>
      <c r="AT124" s="5">
        <f t="shared" si="441"/>
        <v>20.632542232901077</v>
      </c>
      <c r="AU124" s="173">
        <f t="shared" si="442"/>
        <v>0.23700914003347862</v>
      </c>
      <c r="AW124" s="5">
        <f t="shared" si="342"/>
        <v>59.818466922434119</v>
      </c>
      <c r="AX124" s="5">
        <f t="shared" si="343"/>
        <v>2.803990636989099</v>
      </c>
      <c r="AY124" s="5">
        <f t="shared" si="344"/>
        <v>6.4281616931485308</v>
      </c>
      <c r="AZ124" s="5"/>
      <c r="BA124" s="173">
        <f t="shared" si="345"/>
        <v>2.8107480619547918</v>
      </c>
      <c r="BB124" s="173">
        <f t="shared" si="346"/>
        <v>5.0431169593368255</v>
      </c>
      <c r="BC124" s="173">
        <f t="shared" si="347"/>
        <v>0.12419911570445202</v>
      </c>
      <c r="BD124" s="173"/>
      <c r="BE124" s="528">
        <f t="shared" si="348"/>
        <v>0.15800609335565236</v>
      </c>
      <c r="BF124" s="528">
        <f t="shared" si="349"/>
        <v>0.23971256480168743</v>
      </c>
      <c r="BG124" s="528">
        <f t="shared" si="350"/>
        <v>1.73096922142424E-2</v>
      </c>
      <c r="BH124" s="528">
        <f t="shared" si="351"/>
        <v>4.4199001718642963E-3</v>
      </c>
      <c r="BI124">
        <f t="shared" si="352"/>
        <v>8.4254917574790207E-3</v>
      </c>
      <c r="BJ124" s="460">
        <f t="shared" si="436"/>
        <v>25.735183971721419</v>
      </c>
      <c r="BK124">
        <f t="shared" si="353"/>
        <v>0.46215036713025437</v>
      </c>
      <c r="BL124" s="460">
        <f t="shared" si="437"/>
        <v>427.87374230092547</v>
      </c>
      <c r="BM124" s="173">
        <f t="shared" si="354"/>
        <v>0.86974999999999991</v>
      </c>
      <c r="BN124" s="173">
        <f t="shared" si="355"/>
        <v>2.1743749999999999E-2</v>
      </c>
      <c r="BO124" s="528"/>
      <c r="BQ124" s="460">
        <f t="shared" si="356"/>
        <v>891.49374999999986</v>
      </c>
      <c r="BR124" s="528">
        <f t="shared" si="357"/>
        <v>0.23700914003347853</v>
      </c>
      <c r="BS124" s="528">
        <f t="shared" si="358"/>
        <v>0.76299085996652116</v>
      </c>
      <c r="BT124" s="528">
        <f t="shared" si="359"/>
        <v>7.7127101708839303E-5</v>
      </c>
      <c r="BU124" s="528">
        <f t="shared" si="360"/>
        <v>0.13148811099031502</v>
      </c>
      <c r="BV124" s="528"/>
      <c r="BW124" s="625">
        <f t="shared" si="361"/>
        <v>3.6979973255541945E-3</v>
      </c>
      <c r="BX124" s="460">
        <f t="shared" si="362"/>
        <v>1135.2632354175778</v>
      </c>
      <c r="BY124" s="173">
        <f t="shared" si="363"/>
        <v>2.4546307277185031</v>
      </c>
      <c r="BZ124" s="5">
        <f t="shared" si="364"/>
        <v>21.280000000000005</v>
      </c>
      <c r="CA124" s="173">
        <f t="shared" si="365"/>
        <v>0.89658020148373907</v>
      </c>
      <c r="CB124" s="5">
        <f t="shared" si="366"/>
        <v>89.658020148373907</v>
      </c>
      <c r="CC124">
        <f t="shared" si="367"/>
        <v>14.000000000000002</v>
      </c>
      <c r="CE124" s="562">
        <f t="shared" si="368"/>
        <v>-50</v>
      </c>
      <c r="CF124">
        <f t="shared" si="369"/>
        <v>-50</v>
      </c>
      <c r="CG124" s="173">
        <f t="shared" si="370"/>
        <v>0.28271411837273491</v>
      </c>
      <c r="CH124" s="173">
        <f t="shared" si="371"/>
        <v>3.2575243618663652E-2</v>
      </c>
      <c r="CI124" s="170">
        <v>14</v>
      </c>
      <c r="CJ124" s="217">
        <f t="shared" si="438"/>
        <v>1.4000000000000001</v>
      </c>
      <c r="CK124" s="217">
        <f t="shared" si="372"/>
        <v>3.5000000000000003E-2</v>
      </c>
      <c r="CL124" s="217">
        <f t="shared" si="373"/>
        <v>21.000000000000004</v>
      </c>
      <c r="CM124" s="217">
        <f t="shared" si="374"/>
        <v>0.28000000000000003</v>
      </c>
      <c r="CN124" s="541">
        <f t="shared" si="375"/>
        <v>19</v>
      </c>
      <c r="CO124" s="443">
        <f t="shared" si="376"/>
        <v>15.7</v>
      </c>
      <c r="CP124" s="443">
        <f t="shared" si="377"/>
        <v>34.700000000000003</v>
      </c>
      <c r="CQ124" s="443"/>
      <c r="CR124" s="217">
        <f t="shared" si="378"/>
        <v>0.44767441860465118</v>
      </c>
      <c r="CS124" s="172">
        <f t="shared" si="379"/>
        <v>209.84738372093025</v>
      </c>
      <c r="CT124" s="172">
        <f t="shared" si="380"/>
        <v>2.835271317829458</v>
      </c>
      <c r="CU124" s="217">
        <f t="shared" si="381"/>
        <v>13.989825581395349</v>
      </c>
      <c r="CV124" s="217">
        <f t="shared" si="382"/>
        <v>26.230922965116282</v>
      </c>
      <c r="CW124" s="217">
        <f t="shared" si="383"/>
        <v>15</v>
      </c>
      <c r="CX124" s="217">
        <f t="shared" si="384"/>
        <v>5.0036363636363648</v>
      </c>
      <c r="CY124" s="217">
        <f t="shared" si="385"/>
        <v>3.1601913875598098</v>
      </c>
      <c r="CZ124" s="217">
        <f t="shared" si="386"/>
        <v>3.8244354371742921</v>
      </c>
      <c r="DA124" s="197">
        <f t="shared" si="387"/>
        <v>71.63784822286263</v>
      </c>
      <c r="DB124" s="443">
        <f t="shared" si="388"/>
        <v>143.17157166633152</v>
      </c>
      <c r="DD124" s="217">
        <f t="shared" si="389"/>
        <v>10.000000000000002</v>
      </c>
      <c r="DE124" s="173">
        <f t="shared" si="390"/>
        <v>7.6433121019108299</v>
      </c>
      <c r="DF124" s="173">
        <f t="shared" si="391"/>
        <v>2.7017291066282429</v>
      </c>
      <c r="DG124" s="173"/>
      <c r="DH124" s="173">
        <f t="shared" si="392"/>
        <v>7.6433121019108281</v>
      </c>
      <c r="DI124" s="545">
        <f t="shared" si="393"/>
        <v>36.63333333333334</v>
      </c>
      <c r="DJ124" s="528">
        <f t="shared" si="394"/>
        <v>2.7377521613832849</v>
      </c>
      <c r="DL124" s="173">
        <f t="shared" si="395"/>
        <v>3.1832897030168859</v>
      </c>
      <c r="DM124" s="173">
        <f t="shared" si="396"/>
        <v>10</v>
      </c>
      <c r="DN124" s="173">
        <f t="shared" si="397"/>
        <v>1.0209333333333332</v>
      </c>
      <c r="DP124" s="545">
        <f t="shared" si="398"/>
        <v>1400.0000000000002</v>
      </c>
      <c r="DQ124" s="460">
        <f t="shared" si="399"/>
        <v>36.63333333333334</v>
      </c>
      <c r="DS124" s="460">
        <f t="shared" si="400"/>
        <v>1400.0000000000002</v>
      </c>
      <c r="DT124" s="460">
        <f t="shared" si="401"/>
        <v>36.63333333333334</v>
      </c>
      <c r="DV124" s="5">
        <f t="shared" si="402"/>
        <v>27.297543221110097</v>
      </c>
      <c r="DW124" s="5">
        <f t="shared" si="403"/>
        <v>6.3157894736842106</v>
      </c>
      <c r="DX124" s="5">
        <f t="shared" si="404"/>
        <v>20.981753747425884</v>
      </c>
      <c r="DY124" s="173">
        <f t="shared" si="405"/>
        <v>0.23136842105263161</v>
      </c>
      <c r="EA124" s="5">
        <f t="shared" si="406"/>
        <v>58.947368421052637</v>
      </c>
      <c r="EB124" s="5">
        <f t="shared" si="407"/>
        <v>2.7631578947368425</v>
      </c>
      <c r="EC124" s="5">
        <f t="shared" si="408"/>
        <v>6.4417665014026841</v>
      </c>
      <c r="ED124" s="5"/>
      <c r="EE124" s="173">
        <f t="shared" si="409"/>
        <v>2.7770993323528037</v>
      </c>
      <c r="EF124" s="173">
        <f t="shared" si="410"/>
        <v>5.0617242745510094</v>
      </c>
      <c r="EG124" s="173">
        <f t="shared" si="411"/>
        <v>0.12465736644776607</v>
      </c>
      <c r="EH124" s="173"/>
      <c r="EI124" s="528">
        <f t="shared" si="412"/>
        <v>0.15424561403508777</v>
      </c>
      <c r="EJ124" s="528">
        <f t="shared" si="413"/>
        <v>0.25423533333333337</v>
      </c>
      <c r="EK124" s="528">
        <f t="shared" si="414"/>
        <v>4.5791666666666671E-3</v>
      </c>
      <c r="EL124" s="528">
        <f t="shared" si="415"/>
        <v>4.4109830333333346E-3</v>
      </c>
      <c r="EM124">
        <f t="shared" si="416"/>
        <v>8.5500000000000003E-3</v>
      </c>
      <c r="EN124" s="460">
        <f t="shared" si="417"/>
        <v>13.129166666666668</v>
      </c>
      <c r="EP124" s="460">
        <f t="shared" si="439"/>
        <v>426.02109706842111</v>
      </c>
      <c r="EQ124" s="173">
        <f t="shared" si="418"/>
        <v>0.98</v>
      </c>
      <c r="ER124" s="173">
        <f t="shared" si="419"/>
        <v>1.553125E-2</v>
      </c>
      <c r="ES124" s="528"/>
      <c r="EU124" s="460">
        <f t="shared" si="420"/>
        <v>995.53125</v>
      </c>
      <c r="EV124" s="528">
        <f t="shared" si="421"/>
        <v>0.23136842105263161</v>
      </c>
      <c r="EW124" s="528">
        <f t="shared" si="422"/>
        <v>0.76863157894736822</v>
      </c>
      <c r="EX124" s="528">
        <f t="shared" si="423"/>
        <v>7.7697295048463158E-5</v>
      </c>
      <c r="EY124" s="528">
        <f t="shared" si="424"/>
        <v>0.12842840786029333</v>
      </c>
      <c r="EZ124" s="528"/>
      <c r="FA124" s="625">
        <f t="shared" si="425"/>
        <v>3.6633333333333344E-3</v>
      </c>
      <c r="FB124" s="460">
        <f t="shared" si="426"/>
        <v>1132.1694384886748</v>
      </c>
      <c r="FC124" s="173">
        <f t="shared" si="427"/>
        <v>2.5537217855570962</v>
      </c>
      <c r="FD124" s="5">
        <f t="shared" si="428"/>
        <v>21.280000000000005</v>
      </c>
      <c r="FE124" s="173">
        <f t="shared" si="429"/>
        <v>0.89285258053550753</v>
      </c>
      <c r="FF124" s="5">
        <f t="shared" si="430"/>
        <v>89.285258053550749</v>
      </c>
      <c r="FG124">
        <f t="shared" si="431"/>
        <v>14.000000000000002</v>
      </c>
      <c r="FI124" s="562">
        <f t="shared" si="432"/>
        <v>-50</v>
      </c>
      <c r="FJ124">
        <f t="shared" si="433"/>
        <v>-50</v>
      </c>
    </row>
    <row r="125" spans="5:166">
      <c r="E125" s="170">
        <v>15</v>
      </c>
      <c r="F125" s="217">
        <f t="shared" si="434"/>
        <v>1.5</v>
      </c>
      <c r="G125" s="217">
        <f t="shared" si="313"/>
        <v>3.7499999999999999E-2</v>
      </c>
      <c r="H125" s="217">
        <f t="shared" si="314"/>
        <v>22.5</v>
      </c>
      <c r="I125" s="217">
        <f t="shared" si="315"/>
        <v>0.3</v>
      </c>
      <c r="J125" s="541">
        <f t="shared" si="316"/>
        <v>18.723315016620045</v>
      </c>
      <c r="K125" s="443">
        <f t="shared" si="317"/>
        <v>15.848559966660831</v>
      </c>
      <c r="L125" s="172">
        <f t="shared" si="318"/>
        <v>34.571874983280878</v>
      </c>
      <c r="M125" s="443"/>
      <c r="N125" s="217">
        <f t="shared" si="319"/>
        <v>0.4584235010199843</v>
      </c>
      <c r="O125" s="172">
        <f t="shared" si="320"/>
        <v>211.75676695606103</v>
      </c>
      <c r="P125" s="172">
        <f t="shared" si="321"/>
        <v>2.8610692068730028</v>
      </c>
      <c r="Q125" s="217">
        <f t="shared" si="322"/>
        <v>14.117117797070735</v>
      </c>
      <c r="R125" s="217">
        <f t="shared" si="323"/>
        <v>26.469595869507629</v>
      </c>
      <c r="S125" s="217">
        <f t="shared" si="324"/>
        <v>15</v>
      </c>
      <c r="T125" s="217">
        <f t="shared" si="325"/>
        <v>5.3126991697669554</v>
      </c>
      <c r="U125" s="217">
        <f t="shared" si="326"/>
        <v>3.4049734238094405</v>
      </c>
      <c r="V125" s="217">
        <f t="shared" si="327"/>
        <v>4.0225982784122687</v>
      </c>
      <c r="W125" s="197">
        <f t="shared" si="328"/>
        <v>71.526730171825065</v>
      </c>
      <c r="X125" s="443">
        <f t="shared" si="435"/>
        <v>131.10332344810692</v>
      </c>
      <c r="Z125" s="217">
        <f t="shared" si="329"/>
        <v>10</v>
      </c>
      <c r="AA125" s="173">
        <f t="shared" si="330"/>
        <v>7.5716658328853255</v>
      </c>
      <c r="AB125" s="173">
        <f t="shared" si="331"/>
        <v>2.6722524620724464</v>
      </c>
      <c r="AC125" s="173"/>
      <c r="AD125" s="173">
        <f t="shared" si="332"/>
        <v>7.5716658328853255</v>
      </c>
      <c r="AE125" s="545">
        <f t="shared" si="333"/>
        <v>39.621399916652074</v>
      </c>
      <c r="AF125" s="528">
        <f t="shared" si="334"/>
        <v>2.7078824949000788</v>
      </c>
      <c r="AH125" s="173">
        <f t="shared" si="335"/>
        <v>3.295017884191656</v>
      </c>
      <c r="AI125" s="173">
        <f t="shared" si="336"/>
        <v>10</v>
      </c>
      <c r="AJ125" s="173">
        <f t="shared" si="337"/>
        <v>1.0226407999523726</v>
      </c>
      <c r="AL125" s="545">
        <f t="shared" si="338"/>
        <v>1500</v>
      </c>
      <c r="AM125" s="460">
        <f t="shared" si="339"/>
        <v>39.621399916652074</v>
      </c>
      <c r="AO125" s="460">
        <f t="shared" si="340"/>
        <v>1500</v>
      </c>
      <c r="AP125" s="460">
        <f t="shared" si="341"/>
        <v>39.621399916652074</v>
      </c>
      <c r="AR125" s="5">
        <f t="shared" si="275"/>
        <v>25.238886109617752</v>
      </c>
      <c r="AS125" s="5">
        <f t="shared" si="440"/>
        <v>6.4091214559750833</v>
      </c>
      <c r="AT125" s="5">
        <f t="shared" si="441"/>
        <v>18.82976465364267</v>
      </c>
      <c r="AU125" s="173">
        <f t="shared" si="442"/>
        <v>0.25393836432158418</v>
      </c>
      <c r="AW125" s="5">
        <f t="shared" si="342"/>
        <v>64.091214559750838</v>
      </c>
      <c r="AX125" s="5">
        <f t="shared" si="343"/>
        <v>3.0042756824883199</v>
      </c>
      <c r="AY125" s="5">
        <f t="shared" si="344"/>
        <v>6.2855337839907524</v>
      </c>
      <c r="AZ125" s="5"/>
      <c r="BA125" s="173">
        <f t="shared" si="345"/>
        <v>2.9094006503149075</v>
      </c>
      <c r="BB125" s="173">
        <f t="shared" si="346"/>
        <v>4.9868548394033416</v>
      </c>
      <c r="BC125" s="173">
        <f t="shared" si="347"/>
        <v>0.12281352310373721</v>
      </c>
      <c r="BD125" s="173"/>
      <c r="BE125" s="528">
        <f t="shared" si="348"/>
        <v>0.16929224288105613</v>
      </c>
      <c r="BF125" s="528">
        <f t="shared" si="349"/>
        <v>0.25683489085895078</v>
      </c>
      <c r="BG125" s="528">
        <f t="shared" si="350"/>
        <v>1.8546098800973999E-2</v>
      </c>
      <c r="BH125" s="528">
        <f t="shared" si="351"/>
        <v>4.7356073269974588E-3</v>
      </c>
      <c r="BI125">
        <f t="shared" si="352"/>
        <v>8.4254917574790207E-3</v>
      </c>
      <c r="BJ125" s="460">
        <f t="shared" si="436"/>
        <v>26.97159055845302</v>
      </c>
      <c r="BK125">
        <f t="shared" si="353"/>
        <v>0.49654457463273649</v>
      </c>
      <c r="BL125" s="460">
        <f t="shared" si="437"/>
        <v>457.83433162545737</v>
      </c>
      <c r="BM125" s="173">
        <f t="shared" si="354"/>
        <v>0.93187499999999979</v>
      </c>
      <c r="BN125" s="173">
        <f t="shared" si="355"/>
        <v>2.3296874999999998E-2</v>
      </c>
      <c r="BO125" s="528"/>
      <c r="BQ125" s="460">
        <f t="shared" si="356"/>
        <v>955.17187499999977</v>
      </c>
      <c r="BR125" s="528">
        <f t="shared" si="357"/>
        <v>0.25393836432158418</v>
      </c>
      <c r="BS125" s="528">
        <f t="shared" si="358"/>
        <v>0.74606163567841577</v>
      </c>
      <c r="BT125" s="528">
        <f t="shared" si="359"/>
        <v>7.5415807285760967E-5</v>
      </c>
      <c r="BU125" s="528">
        <f t="shared" si="360"/>
        <v>0.15624083259884158</v>
      </c>
      <c r="BV125" s="528"/>
      <c r="BW125" s="625">
        <f t="shared" si="361"/>
        <v>3.9621399916652074E-3</v>
      </c>
      <c r="BX125" s="460">
        <f t="shared" si="362"/>
        <v>1160.2783883977925</v>
      </c>
      <c r="BY125" s="173">
        <f t="shared" si="363"/>
        <v>2.5732845950232499</v>
      </c>
      <c r="BZ125" s="5">
        <f t="shared" si="364"/>
        <v>22.8</v>
      </c>
      <c r="CA125" s="173">
        <f t="shared" si="365"/>
        <v>0.89858291363949083</v>
      </c>
      <c r="CB125" s="5">
        <f t="shared" si="366"/>
        <v>89.858291363949078</v>
      </c>
      <c r="CC125">
        <f t="shared" si="367"/>
        <v>15</v>
      </c>
      <c r="CE125" s="562">
        <f t="shared" si="368"/>
        <v>-50</v>
      </c>
      <c r="CF125">
        <f t="shared" si="369"/>
        <v>-50</v>
      </c>
      <c r="CG125" s="173">
        <f t="shared" si="370"/>
        <v>0.30290798397078739</v>
      </c>
      <c r="CH125" s="173">
        <f t="shared" si="371"/>
        <v>3.4902046734282481E-2</v>
      </c>
      <c r="CI125" s="170">
        <v>15</v>
      </c>
      <c r="CJ125" s="217">
        <f t="shared" si="438"/>
        <v>1.5</v>
      </c>
      <c r="CK125" s="217">
        <f t="shared" si="372"/>
        <v>3.7499999999999999E-2</v>
      </c>
      <c r="CL125" s="217">
        <f t="shared" si="373"/>
        <v>22.5</v>
      </c>
      <c r="CM125" s="217">
        <f t="shared" si="374"/>
        <v>0.3</v>
      </c>
      <c r="CN125" s="541">
        <f t="shared" si="375"/>
        <v>19</v>
      </c>
      <c r="CO125" s="443">
        <f t="shared" si="376"/>
        <v>15.7</v>
      </c>
      <c r="CP125" s="443">
        <f t="shared" si="377"/>
        <v>34.700000000000003</v>
      </c>
      <c r="CQ125" s="443"/>
      <c r="CR125" s="217">
        <f t="shared" si="378"/>
        <v>0.44767441860465118</v>
      </c>
      <c r="CS125" s="172">
        <f t="shared" si="379"/>
        <v>209.84738372093025</v>
      </c>
      <c r="CT125" s="172">
        <f t="shared" si="380"/>
        <v>2.835271317829458</v>
      </c>
      <c r="CU125" s="217">
        <f t="shared" si="381"/>
        <v>13.989825581395349</v>
      </c>
      <c r="CV125" s="217">
        <f t="shared" si="382"/>
        <v>26.230922965116282</v>
      </c>
      <c r="CW125" s="217">
        <f t="shared" si="383"/>
        <v>15</v>
      </c>
      <c r="CX125" s="217">
        <f t="shared" si="384"/>
        <v>5.361038961038961</v>
      </c>
      <c r="CY125" s="217">
        <f t="shared" si="385"/>
        <v>3.3859193438140811</v>
      </c>
      <c r="CZ125" s="217">
        <f t="shared" si="386"/>
        <v>4.0976093969724552</v>
      </c>
      <c r="DA125" s="197">
        <f t="shared" si="387"/>
        <v>71.63784822286263</v>
      </c>
      <c r="DB125" s="443">
        <f t="shared" si="388"/>
        <v>133.62680022190946</v>
      </c>
      <c r="DD125" s="217">
        <f t="shared" si="389"/>
        <v>10.000000000000002</v>
      </c>
      <c r="DE125" s="173">
        <f t="shared" si="390"/>
        <v>7.6433121019108299</v>
      </c>
      <c r="DF125" s="173">
        <f t="shared" si="391"/>
        <v>2.7017291066282429</v>
      </c>
      <c r="DG125" s="173"/>
      <c r="DH125" s="173">
        <f t="shared" si="392"/>
        <v>7.6433121019108281</v>
      </c>
      <c r="DI125" s="545">
        <f t="shared" si="393"/>
        <v>39.250000000000007</v>
      </c>
      <c r="DJ125" s="528">
        <f t="shared" si="394"/>
        <v>2.7377521613832849</v>
      </c>
      <c r="DL125" s="173">
        <f t="shared" si="395"/>
        <v>3.295017884191656</v>
      </c>
      <c r="DM125" s="173">
        <f t="shared" si="396"/>
        <v>10</v>
      </c>
      <c r="DN125" s="173">
        <f t="shared" si="397"/>
        <v>1.0224285714285715</v>
      </c>
      <c r="DP125" s="545">
        <f t="shared" si="398"/>
        <v>1500</v>
      </c>
      <c r="DQ125" s="460">
        <f t="shared" si="399"/>
        <v>39.250000000000007</v>
      </c>
      <c r="DS125" s="460">
        <f t="shared" si="400"/>
        <v>1500</v>
      </c>
      <c r="DT125" s="460">
        <f t="shared" si="401"/>
        <v>39.250000000000007</v>
      </c>
      <c r="DV125" s="5">
        <f t="shared" si="402"/>
        <v>25.477707006369421</v>
      </c>
      <c r="DW125" s="5">
        <f t="shared" si="403"/>
        <v>6.3157894736842106</v>
      </c>
      <c r="DX125" s="5">
        <f t="shared" si="404"/>
        <v>19.161917532685209</v>
      </c>
      <c r="DY125" s="173">
        <f t="shared" si="405"/>
        <v>0.24789473684210533</v>
      </c>
      <c r="EA125" s="5">
        <f t="shared" si="406"/>
        <v>63.157894736842096</v>
      </c>
      <c r="EB125" s="5">
        <f t="shared" si="407"/>
        <v>2.9605263157894735</v>
      </c>
      <c r="EC125" s="5">
        <f t="shared" si="408"/>
        <v>6.3032623462780286</v>
      </c>
      <c r="ED125" s="5"/>
      <c r="EE125" s="173">
        <f t="shared" si="409"/>
        <v>2.8745709061939739</v>
      </c>
      <c r="EF125" s="173">
        <f t="shared" si="410"/>
        <v>5.0070126261670733</v>
      </c>
      <c r="EG125" s="173">
        <f t="shared" si="411"/>
        <v>0.12330995800913422</v>
      </c>
      <c r="EH125" s="173"/>
      <c r="EI125" s="528">
        <f t="shared" si="412"/>
        <v>0.16526315789473689</v>
      </c>
      <c r="EJ125" s="528">
        <f t="shared" si="413"/>
        <v>0.27239500000000005</v>
      </c>
      <c r="EK125" s="528">
        <f t="shared" si="414"/>
        <v>4.9062500000000009E-3</v>
      </c>
      <c r="EL125" s="528">
        <f t="shared" si="415"/>
        <v>4.7260532500000016E-3</v>
      </c>
      <c r="EM125">
        <f t="shared" si="416"/>
        <v>8.5500000000000003E-3</v>
      </c>
      <c r="EN125" s="460">
        <f t="shared" si="417"/>
        <v>13.456250000000001</v>
      </c>
      <c r="EP125" s="460">
        <f t="shared" si="439"/>
        <v>455.84046114473699</v>
      </c>
      <c r="EQ125" s="173">
        <f t="shared" si="418"/>
        <v>1.0499999999999998</v>
      </c>
      <c r="ER125" s="173">
        <f t="shared" si="419"/>
        <v>1.6640624999999999E-2</v>
      </c>
      <c r="ES125" s="528"/>
      <c r="EU125" s="460">
        <f t="shared" si="420"/>
        <v>1066.6406249999998</v>
      </c>
      <c r="EV125" s="528">
        <f t="shared" si="421"/>
        <v>0.24789473684210531</v>
      </c>
      <c r="EW125" s="528">
        <f t="shared" si="422"/>
        <v>0.75210526315789472</v>
      </c>
      <c r="EX125" s="528">
        <f t="shared" si="423"/>
        <v>7.6026728721072221E-5</v>
      </c>
      <c r="EY125" s="528">
        <f t="shared" si="424"/>
        <v>0.15260513838330084</v>
      </c>
      <c r="EZ125" s="528"/>
      <c r="FA125" s="625">
        <f t="shared" si="425"/>
        <v>3.9250000000000014E-3</v>
      </c>
      <c r="FB125" s="460">
        <f t="shared" si="426"/>
        <v>1156.6061651120219</v>
      </c>
      <c r="FC125" s="173">
        <f t="shared" si="427"/>
        <v>2.6790872512567585</v>
      </c>
      <c r="FD125" s="5">
        <f t="shared" si="428"/>
        <v>22.8</v>
      </c>
      <c r="FE125" s="173">
        <f t="shared" si="429"/>
        <v>0.89485152176616489</v>
      </c>
      <c r="FF125" s="5">
        <f t="shared" si="430"/>
        <v>89.485152176616495</v>
      </c>
      <c r="FG125">
        <f t="shared" si="431"/>
        <v>15</v>
      </c>
      <c r="FI125" s="562">
        <f t="shared" si="432"/>
        <v>-50</v>
      </c>
      <c r="FJ125">
        <f t="shared" si="433"/>
        <v>-50</v>
      </c>
    </row>
    <row r="126" spans="5:166">
      <c r="E126" s="170">
        <v>16</v>
      </c>
      <c r="F126" s="217">
        <f t="shared" si="434"/>
        <v>1.6</v>
      </c>
      <c r="G126" s="217">
        <f t="shared" si="313"/>
        <v>0.04</v>
      </c>
      <c r="H126" s="217">
        <f t="shared" si="314"/>
        <v>24</v>
      </c>
      <c r="I126" s="217">
        <f t="shared" si="315"/>
        <v>0.32</v>
      </c>
      <c r="J126" s="541">
        <f t="shared" si="316"/>
        <v>18.723315016620045</v>
      </c>
      <c r="K126" s="443">
        <f t="shared" si="317"/>
        <v>15.848559966660831</v>
      </c>
      <c r="L126" s="172">
        <f t="shared" si="318"/>
        <v>34.571874983280878</v>
      </c>
      <c r="M126" s="443"/>
      <c r="N126" s="217">
        <f t="shared" si="319"/>
        <v>0.4584235010199843</v>
      </c>
      <c r="O126" s="172">
        <f t="shared" si="320"/>
        <v>211.75676695606103</v>
      </c>
      <c r="P126" s="172">
        <f t="shared" si="321"/>
        <v>2.8610692068730028</v>
      </c>
      <c r="Q126" s="217">
        <f t="shared" si="322"/>
        <v>14.117117797070735</v>
      </c>
      <c r="R126" s="217">
        <f t="shared" si="323"/>
        <v>26.469595869507629</v>
      </c>
      <c r="S126" s="217">
        <f t="shared" si="324"/>
        <v>15</v>
      </c>
      <c r="T126" s="217">
        <f t="shared" si="325"/>
        <v>5.6668791144180855</v>
      </c>
      <c r="U126" s="217">
        <f t="shared" si="326"/>
        <v>3.6319716520634029</v>
      </c>
      <c r="V126" s="217">
        <f t="shared" si="327"/>
        <v>4.2907714969730861</v>
      </c>
      <c r="W126" s="197">
        <f t="shared" si="328"/>
        <v>71.526730171825065</v>
      </c>
      <c r="X126" s="443">
        <f t="shared" si="435"/>
        <v>123.11111919359645</v>
      </c>
      <c r="Z126" s="217">
        <f t="shared" si="329"/>
        <v>10</v>
      </c>
      <c r="AA126" s="173">
        <f t="shared" si="330"/>
        <v>7.5716658328853255</v>
      </c>
      <c r="AB126" s="173">
        <f t="shared" si="331"/>
        <v>2.6722524620724464</v>
      </c>
      <c r="AC126" s="173"/>
      <c r="AD126" s="173">
        <f t="shared" si="332"/>
        <v>7.5716658328853255</v>
      </c>
      <c r="AE126" s="545">
        <f t="shared" si="333"/>
        <v>42.262826577762212</v>
      </c>
      <c r="AF126" s="528">
        <f t="shared" si="334"/>
        <v>2.7078824949000788</v>
      </c>
      <c r="AH126" s="173">
        <f t="shared" si="335"/>
        <v>3.4030798375813021</v>
      </c>
      <c r="AI126" s="173">
        <f t="shared" si="336"/>
        <v>10</v>
      </c>
      <c r="AJ126" s="173">
        <f t="shared" si="337"/>
        <v>1.0241501866158642</v>
      </c>
      <c r="AL126" s="545">
        <f t="shared" si="338"/>
        <v>1600</v>
      </c>
      <c r="AM126" s="460">
        <f t="shared" si="339"/>
        <v>42.262826577762212</v>
      </c>
      <c r="AO126" s="460">
        <f t="shared" si="340"/>
        <v>1600</v>
      </c>
      <c r="AP126" s="460">
        <f t="shared" si="341"/>
        <v>42.262826577762212</v>
      </c>
      <c r="AR126" s="5">
        <f t="shared" si="275"/>
        <v>23.661455727766644</v>
      </c>
      <c r="AS126" s="5">
        <f t="shared" si="440"/>
        <v>6.4091214559750833</v>
      </c>
      <c r="AT126" s="5">
        <f t="shared" si="441"/>
        <v>17.252334271791561</v>
      </c>
      <c r="AU126" s="173">
        <f t="shared" si="442"/>
        <v>0.27086758860968979</v>
      </c>
      <c r="AW126" s="5">
        <f t="shared" si="342"/>
        <v>68.363962197067565</v>
      </c>
      <c r="AX126" s="5">
        <f t="shared" si="343"/>
        <v>3.2045607279875417</v>
      </c>
      <c r="AY126" s="5">
        <f t="shared" si="344"/>
        <v>6.1429058748329748</v>
      </c>
      <c r="AZ126" s="5"/>
      <c r="BA126" s="173">
        <f t="shared" si="345"/>
        <v>3.0048160709639102</v>
      </c>
      <c r="BB126" s="173">
        <f t="shared" si="346"/>
        <v>4.9299506805859972</v>
      </c>
      <c r="BC126" s="173">
        <f t="shared" si="347"/>
        <v>0.12141211872188261</v>
      </c>
      <c r="BD126" s="173"/>
      <c r="BE126" s="528">
        <f t="shared" si="348"/>
        <v>0.18057839240645984</v>
      </c>
      <c r="BF126" s="528">
        <f t="shared" si="349"/>
        <v>0.27395721691621416</v>
      </c>
      <c r="BG126" s="528">
        <f t="shared" si="350"/>
        <v>1.9782505387705596E-2</v>
      </c>
      <c r="BH126" s="528">
        <f t="shared" si="351"/>
        <v>5.0513144821306231E-3</v>
      </c>
      <c r="BI126">
        <f t="shared" si="352"/>
        <v>8.4254917574790207E-3</v>
      </c>
      <c r="BJ126" s="460">
        <f t="shared" si="436"/>
        <v>28.207997145184617</v>
      </c>
      <c r="BK126">
        <f t="shared" si="353"/>
        <v>0.53113151362777444</v>
      </c>
      <c r="BL126" s="460">
        <f t="shared" si="437"/>
        <v>487.79492094998926</v>
      </c>
      <c r="BM126" s="173">
        <f t="shared" si="354"/>
        <v>0.99399999999999988</v>
      </c>
      <c r="BN126" s="173">
        <f t="shared" si="355"/>
        <v>2.4849999999999997E-2</v>
      </c>
      <c r="BO126" s="528"/>
      <c r="BQ126" s="460">
        <f t="shared" si="356"/>
        <v>1018.8499999999998</v>
      </c>
      <c r="BR126" s="528">
        <f t="shared" si="357"/>
        <v>0.27086758860968974</v>
      </c>
      <c r="BS126" s="528">
        <f t="shared" si="358"/>
        <v>0.72913241139031004</v>
      </c>
      <c r="BT126" s="528">
        <f t="shared" si="359"/>
        <v>7.3704512862682591E-5</v>
      </c>
      <c r="BU126" s="528">
        <f t="shared" si="360"/>
        <v>0.18359732683750035</v>
      </c>
      <c r="BV126" s="528"/>
      <c r="BW126" s="625">
        <f t="shared" si="361"/>
        <v>4.226282657776222E-3</v>
      </c>
      <c r="BX126" s="460">
        <f t="shared" si="362"/>
        <v>1187.8973140081391</v>
      </c>
      <c r="BY126" s="173">
        <f t="shared" si="363"/>
        <v>2.6945422349581287</v>
      </c>
      <c r="BZ126" s="5">
        <f t="shared" si="364"/>
        <v>24.32</v>
      </c>
      <c r="CA126" s="173">
        <f t="shared" si="365"/>
        <v>0.90025586176799033</v>
      </c>
      <c r="CB126" s="5">
        <f t="shared" si="366"/>
        <v>90.025586176799038</v>
      </c>
      <c r="CC126">
        <f t="shared" si="367"/>
        <v>16</v>
      </c>
      <c r="CE126" s="562">
        <f t="shared" si="368"/>
        <v>-50</v>
      </c>
      <c r="CF126">
        <f t="shared" si="369"/>
        <v>-50</v>
      </c>
      <c r="CG126" s="173">
        <f t="shared" si="370"/>
        <v>0.32310184956883986</v>
      </c>
      <c r="CH126" s="173">
        <f t="shared" si="371"/>
        <v>3.7228849849901317E-2</v>
      </c>
      <c r="CI126" s="170">
        <v>16</v>
      </c>
      <c r="CJ126" s="217">
        <f t="shared" si="438"/>
        <v>1.6</v>
      </c>
      <c r="CK126" s="217">
        <f t="shared" si="372"/>
        <v>0.04</v>
      </c>
      <c r="CL126" s="217">
        <f t="shared" si="373"/>
        <v>24</v>
      </c>
      <c r="CM126" s="217">
        <f t="shared" si="374"/>
        <v>0.32</v>
      </c>
      <c r="CN126" s="541">
        <f t="shared" si="375"/>
        <v>19</v>
      </c>
      <c r="CO126" s="443">
        <f t="shared" si="376"/>
        <v>15.7</v>
      </c>
      <c r="CP126" s="443">
        <f t="shared" si="377"/>
        <v>34.700000000000003</v>
      </c>
      <c r="CQ126" s="443"/>
      <c r="CR126" s="217">
        <f t="shared" si="378"/>
        <v>0.44767441860465118</v>
      </c>
      <c r="CS126" s="172">
        <f t="shared" si="379"/>
        <v>209.84738372093025</v>
      </c>
      <c r="CT126" s="172">
        <f t="shared" si="380"/>
        <v>2.835271317829458</v>
      </c>
      <c r="CU126" s="217">
        <f t="shared" si="381"/>
        <v>13.989825581395349</v>
      </c>
      <c r="CV126" s="217">
        <f t="shared" si="382"/>
        <v>26.230922965116282</v>
      </c>
      <c r="CW126" s="217">
        <f t="shared" si="383"/>
        <v>15</v>
      </c>
      <c r="CX126" s="217">
        <f t="shared" si="384"/>
        <v>5.7184415584415582</v>
      </c>
      <c r="CY126" s="217">
        <f t="shared" si="385"/>
        <v>3.6116473000683524</v>
      </c>
      <c r="CZ126" s="217">
        <f t="shared" si="386"/>
        <v>4.3707833567706178</v>
      </c>
      <c r="DA126" s="197">
        <f t="shared" si="387"/>
        <v>71.63784822286263</v>
      </c>
      <c r="DB126" s="443">
        <f t="shared" si="388"/>
        <v>125.27512520804012</v>
      </c>
      <c r="DD126" s="217">
        <f t="shared" si="389"/>
        <v>10.000000000000002</v>
      </c>
      <c r="DE126" s="173">
        <f t="shared" si="390"/>
        <v>7.6433121019108299</v>
      </c>
      <c r="DF126" s="173">
        <f t="shared" si="391"/>
        <v>2.7017291066282429</v>
      </c>
      <c r="DG126" s="173"/>
      <c r="DH126" s="173">
        <f t="shared" si="392"/>
        <v>7.6433121019108281</v>
      </c>
      <c r="DI126" s="545">
        <f t="shared" si="393"/>
        <v>41.866666666666674</v>
      </c>
      <c r="DJ126" s="528">
        <f t="shared" si="394"/>
        <v>2.7377521613832849</v>
      </c>
      <c r="DL126" s="173">
        <f t="shared" si="395"/>
        <v>3.4030798375813021</v>
      </c>
      <c r="DM126" s="173">
        <f t="shared" si="396"/>
        <v>10</v>
      </c>
      <c r="DN126" s="173">
        <f t="shared" si="397"/>
        <v>1.0239238095238095</v>
      </c>
      <c r="DP126" s="545">
        <f t="shared" si="398"/>
        <v>1600</v>
      </c>
      <c r="DQ126" s="460">
        <f t="shared" si="399"/>
        <v>41.866666666666674</v>
      </c>
      <c r="DS126" s="460">
        <f t="shared" si="400"/>
        <v>1600</v>
      </c>
      <c r="DT126" s="460">
        <f t="shared" si="401"/>
        <v>41.866666666666674</v>
      </c>
      <c r="DV126" s="5">
        <f t="shared" si="402"/>
        <v>23.885350318471332</v>
      </c>
      <c r="DW126" s="5">
        <f t="shared" si="403"/>
        <v>6.3157894736842106</v>
      </c>
      <c r="DX126" s="5">
        <f t="shared" si="404"/>
        <v>17.569560844787119</v>
      </c>
      <c r="DY126" s="173">
        <f t="shared" si="405"/>
        <v>0.264421052631579</v>
      </c>
      <c r="EA126" s="5">
        <f t="shared" si="406"/>
        <v>67.368421052631589</v>
      </c>
      <c r="EB126" s="5">
        <f t="shared" si="407"/>
        <v>3.1578947368421053</v>
      </c>
      <c r="EC126" s="5">
        <f t="shared" si="408"/>
        <v>6.1647581911533749</v>
      </c>
      <c r="ED126" s="5"/>
      <c r="EE126" s="173">
        <f t="shared" si="409"/>
        <v>2.9688440659150994</v>
      </c>
      <c r="EF126" s="173">
        <f t="shared" si="410"/>
        <v>4.951696501767251</v>
      </c>
      <c r="EG126" s="173">
        <f t="shared" si="411"/>
        <v>0.12194766286705232</v>
      </c>
      <c r="EH126" s="173"/>
      <c r="EI126" s="528">
        <f t="shared" si="412"/>
        <v>0.17628070175438598</v>
      </c>
      <c r="EJ126" s="528">
        <f t="shared" si="413"/>
        <v>0.29055466666666674</v>
      </c>
      <c r="EK126" s="528">
        <f t="shared" si="414"/>
        <v>5.2333333333333338E-3</v>
      </c>
      <c r="EL126" s="528">
        <f t="shared" si="415"/>
        <v>5.0411234666666686E-3</v>
      </c>
      <c r="EM126">
        <f t="shared" si="416"/>
        <v>8.5500000000000003E-3</v>
      </c>
      <c r="EN126" s="460">
        <f t="shared" si="417"/>
        <v>13.783333333333335</v>
      </c>
      <c r="EP126" s="460">
        <f t="shared" si="439"/>
        <v>485.6598252210527</v>
      </c>
      <c r="EQ126" s="173">
        <f t="shared" si="418"/>
        <v>1.1199999999999999</v>
      </c>
      <c r="ER126" s="173">
        <f t="shared" si="419"/>
        <v>1.7749999999999998E-2</v>
      </c>
      <c r="ES126" s="528"/>
      <c r="EU126" s="460">
        <f t="shared" si="420"/>
        <v>1137.7499999999998</v>
      </c>
      <c r="EV126" s="528">
        <f t="shared" si="421"/>
        <v>0.26442105263157895</v>
      </c>
      <c r="EW126" s="528">
        <f t="shared" si="422"/>
        <v>0.73557894736842089</v>
      </c>
      <c r="EX126" s="528">
        <f t="shared" si="423"/>
        <v>7.4356162393681257E-5</v>
      </c>
      <c r="EY126" s="528">
        <f t="shared" si="424"/>
        <v>0.1793250522466083</v>
      </c>
      <c r="EZ126" s="528"/>
      <c r="FA126" s="625">
        <f t="shared" si="425"/>
        <v>4.1866666666666675E-3</v>
      </c>
      <c r="FB126" s="460">
        <f t="shared" si="426"/>
        <v>1183.5860750756683</v>
      </c>
      <c r="FC126" s="173">
        <f t="shared" si="427"/>
        <v>2.8069959002967204</v>
      </c>
      <c r="FD126" s="5">
        <f t="shared" si="428"/>
        <v>24.32</v>
      </c>
      <c r="FE126" s="173">
        <f t="shared" si="429"/>
        <v>0.89652389410852473</v>
      </c>
      <c r="FF126" s="5">
        <f t="shared" si="430"/>
        <v>89.652389410852479</v>
      </c>
      <c r="FG126">
        <f t="shared" si="431"/>
        <v>16</v>
      </c>
      <c r="FI126" s="562">
        <f t="shared" si="432"/>
        <v>-50</v>
      </c>
      <c r="FJ126">
        <f t="shared" si="433"/>
        <v>-50</v>
      </c>
    </row>
    <row r="127" spans="5:166">
      <c r="E127" s="170">
        <v>17</v>
      </c>
      <c r="F127" s="217">
        <f t="shared" si="434"/>
        <v>1.7000000000000002</v>
      </c>
      <c r="G127" s="217">
        <f t="shared" si="313"/>
        <v>4.2500000000000003E-2</v>
      </c>
      <c r="H127" s="217">
        <f t="shared" si="314"/>
        <v>25.500000000000004</v>
      </c>
      <c r="I127" s="217">
        <f t="shared" si="315"/>
        <v>0.34</v>
      </c>
      <c r="J127" s="541">
        <f t="shared" si="316"/>
        <v>18.723315016620045</v>
      </c>
      <c r="K127" s="443">
        <f t="shared" si="317"/>
        <v>15.848559966660831</v>
      </c>
      <c r="L127" s="172">
        <f t="shared" si="318"/>
        <v>34.571874983280878</v>
      </c>
      <c r="M127" s="443"/>
      <c r="N127" s="217">
        <f t="shared" si="319"/>
        <v>0.4584235010199843</v>
      </c>
      <c r="O127" s="172">
        <f t="shared" si="320"/>
        <v>211.75676695606103</v>
      </c>
      <c r="P127" s="172">
        <f t="shared" si="321"/>
        <v>2.8610692068730028</v>
      </c>
      <c r="Q127" s="217">
        <f t="shared" si="322"/>
        <v>14.117117797070735</v>
      </c>
      <c r="R127" s="217">
        <f t="shared" si="323"/>
        <v>26.469595869507629</v>
      </c>
      <c r="S127" s="217">
        <f t="shared" si="324"/>
        <v>15</v>
      </c>
      <c r="T127" s="217">
        <f t="shared" si="325"/>
        <v>6.0210590590692163</v>
      </c>
      <c r="U127" s="217">
        <f t="shared" si="326"/>
        <v>3.8589698803173662</v>
      </c>
      <c r="V127" s="217">
        <f t="shared" si="327"/>
        <v>4.5589447155339045</v>
      </c>
      <c r="W127" s="197">
        <f t="shared" si="328"/>
        <v>71.526730171825065</v>
      </c>
      <c r="X127" s="443">
        <f t="shared" si="435"/>
        <v>116.03735322248467</v>
      </c>
      <c r="Z127" s="217">
        <f t="shared" si="329"/>
        <v>10</v>
      </c>
      <c r="AA127" s="173">
        <f t="shared" si="330"/>
        <v>7.5716658328853255</v>
      </c>
      <c r="AB127" s="173">
        <f t="shared" si="331"/>
        <v>2.6722524620724464</v>
      </c>
      <c r="AC127" s="173"/>
      <c r="AD127" s="173">
        <f t="shared" si="332"/>
        <v>7.5716658328853255</v>
      </c>
      <c r="AE127" s="545">
        <f t="shared" si="333"/>
        <v>44.904253238872357</v>
      </c>
      <c r="AF127" s="528">
        <f t="shared" si="334"/>
        <v>2.7078824949000788</v>
      </c>
      <c r="AH127" s="173">
        <f t="shared" si="335"/>
        <v>3.5078144056893752</v>
      </c>
      <c r="AI127" s="173">
        <f t="shared" si="336"/>
        <v>10</v>
      </c>
      <c r="AJ127" s="173">
        <f t="shared" si="337"/>
        <v>1.0256595732793556</v>
      </c>
      <c r="AL127" s="545">
        <f t="shared" si="338"/>
        <v>1700.0000000000002</v>
      </c>
      <c r="AM127" s="460">
        <f t="shared" si="339"/>
        <v>44.904253238872357</v>
      </c>
      <c r="AO127" s="460">
        <f t="shared" si="340"/>
        <v>1700.0000000000002</v>
      </c>
      <c r="AP127" s="460">
        <f t="shared" si="341"/>
        <v>44.904253238872357</v>
      </c>
      <c r="AR127" s="5">
        <f t="shared" si="275"/>
        <v>22.269605390839189</v>
      </c>
      <c r="AS127" s="5">
        <f t="shared" si="440"/>
        <v>6.4091214559750833</v>
      </c>
      <c r="AT127" s="5">
        <f t="shared" si="441"/>
        <v>15.860483934864106</v>
      </c>
      <c r="AU127" s="173">
        <f t="shared" si="442"/>
        <v>0.28779681289779546</v>
      </c>
      <c r="AW127" s="5">
        <f t="shared" si="342"/>
        <v>72.636709834384277</v>
      </c>
      <c r="AX127" s="5">
        <f t="shared" si="343"/>
        <v>3.404845773486763</v>
      </c>
      <c r="AY127" s="5">
        <f t="shared" si="344"/>
        <v>6.0002779656751954</v>
      </c>
      <c r="AZ127" s="5"/>
      <c r="BA127" s="173">
        <f t="shared" si="345"/>
        <v>3.097293511534414</v>
      </c>
      <c r="BB127" s="173">
        <f t="shared" si="346"/>
        <v>4.8723819879746859</v>
      </c>
      <c r="BC127" s="173">
        <f t="shared" si="347"/>
        <v>0.11999434856659229</v>
      </c>
      <c r="BD127" s="173"/>
      <c r="BE127" s="528">
        <f t="shared" si="348"/>
        <v>0.19186454193186364</v>
      </c>
      <c r="BF127" s="528">
        <f t="shared" si="349"/>
        <v>0.2910795429734776</v>
      </c>
      <c r="BG127" s="528">
        <f t="shared" si="350"/>
        <v>2.1018911974437202E-2</v>
      </c>
      <c r="BH127" s="528">
        <f t="shared" si="351"/>
        <v>5.3670216372637882E-3</v>
      </c>
      <c r="BI127">
        <f t="shared" si="352"/>
        <v>8.4254917574790207E-3</v>
      </c>
      <c r="BJ127" s="460">
        <f t="shared" si="436"/>
        <v>29.444403731916221</v>
      </c>
      <c r="BK127">
        <f t="shared" si="353"/>
        <v>0.5659128086532248</v>
      </c>
      <c r="BL127" s="460">
        <f t="shared" si="437"/>
        <v>517.75551027452116</v>
      </c>
      <c r="BM127" s="173">
        <f t="shared" si="354"/>
        <v>1.056125</v>
      </c>
      <c r="BN127" s="173">
        <f t="shared" si="355"/>
        <v>2.6403124999999996E-2</v>
      </c>
      <c r="BO127" s="528"/>
      <c r="BQ127" s="460">
        <f t="shared" si="356"/>
        <v>1082.528125</v>
      </c>
      <c r="BR127" s="528">
        <f t="shared" si="357"/>
        <v>0.28779681289779546</v>
      </c>
      <c r="BS127" s="528">
        <f t="shared" si="358"/>
        <v>0.71220318710220454</v>
      </c>
      <c r="BT127" s="528">
        <f t="shared" si="359"/>
        <v>7.1993218439604241E-5</v>
      </c>
      <c r="BU127" s="528">
        <f t="shared" si="360"/>
        <v>0.21364301607145122</v>
      </c>
      <c r="BV127" s="528"/>
      <c r="BW127" s="625">
        <f t="shared" si="361"/>
        <v>4.4904253238872366E-3</v>
      </c>
      <c r="BX127" s="460">
        <f t="shared" si="362"/>
        <v>1218.2054346137784</v>
      </c>
      <c r="BY127" s="173">
        <f t="shared" si="363"/>
        <v>2.8184890698882992</v>
      </c>
      <c r="BZ127" s="5">
        <f t="shared" si="364"/>
        <v>25.840000000000003</v>
      </c>
      <c r="CA127" s="173">
        <f t="shared" si="365"/>
        <v>0.90165255875789663</v>
      </c>
      <c r="CB127" s="5">
        <f t="shared" si="366"/>
        <v>90.165255875789668</v>
      </c>
      <c r="CC127">
        <f t="shared" si="367"/>
        <v>17</v>
      </c>
      <c r="CE127" s="562">
        <f t="shared" si="368"/>
        <v>-50</v>
      </c>
      <c r="CF127">
        <f t="shared" si="369"/>
        <v>-50</v>
      </c>
      <c r="CG127" s="173">
        <f t="shared" si="370"/>
        <v>0.34329571516689239</v>
      </c>
      <c r="CH127" s="173">
        <f t="shared" si="371"/>
        <v>3.9555652965520154E-2</v>
      </c>
      <c r="CI127" s="170">
        <v>17</v>
      </c>
      <c r="CJ127" s="217">
        <f t="shared" si="438"/>
        <v>1.7000000000000002</v>
      </c>
      <c r="CK127" s="217">
        <f t="shared" si="372"/>
        <v>4.2500000000000003E-2</v>
      </c>
      <c r="CL127" s="217">
        <f t="shared" si="373"/>
        <v>25.500000000000004</v>
      </c>
      <c r="CM127" s="217">
        <f t="shared" si="374"/>
        <v>0.34</v>
      </c>
      <c r="CN127" s="541">
        <f t="shared" si="375"/>
        <v>19</v>
      </c>
      <c r="CO127" s="443">
        <f t="shared" si="376"/>
        <v>15.7</v>
      </c>
      <c r="CP127" s="443">
        <f t="shared" si="377"/>
        <v>34.700000000000003</v>
      </c>
      <c r="CQ127" s="443"/>
      <c r="CR127" s="217">
        <f t="shared" si="378"/>
        <v>0.44767441860465118</v>
      </c>
      <c r="CS127" s="172">
        <f t="shared" si="379"/>
        <v>209.84738372093025</v>
      </c>
      <c r="CT127" s="172">
        <f t="shared" si="380"/>
        <v>2.835271317829458</v>
      </c>
      <c r="CU127" s="217">
        <f t="shared" si="381"/>
        <v>13.989825581395349</v>
      </c>
      <c r="CV127" s="217">
        <f t="shared" si="382"/>
        <v>26.230922965116282</v>
      </c>
      <c r="CW127" s="217">
        <f t="shared" si="383"/>
        <v>15</v>
      </c>
      <c r="CX127" s="217">
        <f t="shared" si="384"/>
        <v>6.0758441558441563</v>
      </c>
      <c r="CY127" s="217">
        <f t="shared" si="385"/>
        <v>3.8373752563226247</v>
      </c>
      <c r="CZ127" s="217">
        <f t="shared" si="386"/>
        <v>4.6439573165687822</v>
      </c>
      <c r="DA127" s="197">
        <f t="shared" si="387"/>
        <v>71.63784822286263</v>
      </c>
      <c r="DB127" s="443">
        <f t="shared" si="388"/>
        <v>117.90600019580245</v>
      </c>
      <c r="DD127" s="217">
        <f t="shared" si="389"/>
        <v>10.000000000000002</v>
      </c>
      <c r="DE127" s="173">
        <f t="shared" si="390"/>
        <v>7.6433121019108299</v>
      </c>
      <c r="DF127" s="173">
        <f t="shared" si="391"/>
        <v>2.7017291066282429</v>
      </c>
      <c r="DG127" s="173"/>
      <c r="DH127" s="173">
        <f t="shared" si="392"/>
        <v>7.6433121019108281</v>
      </c>
      <c r="DI127" s="545">
        <f t="shared" si="393"/>
        <v>44.483333333333341</v>
      </c>
      <c r="DJ127" s="528">
        <f t="shared" si="394"/>
        <v>2.7377521613832849</v>
      </c>
      <c r="DL127" s="173">
        <f t="shared" si="395"/>
        <v>3.5078144056893752</v>
      </c>
      <c r="DM127" s="173">
        <f t="shared" si="396"/>
        <v>10</v>
      </c>
      <c r="DN127" s="173">
        <f t="shared" si="397"/>
        <v>1.0254190476190477</v>
      </c>
      <c r="DP127" s="545">
        <f t="shared" si="398"/>
        <v>1700.0000000000002</v>
      </c>
      <c r="DQ127" s="460">
        <f t="shared" si="399"/>
        <v>44.483333333333341</v>
      </c>
      <c r="DS127" s="460">
        <f t="shared" si="400"/>
        <v>1700.0000000000002</v>
      </c>
      <c r="DT127" s="460">
        <f t="shared" si="401"/>
        <v>44.483333333333341</v>
      </c>
      <c r="DV127" s="5">
        <f t="shared" si="402"/>
        <v>22.480329711502431</v>
      </c>
      <c r="DW127" s="5">
        <f t="shared" si="403"/>
        <v>6.3157894736842106</v>
      </c>
      <c r="DX127" s="5">
        <f t="shared" si="404"/>
        <v>16.164540237818223</v>
      </c>
      <c r="DY127" s="173">
        <f t="shared" si="405"/>
        <v>0.28094736842105267</v>
      </c>
      <c r="EA127" s="5">
        <f t="shared" si="406"/>
        <v>71.578947368421055</v>
      </c>
      <c r="EB127" s="5">
        <f t="shared" si="407"/>
        <v>3.3552631578947372</v>
      </c>
      <c r="EC127" s="5">
        <f t="shared" si="408"/>
        <v>6.0262540360287247</v>
      </c>
      <c r="ED127" s="5"/>
      <c r="EE127" s="173">
        <f t="shared" si="409"/>
        <v>3.0602144174390391</v>
      </c>
      <c r="EF127" s="173">
        <f t="shared" si="410"/>
        <v>4.8957554118472437</v>
      </c>
      <c r="EG127" s="173">
        <f t="shared" si="411"/>
        <v>0.12056997641725763</v>
      </c>
      <c r="EH127" s="173"/>
      <c r="EI127" s="528">
        <f t="shared" si="412"/>
        <v>0.18729824561403516</v>
      </c>
      <c r="EJ127" s="528">
        <f t="shared" si="413"/>
        <v>0.30871433333333342</v>
      </c>
      <c r="EK127" s="528">
        <f t="shared" si="414"/>
        <v>5.5604166666666675E-3</v>
      </c>
      <c r="EL127" s="528">
        <f t="shared" si="415"/>
        <v>5.3561936833333356E-3</v>
      </c>
      <c r="EM127">
        <f t="shared" si="416"/>
        <v>8.5500000000000003E-3</v>
      </c>
      <c r="EN127" s="460">
        <f t="shared" si="417"/>
        <v>14.110416666666667</v>
      </c>
      <c r="EP127" s="460">
        <f t="shared" si="439"/>
        <v>515.47918929736852</v>
      </c>
      <c r="EQ127" s="173">
        <f t="shared" si="418"/>
        <v>1.19</v>
      </c>
      <c r="ER127" s="173">
        <f t="shared" si="419"/>
        <v>1.8859375000000001E-2</v>
      </c>
      <c r="ES127" s="528"/>
      <c r="EU127" s="460">
        <f t="shared" si="420"/>
        <v>1208.8593749999998</v>
      </c>
      <c r="EV127" s="528">
        <f t="shared" si="421"/>
        <v>0.28094736842105272</v>
      </c>
      <c r="EW127" s="528">
        <f t="shared" si="422"/>
        <v>0.71905263157894728</v>
      </c>
      <c r="EX127" s="528">
        <f t="shared" si="423"/>
        <v>7.2685596066290306E-5</v>
      </c>
      <c r="EY127" s="528">
        <f t="shared" si="424"/>
        <v>0.20867158405331809</v>
      </c>
      <c r="EZ127" s="528"/>
      <c r="FA127" s="625">
        <f t="shared" si="425"/>
        <v>4.4483333333333345E-3</v>
      </c>
      <c r="FB127" s="460">
        <f t="shared" si="426"/>
        <v>1213.1926029827177</v>
      </c>
      <c r="FC127" s="173">
        <f t="shared" si="427"/>
        <v>2.9375311672800861</v>
      </c>
      <c r="FD127" s="5">
        <f t="shared" si="428"/>
        <v>25.840000000000003</v>
      </c>
      <c r="FE127" s="173">
        <f t="shared" si="429"/>
        <v>0.89792275264321342</v>
      </c>
      <c r="FF127" s="5">
        <f t="shared" si="430"/>
        <v>89.792275264321347</v>
      </c>
      <c r="FG127">
        <f t="shared" si="431"/>
        <v>17</v>
      </c>
      <c r="FI127" s="562">
        <f t="shared" si="432"/>
        <v>-50</v>
      </c>
      <c r="FJ127">
        <f t="shared" si="433"/>
        <v>-50</v>
      </c>
    </row>
    <row r="128" spans="5:166">
      <c r="E128" s="170">
        <v>18</v>
      </c>
      <c r="F128" s="217">
        <f t="shared" si="434"/>
        <v>1.7999999999999998</v>
      </c>
      <c r="G128" s="217">
        <f t="shared" si="313"/>
        <v>4.4999999999999998E-2</v>
      </c>
      <c r="H128" s="217">
        <f t="shared" si="314"/>
        <v>26.999999999999996</v>
      </c>
      <c r="I128" s="217">
        <f t="shared" si="315"/>
        <v>0.36</v>
      </c>
      <c r="J128" s="541">
        <f t="shared" si="316"/>
        <v>18.723315016620045</v>
      </c>
      <c r="K128" s="443">
        <f t="shared" si="317"/>
        <v>15.848559966660831</v>
      </c>
      <c r="L128" s="172">
        <f t="shared" si="318"/>
        <v>34.571874983280878</v>
      </c>
      <c r="M128" s="443"/>
      <c r="N128" s="217">
        <f t="shared" si="319"/>
        <v>0.4584235010199843</v>
      </c>
      <c r="O128" s="172">
        <f t="shared" si="320"/>
        <v>211.75676695606103</v>
      </c>
      <c r="P128" s="172">
        <f t="shared" si="321"/>
        <v>2.8610692068730028</v>
      </c>
      <c r="Q128" s="217">
        <f t="shared" si="322"/>
        <v>14.117117797070735</v>
      </c>
      <c r="R128" s="217">
        <f t="shared" si="323"/>
        <v>26.469595869507629</v>
      </c>
      <c r="S128" s="217">
        <f t="shared" si="324"/>
        <v>15</v>
      </c>
      <c r="T128" s="217">
        <f t="shared" si="325"/>
        <v>6.3752390037203455</v>
      </c>
      <c r="U128" s="217">
        <f t="shared" si="326"/>
        <v>4.0859681085713282</v>
      </c>
      <c r="V128" s="217">
        <f t="shared" si="327"/>
        <v>4.8271179340947219</v>
      </c>
      <c r="W128" s="197">
        <f t="shared" si="328"/>
        <v>71.526730171825065</v>
      </c>
      <c r="X128" s="443">
        <f t="shared" si="435"/>
        <v>109.732311899411</v>
      </c>
      <c r="Z128" s="217">
        <f t="shared" si="329"/>
        <v>10</v>
      </c>
      <c r="AA128" s="173">
        <f t="shared" si="330"/>
        <v>7.5716658328853255</v>
      </c>
      <c r="AB128" s="173">
        <f t="shared" si="331"/>
        <v>2.6722524620724464</v>
      </c>
      <c r="AC128" s="173"/>
      <c r="AD128" s="173">
        <f t="shared" si="332"/>
        <v>7.5716658328853255</v>
      </c>
      <c r="AE128" s="545">
        <f t="shared" si="333"/>
        <v>47.545679899982481</v>
      </c>
      <c r="AF128" s="528">
        <f t="shared" si="334"/>
        <v>2.7078824949000788</v>
      </c>
      <c r="AH128" s="173">
        <f t="shared" si="335"/>
        <v>3.60951124510943</v>
      </c>
      <c r="AI128" s="173">
        <f t="shared" si="336"/>
        <v>10</v>
      </c>
      <c r="AJ128" s="173">
        <f t="shared" si="337"/>
        <v>1.0271689599428471</v>
      </c>
      <c r="AL128" s="545">
        <f t="shared" si="338"/>
        <v>1799.9999999999998</v>
      </c>
      <c r="AM128" s="460">
        <f t="shared" si="339"/>
        <v>47.545679899982481</v>
      </c>
      <c r="AO128" s="460">
        <f t="shared" si="340"/>
        <v>1799.9999999999998</v>
      </c>
      <c r="AP128" s="460">
        <f t="shared" si="341"/>
        <v>47.545679899982481</v>
      </c>
      <c r="AR128" s="5">
        <f t="shared" si="275"/>
        <v>21.032405091348132</v>
      </c>
      <c r="AS128" s="5">
        <f t="shared" si="440"/>
        <v>6.4091214559750833</v>
      </c>
      <c r="AT128" s="5">
        <f t="shared" si="441"/>
        <v>14.623283635373049</v>
      </c>
      <c r="AU128" s="173">
        <f t="shared" si="442"/>
        <v>0.30472603718590097</v>
      </c>
      <c r="AW128" s="5">
        <f t="shared" si="342"/>
        <v>76.909457471700989</v>
      </c>
      <c r="AX128" s="5">
        <f t="shared" si="343"/>
        <v>3.6051308189859839</v>
      </c>
      <c r="AY128" s="5">
        <f t="shared" si="344"/>
        <v>5.8576500565174188</v>
      </c>
      <c r="AZ128" s="5"/>
      <c r="BA128" s="173">
        <f t="shared" si="345"/>
        <v>3.1870887299953488</v>
      </c>
      <c r="BB128" s="173">
        <f t="shared" si="346"/>
        <v>4.8141249215688173</v>
      </c>
      <c r="BC128" s="173">
        <f t="shared" si="347"/>
        <v>0.11855962551942029</v>
      </c>
      <c r="BD128" s="173"/>
      <c r="BE128" s="528">
        <f t="shared" si="348"/>
        <v>0.20315069145726733</v>
      </c>
      <c r="BF128" s="528">
        <f t="shared" si="349"/>
        <v>0.30820186903074093</v>
      </c>
      <c r="BG128" s="528">
        <f t="shared" si="350"/>
        <v>2.2255318561168795E-2</v>
      </c>
      <c r="BH128" s="528">
        <f t="shared" si="351"/>
        <v>5.6827287923969499E-3</v>
      </c>
      <c r="BI128">
        <f t="shared" si="352"/>
        <v>8.4254917574790207E-3</v>
      </c>
      <c r="BJ128" s="460">
        <f t="shared" si="436"/>
        <v>30.680810318647815</v>
      </c>
      <c r="BK128">
        <f t="shared" si="353"/>
        <v>0.60089010255607223</v>
      </c>
      <c r="BL128" s="460">
        <f t="shared" si="437"/>
        <v>547.716099599053</v>
      </c>
      <c r="BM128" s="173">
        <f t="shared" si="354"/>
        <v>1.1182499999999997</v>
      </c>
      <c r="BN128" s="173">
        <f t="shared" si="355"/>
        <v>2.7956249999999998E-2</v>
      </c>
      <c r="BO128" s="528"/>
      <c r="BQ128" s="460">
        <f t="shared" si="356"/>
        <v>1146.2062499999997</v>
      </c>
      <c r="BR128" s="528">
        <f t="shared" si="357"/>
        <v>0.30472603718590097</v>
      </c>
      <c r="BS128" s="528">
        <f t="shared" si="358"/>
        <v>0.69527396281409903</v>
      </c>
      <c r="BT128" s="528">
        <f t="shared" si="359"/>
        <v>7.0281924016525878E-5</v>
      </c>
      <c r="BU128" s="528">
        <f t="shared" si="360"/>
        <v>0.24646068984318939</v>
      </c>
      <c r="BV128" s="528"/>
      <c r="BW128" s="625">
        <f t="shared" si="361"/>
        <v>4.7545679899982487E-3</v>
      </c>
      <c r="BX128" s="460">
        <f t="shared" si="362"/>
        <v>1251.2855397572043</v>
      </c>
      <c r="BY128" s="173">
        <f t="shared" si="363"/>
        <v>2.945207889356257</v>
      </c>
      <c r="BZ128" s="5">
        <f t="shared" si="364"/>
        <v>27.359999999999996</v>
      </c>
      <c r="CA128" s="173">
        <f t="shared" si="365"/>
        <v>0.90281512339037051</v>
      </c>
      <c r="CB128" s="5">
        <f t="shared" si="366"/>
        <v>90.28151233903705</v>
      </c>
      <c r="CC128">
        <f t="shared" si="367"/>
        <v>18</v>
      </c>
      <c r="CE128" s="562">
        <f t="shared" si="368"/>
        <v>-50</v>
      </c>
      <c r="CF128">
        <f t="shared" si="369"/>
        <v>-50</v>
      </c>
      <c r="CG128" s="173">
        <f t="shared" si="370"/>
        <v>0.36348958076494475</v>
      </c>
      <c r="CH128" s="173">
        <f t="shared" si="371"/>
        <v>4.1882456081138976E-2</v>
      </c>
      <c r="CI128" s="170">
        <v>18</v>
      </c>
      <c r="CJ128" s="217">
        <f t="shared" si="438"/>
        <v>1.7999999999999998</v>
      </c>
      <c r="CK128" s="217">
        <f t="shared" si="372"/>
        <v>4.4999999999999998E-2</v>
      </c>
      <c r="CL128" s="217">
        <f t="shared" si="373"/>
        <v>26.999999999999996</v>
      </c>
      <c r="CM128" s="217">
        <f t="shared" si="374"/>
        <v>0.36</v>
      </c>
      <c r="CN128" s="541">
        <f t="shared" si="375"/>
        <v>19</v>
      </c>
      <c r="CO128" s="443">
        <f t="shared" si="376"/>
        <v>15.7</v>
      </c>
      <c r="CP128" s="443">
        <f t="shared" si="377"/>
        <v>34.700000000000003</v>
      </c>
      <c r="CQ128" s="443"/>
      <c r="CR128" s="217">
        <f t="shared" si="378"/>
        <v>0.44767441860465118</v>
      </c>
      <c r="CS128" s="172">
        <f t="shared" si="379"/>
        <v>209.84738372093025</v>
      </c>
      <c r="CT128" s="172">
        <f t="shared" si="380"/>
        <v>2.835271317829458</v>
      </c>
      <c r="CU128" s="217">
        <f t="shared" si="381"/>
        <v>13.989825581395349</v>
      </c>
      <c r="CV128" s="217">
        <f t="shared" si="382"/>
        <v>26.230922965116282</v>
      </c>
      <c r="CW128" s="217">
        <f t="shared" si="383"/>
        <v>15</v>
      </c>
      <c r="CX128" s="217">
        <f t="shared" si="384"/>
        <v>6.4332467532467517</v>
      </c>
      <c r="CY128" s="217">
        <f t="shared" si="385"/>
        <v>4.0631032125768956</v>
      </c>
      <c r="CZ128" s="217">
        <f t="shared" si="386"/>
        <v>4.9171312763669439</v>
      </c>
      <c r="DA128" s="197">
        <f t="shared" si="387"/>
        <v>71.63784822286263</v>
      </c>
      <c r="DB128" s="443">
        <f t="shared" si="388"/>
        <v>111.35566685159125</v>
      </c>
      <c r="DD128" s="217">
        <f t="shared" si="389"/>
        <v>10.000000000000002</v>
      </c>
      <c r="DE128" s="173">
        <f t="shared" si="390"/>
        <v>7.6433121019108299</v>
      </c>
      <c r="DF128" s="173">
        <f t="shared" si="391"/>
        <v>2.7017291066282429</v>
      </c>
      <c r="DG128" s="173"/>
      <c r="DH128" s="173">
        <f t="shared" si="392"/>
        <v>7.6433121019108281</v>
      </c>
      <c r="DI128" s="545">
        <f t="shared" si="393"/>
        <v>47.1</v>
      </c>
      <c r="DJ128" s="528">
        <f t="shared" si="394"/>
        <v>2.7377521613832849</v>
      </c>
      <c r="DL128" s="173">
        <f t="shared" si="395"/>
        <v>3.60951124510943</v>
      </c>
      <c r="DM128" s="173">
        <f t="shared" si="396"/>
        <v>10</v>
      </c>
      <c r="DN128" s="173">
        <f t="shared" si="397"/>
        <v>1.0269142857142857</v>
      </c>
      <c r="DP128" s="545">
        <f t="shared" si="398"/>
        <v>1799.9999999999998</v>
      </c>
      <c r="DQ128" s="460">
        <f t="shared" si="399"/>
        <v>47.1</v>
      </c>
      <c r="DS128" s="460">
        <f t="shared" si="400"/>
        <v>1799.9999999999998</v>
      </c>
      <c r="DT128" s="460">
        <f t="shared" si="401"/>
        <v>47.1</v>
      </c>
      <c r="DV128" s="5">
        <f t="shared" si="402"/>
        <v>21.231422505307854</v>
      </c>
      <c r="DW128" s="5">
        <f t="shared" si="403"/>
        <v>6.3157894736842106</v>
      </c>
      <c r="DX128" s="5">
        <f t="shared" si="404"/>
        <v>14.915633031623644</v>
      </c>
      <c r="DY128" s="173">
        <f t="shared" si="405"/>
        <v>0.29747368421052633</v>
      </c>
      <c r="EA128" s="5">
        <f t="shared" si="406"/>
        <v>75.789473684210535</v>
      </c>
      <c r="EB128" s="5">
        <f t="shared" si="407"/>
        <v>3.5526315789473686</v>
      </c>
      <c r="EC128" s="5">
        <f t="shared" si="408"/>
        <v>5.8877498809040691</v>
      </c>
      <c r="ED128" s="5"/>
      <c r="EE128" s="173">
        <f t="shared" si="409"/>
        <v>3.1489346569410124</v>
      </c>
      <c r="EF128" s="173">
        <f t="shared" si="410"/>
        <v>4.8391676825306558</v>
      </c>
      <c r="EG128" s="173">
        <f t="shared" si="411"/>
        <v>0.11917636488742167</v>
      </c>
      <c r="EH128" s="173"/>
      <c r="EI128" s="528">
        <f t="shared" si="412"/>
        <v>0.19831578947368425</v>
      </c>
      <c r="EJ128" s="528">
        <f t="shared" si="413"/>
        <v>0.326874</v>
      </c>
      <c r="EK128" s="528">
        <f t="shared" si="414"/>
        <v>5.8875000000000004E-3</v>
      </c>
      <c r="EL128" s="528">
        <f t="shared" si="415"/>
        <v>5.6712639000000018E-3</v>
      </c>
      <c r="EM128">
        <f t="shared" si="416"/>
        <v>8.5500000000000003E-3</v>
      </c>
      <c r="EN128" s="460">
        <f t="shared" si="417"/>
        <v>14.4375</v>
      </c>
      <c r="EP128" s="460">
        <f t="shared" si="439"/>
        <v>545.29855337368429</v>
      </c>
      <c r="EQ128" s="173">
        <f t="shared" si="418"/>
        <v>1.2599999999999998</v>
      </c>
      <c r="ER128" s="173">
        <f t="shared" si="419"/>
        <v>1.9968749999999997E-2</v>
      </c>
      <c r="ES128" s="528"/>
      <c r="EU128" s="460">
        <f t="shared" si="420"/>
        <v>1279.9687499999998</v>
      </c>
      <c r="EV128" s="528">
        <f t="shared" si="421"/>
        <v>0.29747368421052633</v>
      </c>
      <c r="EW128" s="528">
        <f t="shared" si="422"/>
        <v>0.70252631578947355</v>
      </c>
      <c r="EX128" s="528">
        <f t="shared" si="423"/>
        <v>7.1015029738899369E-5</v>
      </c>
      <c r="EY128" s="528">
        <f t="shared" si="424"/>
        <v>0.24072559684914632</v>
      </c>
      <c r="EZ128" s="528"/>
      <c r="FA128" s="625">
        <f t="shared" si="425"/>
        <v>4.7100000000000006E-3</v>
      </c>
      <c r="FB128" s="460">
        <f t="shared" si="426"/>
        <v>1245.5066118788852</v>
      </c>
      <c r="FC128" s="173">
        <f t="shared" si="427"/>
        <v>3.0707739152525693</v>
      </c>
      <c r="FD128" s="5">
        <f t="shared" si="428"/>
        <v>27.359999999999996</v>
      </c>
      <c r="FE128" s="173">
        <f t="shared" si="429"/>
        <v>0.89908985148374976</v>
      </c>
      <c r="FF128" s="5">
        <f t="shared" si="430"/>
        <v>89.908985148374981</v>
      </c>
      <c r="FG128">
        <f t="shared" si="431"/>
        <v>18</v>
      </c>
      <c r="FI128" s="562">
        <f t="shared" si="432"/>
        <v>-50</v>
      </c>
      <c r="FJ128">
        <f t="shared" si="433"/>
        <v>-50</v>
      </c>
    </row>
    <row r="129" spans="5:166">
      <c r="E129" s="170">
        <v>19</v>
      </c>
      <c r="F129" s="217">
        <f t="shared" si="434"/>
        <v>1.9</v>
      </c>
      <c r="G129" s="217">
        <f t="shared" si="313"/>
        <v>4.7500000000000001E-2</v>
      </c>
      <c r="H129" s="217">
        <f t="shared" si="314"/>
        <v>28.5</v>
      </c>
      <c r="I129" s="217">
        <f t="shared" si="315"/>
        <v>0.38</v>
      </c>
      <c r="J129" s="541">
        <f t="shared" si="316"/>
        <v>18.723315016620045</v>
      </c>
      <c r="K129" s="443">
        <f t="shared" si="317"/>
        <v>15.848559966660831</v>
      </c>
      <c r="L129" s="172">
        <f t="shared" si="318"/>
        <v>34.571874983280878</v>
      </c>
      <c r="M129" s="443"/>
      <c r="N129" s="217">
        <f t="shared" si="319"/>
        <v>0.4584235010199843</v>
      </c>
      <c r="O129" s="172">
        <f t="shared" si="320"/>
        <v>211.75676695606103</v>
      </c>
      <c r="P129" s="172">
        <f t="shared" si="321"/>
        <v>2.8610692068730028</v>
      </c>
      <c r="Q129" s="217">
        <f t="shared" si="322"/>
        <v>14.117117797070735</v>
      </c>
      <c r="R129" s="217">
        <f t="shared" si="323"/>
        <v>26.469595869507629</v>
      </c>
      <c r="S129" s="217">
        <f t="shared" si="324"/>
        <v>15</v>
      </c>
      <c r="T129" s="217">
        <f t="shared" si="325"/>
        <v>6.7294189483714764</v>
      </c>
      <c r="U129" s="217">
        <f t="shared" si="326"/>
        <v>4.3129663368252906</v>
      </c>
      <c r="V129" s="217">
        <f t="shared" si="327"/>
        <v>5.0952911526555402</v>
      </c>
      <c r="W129" s="197">
        <f t="shared" si="328"/>
        <v>71.526730171825065</v>
      </c>
      <c r="X129" s="443">
        <f t="shared" si="435"/>
        <v>104.07714417466488</v>
      </c>
      <c r="Z129" s="217">
        <f t="shared" si="329"/>
        <v>10</v>
      </c>
      <c r="AA129" s="173">
        <f t="shared" si="330"/>
        <v>7.5716658328853255</v>
      </c>
      <c r="AB129" s="173">
        <f t="shared" si="331"/>
        <v>2.6722524620724464</v>
      </c>
      <c r="AC129" s="173"/>
      <c r="AD129" s="173">
        <f t="shared" si="332"/>
        <v>7.5716658328853255</v>
      </c>
      <c r="AE129" s="545">
        <f t="shared" si="333"/>
        <v>50.187106561092627</v>
      </c>
      <c r="AF129" s="528">
        <f t="shared" si="334"/>
        <v>2.7078824949000788</v>
      </c>
      <c r="AH129" s="173">
        <f t="shared" si="335"/>
        <v>3.7084202772044259</v>
      </c>
      <c r="AI129" s="173">
        <f t="shared" si="336"/>
        <v>10</v>
      </c>
      <c r="AJ129" s="173">
        <f t="shared" si="337"/>
        <v>1.0286783466063387</v>
      </c>
      <c r="AL129" s="545">
        <f t="shared" si="338"/>
        <v>1900</v>
      </c>
      <c r="AM129" s="460">
        <f t="shared" si="339"/>
        <v>50.187106561092627</v>
      </c>
      <c r="AO129" s="460">
        <f t="shared" si="340"/>
        <v>1900</v>
      </c>
      <c r="AP129" s="460">
        <f t="shared" si="341"/>
        <v>50.187106561092627</v>
      </c>
      <c r="AR129" s="5">
        <f t="shared" si="275"/>
        <v>19.925436402329805</v>
      </c>
      <c r="AS129" s="5">
        <f t="shared" si="440"/>
        <v>6.4091214559750833</v>
      </c>
      <c r="AT129" s="5">
        <f t="shared" si="441"/>
        <v>13.516314946354722</v>
      </c>
      <c r="AU129" s="173">
        <f t="shared" si="442"/>
        <v>0.32165526147400664</v>
      </c>
      <c r="AW129" s="5">
        <f t="shared" si="342"/>
        <v>81.182205109017715</v>
      </c>
      <c r="AX129" s="5">
        <f t="shared" si="343"/>
        <v>3.8054158644852061</v>
      </c>
      <c r="AY129" s="5">
        <f t="shared" si="344"/>
        <v>5.7150221473596394</v>
      </c>
      <c r="AZ129" s="5"/>
      <c r="BA129" s="173">
        <f t="shared" si="345"/>
        <v>3.2744223993146573</v>
      </c>
      <c r="BB129" s="173">
        <f t="shared" si="346"/>
        <v>4.7551541809072582</v>
      </c>
      <c r="BC129" s="173">
        <f t="shared" si="347"/>
        <v>0.11710732649450036</v>
      </c>
      <c r="BD129" s="173"/>
      <c r="BE129" s="528">
        <f t="shared" si="348"/>
        <v>0.21443684098267113</v>
      </c>
      <c r="BF129" s="528">
        <f t="shared" si="349"/>
        <v>0.32532419508800431</v>
      </c>
      <c r="BG129" s="528">
        <f t="shared" si="350"/>
        <v>2.3491725147900398E-2</v>
      </c>
      <c r="BH129" s="528">
        <f t="shared" si="351"/>
        <v>5.998435947530115E-3</v>
      </c>
      <c r="BI129">
        <f t="shared" si="352"/>
        <v>8.4254917574790207E-3</v>
      </c>
      <c r="BJ129" s="460">
        <f t="shared" si="436"/>
        <v>31.917216905379423</v>
      </c>
      <c r="BK129">
        <f t="shared" si="353"/>
        <v>0.63606505675109726</v>
      </c>
      <c r="BL129" s="460">
        <f t="shared" si="437"/>
        <v>577.67668892358506</v>
      </c>
      <c r="BM129" s="173">
        <f t="shared" si="354"/>
        <v>1.1803749999999997</v>
      </c>
      <c r="BN129" s="173">
        <f t="shared" si="355"/>
        <v>2.9509374999999994E-2</v>
      </c>
      <c r="BO129" s="528"/>
      <c r="BQ129" s="460">
        <f t="shared" si="356"/>
        <v>1209.8843749999996</v>
      </c>
      <c r="BR129" s="528">
        <f t="shared" si="357"/>
        <v>0.32165526147400669</v>
      </c>
      <c r="BS129" s="528">
        <f t="shared" si="358"/>
        <v>0.6783447385259932</v>
      </c>
      <c r="BT129" s="528">
        <f t="shared" si="359"/>
        <v>6.8570629593447529E-5</v>
      </c>
      <c r="BU129" s="528">
        <f t="shared" si="360"/>
        <v>0.28213073440427994</v>
      </c>
      <c r="BV129" s="528"/>
      <c r="BW129" s="625">
        <f t="shared" si="361"/>
        <v>5.0187106561092633E-3</v>
      </c>
      <c r="BX129" s="460">
        <f t="shared" si="362"/>
        <v>1287.2180156899824</v>
      </c>
      <c r="BY129" s="173">
        <f t="shared" si="363"/>
        <v>3.0747790796135677</v>
      </c>
      <c r="BZ129" s="5">
        <f t="shared" si="364"/>
        <v>28.88</v>
      </c>
      <c r="CA129" s="173">
        <f t="shared" si="365"/>
        <v>0.90377717611650754</v>
      </c>
      <c r="CB129" s="5">
        <f t="shared" si="366"/>
        <v>90.377717611650752</v>
      </c>
      <c r="CC129">
        <f t="shared" si="367"/>
        <v>19</v>
      </c>
      <c r="CE129" s="562">
        <f t="shared" si="368"/>
        <v>-50</v>
      </c>
      <c r="CF129">
        <f t="shared" si="369"/>
        <v>-50</v>
      </c>
      <c r="CG129" s="173">
        <f t="shared" si="370"/>
        <v>0.38368344636299728</v>
      </c>
      <c r="CH129" s="173">
        <f t="shared" si="371"/>
        <v>4.4209259196757805E-2</v>
      </c>
      <c r="CI129" s="170">
        <v>19</v>
      </c>
      <c r="CJ129" s="217">
        <f t="shared" si="438"/>
        <v>1.9</v>
      </c>
      <c r="CK129" s="217">
        <f t="shared" si="372"/>
        <v>4.7500000000000001E-2</v>
      </c>
      <c r="CL129" s="217">
        <f t="shared" si="373"/>
        <v>28.5</v>
      </c>
      <c r="CM129" s="217">
        <f t="shared" si="374"/>
        <v>0.38</v>
      </c>
      <c r="CN129" s="541">
        <f t="shared" si="375"/>
        <v>19</v>
      </c>
      <c r="CO129" s="443">
        <f t="shared" si="376"/>
        <v>15.7</v>
      </c>
      <c r="CP129" s="443">
        <f t="shared" si="377"/>
        <v>34.700000000000003</v>
      </c>
      <c r="CQ129" s="443"/>
      <c r="CR129" s="217">
        <f t="shared" si="378"/>
        <v>0.44767441860465118</v>
      </c>
      <c r="CS129" s="172">
        <f t="shared" si="379"/>
        <v>209.84738372093025</v>
      </c>
      <c r="CT129" s="172">
        <f t="shared" si="380"/>
        <v>2.835271317829458</v>
      </c>
      <c r="CU129" s="217">
        <f t="shared" si="381"/>
        <v>13.989825581395349</v>
      </c>
      <c r="CV129" s="217">
        <f t="shared" si="382"/>
        <v>26.230922965116282</v>
      </c>
      <c r="CW129" s="217">
        <f t="shared" si="383"/>
        <v>15</v>
      </c>
      <c r="CX129" s="217">
        <f t="shared" si="384"/>
        <v>6.7906493506493497</v>
      </c>
      <c r="CY129" s="217">
        <f t="shared" si="385"/>
        <v>4.2888311688311678</v>
      </c>
      <c r="CZ129" s="217">
        <f t="shared" si="386"/>
        <v>5.1903052361651083</v>
      </c>
      <c r="DA129" s="197">
        <f t="shared" si="387"/>
        <v>71.63784822286263</v>
      </c>
      <c r="DB129" s="443">
        <f t="shared" si="388"/>
        <v>105.49484228045488</v>
      </c>
      <c r="DD129" s="217">
        <f t="shared" si="389"/>
        <v>10.000000000000002</v>
      </c>
      <c r="DE129" s="173">
        <f t="shared" si="390"/>
        <v>7.6433121019108299</v>
      </c>
      <c r="DF129" s="173">
        <f t="shared" si="391"/>
        <v>2.7017291066282429</v>
      </c>
      <c r="DG129" s="173"/>
      <c r="DH129" s="173">
        <f t="shared" si="392"/>
        <v>7.6433121019108281</v>
      </c>
      <c r="DI129" s="545">
        <f t="shared" si="393"/>
        <v>49.716666666666669</v>
      </c>
      <c r="DJ129" s="528">
        <f t="shared" si="394"/>
        <v>2.7377521613832849</v>
      </c>
      <c r="DL129" s="173">
        <f t="shared" si="395"/>
        <v>3.7084202772044259</v>
      </c>
      <c r="DM129" s="173">
        <f t="shared" si="396"/>
        <v>10</v>
      </c>
      <c r="DN129" s="173">
        <f t="shared" si="397"/>
        <v>1.0284095238095239</v>
      </c>
      <c r="DP129" s="545">
        <f t="shared" si="398"/>
        <v>1900</v>
      </c>
      <c r="DQ129" s="460">
        <f t="shared" si="399"/>
        <v>49.716666666666669</v>
      </c>
      <c r="DS129" s="460">
        <f t="shared" si="400"/>
        <v>1900</v>
      </c>
      <c r="DT129" s="460">
        <f t="shared" si="401"/>
        <v>49.716666666666669</v>
      </c>
      <c r="DV129" s="5">
        <f t="shared" si="402"/>
        <v>20.11397921555481</v>
      </c>
      <c r="DW129" s="5">
        <f t="shared" si="403"/>
        <v>6.3157894736842106</v>
      </c>
      <c r="DX129" s="5">
        <f t="shared" si="404"/>
        <v>13.798189741870599</v>
      </c>
      <c r="DY129" s="173">
        <f t="shared" si="405"/>
        <v>0.314</v>
      </c>
      <c r="EA129" s="5">
        <f t="shared" si="406"/>
        <v>80</v>
      </c>
      <c r="EB129" s="5">
        <f t="shared" si="407"/>
        <v>3.75</v>
      </c>
      <c r="EC129" s="5">
        <f t="shared" si="408"/>
        <v>5.7492457257794163</v>
      </c>
      <c r="ED129" s="5"/>
      <c r="EE129" s="173">
        <f t="shared" si="409"/>
        <v>3.2352228156135809</v>
      </c>
      <c r="EF129" s="173">
        <f t="shared" si="410"/>
        <v>4.7819103574478126</v>
      </c>
      <c r="EG129" s="173">
        <f t="shared" si="411"/>
        <v>0.11776626292067555</v>
      </c>
      <c r="EH129" s="173"/>
      <c r="EI129" s="528">
        <f t="shared" si="412"/>
        <v>0.20933333333333334</v>
      </c>
      <c r="EJ129" s="528">
        <f t="shared" si="413"/>
        <v>0.34503366666666674</v>
      </c>
      <c r="EK129" s="528">
        <f t="shared" si="414"/>
        <v>6.2145833333333332E-3</v>
      </c>
      <c r="EL129" s="528">
        <f t="shared" si="415"/>
        <v>5.9863341166666688E-3</v>
      </c>
      <c r="EM129">
        <f t="shared" si="416"/>
        <v>8.5500000000000003E-3</v>
      </c>
      <c r="EN129" s="460">
        <f t="shared" si="417"/>
        <v>14.764583333333334</v>
      </c>
      <c r="EP129" s="460">
        <f t="shared" si="439"/>
        <v>575.11791745000005</v>
      </c>
      <c r="EQ129" s="173">
        <f t="shared" si="418"/>
        <v>1.3299999999999998</v>
      </c>
      <c r="ER129" s="173">
        <f t="shared" si="419"/>
        <v>2.1078125E-2</v>
      </c>
      <c r="ES129" s="528"/>
      <c r="EU129" s="460">
        <f t="shared" si="420"/>
        <v>1351.078125</v>
      </c>
      <c r="EV129" s="528">
        <f t="shared" si="421"/>
        <v>0.314</v>
      </c>
      <c r="EW129" s="528">
        <f t="shared" si="422"/>
        <v>0.68599999999999994</v>
      </c>
      <c r="EX129" s="528">
        <f t="shared" si="423"/>
        <v>6.9344463411508405E-5</v>
      </c>
      <c r="EY129" s="528">
        <f t="shared" si="424"/>
        <v>0.27556560631299815</v>
      </c>
      <c r="EZ129" s="528"/>
      <c r="FA129" s="625">
        <f t="shared" si="425"/>
        <v>4.9716666666666676E-3</v>
      </c>
      <c r="FB129" s="460">
        <f t="shared" si="426"/>
        <v>1280.6066174430762</v>
      </c>
      <c r="FC129" s="173">
        <f t="shared" si="427"/>
        <v>3.2068026598930763</v>
      </c>
      <c r="FD129" s="5">
        <f t="shared" si="428"/>
        <v>28.88</v>
      </c>
      <c r="FE129" s="173">
        <f t="shared" si="429"/>
        <v>0.90005851645974622</v>
      </c>
      <c r="FF129" s="5">
        <f t="shared" si="430"/>
        <v>90.005851645974616</v>
      </c>
      <c r="FG129">
        <f t="shared" si="431"/>
        <v>19</v>
      </c>
      <c r="FI129" s="562">
        <f t="shared" si="432"/>
        <v>-50</v>
      </c>
      <c r="FJ129">
        <f t="shared" si="433"/>
        <v>-50</v>
      </c>
    </row>
    <row r="130" spans="5:166">
      <c r="E130" s="170">
        <v>20</v>
      </c>
      <c r="F130" s="217">
        <f t="shared" si="434"/>
        <v>2</v>
      </c>
      <c r="G130" s="217">
        <f t="shared" si="313"/>
        <v>0.05</v>
      </c>
      <c r="H130" s="217">
        <f t="shared" si="314"/>
        <v>30</v>
      </c>
      <c r="I130" s="217">
        <f t="shared" si="315"/>
        <v>0.4</v>
      </c>
      <c r="J130" s="541">
        <f t="shared" si="316"/>
        <v>18.723315016620045</v>
      </c>
      <c r="K130" s="443">
        <f t="shared" si="317"/>
        <v>15.848559966660831</v>
      </c>
      <c r="L130" s="172">
        <f t="shared" si="318"/>
        <v>34.571874983280878</v>
      </c>
      <c r="M130" s="443"/>
      <c r="N130" s="217">
        <f t="shared" si="319"/>
        <v>0.4584235010199843</v>
      </c>
      <c r="O130" s="172">
        <f t="shared" si="320"/>
        <v>211.75676695606103</v>
      </c>
      <c r="P130" s="172">
        <f t="shared" si="321"/>
        <v>2.8610692068730028</v>
      </c>
      <c r="Q130" s="217">
        <f t="shared" si="322"/>
        <v>14.117117797070735</v>
      </c>
      <c r="R130" s="217">
        <f t="shared" si="323"/>
        <v>26.469595869507629</v>
      </c>
      <c r="S130" s="217">
        <f t="shared" si="324"/>
        <v>15</v>
      </c>
      <c r="T130" s="217">
        <f t="shared" si="325"/>
        <v>7.0835988930226064</v>
      </c>
      <c r="U130" s="217">
        <f t="shared" si="326"/>
        <v>4.5399645650792531</v>
      </c>
      <c r="V130" s="217">
        <f t="shared" si="327"/>
        <v>5.3634643712163586</v>
      </c>
      <c r="W130" s="197">
        <f t="shared" si="328"/>
        <v>71.526730171825065</v>
      </c>
      <c r="X130" s="443">
        <f t="shared" si="435"/>
        <v>98.97629867099819</v>
      </c>
      <c r="Z130" s="217">
        <f t="shared" si="329"/>
        <v>10</v>
      </c>
      <c r="AA130" s="173">
        <f t="shared" si="330"/>
        <v>7.5716658328853255</v>
      </c>
      <c r="AB130" s="173">
        <f t="shared" si="331"/>
        <v>2.6722524620724464</v>
      </c>
      <c r="AC130" s="173"/>
      <c r="AD130" s="173">
        <f t="shared" si="332"/>
        <v>7.5716658328853255</v>
      </c>
      <c r="AE130" s="545">
        <f t="shared" si="333"/>
        <v>52.828533222202765</v>
      </c>
      <c r="AF130" s="528">
        <f t="shared" si="334"/>
        <v>2.7078824949000788</v>
      </c>
      <c r="AH130" s="173">
        <f t="shared" si="335"/>
        <v>3.804758924845367</v>
      </c>
      <c r="AI130" s="173">
        <f t="shared" si="336"/>
        <v>10</v>
      </c>
      <c r="AJ130" s="173">
        <f t="shared" si="337"/>
        <v>1.0301877332698302</v>
      </c>
      <c r="AL130" s="545">
        <f t="shared" si="338"/>
        <v>2000</v>
      </c>
      <c r="AM130" s="460">
        <f t="shared" si="339"/>
        <v>52.828533222202765</v>
      </c>
      <c r="AO130" s="460">
        <f t="shared" si="340"/>
        <v>2000</v>
      </c>
      <c r="AP130" s="460">
        <f t="shared" si="341"/>
        <v>52.828533222202765</v>
      </c>
      <c r="AR130" s="5">
        <f t="shared" si="275"/>
        <v>18.929164582213314</v>
      </c>
      <c r="AS130" s="5">
        <f t="shared" si="440"/>
        <v>6.4091214559750833</v>
      </c>
      <c r="AT130" s="5">
        <f t="shared" si="441"/>
        <v>12.520043126238232</v>
      </c>
      <c r="AU130" s="173">
        <f t="shared" si="442"/>
        <v>0.33858448576211225</v>
      </c>
      <c r="AW130" s="5">
        <f t="shared" si="342"/>
        <v>85.454952746334442</v>
      </c>
      <c r="AX130" s="5">
        <f t="shared" si="343"/>
        <v>4.0057009099844274</v>
      </c>
      <c r="AY130" s="5">
        <f t="shared" si="344"/>
        <v>5.5723942382018619</v>
      </c>
      <c r="AZ130" s="5"/>
      <c r="BA130" s="173">
        <f t="shared" si="345"/>
        <v>3.3594864972795682</v>
      </c>
      <c r="BB130" s="173">
        <f t="shared" si="346"/>
        <v>4.695442876654937</v>
      </c>
      <c r="BC130" s="173">
        <f t="shared" si="347"/>
        <v>0.11563678927605102</v>
      </c>
      <c r="BD130" s="173"/>
      <c r="BE130" s="528">
        <f t="shared" si="348"/>
        <v>0.22572299050807484</v>
      </c>
      <c r="BF130" s="528">
        <f t="shared" si="349"/>
        <v>0.34244652114526775</v>
      </c>
      <c r="BG130" s="528">
        <f t="shared" si="350"/>
        <v>2.4728131734631998E-2</v>
      </c>
      <c r="BH130" s="528">
        <f t="shared" si="351"/>
        <v>6.3141431026632784E-3</v>
      </c>
      <c r="BI130">
        <f t="shared" si="352"/>
        <v>8.4254917574790207E-3</v>
      </c>
      <c r="BJ130" s="460">
        <f t="shared" si="436"/>
        <v>33.153623492111016</v>
      </c>
      <c r="BK130">
        <f t="shared" si="353"/>
        <v>0.67143935148393952</v>
      </c>
      <c r="BL130" s="460">
        <f t="shared" si="437"/>
        <v>607.6372782481169</v>
      </c>
      <c r="BM130" s="173">
        <f t="shared" si="354"/>
        <v>1.2424999999999999</v>
      </c>
      <c r="BN130" s="173">
        <f t="shared" si="355"/>
        <v>3.1062499999999996E-2</v>
      </c>
      <c r="BO130" s="528"/>
      <c r="BQ130" s="460">
        <f t="shared" si="356"/>
        <v>1273.5625</v>
      </c>
      <c r="BR130" s="528">
        <f t="shared" si="357"/>
        <v>0.33858448576211225</v>
      </c>
      <c r="BS130" s="528">
        <f t="shared" si="358"/>
        <v>0.66141551423788758</v>
      </c>
      <c r="BT130" s="528">
        <f t="shared" si="359"/>
        <v>6.6859335170369138E-5</v>
      </c>
      <c r="BU130" s="528">
        <f t="shared" si="360"/>
        <v>0.3207313306999201</v>
      </c>
      <c r="BV130" s="528"/>
      <c r="BW130" s="625">
        <f t="shared" si="361"/>
        <v>5.2828533222202762E-3</v>
      </c>
      <c r="BX130" s="460">
        <f t="shared" si="362"/>
        <v>1326.0810433573104</v>
      </c>
      <c r="BY130" s="173">
        <f t="shared" si="363"/>
        <v>3.2072808216054276</v>
      </c>
      <c r="BZ130" s="5">
        <f t="shared" si="364"/>
        <v>30.4</v>
      </c>
      <c r="CA130" s="173">
        <f t="shared" si="365"/>
        <v>0.90456589336607274</v>
      </c>
      <c r="CB130" s="5">
        <f t="shared" si="366"/>
        <v>90.45658933660728</v>
      </c>
      <c r="CC130">
        <f t="shared" si="367"/>
        <v>20</v>
      </c>
      <c r="CE130" s="562">
        <f t="shared" si="368"/>
        <v>-50</v>
      </c>
      <c r="CF130">
        <f t="shared" si="369"/>
        <v>-50</v>
      </c>
      <c r="CG130" s="173">
        <f t="shared" si="370"/>
        <v>0.40387731196104976</v>
      </c>
      <c r="CH130" s="173">
        <f t="shared" si="371"/>
        <v>4.6536062312376641E-2</v>
      </c>
      <c r="CI130" s="170">
        <v>20</v>
      </c>
      <c r="CJ130" s="217">
        <f t="shared" si="438"/>
        <v>2</v>
      </c>
      <c r="CK130" s="217">
        <f t="shared" si="372"/>
        <v>0.05</v>
      </c>
      <c r="CL130" s="217">
        <f t="shared" si="373"/>
        <v>30</v>
      </c>
      <c r="CM130" s="217">
        <f t="shared" si="374"/>
        <v>0.4</v>
      </c>
      <c r="CN130" s="541">
        <f t="shared" si="375"/>
        <v>19</v>
      </c>
      <c r="CO130" s="443">
        <f t="shared" si="376"/>
        <v>15.7</v>
      </c>
      <c r="CP130" s="443">
        <f t="shared" si="377"/>
        <v>34.700000000000003</v>
      </c>
      <c r="CQ130" s="443"/>
      <c r="CR130" s="217">
        <f t="shared" si="378"/>
        <v>0.44767441860465118</v>
      </c>
      <c r="CS130" s="172">
        <f t="shared" si="379"/>
        <v>209.84738372093025</v>
      </c>
      <c r="CT130" s="172">
        <f t="shared" si="380"/>
        <v>2.835271317829458</v>
      </c>
      <c r="CU130" s="217">
        <f t="shared" si="381"/>
        <v>13.989825581395349</v>
      </c>
      <c r="CV130" s="217">
        <f t="shared" si="382"/>
        <v>26.230922965116282</v>
      </c>
      <c r="CW130" s="217">
        <f t="shared" si="383"/>
        <v>15</v>
      </c>
      <c r="CX130" s="217">
        <f t="shared" si="384"/>
        <v>7.1480519480519478</v>
      </c>
      <c r="CY130" s="217">
        <f t="shared" si="385"/>
        <v>4.5145591250854409</v>
      </c>
      <c r="CZ130" s="217">
        <f t="shared" si="386"/>
        <v>5.4634791959632727</v>
      </c>
      <c r="DA130" s="197">
        <f t="shared" si="387"/>
        <v>71.63784822286263</v>
      </c>
      <c r="DB130" s="443">
        <f t="shared" si="388"/>
        <v>100.22010016643209</v>
      </c>
      <c r="DD130" s="217">
        <f t="shared" si="389"/>
        <v>10.000000000000002</v>
      </c>
      <c r="DE130" s="173">
        <f t="shared" si="390"/>
        <v>7.6433121019108299</v>
      </c>
      <c r="DF130" s="173">
        <f t="shared" si="391"/>
        <v>2.7017291066282429</v>
      </c>
      <c r="DG130" s="173"/>
      <c r="DH130" s="173">
        <f t="shared" si="392"/>
        <v>7.6433121019108281</v>
      </c>
      <c r="DI130" s="545">
        <f t="shared" si="393"/>
        <v>52.333333333333336</v>
      </c>
      <c r="DJ130" s="528">
        <f t="shared" si="394"/>
        <v>2.7377521613832849</v>
      </c>
      <c r="DL130" s="173">
        <f t="shared" si="395"/>
        <v>3.804758924845367</v>
      </c>
      <c r="DM130" s="173">
        <f t="shared" si="396"/>
        <v>10</v>
      </c>
      <c r="DN130" s="173">
        <f t="shared" si="397"/>
        <v>1.0299047619047619</v>
      </c>
      <c r="DP130" s="545">
        <f t="shared" si="398"/>
        <v>2000</v>
      </c>
      <c r="DQ130" s="460">
        <f t="shared" si="399"/>
        <v>52.333333333333336</v>
      </c>
      <c r="DS130" s="460">
        <f t="shared" si="400"/>
        <v>2000</v>
      </c>
      <c r="DT130" s="460">
        <f t="shared" si="401"/>
        <v>52.333333333333336</v>
      </c>
      <c r="DV130" s="5">
        <f t="shared" si="402"/>
        <v>19.108280254777068</v>
      </c>
      <c r="DW130" s="5">
        <f t="shared" si="403"/>
        <v>6.3157894736842106</v>
      </c>
      <c r="DX130" s="5">
        <f t="shared" si="404"/>
        <v>12.792490781092857</v>
      </c>
      <c r="DY130" s="173">
        <f t="shared" si="405"/>
        <v>0.33052631578947372</v>
      </c>
      <c r="EA130" s="5">
        <f t="shared" si="406"/>
        <v>84.210526315789465</v>
      </c>
      <c r="EB130" s="5">
        <f t="shared" si="407"/>
        <v>3.9473684210526319</v>
      </c>
      <c r="EC130" s="5">
        <f t="shared" si="408"/>
        <v>5.6107415706547616</v>
      </c>
      <c r="ED130" s="5"/>
      <c r="EE130" s="173">
        <f t="shared" si="409"/>
        <v>3.3192685729915143</v>
      </c>
      <c r="EF130" s="173">
        <f t="shared" si="410"/>
        <v>4.7239590889088152</v>
      </c>
      <c r="EG130" s="173">
        <f t="shared" si="411"/>
        <v>0.11633907089547987</v>
      </c>
      <c r="EH130" s="173"/>
      <c r="EI130" s="528">
        <f t="shared" si="412"/>
        <v>0.22035087719298246</v>
      </c>
      <c r="EJ130" s="528">
        <f t="shared" si="413"/>
        <v>0.36319333333333337</v>
      </c>
      <c r="EK130" s="528">
        <f t="shared" si="414"/>
        <v>6.541666666666667E-3</v>
      </c>
      <c r="EL130" s="528">
        <f t="shared" si="415"/>
        <v>6.3014043333333349E-3</v>
      </c>
      <c r="EM130">
        <f t="shared" si="416"/>
        <v>8.5500000000000003E-3</v>
      </c>
      <c r="EN130" s="460">
        <f t="shared" si="417"/>
        <v>15.091666666666667</v>
      </c>
      <c r="EP130" s="460">
        <f t="shared" si="439"/>
        <v>604.93728152631581</v>
      </c>
      <c r="EQ130" s="173">
        <f t="shared" si="418"/>
        <v>1.4</v>
      </c>
      <c r="ER130" s="173">
        <f t="shared" si="419"/>
        <v>2.2187499999999999E-2</v>
      </c>
      <c r="ES130" s="528"/>
      <c r="EU130" s="460">
        <f t="shared" si="420"/>
        <v>1422.1875</v>
      </c>
      <c r="EV130" s="528">
        <f t="shared" si="421"/>
        <v>0.33052631578947367</v>
      </c>
      <c r="EW130" s="528">
        <f t="shared" si="422"/>
        <v>0.66947368421052611</v>
      </c>
      <c r="EX130" s="528">
        <f t="shared" si="423"/>
        <v>6.7673897084117468E-5</v>
      </c>
      <c r="EY130" s="528">
        <f t="shared" si="424"/>
        <v>0.31326797413446666</v>
      </c>
      <c r="EZ130" s="528"/>
      <c r="FA130" s="625">
        <f t="shared" si="425"/>
        <v>5.2333333333333338E-3</v>
      </c>
      <c r="FB130" s="460">
        <f t="shared" si="426"/>
        <v>1318.5689813648839</v>
      </c>
      <c r="FC130" s="173">
        <f t="shared" si="427"/>
        <v>3.3456937628911989</v>
      </c>
      <c r="FD130" s="5">
        <f t="shared" si="428"/>
        <v>30.4</v>
      </c>
      <c r="FE130" s="173">
        <f t="shared" si="429"/>
        <v>0.9008556829087826</v>
      </c>
      <c r="FF130" s="5">
        <f t="shared" si="430"/>
        <v>90.085568290878257</v>
      </c>
      <c r="FG130">
        <f t="shared" si="431"/>
        <v>20</v>
      </c>
      <c r="FI130" s="562">
        <f t="shared" si="432"/>
        <v>-50</v>
      </c>
      <c r="FJ130">
        <f t="shared" si="433"/>
        <v>-50</v>
      </c>
    </row>
    <row r="131" spans="5:166">
      <c r="E131" s="170">
        <v>21</v>
      </c>
      <c r="F131" s="217">
        <f t="shared" si="434"/>
        <v>2.1</v>
      </c>
      <c r="G131" s="217">
        <f t="shared" si="313"/>
        <v>5.2499999999999998E-2</v>
      </c>
      <c r="H131" s="217">
        <f t="shared" si="314"/>
        <v>31.5</v>
      </c>
      <c r="I131" s="217">
        <f t="shared" si="315"/>
        <v>0.42</v>
      </c>
      <c r="J131" s="541">
        <f t="shared" si="316"/>
        <v>18.723315016620045</v>
      </c>
      <c r="K131" s="443">
        <f t="shared" si="317"/>
        <v>15.848559966660831</v>
      </c>
      <c r="L131" s="172">
        <f t="shared" si="318"/>
        <v>34.571874983280878</v>
      </c>
      <c r="M131" s="443"/>
      <c r="N131" s="217">
        <f t="shared" si="319"/>
        <v>0.4584235010199843</v>
      </c>
      <c r="O131" s="172">
        <f t="shared" si="320"/>
        <v>211.75676695606103</v>
      </c>
      <c r="P131" s="172">
        <f t="shared" si="321"/>
        <v>2.8610692068730028</v>
      </c>
      <c r="Q131" s="217">
        <f t="shared" si="322"/>
        <v>14.117117797070735</v>
      </c>
      <c r="R131" s="217">
        <f t="shared" si="323"/>
        <v>26.469595869507629</v>
      </c>
      <c r="S131" s="217">
        <f t="shared" si="324"/>
        <v>15</v>
      </c>
      <c r="T131" s="217">
        <f t="shared" si="325"/>
        <v>7.4377788376737382</v>
      </c>
      <c r="U131" s="217">
        <f t="shared" si="326"/>
        <v>4.7669627933332173</v>
      </c>
      <c r="V131" s="217">
        <f t="shared" si="327"/>
        <v>5.6316375897771769</v>
      </c>
      <c r="W131" s="197">
        <f t="shared" si="328"/>
        <v>71.526730171825065</v>
      </c>
      <c r="X131" s="443">
        <f t="shared" si="435"/>
        <v>94.352080826971218</v>
      </c>
      <c r="Z131" s="217">
        <f t="shared" si="329"/>
        <v>10</v>
      </c>
      <c r="AA131" s="173">
        <f t="shared" si="330"/>
        <v>7.5716658328853255</v>
      </c>
      <c r="AB131" s="173">
        <f t="shared" si="331"/>
        <v>2.6722524620724464</v>
      </c>
      <c r="AC131" s="173"/>
      <c r="AD131" s="173">
        <f t="shared" si="332"/>
        <v>7.5716658328853255</v>
      </c>
      <c r="AE131" s="545">
        <f t="shared" si="333"/>
        <v>55.469959883312903</v>
      </c>
      <c r="AF131" s="528">
        <f t="shared" si="334"/>
        <v>2.7078824949000788</v>
      </c>
      <c r="AH131" s="173">
        <f t="shared" si="335"/>
        <v>3.8987177379235853</v>
      </c>
      <c r="AI131" s="173">
        <f t="shared" si="336"/>
        <v>10</v>
      </c>
      <c r="AJ131" s="173">
        <f t="shared" si="337"/>
        <v>1.0316971199333216</v>
      </c>
      <c r="AL131" s="545">
        <f t="shared" si="338"/>
        <v>2100</v>
      </c>
      <c r="AM131" s="460">
        <f t="shared" si="339"/>
        <v>55.469959883312903</v>
      </c>
      <c r="AO131" s="460">
        <f t="shared" si="340"/>
        <v>2100</v>
      </c>
      <c r="AP131" s="460">
        <f t="shared" si="341"/>
        <v>55.469959883312903</v>
      </c>
      <c r="AR131" s="5">
        <f t="shared" si="275"/>
        <v>18.027775792584109</v>
      </c>
      <c r="AS131" s="5">
        <f t="shared" si="440"/>
        <v>6.4091214559750833</v>
      </c>
      <c r="AT131" s="5">
        <f t="shared" si="441"/>
        <v>11.618654336609026</v>
      </c>
      <c r="AU131" s="173">
        <f t="shared" si="442"/>
        <v>0.35551371005021787</v>
      </c>
      <c r="AW131" s="5">
        <f t="shared" si="342"/>
        <v>89.727700383651168</v>
      </c>
      <c r="AX131" s="5">
        <f t="shared" si="343"/>
        <v>4.2059859554836478</v>
      </c>
      <c r="AY131" s="5">
        <f t="shared" si="344"/>
        <v>5.4297663290440834</v>
      </c>
      <c r="AZ131" s="5"/>
      <c r="BA131" s="173">
        <f t="shared" si="345"/>
        <v>3.4424492736529801</v>
      </c>
      <c r="BB131" s="173">
        <f t="shared" si="346"/>
        <v>4.6349623872971621</v>
      </c>
      <c r="BC131" s="173">
        <f t="shared" si="347"/>
        <v>0.11414730898912229</v>
      </c>
      <c r="BD131" s="173"/>
      <c r="BE131" s="528">
        <f t="shared" si="348"/>
        <v>0.23700914003347862</v>
      </c>
      <c r="BF131" s="528">
        <f t="shared" si="349"/>
        <v>0.35956884720253113</v>
      </c>
      <c r="BG131" s="528">
        <f t="shared" si="350"/>
        <v>2.5964538321363598E-2</v>
      </c>
      <c r="BH131" s="528">
        <f t="shared" si="351"/>
        <v>6.6298502577964427E-3</v>
      </c>
      <c r="BI131">
        <f t="shared" si="352"/>
        <v>8.4254917574790207E-3</v>
      </c>
      <c r="BJ131" s="460">
        <f t="shared" si="436"/>
        <v>34.390030078842614</v>
      </c>
      <c r="BK131">
        <f t="shared" si="353"/>
        <v>0.70701468609864893</v>
      </c>
      <c r="BL131" s="460">
        <f t="shared" si="437"/>
        <v>637.59786757264874</v>
      </c>
      <c r="BM131" s="173">
        <f t="shared" si="354"/>
        <v>1.3046249999999999</v>
      </c>
      <c r="BN131" s="173">
        <f t="shared" si="355"/>
        <v>3.2615624999999995E-2</v>
      </c>
      <c r="BO131" s="528"/>
      <c r="BQ131" s="460">
        <f t="shared" si="356"/>
        <v>1337.2406249999999</v>
      </c>
      <c r="BR131" s="528">
        <f t="shared" si="357"/>
        <v>0.35551371005021792</v>
      </c>
      <c r="BS131" s="528">
        <f t="shared" si="358"/>
        <v>0.64448628994978219</v>
      </c>
      <c r="BT131" s="528">
        <f t="shared" si="359"/>
        <v>6.5148040747290789E-5</v>
      </c>
      <c r="BU131" s="528">
        <f t="shared" si="360"/>
        <v>0.36233862656480181</v>
      </c>
      <c r="BV131" s="528"/>
      <c r="BW131" s="625">
        <f t="shared" si="361"/>
        <v>5.5469959883312908E-3</v>
      </c>
      <c r="BX131" s="460">
        <f t="shared" si="362"/>
        <v>1367.9507705938802</v>
      </c>
      <c r="BY131" s="173">
        <f t="shared" si="363"/>
        <v>3.3427892631665288</v>
      </c>
      <c r="BZ131" s="5">
        <f t="shared" si="364"/>
        <v>31.92</v>
      </c>
      <c r="CA131" s="173">
        <f t="shared" si="365"/>
        <v>0.90520349260464728</v>
      </c>
      <c r="CB131" s="5">
        <f t="shared" si="366"/>
        <v>90.520349260464727</v>
      </c>
      <c r="CC131">
        <f t="shared" si="367"/>
        <v>21.000000000000004</v>
      </c>
      <c r="CE131" s="562">
        <f t="shared" si="368"/>
        <v>-50</v>
      </c>
      <c r="CF131">
        <f t="shared" si="369"/>
        <v>-50</v>
      </c>
      <c r="CG131" s="173">
        <f t="shared" si="370"/>
        <v>0.42407117755910229</v>
      </c>
      <c r="CH131" s="173">
        <f t="shared" si="371"/>
        <v>4.8862865427995478E-2</v>
      </c>
      <c r="CI131" s="170">
        <v>21</v>
      </c>
      <c r="CJ131" s="217">
        <f t="shared" si="438"/>
        <v>2.1</v>
      </c>
      <c r="CK131" s="217">
        <f t="shared" si="372"/>
        <v>5.2499999999999998E-2</v>
      </c>
      <c r="CL131" s="217">
        <f t="shared" si="373"/>
        <v>31.5</v>
      </c>
      <c r="CM131" s="217">
        <f t="shared" si="374"/>
        <v>0.42</v>
      </c>
      <c r="CN131" s="541">
        <f t="shared" si="375"/>
        <v>19</v>
      </c>
      <c r="CO131" s="443">
        <f t="shared" si="376"/>
        <v>15.7</v>
      </c>
      <c r="CP131" s="443">
        <f t="shared" si="377"/>
        <v>34.700000000000003</v>
      </c>
      <c r="CQ131" s="443"/>
      <c r="CR131" s="217">
        <f t="shared" si="378"/>
        <v>0.44767441860465118</v>
      </c>
      <c r="CS131" s="172">
        <f t="shared" si="379"/>
        <v>209.84738372093025</v>
      </c>
      <c r="CT131" s="172">
        <f t="shared" si="380"/>
        <v>2.835271317829458</v>
      </c>
      <c r="CU131" s="217">
        <f t="shared" si="381"/>
        <v>13.989825581395349</v>
      </c>
      <c r="CV131" s="217">
        <f t="shared" si="382"/>
        <v>26.230922965116282</v>
      </c>
      <c r="CW131" s="217">
        <f t="shared" si="383"/>
        <v>15</v>
      </c>
      <c r="CX131" s="217">
        <f t="shared" si="384"/>
        <v>7.5054545454545458</v>
      </c>
      <c r="CY131" s="217">
        <f t="shared" si="385"/>
        <v>4.7402870813397131</v>
      </c>
      <c r="CZ131" s="217">
        <f t="shared" si="386"/>
        <v>5.7366531557614371</v>
      </c>
      <c r="DA131" s="197">
        <f t="shared" si="387"/>
        <v>71.63784822286263</v>
      </c>
      <c r="DB131" s="443">
        <f t="shared" si="388"/>
        <v>95.447714444221035</v>
      </c>
      <c r="DD131" s="217">
        <f t="shared" si="389"/>
        <v>10.000000000000002</v>
      </c>
      <c r="DE131" s="173">
        <f t="shared" si="390"/>
        <v>7.6433121019108299</v>
      </c>
      <c r="DF131" s="173">
        <f t="shared" si="391"/>
        <v>2.7017291066282429</v>
      </c>
      <c r="DG131" s="173"/>
      <c r="DH131" s="173">
        <f t="shared" si="392"/>
        <v>7.6433121019108281</v>
      </c>
      <c r="DI131" s="545">
        <f t="shared" si="393"/>
        <v>54.95000000000001</v>
      </c>
      <c r="DJ131" s="528">
        <f t="shared" si="394"/>
        <v>2.7377521613832849</v>
      </c>
      <c r="DL131" s="173">
        <f t="shared" si="395"/>
        <v>3.8987177379235853</v>
      </c>
      <c r="DM131" s="173">
        <f t="shared" si="396"/>
        <v>10</v>
      </c>
      <c r="DN131" s="173">
        <f t="shared" si="397"/>
        <v>1.0314000000000001</v>
      </c>
      <c r="DP131" s="545">
        <f t="shared" si="398"/>
        <v>2100</v>
      </c>
      <c r="DQ131" s="460">
        <f t="shared" si="399"/>
        <v>54.95000000000001</v>
      </c>
      <c r="DS131" s="460">
        <f t="shared" si="400"/>
        <v>2100</v>
      </c>
      <c r="DT131" s="460">
        <f t="shared" si="401"/>
        <v>54.95000000000001</v>
      </c>
      <c r="DV131" s="5">
        <f t="shared" si="402"/>
        <v>18.198362147406733</v>
      </c>
      <c r="DW131" s="5">
        <f t="shared" si="403"/>
        <v>6.3157894736842106</v>
      </c>
      <c r="DX131" s="5">
        <f t="shared" si="404"/>
        <v>11.882572673722523</v>
      </c>
      <c r="DY131" s="173">
        <f t="shared" si="405"/>
        <v>0.34705263157894739</v>
      </c>
      <c r="EA131" s="5">
        <f t="shared" si="406"/>
        <v>88.421052631578959</v>
      </c>
      <c r="EB131" s="5">
        <f t="shared" si="407"/>
        <v>4.1447368421052628</v>
      </c>
      <c r="EC131" s="5">
        <f t="shared" si="408"/>
        <v>5.4722374155301088</v>
      </c>
      <c r="ED131" s="5"/>
      <c r="EE131" s="173">
        <f t="shared" si="409"/>
        <v>3.4012381646441021</v>
      </c>
      <c r="EF131" s="173">
        <f t="shared" si="410"/>
        <v>4.6652880169076116</v>
      </c>
      <c r="EG131" s="173">
        <f t="shared" si="411"/>
        <v>0.11489415194580316</v>
      </c>
      <c r="EH131" s="173"/>
      <c r="EI131" s="528">
        <f t="shared" si="412"/>
        <v>0.23136842105263161</v>
      </c>
      <c r="EJ131" s="528">
        <f t="shared" si="413"/>
        <v>0.38135300000000011</v>
      </c>
      <c r="EK131" s="528">
        <f t="shared" si="414"/>
        <v>6.8687500000000007E-3</v>
      </c>
      <c r="EL131" s="528">
        <f t="shared" si="415"/>
        <v>6.6164745500000028E-3</v>
      </c>
      <c r="EM131">
        <f t="shared" si="416"/>
        <v>8.5500000000000003E-3</v>
      </c>
      <c r="EN131" s="460">
        <f t="shared" si="417"/>
        <v>15.418750000000001</v>
      </c>
      <c r="EP131" s="460">
        <f t="shared" si="439"/>
        <v>634.75664560263169</v>
      </c>
      <c r="EQ131" s="173">
        <f t="shared" si="418"/>
        <v>1.47</v>
      </c>
      <c r="ER131" s="173">
        <f t="shared" si="419"/>
        <v>2.3296874999999998E-2</v>
      </c>
      <c r="ES131" s="528"/>
      <c r="EU131" s="460">
        <f t="shared" si="420"/>
        <v>1493.296875</v>
      </c>
      <c r="EV131" s="528">
        <f t="shared" si="421"/>
        <v>0.34705263157894739</v>
      </c>
      <c r="EW131" s="528">
        <f t="shared" si="422"/>
        <v>0.65294736842105261</v>
      </c>
      <c r="EX131" s="528">
        <f t="shared" si="423"/>
        <v>6.6003330756726517E-5</v>
      </c>
      <c r="EY131" s="528">
        <f t="shared" si="424"/>
        <v>0.35390707620273343</v>
      </c>
      <c r="EZ131" s="528"/>
      <c r="FA131" s="625">
        <f t="shared" si="425"/>
        <v>5.4950000000000016E-3</v>
      </c>
      <c r="FB131" s="460">
        <f t="shared" si="426"/>
        <v>1359.46807953349</v>
      </c>
      <c r="FC131" s="173">
        <f t="shared" si="427"/>
        <v>3.4875216001361222</v>
      </c>
      <c r="FD131" s="5">
        <f t="shared" si="428"/>
        <v>31.92</v>
      </c>
      <c r="FE131" s="173">
        <f t="shared" si="429"/>
        <v>0.90150336870449832</v>
      </c>
      <c r="FF131" s="5">
        <f t="shared" si="430"/>
        <v>90.150336870449834</v>
      </c>
      <c r="FG131">
        <f t="shared" si="431"/>
        <v>21.000000000000004</v>
      </c>
      <c r="FI131" s="562">
        <f t="shared" si="432"/>
        <v>-50</v>
      </c>
      <c r="FJ131">
        <f t="shared" si="433"/>
        <v>-50</v>
      </c>
    </row>
    <row r="132" spans="5:166">
      <c r="E132" s="170">
        <v>22</v>
      </c>
      <c r="F132" s="217">
        <f t="shared" si="434"/>
        <v>2.2000000000000002</v>
      </c>
      <c r="G132" s="217">
        <f t="shared" si="313"/>
        <v>5.5E-2</v>
      </c>
      <c r="H132" s="217">
        <f t="shared" si="314"/>
        <v>33</v>
      </c>
      <c r="I132" s="217">
        <f t="shared" si="315"/>
        <v>0.44</v>
      </c>
      <c r="J132" s="541">
        <f t="shared" si="316"/>
        <v>18.723315016620045</v>
      </c>
      <c r="K132" s="443">
        <f t="shared" si="317"/>
        <v>15.848559966660831</v>
      </c>
      <c r="L132" s="172">
        <f t="shared" si="318"/>
        <v>34.571874983280878</v>
      </c>
      <c r="M132" s="443"/>
      <c r="N132" s="217">
        <f t="shared" si="319"/>
        <v>0.4584235010199843</v>
      </c>
      <c r="O132" s="172">
        <f t="shared" si="320"/>
        <v>211.75676695606103</v>
      </c>
      <c r="P132" s="172">
        <f t="shared" si="321"/>
        <v>2.8610692068730028</v>
      </c>
      <c r="Q132" s="217">
        <f t="shared" si="322"/>
        <v>14.117117797070735</v>
      </c>
      <c r="R132" s="217">
        <f t="shared" si="323"/>
        <v>26.469595869507629</v>
      </c>
      <c r="S132" s="217">
        <f t="shared" si="324"/>
        <v>15</v>
      </c>
      <c r="T132" s="217">
        <f t="shared" si="325"/>
        <v>7.7919587823248673</v>
      </c>
      <c r="U132" s="217">
        <f t="shared" si="326"/>
        <v>4.9939610215871788</v>
      </c>
      <c r="V132" s="217">
        <f t="shared" si="327"/>
        <v>5.8998108083379934</v>
      </c>
      <c r="W132" s="197">
        <f t="shared" si="328"/>
        <v>71.526730171825065</v>
      </c>
      <c r="X132" s="443">
        <f t="shared" si="435"/>
        <v>90.140667694509915</v>
      </c>
      <c r="Z132" s="217">
        <f t="shared" si="329"/>
        <v>10</v>
      </c>
      <c r="AA132" s="173">
        <f t="shared" si="330"/>
        <v>7.5716658328853255</v>
      </c>
      <c r="AB132" s="173">
        <f t="shared" si="331"/>
        <v>2.6722524620724464</v>
      </c>
      <c r="AC132" s="173"/>
      <c r="AD132" s="173">
        <f t="shared" si="332"/>
        <v>7.5716658328853255</v>
      </c>
      <c r="AE132" s="545">
        <f t="shared" si="333"/>
        <v>58.111386544423048</v>
      </c>
      <c r="AF132" s="528">
        <f t="shared" si="334"/>
        <v>2.7078824949000788</v>
      </c>
      <c r="AH132" s="173">
        <f t="shared" si="335"/>
        <v>3.990464825532174</v>
      </c>
      <c r="AI132" s="173">
        <f t="shared" si="336"/>
        <v>10</v>
      </c>
      <c r="AJ132" s="173">
        <f t="shared" si="337"/>
        <v>1.0332065065968132</v>
      </c>
      <c r="AL132" s="545">
        <f t="shared" si="338"/>
        <v>2200</v>
      </c>
      <c r="AM132" s="460">
        <f t="shared" si="339"/>
        <v>58.111386544423048</v>
      </c>
      <c r="AO132" s="460">
        <f t="shared" si="340"/>
        <v>2200</v>
      </c>
      <c r="AP132" s="460">
        <f t="shared" si="341"/>
        <v>58.111386544423048</v>
      </c>
      <c r="AR132" s="5">
        <f t="shared" si="275"/>
        <v>17.20833143837574</v>
      </c>
      <c r="AS132" s="5">
        <f t="shared" si="440"/>
        <v>6.4091214559750833</v>
      </c>
      <c r="AT132" s="5">
        <f t="shared" si="441"/>
        <v>10.799209982400658</v>
      </c>
      <c r="AU132" s="173">
        <f t="shared" si="442"/>
        <v>0.37244293433832348</v>
      </c>
      <c r="AW132" s="5">
        <f t="shared" si="342"/>
        <v>94.000448020967909</v>
      </c>
      <c r="AX132" s="5">
        <f t="shared" si="343"/>
        <v>4.4062710009828701</v>
      </c>
      <c r="AY132" s="5">
        <f t="shared" si="344"/>
        <v>5.287138419886305</v>
      </c>
      <c r="AZ132" s="5"/>
      <c r="BA132" s="173">
        <f t="shared" si="345"/>
        <v>3.523459163654961</v>
      </c>
      <c r="BB132" s="173">
        <f t="shared" si="346"/>
        <v>4.5736821987747698</v>
      </c>
      <c r="BC132" s="173">
        <f t="shared" si="347"/>
        <v>0.11263813415021787</v>
      </c>
      <c r="BD132" s="173"/>
      <c r="BE132" s="528">
        <f t="shared" si="348"/>
        <v>0.24829528955888236</v>
      </c>
      <c r="BF132" s="528">
        <f t="shared" si="349"/>
        <v>0.37669117325979451</v>
      </c>
      <c r="BG132" s="528">
        <f t="shared" si="350"/>
        <v>2.7200944908095201E-2</v>
      </c>
      <c r="BH132" s="528">
        <f t="shared" si="351"/>
        <v>6.9455574129296078E-3</v>
      </c>
      <c r="BI132">
        <f t="shared" si="352"/>
        <v>8.4254917574790207E-3</v>
      </c>
      <c r="BJ132" s="460">
        <f t="shared" si="436"/>
        <v>35.626436665574218</v>
      </c>
      <c r="BK132">
        <f t="shared" si="353"/>
        <v>0.74279277930980858</v>
      </c>
      <c r="BL132" s="460">
        <f t="shared" si="437"/>
        <v>667.55845689718058</v>
      </c>
      <c r="BM132" s="173">
        <f t="shared" si="354"/>
        <v>1.3667499999999999</v>
      </c>
      <c r="BN132" s="173">
        <f t="shared" si="355"/>
        <v>3.4168749999999998E-2</v>
      </c>
      <c r="BO132" s="528"/>
      <c r="BQ132" s="460">
        <f t="shared" si="356"/>
        <v>1400.91875</v>
      </c>
      <c r="BR132" s="528">
        <f t="shared" si="357"/>
        <v>0.37244293433832354</v>
      </c>
      <c r="BS132" s="528">
        <f t="shared" si="358"/>
        <v>0.62755706566167635</v>
      </c>
      <c r="BT132" s="528">
        <f t="shared" si="359"/>
        <v>6.3436746324212385E-5</v>
      </c>
      <c r="BU132" s="528">
        <f t="shared" si="360"/>
        <v>0.40702688760339051</v>
      </c>
      <c r="BV132" s="528"/>
      <c r="BW132" s="625">
        <f t="shared" si="361"/>
        <v>5.8111386544423054E-3</v>
      </c>
      <c r="BX132" s="460">
        <f t="shared" si="362"/>
        <v>1412.901463004157</v>
      </c>
      <c r="BY132" s="173">
        <f t="shared" si="363"/>
        <v>3.4813786699013378</v>
      </c>
      <c r="BZ132" s="5">
        <f t="shared" si="364"/>
        <v>33.44</v>
      </c>
      <c r="CA132" s="173">
        <f t="shared" si="365"/>
        <v>0.90570832413851887</v>
      </c>
      <c r="CB132" s="5">
        <f t="shared" si="366"/>
        <v>90.570832413851889</v>
      </c>
      <c r="CC132">
        <f t="shared" si="367"/>
        <v>22.000000000000004</v>
      </c>
      <c r="CE132" s="562">
        <f t="shared" si="368"/>
        <v>-50</v>
      </c>
      <c r="CF132">
        <f t="shared" si="369"/>
        <v>-50</v>
      </c>
      <c r="CG132" s="173">
        <f t="shared" si="370"/>
        <v>0.44426504315715482</v>
      </c>
      <c r="CH132" s="173">
        <f t="shared" si="371"/>
        <v>5.1189668543614307E-2</v>
      </c>
      <c r="CI132" s="170">
        <v>22</v>
      </c>
      <c r="CJ132" s="217">
        <f t="shared" si="438"/>
        <v>2.2000000000000002</v>
      </c>
      <c r="CK132" s="217">
        <f t="shared" si="372"/>
        <v>5.5E-2</v>
      </c>
      <c r="CL132" s="217">
        <f t="shared" si="373"/>
        <v>33</v>
      </c>
      <c r="CM132" s="217">
        <f t="shared" si="374"/>
        <v>0.44</v>
      </c>
      <c r="CN132" s="541">
        <f t="shared" si="375"/>
        <v>19</v>
      </c>
      <c r="CO132" s="443">
        <f t="shared" si="376"/>
        <v>15.7</v>
      </c>
      <c r="CP132" s="443">
        <f t="shared" si="377"/>
        <v>34.700000000000003</v>
      </c>
      <c r="CQ132" s="443"/>
      <c r="CR132" s="217">
        <f t="shared" si="378"/>
        <v>0.44767441860465118</v>
      </c>
      <c r="CS132" s="172">
        <f t="shared" si="379"/>
        <v>209.84738372093025</v>
      </c>
      <c r="CT132" s="172">
        <f t="shared" si="380"/>
        <v>2.835271317829458</v>
      </c>
      <c r="CU132" s="217">
        <f t="shared" si="381"/>
        <v>13.989825581395349</v>
      </c>
      <c r="CV132" s="217">
        <f t="shared" si="382"/>
        <v>26.230922965116282</v>
      </c>
      <c r="CW132" s="217">
        <f t="shared" si="383"/>
        <v>15</v>
      </c>
      <c r="CX132" s="217">
        <f t="shared" si="384"/>
        <v>7.8628571428571421</v>
      </c>
      <c r="CY132" s="217">
        <f t="shared" si="385"/>
        <v>4.9660150375939853</v>
      </c>
      <c r="CZ132" s="217">
        <f t="shared" si="386"/>
        <v>6.0098271155595997</v>
      </c>
      <c r="DA132" s="197">
        <f t="shared" si="387"/>
        <v>71.63784822286263</v>
      </c>
      <c r="DB132" s="443">
        <f t="shared" si="388"/>
        <v>91.109181969483714</v>
      </c>
      <c r="DD132" s="217">
        <f t="shared" si="389"/>
        <v>10.000000000000002</v>
      </c>
      <c r="DE132" s="173">
        <f t="shared" si="390"/>
        <v>7.6433121019108299</v>
      </c>
      <c r="DF132" s="173">
        <f t="shared" si="391"/>
        <v>2.7017291066282429</v>
      </c>
      <c r="DG132" s="173"/>
      <c r="DH132" s="173">
        <f t="shared" si="392"/>
        <v>7.6433121019108281</v>
      </c>
      <c r="DI132" s="545">
        <f t="shared" si="393"/>
        <v>57.566666666666677</v>
      </c>
      <c r="DJ132" s="528">
        <f t="shared" si="394"/>
        <v>2.7377521613832849</v>
      </c>
      <c r="DL132" s="173">
        <f t="shared" si="395"/>
        <v>3.990464825532174</v>
      </c>
      <c r="DM132" s="173">
        <f t="shared" si="396"/>
        <v>10</v>
      </c>
      <c r="DN132" s="173">
        <f t="shared" si="397"/>
        <v>1.0328952380952381</v>
      </c>
      <c r="DP132" s="545">
        <f t="shared" si="398"/>
        <v>2200</v>
      </c>
      <c r="DQ132" s="460">
        <f t="shared" si="399"/>
        <v>57.566666666666677</v>
      </c>
      <c r="DS132" s="460">
        <f t="shared" si="400"/>
        <v>2200</v>
      </c>
      <c r="DT132" s="460">
        <f t="shared" si="401"/>
        <v>57.566666666666677</v>
      </c>
      <c r="DV132" s="5">
        <f t="shared" si="402"/>
        <v>17.371163867979153</v>
      </c>
      <c r="DW132" s="5">
        <f t="shared" si="403"/>
        <v>6.3157894736842106</v>
      </c>
      <c r="DX132" s="5">
        <f t="shared" si="404"/>
        <v>11.055374394294942</v>
      </c>
      <c r="DY132" s="173">
        <f t="shared" si="405"/>
        <v>0.36357894736842111</v>
      </c>
      <c r="EA132" s="5">
        <f t="shared" si="406"/>
        <v>92.631578947368425</v>
      </c>
      <c r="EB132" s="5">
        <f t="shared" si="407"/>
        <v>4.3421052631578956</v>
      </c>
      <c r="EC132" s="5">
        <f t="shared" si="408"/>
        <v>5.333733260405455</v>
      </c>
      <c r="ED132" s="5"/>
      <c r="EE132" s="173">
        <f t="shared" si="409"/>
        <v>3.4812782488066132</v>
      </c>
      <c r="EF132" s="173">
        <f t="shared" si="410"/>
        <v>4.6058696342514187</v>
      </c>
      <c r="EG132" s="173">
        <f t="shared" si="411"/>
        <v>0.11343082863960358</v>
      </c>
      <c r="EH132" s="173"/>
      <c r="EI132" s="528">
        <f t="shared" si="412"/>
        <v>0.24238596491228082</v>
      </c>
      <c r="EJ132" s="528">
        <f t="shared" si="413"/>
        <v>0.39951266666666679</v>
      </c>
      <c r="EK132" s="528">
        <f t="shared" si="414"/>
        <v>7.1958333333333345E-3</v>
      </c>
      <c r="EL132" s="528">
        <f t="shared" si="415"/>
        <v>6.9315447666666698E-3</v>
      </c>
      <c r="EM132">
        <f t="shared" si="416"/>
        <v>8.5500000000000003E-3</v>
      </c>
      <c r="EN132" s="460">
        <f t="shared" si="417"/>
        <v>15.745833333333334</v>
      </c>
      <c r="EP132" s="460">
        <f t="shared" si="439"/>
        <v>664.57600967894757</v>
      </c>
      <c r="EQ132" s="173">
        <f t="shared" si="418"/>
        <v>1.54</v>
      </c>
      <c r="ER132" s="173">
        <f t="shared" si="419"/>
        <v>2.4406249999999997E-2</v>
      </c>
      <c r="ES132" s="528"/>
      <c r="EU132" s="460">
        <f t="shared" si="420"/>
        <v>1564.40625</v>
      </c>
      <c r="EV132" s="528">
        <f t="shared" si="421"/>
        <v>0.36357894736842117</v>
      </c>
      <c r="EW132" s="528">
        <f t="shared" si="422"/>
        <v>0.63642105263157889</v>
      </c>
      <c r="EX132" s="528">
        <f t="shared" si="423"/>
        <v>6.4332764429335553E-5</v>
      </c>
      <c r="EY132" s="528">
        <f t="shared" si="424"/>
        <v>0.39755544997588593</v>
      </c>
      <c r="EZ132" s="528"/>
      <c r="FA132" s="625">
        <f t="shared" si="425"/>
        <v>5.7566666666666686E-3</v>
      </c>
      <c r="FB132" s="460">
        <f t="shared" si="426"/>
        <v>1403.3764494069819</v>
      </c>
      <c r="FC132" s="173">
        <f t="shared" si="427"/>
        <v>3.6323587090859299</v>
      </c>
      <c r="FD132" s="5">
        <f t="shared" si="428"/>
        <v>33.44</v>
      </c>
      <c r="FE132" s="173">
        <f t="shared" si="429"/>
        <v>0.90201975715681437</v>
      </c>
      <c r="FF132" s="5">
        <f t="shared" si="430"/>
        <v>90.201975715681442</v>
      </c>
      <c r="FG132">
        <f t="shared" si="431"/>
        <v>22.000000000000004</v>
      </c>
      <c r="FI132" s="562">
        <f t="shared" si="432"/>
        <v>-50</v>
      </c>
      <c r="FJ132">
        <f t="shared" si="433"/>
        <v>-50</v>
      </c>
    </row>
    <row r="133" spans="5:166">
      <c r="E133" s="170">
        <v>23</v>
      </c>
      <c r="F133" s="217">
        <f t="shared" si="434"/>
        <v>2.3000000000000003</v>
      </c>
      <c r="G133" s="217">
        <f t="shared" si="313"/>
        <v>5.7500000000000002E-2</v>
      </c>
      <c r="H133" s="217">
        <f t="shared" si="314"/>
        <v>34.500000000000007</v>
      </c>
      <c r="I133" s="217">
        <f t="shared" si="315"/>
        <v>0.46</v>
      </c>
      <c r="J133" s="541">
        <f t="shared" si="316"/>
        <v>18.723315016620045</v>
      </c>
      <c r="K133" s="443">
        <f t="shared" si="317"/>
        <v>15.848559966660831</v>
      </c>
      <c r="L133" s="172">
        <f t="shared" si="318"/>
        <v>34.571874983280878</v>
      </c>
      <c r="M133" s="443"/>
      <c r="N133" s="217">
        <f t="shared" si="319"/>
        <v>0.4584235010199843</v>
      </c>
      <c r="O133" s="172">
        <f t="shared" si="320"/>
        <v>211.75676695606103</v>
      </c>
      <c r="P133" s="172">
        <f t="shared" si="321"/>
        <v>2.8610692068730028</v>
      </c>
      <c r="Q133" s="217">
        <f t="shared" si="322"/>
        <v>14.117117797070735</v>
      </c>
      <c r="R133" s="217">
        <f t="shared" si="323"/>
        <v>26.469595869507629</v>
      </c>
      <c r="S133" s="217">
        <f t="shared" si="324"/>
        <v>15</v>
      </c>
      <c r="T133" s="217">
        <f t="shared" si="325"/>
        <v>8.1461387269759999</v>
      </c>
      <c r="U133" s="217">
        <f t="shared" si="326"/>
        <v>5.220959249841143</v>
      </c>
      <c r="V133" s="217">
        <f t="shared" si="327"/>
        <v>6.1679840268988135</v>
      </c>
      <c r="W133" s="197">
        <f t="shared" si="328"/>
        <v>71.526730171825065</v>
      </c>
      <c r="X133" s="443">
        <f t="shared" si="435"/>
        <v>86.289144412941369</v>
      </c>
      <c r="Z133" s="217">
        <f t="shared" si="329"/>
        <v>10</v>
      </c>
      <c r="AA133" s="173">
        <f t="shared" si="330"/>
        <v>7.5716658328853255</v>
      </c>
      <c r="AB133" s="173">
        <f t="shared" si="331"/>
        <v>2.6722524620724464</v>
      </c>
      <c r="AC133" s="173"/>
      <c r="AD133" s="173">
        <f t="shared" si="332"/>
        <v>7.5716658328853255</v>
      </c>
      <c r="AE133" s="545">
        <f t="shared" si="333"/>
        <v>60.752813205533194</v>
      </c>
      <c r="AF133" s="528">
        <f t="shared" si="334"/>
        <v>2.7078824949000788</v>
      </c>
      <c r="AH133" s="173">
        <f t="shared" si="335"/>
        <v>4.0801493903555848</v>
      </c>
      <c r="AI133" s="173">
        <f t="shared" si="336"/>
        <v>10</v>
      </c>
      <c r="AJ133" s="173">
        <f t="shared" si="337"/>
        <v>1.0347158932603047</v>
      </c>
      <c r="AL133" s="545">
        <f t="shared" si="338"/>
        <v>2300.0000000000005</v>
      </c>
      <c r="AM133" s="460">
        <f t="shared" si="339"/>
        <v>60.752813205533194</v>
      </c>
      <c r="AO133" s="460">
        <f t="shared" si="340"/>
        <v>2300.0000000000005</v>
      </c>
      <c r="AP133" s="460">
        <f t="shared" si="341"/>
        <v>60.752813205533194</v>
      </c>
      <c r="AR133" s="5">
        <f t="shared" si="275"/>
        <v>16.460143114968094</v>
      </c>
      <c r="AS133" s="5">
        <f t="shared" si="440"/>
        <v>6.4091214559750833</v>
      </c>
      <c r="AT133" s="5">
        <f t="shared" si="441"/>
        <v>10.051021658993012</v>
      </c>
      <c r="AU133" s="173">
        <f t="shared" si="442"/>
        <v>0.38937215862642921</v>
      </c>
      <c r="AW133" s="5">
        <f t="shared" si="342"/>
        <v>98.273195658284621</v>
      </c>
      <c r="AX133" s="5">
        <f t="shared" si="343"/>
        <v>4.6065560464820923</v>
      </c>
      <c r="AY133" s="5">
        <f t="shared" si="344"/>
        <v>5.1445105107285256</v>
      </c>
      <c r="AZ133" s="5"/>
      <c r="BA133" s="173">
        <f t="shared" si="345"/>
        <v>3.6026479087213485</v>
      </c>
      <c r="BB133" s="173">
        <f t="shared" si="346"/>
        <v>4.5115697245104203</v>
      </c>
      <c r="BC133" s="173">
        <f t="shared" si="347"/>
        <v>0.11110846223500173</v>
      </c>
      <c r="BD133" s="173"/>
      <c r="BE133" s="528">
        <f t="shared" si="348"/>
        <v>0.25958143908428616</v>
      </c>
      <c r="BF133" s="528">
        <f t="shared" si="349"/>
        <v>0.39381349931705789</v>
      </c>
      <c r="BG133" s="528">
        <f t="shared" si="350"/>
        <v>2.8437351494826804E-2</v>
      </c>
      <c r="BH133" s="528">
        <f t="shared" si="351"/>
        <v>7.2612645680627721E-3</v>
      </c>
      <c r="BI133">
        <f t="shared" si="352"/>
        <v>8.4254917574790207E-3</v>
      </c>
      <c r="BJ133" s="460">
        <f t="shared" si="436"/>
        <v>36.862843252305822</v>
      </c>
      <c r="BK133">
        <f t="shared" si="353"/>
        <v>0.77877536947932691</v>
      </c>
      <c r="BL133" s="460">
        <f t="shared" si="437"/>
        <v>697.51904622171253</v>
      </c>
      <c r="BM133" s="173">
        <f t="shared" si="354"/>
        <v>1.4288750000000001</v>
      </c>
      <c r="BN133" s="173">
        <f t="shared" si="355"/>
        <v>3.5721875E-2</v>
      </c>
      <c r="BO133" s="528"/>
      <c r="BQ133" s="460">
        <f t="shared" si="356"/>
        <v>1464.596875</v>
      </c>
      <c r="BR133" s="528">
        <f t="shared" si="357"/>
        <v>0.38937215862642921</v>
      </c>
      <c r="BS133" s="528">
        <f t="shared" si="358"/>
        <v>0.61062784137357085</v>
      </c>
      <c r="BT133" s="528">
        <f t="shared" si="359"/>
        <v>6.1725451901134036E-5</v>
      </c>
      <c r="BU133" s="528">
        <f t="shared" si="360"/>
        <v>0.45486863027663127</v>
      </c>
      <c r="BV133" s="528"/>
      <c r="BW133" s="625">
        <f t="shared" si="361"/>
        <v>6.0752813205533201E-3</v>
      </c>
      <c r="BX133" s="460">
        <f t="shared" si="362"/>
        <v>1461.0056370490859</v>
      </c>
      <c r="BY133" s="173">
        <f t="shared" si="363"/>
        <v>3.6231215582707983</v>
      </c>
      <c r="BZ133" s="5">
        <f t="shared" si="364"/>
        <v>34.960000000000008</v>
      </c>
      <c r="CA133" s="173">
        <f t="shared" si="365"/>
        <v>0.90609568609427005</v>
      </c>
      <c r="CB133" s="5">
        <f t="shared" si="366"/>
        <v>90.609568609427001</v>
      </c>
      <c r="CC133">
        <f t="shared" si="367"/>
        <v>23.000000000000004</v>
      </c>
      <c r="CE133" s="562">
        <f t="shared" si="368"/>
        <v>-50</v>
      </c>
      <c r="CF133">
        <f t="shared" si="369"/>
        <v>-50</v>
      </c>
      <c r="CG133" s="173">
        <f t="shared" si="370"/>
        <v>0.46445890875520734</v>
      </c>
      <c r="CH133" s="173">
        <f t="shared" si="371"/>
        <v>5.3516471659233136E-2</v>
      </c>
      <c r="CI133" s="170">
        <v>23</v>
      </c>
      <c r="CJ133" s="217">
        <f t="shared" si="438"/>
        <v>2.3000000000000003</v>
      </c>
      <c r="CK133" s="217">
        <f t="shared" si="372"/>
        <v>5.7500000000000002E-2</v>
      </c>
      <c r="CL133" s="217">
        <f t="shared" si="373"/>
        <v>34.500000000000007</v>
      </c>
      <c r="CM133" s="217">
        <f t="shared" si="374"/>
        <v>0.46</v>
      </c>
      <c r="CN133" s="541">
        <f t="shared" si="375"/>
        <v>19</v>
      </c>
      <c r="CO133" s="443">
        <f t="shared" si="376"/>
        <v>15.7</v>
      </c>
      <c r="CP133" s="443">
        <f t="shared" si="377"/>
        <v>34.700000000000003</v>
      </c>
      <c r="CQ133" s="443"/>
      <c r="CR133" s="217">
        <f t="shared" si="378"/>
        <v>0.44767441860465118</v>
      </c>
      <c r="CS133" s="172">
        <f t="shared" si="379"/>
        <v>209.84738372093025</v>
      </c>
      <c r="CT133" s="172">
        <f t="shared" si="380"/>
        <v>2.835271317829458</v>
      </c>
      <c r="CU133" s="217">
        <f t="shared" si="381"/>
        <v>13.989825581395349</v>
      </c>
      <c r="CV133" s="217">
        <f t="shared" si="382"/>
        <v>26.230922965116282</v>
      </c>
      <c r="CW133" s="217">
        <f t="shared" si="383"/>
        <v>15</v>
      </c>
      <c r="CX133" s="217">
        <f t="shared" si="384"/>
        <v>8.2202597402597419</v>
      </c>
      <c r="CY133" s="217">
        <f t="shared" si="385"/>
        <v>5.1917429938482584</v>
      </c>
      <c r="CZ133" s="217">
        <f t="shared" si="386"/>
        <v>6.283001075357765</v>
      </c>
      <c r="DA133" s="197">
        <f t="shared" si="387"/>
        <v>71.63784822286263</v>
      </c>
      <c r="DB133" s="443">
        <f t="shared" si="388"/>
        <v>87.147913188201798</v>
      </c>
      <c r="DD133" s="217">
        <f t="shared" si="389"/>
        <v>10.000000000000002</v>
      </c>
      <c r="DE133" s="173">
        <f t="shared" si="390"/>
        <v>7.6433121019108299</v>
      </c>
      <c r="DF133" s="173">
        <f t="shared" si="391"/>
        <v>2.7017291066282429</v>
      </c>
      <c r="DG133" s="173"/>
      <c r="DH133" s="173">
        <f t="shared" si="392"/>
        <v>7.6433121019108281</v>
      </c>
      <c r="DI133" s="545">
        <f t="shared" si="393"/>
        <v>60.183333333333344</v>
      </c>
      <c r="DJ133" s="528">
        <f t="shared" si="394"/>
        <v>2.7377521613832849</v>
      </c>
      <c r="DL133" s="173">
        <f t="shared" si="395"/>
        <v>4.0801493903555848</v>
      </c>
      <c r="DM133" s="173">
        <f t="shared" si="396"/>
        <v>10</v>
      </c>
      <c r="DN133" s="173">
        <f t="shared" si="397"/>
        <v>1.0343904761904761</v>
      </c>
      <c r="DP133" s="545">
        <f t="shared" si="398"/>
        <v>2300.0000000000005</v>
      </c>
      <c r="DQ133" s="460">
        <f t="shared" si="399"/>
        <v>60.183333333333344</v>
      </c>
      <c r="DS133" s="460">
        <f t="shared" si="400"/>
        <v>2300.0000000000005</v>
      </c>
      <c r="DT133" s="460">
        <f t="shared" si="401"/>
        <v>60.183333333333344</v>
      </c>
      <c r="DV133" s="5">
        <f t="shared" si="402"/>
        <v>16.61589587371919</v>
      </c>
      <c r="DW133" s="5">
        <f t="shared" si="403"/>
        <v>6.3157894736842106</v>
      </c>
      <c r="DX133" s="5">
        <f t="shared" si="404"/>
        <v>10.300106400034979</v>
      </c>
      <c r="DY133" s="173">
        <f t="shared" si="405"/>
        <v>0.38010526315789478</v>
      </c>
      <c r="EA133" s="5">
        <f t="shared" si="406"/>
        <v>96.842105263157904</v>
      </c>
      <c r="EB133" s="5">
        <f t="shared" si="407"/>
        <v>4.5394736842105265</v>
      </c>
      <c r="EC133" s="5">
        <f t="shared" si="408"/>
        <v>5.1952291052808013</v>
      </c>
      <c r="ED133" s="5"/>
      <c r="EE133" s="173">
        <f t="shared" si="409"/>
        <v>3.5595189897788848</v>
      </c>
      <c r="EF133" s="173">
        <f t="shared" si="410"/>
        <v>4.5456746358199505</v>
      </c>
      <c r="EG133" s="173">
        <f t="shared" si="411"/>
        <v>0.11194837926646782</v>
      </c>
      <c r="EH133" s="173"/>
      <c r="EI133" s="528">
        <f t="shared" si="412"/>
        <v>0.25340350877192985</v>
      </c>
      <c r="EJ133" s="528">
        <f t="shared" si="413"/>
        <v>0.41767233333333342</v>
      </c>
      <c r="EK133" s="528">
        <f t="shared" si="414"/>
        <v>7.5229166666666682E-3</v>
      </c>
      <c r="EL133" s="528">
        <f t="shared" si="415"/>
        <v>7.2466149833333359E-3</v>
      </c>
      <c r="EM133">
        <f t="shared" si="416"/>
        <v>8.5500000000000003E-3</v>
      </c>
      <c r="EN133" s="460">
        <f t="shared" si="417"/>
        <v>16.072916666666668</v>
      </c>
      <c r="EP133" s="460">
        <f t="shared" si="439"/>
        <v>694.39537375526334</v>
      </c>
      <c r="EQ133" s="173">
        <f t="shared" si="418"/>
        <v>1.61</v>
      </c>
      <c r="ER133" s="173">
        <f t="shared" si="419"/>
        <v>2.5515625E-2</v>
      </c>
      <c r="ES133" s="528"/>
      <c r="EU133" s="460">
        <f t="shared" si="420"/>
        <v>1635.515625</v>
      </c>
      <c r="EV133" s="528">
        <f t="shared" si="421"/>
        <v>0.38010526315789478</v>
      </c>
      <c r="EW133" s="528">
        <f t="shared" si="422"/>
        <v>0.61989473684210505</v>
      </c>
      <c r="EX133" s="528">
        <f t="shared" si="423"/>
        <v>6.2662198101944616E-5</v>
      </c>
      <c r="EY133" s="528">
        <f t="shared" si="424"/>
        <v>0.44428392447072984</v>
      </c>
      <c r="EZ133" s="528"/>
      <c r="FA133" s="625">
        <f t="shared" si="425"/>
        <v>6.0183333333333347E-3</v>
      </c>
      <c r="FB133" s="460">
        <f t="shared" si="426"/>
        <v>1450.3649200021648</v>
      </c>
      <c r="FC133" s="173">
        <f t="shared" si="427"/>
        <v>3.7802759187574289</v>
      </c>
      <c r="FD133" s="5">
        <f t="shared" si="428"/>
        <v>34.960000000000008</v>
      </c>
      <c r="FE133" s="173">
        <f t="shared" si="429"/>
        <v>0.90242000530184463</v>
      </c>
      <c r="FF133" s="5">
        <f t="shared" si="430"/>
        <v>90.24200053018447</v>
      </c>
      <c r="FG133">
        <f t="shared" si="431"/>
        <v>23.000000000000004</v>
      </c>
      <c r="FI133" s="562">
        <f t="shared" si="432"/>
        <v>-50</v>
      </c>
      <c r="FJ133">
        <f t="shared" si="433"/>
        <v>-50</v>
      </c>
    </row>
    <row r="134" spans="5:166">
      <c r="E134" s="170">
        <v>24</v>
      </c>
      <c r="F134" s="217">
        <f t="shared" si="434"/>
        <v>2.4</v>
      </c>
      <c r="G134" s="217">
        <f t="shared" si="313"/>
        <v>0.06</v>
      </c>
      <c r="H134" s="217">
        <f t="shared" si="314"/>
        <v>36</v>
      </c>
      <c r="I134" s="217">
        <f t="shared" si="315"/>
        <v>0.48</v>
      </c>
      <c r="J134" s="541">
        <f t="shared" si="316"/>
        <v>18.723315016620045</v>
      </c>
      <c r="K134" s="443">
        <f t="shared" si="317"/>
        <v>15.848559966660831</v>
      </c>
      <c r="L134" s="172">
        <f t="shared" si="318"/>
        <v>34.571874983280878</v>
      </c>
      <c r="M134" s="443"/>
      <c r="N134" s="217">
        <f t="shared" si="319"/>
        <v>0.4584235010199843</v>
      </c>
      <c r="O134" s="172">
        <f t="shared" si="320"/>
        <v>211.75676695606103</v>
      </c>
      <c r="P134" s="172">
        <f t="shared" si="321"/>
        <v>2.8610692068730028</v>
      </c>
      <c r="Q134" s="217">
        <f t="shared" si="322"/>
        <v>14.117117797070735</v>
      </c>
      <c r="R134" s="217">
        <f t="shared" si="323"/>
        <v>26.469595869507629</v>
      </c>
      <c r="S134" s="217">
        <f t="shared" si="324"/>
        <v>15</v>
      </c>
      <c r="T134" s="217">
        <f t="shared" si="325"/>
        <v>8.5003186716271273</v>
      </c>
      <c r="U134" s="217">
        <f t="shared" si="326"/>
        <v>5.4479574780951037</v>
      </c>
      <c r="V134" s="217">
        <f t="shared" si="327"/>
        <v>6.4361572454596292</v>
      </c>
      <c r="W134" s="197">
        <f t="shared" si="328"/>
        <v>71.526730171825065</v>
      </c>
      <c r="X134" s="443">
        <f t="shared" si="435"/>
        <v>82.753269302447862</v>
      </c>
      <c r="Z134" s="217">
        <f t="shared" si="329"/>
        <v>10</v>
      </c>
      <c r="AA134" s="173">
        <f t="shared" si="330"/>
        <v>7.5716658328853255</v>
      </c>
      <c r="AB134" s="173">
        <f t="shared" si="331"/>
        <v>2.6722524620724464</v>
      </c>
      <c r="AC134" s="173"/>
      <c r="AD134" s="173">
        <f t="shared" si="332"/>
        <v>7.5716658328853255</v>
      </c>
      <c r="AE134" s="545">
        <f t="shared" si="333"/>
        <v>63.394239866643318</v>
      </c>
      <c r="AF134" s="528">
        <f t="shared" si="334"/>
        <v>2.7078824949000788</v>
      </c>
      <c r="AH134" s="173">
        <f t="shared" si="335"/>
        <v>4.1679045780138217</v>
      </c>
      <c r="AI134" s="173">
        <f t="shared" si="336"/>
        <v>10</v>
      </c>
      <c r="AJ134" s="173">
        <f t="shared" si="337"/>
        <v>1.0362252799237961</v>
      </c>
      <c r="AL134" s="545">
        <f t="shared" si="338"/>
        <v>2400</v>
      </c>
      <c r="AM134" s="460">
        <f t="shared" si="339"/>
        <v>63.394239866643318</v>
      </c>
      <c r="AO134" s="460">
        <f t="shared" si="340"/>
        <v>2400</v>
      </c>
      <c r="AP134" s="460">
        <f t="shared" si="341"/>
        <v>63.394239866643318</v>
      </c>
      <c r="AR134" s="5">
        <f t="shared" ref="AR134:AR197" si="443">1/AM134*1000</f>
        <v>15.774303818511095</v>
      </c>
      <c r="AS134" s="5">
        <f t="shared" si="440"/>
        <v>6.4091214559750833</v>
      </c>
      <c r="AT134" s="5">
        <f t="shared" si="441"/>
        <v>9.3651823625360109</v>
      </c>
      <c r="AU134" s="173">
        <f t="shared" si="442"/>
        <v>0.40630138291453471</v>
      </c>
      <c r="AW134" s="5">
        <f t="shared" si="342"/>
        <v>102.54594329560132</v>
      </c>
      <c r="AX134" s="5">
        <f t="shared" si="343"/>
        <v>4.8068410919813127</v>
      </c>
      <c r="AY134" s="5">
        <f t="shared" si="344"/>
        <v>5.0018826015707463</v>
      </c>
      <c r="AZ134" s="5"/>
      <c r="BA134" s="173">
        <f t="shared" si="345"/>
        <v>3.6801330723880747</v>
      </c>
      <c r="BB134" s="173">
        <f t="shared" si="346"/>
        <v>4.4485901028133448</v>
      </c>
      <c r="BC134" s="173">
        <f t="shared" si="347"/>
        <v>0.10955743468889337</v>
      </c>
      <c r="BD134" s="173"/>
      <c r="BE134" s="528">
        <f t="shared" si="348"/>
        <v>0.27086758860968979</v>
      </c>
      <c r="BF134" s="528">
        <f t="shared" si="349"/>
        <v>0.41093582537432127</v>
      </c>
      <c r="BG134" s="528">
        <f t="shared" si="350"/>
        <v>2.9673758081558397E-2</v>
      </c>
      <c r="BH134" s="528">
        <f t="shared" si="351"/>
        <v>7.5769717231959346E-3</v>
      </c>
      <c r="BI134">
        <f t="shared" si="352"/>
        <v>8.4254917574790207E-3</v>
      </c>
      <c r="BJ134" s="460">
        <f t="shared" si="436"/>
        <v>38.099249839037419</v>
      </c>
      <c r="BK134">
        <f t="shared" si="353"/>
        <v>0.81496421489798654</v>
      </c>
      <c r="BL134" s="460">
        <f t="shared" si="437"/>
        <v>727.47963554624425</v>
      </c>
      <c r="BM134" s="173">
        <f t="shared" si="354"/>
        <v>1.4909999999999999</v>
      </c>
      <c r="BN134" s="173">
        <f t="shared" si="355"/>
        <v>3.7274999999999996E-2</v>
      </c>
      <c r="BO134" s="528"/>
      <c r="BQ134" s="460">
        <f t="shared" si="356"/>
        <v>1528.2749999999999</v>
      </c>
      <c r="BR134" s="528">
        <f t="shared" si="357"/>
        <v>0.40630138291453471</v>
      </c>
      <c r="BS134" s="528">
        <f t="shared" si="358"/>
        <v>0.59369861708546534</v>
      </c>
      <c r="BT134" s="528">
        <f t="shared" si="359"/>
        <v>6.0014157478055679E-5</v>
      </c>
      <c r="BU134" s="528">
        <f t="shared" si="360"/>
        <v>0.50593474000222638</v>
      </c>
      <c r="BV134" s="528"/>
      <c r="BW134" s="625">
        <f t="shared" si="361"/>
        <v>6.3394239866643321E-3</v>
      </c>
      <c r="BX134" s="460">
        <f t="shared" si="362"/>
        <v>1512.3341781463687</v>
      </c>
      <c r="BY134" s="173">
        <f t="shared" si="363"/>
        <v>3.7680888136926138</v>
      </c>
      <c r="BZ134" s="5">
        <f t="shared" si="364"/>
        <v>36.479999999999997</v>
      </c>
      <c r="CA134" s="173">
        <f t="shared" si="365"/>
        <v>0.90637844119418931</v>
      </c>
      <c r="CB134" s="5">
        <f t="shared" si="366"/>
        <v>90.637844119418929</v>
      </c>
      <c r="CC134">
        <f t="shared" si="367"/>
        <v>24</v>
      </c>
      <c r="CE134" s="562">
        <f t="shared" si="368"/>
        <v>-50</v>
      </c>
      <c r="CF134">
        <f t="shared" si="369"/>
        <v>-50</v>
      </c>
      <c r="CG134" s="173">
        <f t="shared" si="370"/>
        <v>0.48465277435325971</v>
      </c>
      <c r="CH134" s="173">
        <f t="shared" si="371"/>
        <v>5.5843274774851966E-2</v>
      </c>
      <c r="CI134" s="170">
        <v>24</v>
      </c>
      <c r="CJ134" s="217">
        <f t="shared" si="438"/>
        <v>2.4</v>
      </c>
      <c r="CK134" s="217">
        <f t="shared" si="372"/>
        <v>0.06</v>
      </c>
      <c r="CL134" s="217">
        <f t="shared" si="373"/>
        <v>36</v>
      </c>
      <c r="CM134" s="217">
        <f t="shared" si="374"/>
        <v>0.48</v>
      </c>
      <c r="CN134" s="541">
        <f t="shared" si="375"/>
        <v>19</v>
      </c>
      <c r="CO134" s="443">
        <f t="shared" si="376"/>
        <v>15.7</v>
      </c>
      <c r="CP134" s="443">
        <f t="shared" si="377"/>
        <v>34.700000000000003</v>
      </c>
      <c r="CQ134" s="443"/>
      <c r="CR134" s="217">
        <f t="shared" si="378"/>
        <v>0.44767441860465118</v>
      </c>
      <c r="CS134" s="172">
        <f t="shared" si="379"/>
        <v>209.84738372093025</v>
      </c>
      <c r="CT134" s="172">
        <f t="shared" si="380"/>
        <v>2.835271317829458</v>
      </c>
      <c r="CU134" s="217">
        <f t="shared" si="381"/>
        <v>13.989825581395349</v>
      </c>
      <c r="CV134" s="217">
        <f t="shared" si="382"/>
        <v>26.230922965116282</v>
      </c>
      <c r="CW134" s="217">
        <f t="shared" si="383"/>
        <v>15</v>
      </c>
      <c r="CX134" s="217">
        <f t="shared" si="384"/>
        <v>8.5776623376623373</v>
      </c>
      <c r="CY134" s="217">
        <f t="shared" si="385"/>
        <v>5.4174709501025289</v>
      </c>
      <c r="CZ134" s="217">
        <f t="shared" si="386"/>
        <v>6.5561750351559267</v>
      </c>
      <c r="DA134" s="197">
        <f t="shared" si="387"/>
        <v>71.63784822286263</v>
      </c>
      <c r="DB134" s="443">
        <f t="shared" si="388"/>
        <v>83.516750138693425</v>
      </c>
      <c r="DD134" s="217">
        <f t="shared" si="389"/>
        <v>10.000000000000002</v>
      </c>
      <c r="DE134" s="173">
        <f t="shared" si="390"/>
        <v>7.6433121019108299</v>
      </c>
      <c r="DF134" s="173">
        <f t="shared" si="391"/>
        <v>2.7017291066282429</v>
      </c>
      <c r="DG134" s="173"/>
      <c r="DH134" s="173">
        <f t="shared" si="392"/>
        <v>7.6433121019108281</v>
      </c>
      <c r="DI134" s="545">
        <f t="shared" si="393"/>
        <v>62.8</v>
      </c>
      <c r="DJ134" s="528">
        <f t="shared" si="394"/>
        <v>2.7377521613832849</v>
      </c>
      <c r="DL134" s="173">
        <f t="shared" si="395"/>
        <v>4.1679045780138217</v>
      </c>
      <c r="DM134" s="173">
        <f t="shared" si="396"/>
        <v>10</v>
      </c>
      <c r="DN134" s="173">
        <f t="shared" si="397"/>
        <v>1.0358857142857143</v>
      </c>
      <c r="DP134" s="545">
        <f t="shared" si="398"/>
        <v>2400</v>
      </c>
      <c r="DQ134" s="460">
        <f t="shared" si="399"/>
        <v>62.8</v>
      </c>
      <c r="DS134" s="460">
        <f t="shared" si="400"/>
        <v>2400</v>
      </c>
      <c r="DT134" s="460">
        <f t="shared" si="401"/>
        <v>62.8</v>
      </c>
      <c r="DV134" s="5">
        <f t="shared" si="402"/>
        <v>15.923566878980891</v>
      </c>
      <c r="DW134" s="5">
        <f t="shared" si="403"/>
        <v>6.3157894736842106</v>
      </c>
      <c r="DX134" s="5">
        <f t="shared" si="404"/>
        <v>9.6077774052966802</v>
      </c>
      <c r="DY134" s="173">
        <f t="shared" si="405"/>
        <v>0.39663157894736845</v>
      </c>
      <c r="EA134" s="5">
        <f t="shared" si="406"/>
        <v>101.05263157894737</v>
      </c>
      <c r="EB134" s="5">
        <f t="shared" si="407"/>
        <v>4.7368421052631584</v>
      </c>
      <c r="EC134" s="5">
        <f t="shared" si="408"/>
        <v>5.0567249501561475</v>
      </c>
      <c r="ED134" s="5"/>
      <c r="EE134" s="173">
        <f t="shared" si="409"/>
        <v>3.6360765436908702</v>
      </c>
      <c r="EF134" s="173">
        <f t="shared" si="410"/>
        <v>4.4846717496104862</v>
      </c>
      <c r="EG134" s="173">
        <f t="shared" si="411"/>
        <v>0.11044603367668182</v>
      </c>
      <c r="EH134" s="173"/>
      <c r="EI134" s="528">
        <f t="shared" si="412"/>
        <v>0.26442105263157889</v>
      </c>
      <c r="EJ134" s="528">
        <f t="shared" si="413"/>
        <v>0.435832</v>
      </c>
      <c r="EK134" s="528">
        <f t="shared" si="414"/>
        <v>7.8499999999999993E-3</v>
      </c>
      <c r="EL134" s="528">
        <f t="shared" si="415"/>
        <v>7.5616852000000012E-3</v>
      </c>
      <c r="EM134">
        <f t="shared" si="416"/>
        <v>8.5500000000000003E-3</v>
      </c>
      <c r="EN134" s="460">
        <f t="shared" si="417"/>
        <v>16.399999999999999</v>
      </c>
      <c r="EP134" s="460">
        <f t="shared" si="439"/>
        <v>724.21473783157887</v>
      </c>
      <c r="EQ134" s="173">
        <f t="shared" si="418"/>
        <v>1.68</v>
      </c>
      <c r="ER134" s="173">
        <f t="shared" si="419"/>
        <v>2.6624999999999999E-2</v>
      </c>
      <c r="ES134" s="528"/>
      <c r="EU134" s="460">
        <f t="shared" si="420"/>
        <v>1706.6249999999998</v>
      </c>
      <c r="EV134" s="528">
        <f t="shared" si="421"/>
        <v>0.39663157894736828</v>
      </c>
      <c r="EW134" s="528">
        <f t="shared" si="422"/>
        <v>0.60336842105263133</v>
      </c>
      <c r="EX134" s="528">
        <f t="shared" si="423"/>
        <v>6.0991631774553678E-5</v>
      </c>
      <c r="EY134" s="528">
        <f t="shared" si="424"/>
        <v>0.4941617356148893</v>
      </c>
      <c r="EZ134" s="528"/>
      <c r="FA134" s="625">
        <f t="shared" si="425"/>
        <v>6.28E-3</v>
      </c>
      <c r="FB134" s="460">
        <f t="shared" si="426"/>
        <v>1500.5027272466637</v>
      </c>
      <c r="FC134" s="173">
        <f t="shared" si="427"/>
        <v>3.931342465078242</v>
      </c>
      <c r="FD134" s="5">
        <f t="shared" si="428"/>
        <v>36.479999999999997</v>
      </c>
      <c r="FE134" s="173">
        <f t="shared" si="429"/>
        <v>0.90271685558391079</v>
      </c>
      <c r="FF134" s="5">
        <f t="shared" si="430"/>
        <v>90.271685558391084</v>
      </c>
      <c r="FG134">
        <f t="shared" si="431"/>
        <v>24</v>
      </c>
      <c r="FI134" s="562">
        <f t="shared" si="432"/>
        <v>-50</v>
      </c>
      <c r="FJ134">
        <f t="shared" si="433"/>
        <v>-50</v>
      </c>
    </row>
    <row r="135" spans="5:166">
      <c r="E135" s="170">
        <v>25</v>
      </c>
      <c r="F135" s="217">
        <f t="shared" si="434"/>
        <v>2.5</v>
      </c>
      <c r="G135" s="217">
        <f t="shared" si="313"/>
        <v>6.25E-2</v>
      </c>
      <c r="H135" s="217">
        <f t="shared" si="314"/>
        <v>37.5</v>
      </c>
      <c r="I135" s="217">
        <f t="shared" si="315"/>
        <v>0.5</v>
      </c>
      <c r="J135" s="541">
        <f t="shared" si="316"/>
        <v>18.723315016620045</v>
      </c>
      <c r="K135" s="443">
        <f t="shared" si="317"/>
        <v>15.848559966660831</v>
      </c>
      <c r="L135" s="172">
        <f t="shared" si="318"/>
        <v>34.571874983280878</v>
      </c>
      <c r="M135" s="443"/>
      <c r="N135" s="217">
        <f t="shared" si="319"/>
        <v>0.4584235010199843</v>
      </c>
      <c r="O135" s="172">
        <f t="shared" si="320"/>
        <v>211.75676695606103</v>
      </c>
      <c r="P135" s="172">
        <f t="shared" si="321"/>
        <v>2.8610692068730028</v>
      </c>
      <c r="Q135" s="217">
        <f t="shared" si="322"/>
        <v>14.117117797070735</v>
      </c>
      <c r="R135" s="217">
        <f t="shared" si="323"/>
        <v>26.469595869507629</v>
      </c>
      <c r="S135" s="217">
        <f t="shared" si="324"/>
        <v>15</v>
      </c>
      <c r="T135" s="217">
        <f t="shared" si="325"/>
        <v>8.8544986162782582</v>
      </c>
      <c r="U135" s="217">
        <f t="shared" si="326"/>
        <v>5.674955706349067</v>
      </c>
      <c r="V135" s="217">
        <f t="shared" si="327"/>
        <v>6.7043304640204484</v>
      </c>
      <c r="W135" s="197">
        <f t="shared" si="328"/>
        <v>71.526730171825065</v>
      </c>
      <c r="X135" s="443">
        <f t="shared" si="435"/>
        <v>79.495766807141905</v>
      </c>
      <c r="Z135" s="217">
        <f t="shared" si="329"/>
        <v>10</v>
      </c>
      <c r="AA135" s="173">
        <f t="shared" si="330"/>
        <v>7.5716658328853255</v>
      </c>
      <c r="AB135" s="173">
        <f t="shared" si="331"/>
        <v>2.6722524620724464</v>
      </c>
      <c r="AC135" s="173"/>
      <c r="AD135" s="173">
        <f t="shared" si="332"/>
        <v>7.5716658328853255</v>
      </c>
      <c r="AE135" s="545">
        <f t="shared" si="333"/>
        <v>66.035666527753463</v>
      </c>
      <c r="AF135" s="528">
        <f t="shared" si="334"/>
        <v>2.7078824949000788</v>
      </c>
      <c r="AH135" s="173">
        <f t="shared" si="335"/>
        <v>4.2538497969766276</v>
      </c>
      <c r="AI135" s="173">
        <f t="shared" si="336"/>
        <v>10</v>
      </c>
      <c r="AJ135" s="173">
        <f t="shared" si="337"/>
        <v>1.0377346665872877</v>
      </c>
      <c r="AL135" s="545">
        <f t="shared" si="338"/>
        <v>2500</v>
      </c>
      <c r="AM135" s="460">
        <f t="shared" si="339"/>
        <v>66.035666527753463</v>
      </c>
      <c r="AO135" s="460">
        <f t="shared" si="340"/>
        <v>2500</v>
      </c>
      <c r="AP135" s="460">
        <f t="shared" si="341"/>
        <v>66.035666527753463</v>
      </c>
      <c r="AR135" s="5">
        <f t="shared" si="443"/>
        <v>15.143331665770649</v>
      </c>
      <c r="AS135" s="5">
        <f t="shared" si="440"/>
        <v>6.4091214559750833</v>
      </c>
      <c r="AT135" s="5">
        <f t="shared" si="441"/>
        <v>8.7342102097955667</v>
      </c>
      <c r="AU135" s="173">
        <f t="shared" si="442"/>
        <v>0.42323060720264039</v>
      </c>
      <c r="AW135" s="5">
        <f t="shared" si="342"/>
        <v>106.81869093291807</v>
      </c>
      <c r="AX135" s="5">
        <f t="shared" si="343"/>
        <v>5.007126137480534</v>
      </c>
      <c r="AY135" s="5">
        <f t="shared" si="344"/>
        <v>4.8592546924129678</v>
      </c>
      <c r="AZ135" s="5"/>
      <c r="BA135" s="173">
        <f t="shared" si="345"/>
        <v>3.7560200887048891</v>
      </c>
      <c r="BB135" s="173">
        <f t="shared" si="346"/>
        <v>4.3847059680871023</v>
      </c>
      <c r="BC135" s="173">
        <f t="shared" si="347"/>
        <v>0.10798413129249808</v>
      </c>
      <c r="BD135" s="173"/>
      <c r="BE135" s="528">
        <f t="shared" si="348"/>
        <v>0.28215373813509365</v>
      </c>
      <c r="BF135" s="528">
        <f t="shared" si="349"/>
        <v>0.42805815143158471</v>
      </c>
      <c r="BG135" s="528">
        <f t="shared" si="350"/>
        <v>3.0910164668289997E-2</v>
      </c>
      <c r="BH135" s="528">
        <f t="shared" si="351"/>
        <v>7.8926788783291006E-3</v>
      </c>
      <c r="BI135">
        <f t="shared" si="352"/>
        <v>8.4254917574790207E-3</v>
      </c>
      <c r="BJ135" s="460">
        <f t="shared" si="436"/>
        <v>39.335656425769017</v>
      </c>
      <c r="BK135">
        <f t="shared" si="353"/>
        <v>0.85136109407185179</v>
      </c>
      <c r="BL135" s="460">
        <f t="shared" si="437"/>
        <v>757.44022487077643</v>
      </c>
      <c r="BM135" s="173">
        <f t="shared" si="354"/>
        <v>1.5531249999999999</v>
      </c>
      <c r="BN135" s="173">
        <f t="shared" si="355"/>
        <v>3.8828124999999998E-2</v>
      </c>
      <c r="BO135" s="528"/>
      <c r="BQ135" s="460">
        <f t="shared" si="356"/>
        <v>1591.9531249999998</v>
      </c>
      <c r="BR135" s="528">
        <f t="shared" si="357"/>
        <v>0.4232306072026405</v>
      </c>
      <c r="BS135" s="528">
        <f t="shared" si="358"/>
        <v>0.5767693927973595</v>
      </c>
      <c r="BT135" s="528">
        <f t="shared" si="359"/>
        <v>5.8302863054977316E-5</v>
      </c>
      <c r="BU135" s="528">
        <f t="shared" si="360"/>
        <v>0.56029457653045889</v>
      </c>
      <c r="BV135" s="528"/>
      <c r="BW135" s="625">
        <f t="shared" si="361"/>
        <v>6.6035666527753476E-3</v>
      </c>
      <c r="BX135" s="460">
        <f t="shared" si="362"/>
        <v>1566.9564460462893</v>
      </c>
      <c r="BY135" s="173">
        <f t="shared" si="363"/>
        <v>3.9163497959170659</v>
      </c>
      <c r="BZ135" s="5">
        <f t="shared" si="364"/>
        <v>38</v>
      </c>
      <c r="CA135" s="173">
        <f t="shared" si="365"/>
        <v>0.90656748941677778</v>
      </c>
      <c r="CB135" s="5">
        <f t="shared" si="366"/>
        <v>90.656748941677776</v>
      </c>
      <c r="CC135">
        <f t="shared" si="367"/>
        <v>25</v>
      </c>
      <c r="CE135" s="562">
        <f t="shared" si="368"/>
        <v>-50</v>
      </c>
      <c r="CF135">
        <f t="shared" si="369"/>
        <v>-50</v>
      </c>
      <c r="CG135" s="173">
        <f t="shared" si="370"/>
        <v>0.50484663995131218</v>
      </c>
      <c r="CH135" s="173">
        <f t="shared" si="371"/>
        <v>5.8170077890470802E-2</v>
      </c>
      <c r="CI135" s="170">
        <v>25</v>
      </c>
      <c r="CJ135" s="217">
        <f t="shared" si="438"/>
        <v>2.5</v>
      </c>
      <c r="CK135" s="217">
        <f t="shared" si="372"/>
        <v>6.25E-2</v>
      </c>
      <c r="CL135" s="217">
        <f t="shared" si="373"/>
        <v>37.5</v>
      </c>
      <c r="CM135" s="217">
        <f t="shared" si="374"/>
        <v>0.5</v>
      </c>
      <c r="CN135" s="541">
        <f t="shared" si="375"/>
        <v>19</v>
      </c>
      <c r="CO135" s="443">
        <f t="shared" si="376"/>
        <v>15.7</v>
      </c>
      <c r="CP135" s="443">
        <f t="shared" si="377"/>
        <v>34.700000000000003</v>
      </c>
      <c r="CQ135" s="443"/>
      <c r="CR135" s="217">
        <f t="shared" si="378"/>
        <v>0.44767441860465118</v>
      </c>
      <c r="CS135" s="172">
        <f t="shared" si="379"/>
        <v>209.84738372093025</v>
      </c>
      <c r="CT135" s="172">
        <f t="shared" si="380"/>
        <v>2.835271317829458</v>
      </c>
      <c r="CU135" s="217">
        <f t="shared" si="381"/>
        <v>13.989825581395349</v>
      </c>
      <c r="CV135" s="217">
        <f t="shared" si="382"/>
        <v>26.230922965116282</v>
      </c>
      <c r="CW135" s="217">
        <f t="shared" si="383"/>
        <v>15</v>
      </c>
      <c r="CX135" s="217">
        <f t="shared" si="384"/>
        <v>8.9350649350649345</v>
      </c>
      <c r="CY135" s="217">
        <f t="shared" si="385"/>
        <v>5.6431989063568011</v>
      </c>
      <c r="CZ135" s="217">
        <f t="shared" si="386"/>
        <v>6.8293489949540911</v>
      </c>
      <c r="DA135" s="197">
        <f t="shared" si="387"/>
        <v>71.63784822286263</v>
      </c>
      <c r="DB135" s="443">
        <f t="shared" si="388"/>
        <v>80.176080133145675</v>
      </c>
      <c r="DD135" s="217">
        <f t="shared" si="389"/>
        <v>10.000000000000002</v>
      </c>
      <c r="DE135" s="173">
        <f t="shared" si="390"/>
        <v>7.6433121019108299</v>
      </c>
      <c r="DF135" s="173">
        <f t="shared" si="391"/>
        <v>2.7017291066282429</v>
      </c>
      <c r="DG135" s="173"/>
      <c r="DH135" s="173">
        <f t="shared" si="392"/>
        <v>7.6433121019108281</v>
      </c>
      <c r="DI135" s="545">
        <f t="shared" si="393"/>
        <v>65.416666666666671</v>
      </c>
      <c r="DJ135" s="528">
        <f t="shared" si="394"/>
        <v>2.7377521613832849</v>
      </c>
      <c r="DL135" s="173">
        <f t="shared" si="395"/>
        <v>4.2538497969766276</v>
      </c>
      <c r="DM135" s="173">
        <f t="shared" si="396"/>
        <v>10</v>
      </c>
      <c r="DN135" s="173">
        <f t="shared" si="397"/>
        <v>1.0373809523809523</v>
      </c>
      <c r="DP135" s="545">
        <f t="shared" si="398"/>
        <v>2500</v>
      </c>
      <c r="DQ135" s="460">
        <f t="shared" si="399"/>
        <v>65.416666666666671</v>
      </c>
      <c r="DS135" s="460">
        <f t="shared" si="400"/>
        <v>2500</v>
      </c>
      <c r="DT135" s="460">
        <f t="shared" si="401"/>
        <v>65.416666666666671</v>
      </c>
      <c r="DV135" s="5">
        <f t="shared" si="402"/>
        <v>15.286624203821654</v>
      </c>
      <c r="DW135" s="5">
        <f t="shared" si="403"/>
        <v>6.3157894736842106</v>
      </c>
      <c r="DX135" s="5">
        <f t="shared" si="404"/>
        <v>8.9708347301374438</v>
      </c>
      <c r="DY135" s="173">
        <f t="shared" si="405"/>
        <v>0.41315789473684217</v>
      </c>
      <c r="EA135" s="5">
        <f t="shared" si="406"/>
        <v>105.26315789473685</v>
      </c>
      <c r="EB135" s="5">
        <f t="shared" si="407"/>
        <v>4.9342105263157894</v>
      </c>
      <c r="EC135" s="5">
        <f t="shared" si="408"/>
        <v>4.9182207950314929</v>
      </c>
      <c r="ED135" s="5"/>
      <c r="EE135" s="173">
        <f t="shared" si="409"/>
        <v>3.7110550823938744</v>
      </c>
      <c r="EF135" s="173">
        <f t="shared" si="410"/>
        <v>4.4228275468044114</v>
      </c>
      <c r="EG135" s="173">
        <f t="shared" si="411"/>
        <v>0.10892296860365376</v>
      </c>
      <c r="EH135" s="173"/>
      <c r="EI135" s="528">
        <f t="shared" si="412"/>
        <v>0.27543859649122815</v>
      </c>
      <c r="EJ135" s="528">
        <f t="shared" si="413"/>
        <v>0.45399166666666674</v>
      </c>
      <c r="EK135" s="528">
        <f t="shared" si="414"/>
        <v>8.1770833333333331E-3</v>
      </c>
      <c r="EL135" s="528">
        <f t="shared" si="415"/>
        <v>7.8767554166666691E-3</v>
      </c>
      <c r="EM135">
        <f t="shared" si="416"/>
        <v>8.5500000000000003E-3</v>
      </c>
      <c r="EN135" s="460">
        <f t="shared" si="417"/>
        <v>16.727083333333333</v>
      </c>
      <c r="EP135" s="460">
        <f t="shared" si="439"/>
        <v>754.03410190789475</v>
      </c>
      <c r="EQ135" s="173">
        <f t="shared" si="418"/>
        <v>1.75</v>
      </c>
      <c r="ER135" s="173">
        <f t="shared" si="419"/>
        <v>2.7734374999999999E-2</v>
      </c>
      <c r="ES135" s="528"/>
      <c r="EU135" s="460">
        <f t="shared" si="420"/>
        <v>1777.734375</v>
      </c>
      <c r="EV135" s="528">
        <f t="shared" si="421"/>
        <v>0.41315789473684217</v>
      </c>
      <c r="EW135" s="528">
        <f t="shared" si="422"/>
        <v>0.58684210526315783</v>
      </c>
      <c r="EX135" s="528">
        <f t="shared" si="423"/>
        <v>5.9321065447162714E-5</v>
      </c>
      <c r="EY135" s="528">
        <f t="shared" si="424"/>
        <v>0.54725662917055806</v>
      </c>
      <c r="EZ135" s="528"/>
      <c r="FA135" s="625">
        <f t="shared" si="425"/>
        <v>6.5416666666666679E-3</v>
      </c>
      <c r="FB135" s="460">
        <f t="shared" si="426"/>
        <v>1553.8576169026719</v>
      </c>
      <c r="FC135" s="173">
        <f t="shared" si="427"/>
        <v>4.0856260938105677</v>
      </c>
      <c r="FD135" s="5">
        <f t="shared" si="428"/>
        <v>38</v>
      </c>
      <c r="FE135" s="173">
        <f t="shared" si="429"/>
        <v>0.90292110459035246</v>
      </c>
      <c r="FF135" s="5">
        <f t="shared" si="430"/>
        <v>90.292110459035243</v>
      </c>
      <c r="FG135">
        <f t="shared" si="431"/>
        <v>25</v>
      </c>
      <c r="FI135" s="562">
        <f t="shared" si="432"/>
        <v>-50</v>
      </c>
      <c r="FJ135">
        <f t="shared" si="433"/>
        <v>-50</v>
      </c>
    </row>
    <row r="136" spans="5:166">
      <c r="E136" s="170">
        <v>26</v>
      </c>
      <c r="F136" s="217">
        <f t="shared" si="434"/>
        <v>2.6</v>
      </c>
      <c r="G136" s="217">
        <f t="shared" si="313"/>
        <v>6.5000000000000002E-2</v>
      </c>
      <c r="H136" s="217">
        <f t="shared" si="314"/>
        <v>39</v>
      </c>
      <c r="I136" s="217">
        <f t="shared" si="315"/>
        <v>0.52</v>
      </c>
      <c r="J136" s="541">
        <f t="shared" si="316"/>
        <v>18.723315016620045</v>
      </c>
      <c r="K136" s="443">
        <f t="shared" si="317"/>
        <v>15.848559966660831</v>
      </c>
      <c r="L136" s="172">
        <f t="shared" si="318"/>
        <v>34.571874983280878</v>
      </c>
      <c r="M136" s="443"/>
      <c r="N136" s="217">
        <f t="shared" si="319"/>
        <v>0.4584235010199843</v>
      </c>
      <c r="O136" s="172">
        <f t="shared" si="320"/>
        <v>211.75676695606103</v>
      </c>
      <c r="P136" s="172">
        <f t="shared" si="321"/>
        <v>2.8610692068730028</v>
      </c>
      <c r="Q136" s="217">
        <f t="shared" si="322"/>
        <v>14.117117797070735</v>
      </c>
      <c r="R136" s="217">
        <f t="shared" si="323"/>
        <v>26.469595869507629</v>
      </c>
      <c r="S136" s="217">
        <f t="shared" si="324"/>
        <v>15</v>
      </c>
      <c r="T136" s="217">
        <f t="shared" si="325"/>
        <v>9.2086785609293891</v>
      </c>
      <c r="U136" s="217">
        <f t="shared" si="326"/>
        <v>5.9019539346030303</v>
      </c>
      <c r="V136" s="217">
        <f t="shared" si="327"/>
        <v>6.9725036825812667</v>
      </c>
      <c r="W136" s="197">
        <f t="shared" si="328"/>
        <v>71.526730171825065</v>
      </c>
      <c r="X136" s="443">
        <f t="shared" si="435"/>
        <v>76.485008348312576</v>
      </c>
      <c r="Z136" s="217">
        <f t="shared" si="329"/>
        <v>10</v>
      </c>
      <c r="AA136" s="173">
        <f t="shared" si="330"/>
        <v>7.5716658328853255</v>
      </c>
      <c r="AB136" s="173">
        <f t="shared" si="331"/>
        <v>2.6722524620724464</v>
      </c>
      <c r="AC136" s="173"/>
      <c r="AD136" s="173">
        <f t="shared" si="332"/>
        <v>7.5716658328853255</v>
      </c>
      <c r="AE136" s="545">
        <f t="shared" si="333"/>
        <v>68.677093188863594</v>
      </c>
      <c r="AF136" s="528">
        <f t="shared" si="334"/>
        <v>2.7078824949000788</v>
      </c>
      <c r="AH136" s="173">
        <f t="shared" si="335"/>
        <v>4.3380926245353058</v>
      </c>
      <c r="AI136" s="173">
        <f t="shared" si="336"/>
        <v>10</v>
      </c>
      <c r="AJ136" s="173">
        <f t="shared" si="337"/>
        <v>1.0392440532507792</v>
      </c>
      <c r="AL136" s="545">
        <f t="shared" si="338"/>
        <v>2600</v>
      </c>
      <c r="AM136" s="460">
        <f t="shared" si="339"/>
        <v>68.677093188863594</v>
      </c>
      <c r="AO136" s="460">
        <f t="shared" si="340"/>
        <v>2600</v>
      </c>
      <c r="AP136" s="460">
        <f t="shared" si="341"/>
        <v>68.677093188863594</v>
      </c>
      <c r="AR136" s="5">
        <f t="shared" si="443"/>
        <v>14.560895832471779</v>
      </c>
      <c r="AS136" s="5">
        <f t="shared" si="440"/>
        <v>6.4091214559750833</v>
      </c>
      <c r="AT136" s="5">
        <f t="shared" si="441"/>
        <v>8.1517743764966966</v>
      </c>
      <c r="AU136" s="173">
        <f t="shared" si="442"/>
        <v>0.44015983149074595</v>
      </c>
      <c r="AW136" s="5">
        <f t="shared" si="342"/>
        <v>111.09143857023477</v>
      </c>
      <c r="AX136" s="5">
        <f t="shared" si="343"/>
        <v>5.2074111829797562</v>
      </c>
      <c r="AY136" s="5">
        <f t="shared" si="344"/>
        <v>4.7166267832551911</v>
      </c>
      <c r="AZ136" s="5"/>
      <c r="BA136" s="173">
        <f t="shared" si="345"/>
        <v>3.8304039451505458</v>
      </c>
      <c r="BB136" s="173">
        <f t="shared" si="346"/>
        <v>4.3198771915771479</v>
      </c>
      <c r="BC136" s="173">
        <f t="shared" si="347"/>
        <v>0.10638756377688036</v>
      </c>
      <c r="BD136" s="173"/>
      <c r="BE136" s="528">
        <f t="shared" si="348"/>
        <v>0.29343988766049728</v>
      </c>
      <c r="BF136" s="528">
        <f t="shared" si="349"/>
        <v>0.44518047748884804</v>
      </c>
      <c r="BG136" s="528">
        <f t="shared" si="350"/>
        <v>3.21465712550216E-2</v>
      </c>
      <c r="BH136" s="528">
        <f t="shared" si="351"/>
        <v>8.2083860334622623E-3</v>
      </c>
      <c r="BI136">
        <f t="shared" si="352"/>
        <v>8.4254917574790207E-3</v>
      </c>
      <c r="BJ136" s="460">
        <f t="shared" si="436"/>
        <v>40.572063012500614</v>
      </c>
      <c r="BK136">
        <f t="shared" si="353"/>
        <v>0.88796780601362546</v>
      </c>
      <c r="BL136" s="460">
        <f t="shared" si="437"/>
        <v>787.40081419530816</v>
      </c>
      <c r="BM136" s="173">
        <f t="shared" si="354"/>
        <v>1.6152499999999999</v>
      </c>
      <c r="BN136" s="173">
        <f t="shared" si="355"/>
        <v>4.0381249999999994E-2</v>
      </c>
      <c r="BO136" s="528"/>
      <c r="BQ136" s="460">
        <f t="shared" si="356"/>
        <v>1655.6312499999999</v>
      </c>
      <c r="BR136" s="528">
        <f t="shared" si="357"/>
        <v>0.44015983149074595</v>
      </c>
      <c r="BS136" s="528">
        <f t="shared" si="358"/>
        <v>0.55984016850925389</v>
      </c>
      <c r="BT136" s="528">
        <f t="shared" si="359"/>
        <v>5.6591568631898926E-5</v>
      </c>
      <c r="BU136" s="528">
        <f t="shared" si="360"/>
        <v>0.61801606843653378</v>
      </c>
      <c r="BV136" s="528"/>
      <c r="BW136" s="625">
        <f t="shared" si="361"/>
        <v>6.8677093188863605E-3</v>
      </c>
      <c r="BX136" s="460">
        <f t="shared" si="362"/>
        <v>1624.9403693240515</v>
      </c>
      <c r="BY136" s="173">
        <f t="shared" si="363"/>
        <v>4.0679724335193592</v>
      </c>
      <c r="BZ136" s="5">
        <f t="shared" si="364"/>
        <v>39.520000000000003</v>
      </c>
      <c r="CA136" s="173">
        <f t="shared" si="365"/>
        <v>0.90667213438927785</v>
      </c>
      <c r="CB136" s="5">
        <f t="shared" si="366"/>
        <v>90.667213438927789</v>
      </c>
      <c r="CC136">
        <f t="shared" si="367"/>
        <v>26</v>
      </c>
      <c r="CE136" s="562">
        <f t="shared" si="368"/>
        <v>-50</v>
      </c>
      <c r="CF136">
        <f t="shared" si="369"/>
        <v>-50</v>
      </c>
      <c r="CG136" s="173">
        <f t="shared" si="370"/>
        <v>0.52504050554936466</v>
      </c>
      <c r="CH136" s="173">
        <f t="shared" si="371"/>
        <v>6.0496881006089638E-2</v>
      </c>
      <c r="CI136" s="170">
        <v>26</v>
      </c>
      <c r="CJ136" s="217">
        <f t="shared" si="438"/>
        <v>2.6</v>
      </c>
      <c r="CK136" s="217">
        <f t="shared" si="372"/>
        <v>6.5000000000000002E-2</v>
      </c>
      <c r="CL136" s="217">
        <f t="shared" si="373"/>
        <v>39</v>
      </c>
      <c r="CM136" s="217">
        <f t="shared" si="374"/>
        <v>0.52</v>
      </c>
      <c r="CN136" s="541">
        <f t="shared" si="375"/>
        <v>19</v>
      </c>
      <c r="CO136" s="443">
        <f t="shared" si="376"/>
        <v>15.7</v>
      </c>
      <c r="CP136" s="443">
        <f t="shared" si="377"/>
        <v>34.700000000000003</v>
      </c>
      <c r="CQ136" s="443"/>
      <c r="CR136" s="217">
        <f t="shared" si="378"/>
        <v>0.44767441860465118</v>
      </c>
      <c r="CS136" s="172">
        <f t="shared" si="379"/>
        <v>209.84738372093025</v>
      </c>
      <c r="CT136" s="172">
        <f t="shared" si="380"/>
        <v>2.835271317829458</v>
      </c>
      <c r="CU136" s="217">
        <f t="shared" si="381"/>
        <v>13.989825581395349</v>
      </c>
      <c r="CV136" s="217">
        <f t="shared" si="382"/>
        <v>26.230922965116282</v>
      </c>
      <c r="CW136" s="217">
        <f t="shared" si="383"/>
        <v>15</v>
      </c>
      <c r="CX136" s="217">
        <f t="shared" si="384"/>
        <v>9.2924675324675334</v>
      </c>
      <c r="CY136" s="217">
        <f t="shared" si="385"/>
        <v>5.8689268626110742</v>
      </c>
      <c r="CZ136" s="217">
        <f t="shared" si="386"/>
        <v>7.1025229547522555</v>
      </c>
      <c r="DA136" s="197">
        <f t="shared" si="387"/>
        <v>71.63784822286263</v>
      </c>
      <c r="DB136" s="443">
        <f t="shared" si="388"/>
        <v>77.092384743409298</v>
      </c>
      <c r="DD136" s="217">
        <f t="shared" si="389"/>
        <v>10.000000000000002</v>
      </c>
      <c r="DE136" s="173">
        <f t="shared" si="390"/>
        <v>7.6433121019108299</v>
      </c>
      <c r="DF136" s="173">
        <f t="shared" si="391"/>
        <v>2.7017291066282429</v>
      </c>
      <c r="DG136" s="173"/>
      <c r="DH136" s="173">
        <f t="shared" si="392"/>
        <v>7.6433121019108281</v>
      </c>
      <c r="DI136" s="545">
        <f t="shared" si="393"/>
        <v>68.033333333333346</v>
      </c>
      <c r="DJ136" s="528">
        <f t="shared" si="394"/>
        <v>2.7377521613832849</v>
      </c>
      <c r="DL136" s="173">
        <f t="shared" si="395"/>
        <v>4.3380926245353058</v>
      </c>
      <c r="DM136" s="173">
        <f t="shared" si="396"/>
        <v>10</v>
      </c>
      <c r="DN136" s="173">
        <f t="shared" si="397"/>
        <v>1.0388761904761905</v>
      </c>
      <c r="DP136" s="545">
        <f t="shared" si="398"/>
        <v>2600</v>
      </c>
      <c r="DQ136" s="460">
        <f t="shared" si="399"/>
        <v>68.033333333333346</v>
      </c>
      <c r="DS136" s="460">
        <f t="shared" si="400"/>
        <v>2600</v>
      </c>
      <c r="DT136" s="460">
        <f t="shared" si="401"/>
        <v>68.033333333333346</v>
      </c>
      <c r="DV136" s="5">
        <f t="shared" si="402"/>
        <v>14.698677119059282</v>
      </c>
      <c r="DW136" s="5">
        <f t="shared" si="403"/>
        <v>6.3157894736842106</v>
      </c>
      <c r="DX136" s="5">
        <f t="shared" si="404"/>
        <v>8.3828876453750709</v>
      </c>
      <c r="DY136" s="173">
        <f t="shared" si="405"/>
        <v>0.42968421052631589</v>
      </c>
      <c r="EA136" s="5">
        <f t="shared" si="406"/>
        <v>109.47368421052632</v>
      </c>
      <c r="EB136" s="5">
        <f t="shared" si="407"/>
        <v>5.1315789473684212</v>
      </c>
      <c r="EC136" s="5">
        <f t="shared" si="408"/>
        <v>4.7797166399068391</v>
      </c>
      <c r="ED136" s="5"/>
      <c r="EE136" s="173">
        <f t="shared" si="409"/>
        <v>3.784548456228809</v>
      </c>
      <c r="EF136" s="173">
        <f t="shared" si="410"/>
        <v>4.360106227580868</v>
      </c>
      <c r="EG136" s="173">
        <f t="shared" si="411"/>
        <v>0.10737830238905041</v>
      </c>
      <c r="EH136" s="173"/>
      <c r="EI136" s="528">
        <f t="shared" si="412"/>
        <v>0.28645614035087724</v>
      </c>
      <c r="EJ136" s="528">
        <f t="shared" si="413"/>
        <v>0.47215133333333337</v>
      </c>
      <c r="EK136" s="528">
        <f t="shared" si="414"/>
        <v>8.5041666666666668E-3</v>
      </c>
      <c r="EL136" s="528">
        <f t="shared" si="415"/>
        <v>8.191825633333337E-3</v>
      </c>
      <c r="EM136">
        <f t="shared" si="416"/>
        <v>8.5500000000000003E-3</v>
      </c>
      <c r="EN136" s="460">
        <f t="shared" si="417"/>
        <v>17.054166666666667</v>
      </c>
      <c r="EP136" s="460">
        <f t="shared" si="439"/>
        <v>783.85346598421052</v>
      </c>
      <c r="EQ136" s="173">
        <f t="shared" si="418"/>
        <v>1.8199999999999998</v>
      </c>
      <c r="ER136" s="173">
        <f t="shared" si="419"/>
        <v>2.8843749999999998E-2</v>
      </c>
      <c r="ES136" s="528"/>
      <c r="EU136" s="460">
        <f t="shared" si="420"/>
        <v>1848.84375</v>
      </c>
      <c r="EV136" s="528">
        <f t="shared" si="421"/>
        <v>0.42968421052631578</v>
      </c>
      <c r="EW136" s="528">
        <f t="shared" si="422"/>
        <v>0.570315789473684</v>
      </c>
      <c r="EX136" s="528">
        <f t="shared" si="423"/>
        <v>5.765049911977175E-5</v>
      </c>
      <c r="EY136" s="528">
        <f t="shared" si="424"/>
        <v>0.60363495302802295</v>
      </c>
      <c r="EZ136" s="528"/>
      <c r="FA136" s="625">
        <f t="shared" si="425"/>
        <v>6.8033333333333348E-3</v>
      </c>
      <c r="FB136" s="460">
        <f t="shared" si="426"/>
        <v>1610.4959368604759</v>
      </c>
      <c r="FC136" s="173">
        <f t="shared" si="427"/>
        <v>4.243193152844686</v>
      </c>
      <c r="FD136" s="5">
        <f t="shared" si="428"/>
        <v>39.520000000000003</v>
      </c>
      <c r="FE136" s="173">
        <f t="shared" si="429"/>
        <v>0.90304196638428169</v>
      </c>
      <c r="FF136" s="5">
        <f t="shared" si="430"/>
        <v>90.304196638428166</v>
      </c>
      <c r="FG136">
        <f t="shared" si="431"/>
        <v>26</v>
      </c>
      <c r="FI136" s="562">
        <f t="shared" si="432"/>
        <v>-50</v>
      </c>
      <c r="FJ136">
        <f t="shared" si="433"/>
        <v>-50</v>
      </c>
    </row>
    <row r="137" spans="5:166">
      <c r="E137" s="170">
        <v>27</v>
      </c>
      <c r="F137" s="217">
        <f t="shared" si="434"/>
        <v>2.7</v>
      </c>
      <c r="G137" s="217">
        <f t="shared" si="313"/>
        <v>6.7500000000000004E-2</v>
      </c>
      <c r="H137" s="217">
        <f t="shared" si="314"/>
        <v>40.5</v>
      </c>
      <c r="I137" s="217">
        <f t="shared" si="315"/>
        <v>0.54</v>
      </c>
      <c r="J137" s="541">
        <f t="shared" si="316"/>
        <v>18.723315016620045</v>
      </c>
      <c r="K137" s="443">
        <f t="shared" si="317"/>
        <v>15.848559966660831</v>
      </c>
      <c r="L137" s="172">
        <f t="shared" si="318"/>
        <v>34.571874983280878</v>
      </c>
      <c r="M137" s="443"/>
      <c r="N137" s="217">
        <f t="shared" si="319"/>
        <v>0.4584235010199843</v>
      </c>
      <c r="O137" s="172">
        <f t="shared" si="320"/>
        <v>211.75676695606103</v>
      </c>
      <c r="P137" s="172">
        <f t="shared" si="321"/>
        <v>2.8610692068730028</v>
      </c>
      <c r="Q137" s="217">
        <f t="shared" si="322"/>
        <v>14.117117797070735</v>
      </c>
      <c r="R137" s="217">
        <f t="shared" si="323"/>
        <v>26.469595869507629</v>
      </c>
      <c r="S137" s="217">
        <f t="shared" si="324"/>
        <v>15</v>
      </c>
      <c r="T137" s="217">
        <f t="shared" si="325"/>
        <v>9.56285850558052</v>
      </c>
      <c r="U137" s="217">
        <f t="shared" si="326"/>
        <v>6.1289521628569936</v>
      </c>
      <c r="V137" s="217">
        <f t="shared" si="327"/>
        <v>7.2406769011420842</v>
      </c>
      <c r="W137" s="197">
        <f t="shared" si="328"/>
        <v>71.526730171825065</v>
      </c>
      <c r="X137" s="443">
        <f t="shared" si="435"/>
        <v>73.693982000808802</v>
      </c>
      <c r="Z137" s="217">
        <f t="shared" si="329"/>
        <v>10</v>
      </c>
      <c r="AA137" s="173">
        <f t="shared" si="330"/>
        <v>7.5716658328853255</v>
      </c>
      <c r="AB137" s="173">
        <f t="shared" si="331"/>
        <v>2.6722524620724464</v>
      </c>
      <c r="AC137" s="173"/>
      <c r="AD137" s="173">
        <f t="shared" si="332"/>
        <v>7.5716658328853255</v>
      </c>
      <c r="AE137" s="545">
        <f t="shared" si="333"/>
        <v>71.31851984997374</v>
      </c>
      <c r="AF137" s="528">
        <f t="shared" si="334"/>
        <v>2.7078824949000788</v>
      </c>
      <c r="AH137" s="173">
        <f t="shared" si="335"/>
        <v>4.4207303856780431</v>
      </c>
      <c r="AI137" s="173">
        <f t="shared" si="336"/>
        <v>10</v>
      </c>
      <c r="AJ137" s="173">
        <f t="shared" si="337"/>
        <v>1.0407534399142706</v>
      </c>
      <c r="AL137" s="545">
        <f t="shared" si="338"/>
        <v>2700</v>
      </c>
      <c r="AM137" s="460">
        <f t="shared" si="339"/>
        <v>71.31851984997374</v>
      </c>
      <c r="AO137" s="460">
        <f t="shared" si="340"/>
        <v>2700</v>
      </c>
      <c r="AP137" s="460">
        <f t="shared" si="341"/>
        <v>71.31851984997374</v>
      </c>
      <c r="AR137" s="5">
        <f t="shared" si="443"/>
        <v>14.021603394232084</v>
      </c>
      <c r="AS137" s="5">
        <f t="shared" si="440"/>
        <v>6.4091214559750833</v>
      </c>
      <c r="AT137" s="5">
        <f t="shared" si="441"/>
        <v>7.6124819382570008</v>
      </c>
      <c r="AU137" s="173">
        <f t="shared" si="442"/>
        <v>0.45708905577885156</v>
      </c>
      <c r="AW137" s="5">
        <f t="shared" si="342"/>
        <v>115.3641862075515</v>
      </c>
      <c r="AX137" s="5">
        <f t="shared" si="343"/>
        <v>5.4076962284789767</v>
      </c>
      <c r="AY137" s="5">
        <f t="shared" si="344"/>
        <v>4.5739988740974118</v>
      </c>
      <c r="AZ137" s="5"/>
      <c r="BA137" s="173">
        <f t="shared" si="345"/>
        <v>3.9033705767317368</v>
      </c>
      <c r="BB137" s="173">
        <f t="shared" si="346"/>
        <v>4.2540605865500174</v>
      </c>
      <c r="BC137" s="173">
        <f t="shared" si="347"/>
        <v>0.10476666856287888</v>
      </c>
      <c r="BD137" s="173"/>
      <c r="BE137" s="528">
        <f t="shared" si="348"/>
        <v>0.30472603718590102</v>
      </c>
      <c r="BF137" s="528">
        <f t="shared" si="349"/>
        <v>0.46230280354611147</v>
      </c>
      <c r="BG137" s="528">
        <f t="shared" si="350"/>
        <v>3.3382977841753203E-2</v>
      </c>
      <c r="BH137" s="528">
        <f t="shared" si="351"/>
        <v>8.5240931885954274E-3</v>
      </c>
      <c r="BI137">
        <f t="shared" si="352"/>
        <v>8.4254917574790207E-3</v>
      </c>
      <c r="BJ137" s="460">
        <f t="shared" si="436"/>
        <v>41.808469599232218</v>
      </c>
      <c r="BK137">
        <f t="shared" si="353"/>
        <v>0.92478617053906531</v>
      </c>
      <c r="BL137" s="460">
        <f t="shared" si="437"/>
        <v>817.36140351984011</v>
      </c>
      <c r="BM137" s="173">
        <f t="shared" si="354"/>
        <v>1.6773749999999998</v>
      </c>
      <c r="BN137" s="173">
        <f t="shared" si="355"/>
        <v>4.1934374999999996E-2</v>
      </c>
      <c r="BO137" s="528"/>
      <c r="BQ137" s="460">
        <f t="shared" si="356"/>
        <v>1719.3093749999998</v>
      </c>
      <c r="BR137" s="528">
        <f t="shared" si="357"/>
        <v>0.45708905577885156</v>
      </c>
      <c r="BS137" s="528">
        <f t="shared" si="358"/>
        <v>0.54291094422114827</v>
      </c>
      <c r="BT137" s="528">
        <f t="shared" si="359"/>
        <v>5.4880274208820563E-5</v>
      </c>
      <c r="BU137" s="528">
        <f t="shared" si="360"/>
        <v>0.67916579824142853</v>
      </c>
      <c r="BV137" s="528"/>
      <c r="BW137" s="625">
        <f t="shared" si="361"/>
        <v>7.1318519849973743E-3</v>
      </c>
      <c r="BX137" s="460">
        <f t="shared" si="362"/>
        <v>1686.3525305006347</v>
      </c>
      <c r="BY137" s="173">
        <f t="shared" si="363"/>
        <v>4.2230233090204745</v>
      </c>
      <c r="BZ137" s="5">
        <f t="shared" si="364"/>
        <v>41.04</v>
      </c>
      <c r="CA137" s="173">
        <f t="shared" si="365"/>
        <v>0.90670037040634732</v>
      </c>
      <c r="CB137" s="5">
        <f t="shared" si="366"/>
        <v>90.670037040634739</v>
      </c>
      <c r="CC137">
        <f t="shared" si="367"/>
        <v>27</v>
      </c>
      <c r="CE137" s="562">
        <f t="shared" si="368"/>
        <v>-50</v>
      </c>
      <c r="CF137">
        <f t="shared" si="369"/>
        <v>-50</v>
      </c>
      <c r="CG137" s="173">
        <f t="shared" si="370"/>
        <v>0.54523437114741724</v>
      </c>
      <c r="CH137" s="173">
        <f t="shared" si="371"/>
        <v>6.2823684121708467E-2</v>
      </c>
      <c r="CI137" s="170">
        <v>27</v>
      </c>
      <c r="CJ137" s="217">
        <f t="shared" si="438"/>
        <v>2.7</v>
      </c>
      <c r="CK137" s="217">
        <f t="shared" si="372"/>
        <v>6.7500000000000004E-2</v>
      </c>
      <c r="CL137" s="217">
        <f t="shared" si="373"/>
        <v>40.5</v>
      </c>
      <c r="CM137" s="217">
        <f t="shared" si="374"/>
        <v>0.54</v>
      </c>
      <c r="CN137" s="541">
        <f t="shared" si="375"/>
        <v>19</v>
      </c>
      <c r="CO137" s="443">
        <f t="shared" si="376"/>
        <v>15.7</v>
      </c>
      <c r="CP137" s="443">
        <f t="shared" si="377"/>
        <v>34.700000000000003</v>
      </c>
      <c r="CQ137" s="443"/>
      <c r="CR137" s="217">
        <f t="shared" si="378"/>
        <v>0.44767441860465118</v>
      </c>
      <c r="CS137" s="172">
        <f t="shared" si="379"/>
        <v>209.84738372093025</v>
      </c>
      <c r="CT137" s="172">
        <f t="shared" si="380"/>
        <v>2.835271317829458</v>
      </c>
      <c r="CU137" s="217">
        <f t="shared" si="381"/>
        <v>13.989825581395349</v>
      </c>
      <c r="CV137" s="217">
        <f t="shared" si="382"/>
        <v>26.230922965116282</v>
      </c>
      <c r="CW137" s="217">
        <f t="shared" si="383"/>
        <v>15</v>
      </c>
      <c r="CX137" s="217">
        <f t="shared" si="384"/>
        <v>9.6498701298701288</v>
      </c>
      <c r="CY137" s="217">
        <f t="shared" si="385"/>
        <v>6.0946548188653447</v>
      </c>
      <c r="CZ137" s="217">
        <f t="shared" si="386"/>
        <v>7.3756969145504172</v>
      </c>
      <c r="DA137" s="197">
        <f t="shared" si="387"/>
        <v>71.63784822286263</v>
      </c>
      <c r="DB137" s="443">
        <f t="shared" si="388"/>
        <v>74.237111234394149</v>
      </c>
      <c r="DD137" s="217">
        <f t="shared" si="389"/>
        <v>10.000000000000002</v>
      </c>
      <c r="DE137" s="173">
        <f t="shared" si="390"/>
        <v>7.6433121019108299</v>
      </c>
      <c r="DF137" s="173">
        <f t="shared" si="391"/>
        <v>2.7017291066282429</v>
      </c>
      <c r="DG137" s="173"/>
      <c r="DH137" s="173">
        <f t="shared" si="392"/>
        <v>7.6433121019108281</v>
      </c>
      <c r="DI137" s="545">
        <f t="shared" si="393"/>
        <v>70.65000000000002</v>
      </c>
      <c r="DJ137" s="528">
        <f t="shared" si="394"/>
        <v>2.7377521613832849</v>
      </c>
      <c r="DL137" s="173">
        <f t="shared" si="395"/>
        <v>4.4207303856780431</v>
      </c>
      <c r="DM137" s="173">
        <f t="shared" si="396"/>
        <v>10</v>
      </c>
      <c r="DN137" s="173">
        <f t="shared" si="397"/>
        <v>1.0403714285714285</v>
      </c>
      <c r="DP137" s="545">
        <f t="shared" si="398"/>
        <v>2700</v>
      </c>
      <c r="DQ137" s="460">
        <f t="shared" si="399"/>
        <v>70.65000000000002</v>
      </c>
      <c r="DS137" s="460">
        <f t="shared" si="400"/>
        <v>2700</v>
      </c>
      <c r="DT137" s="460">
        <f t="shared" si="401"/>
        <v>70.65000000000002</v>
      </c>
      <c r="DV137" s="5">
        <f t="shared" si="402"/>
        <v>14.154281670205233</v>
      </c>
      <c r="DW137" s="5">
        <f t="shared" si="403"/>
        <v>6.3157894736842106</v>
      </c>
      <c r="DX137" s="5">
        <f t="shared" si="404"/>
        <v>7.8384921965210221</v>
      </c>
      <c r="DY137" s="173">
        <f t="shared" si="405"/>
        <v>0.44621052631578961</v>
      </c>
      <c r="EA137" s="5">
        <f t="shared" si="406"/>
        <v>113.68421052631581</v>
      </c>
      <c r="EB137" s="5">
        <f t="shared" si="407"/>
        <v>5.3289473684210531</v>
      </c>
      <c r="EC137" s="5">
        <f t="shared" si="408"/>
        <v>4.6412124847821845</v>
      </c>
      <c r="ED137" s="5"/>
      <c r="EE137" s="173">
        <f t="shared" si="409"/>
        <v>3.8566415714357385</v>
      </c>
      <c r="EF137" s="173">
        <f t="shared" si="410"/>
        <v>4.2964693787814916</v>
      </c>
      <c r="EG137" s="173">
        <f t="shared" si="411"/>
        <v>0.10581108901469713</v>
      </c>
      <c r="EH137" s="173"/>
      <c r="EI137" s="528">
        <f t="shared" si="412"/>
        <v>0.29747368421052645</v>
      </c>
      <c r="EJ137" s="528">
        <f t="shared" si="413"/>
        <v>0.49031100000000016</v>
      </c>
      <c r="EK137" s="528">
        <f t="shared" si="414"/>
        <v>8.8312500000000023E-3</v>
      </c>
      <c r="EL137" s="528">
        <f t="shared" si="415"/>
        <v>8.5068958500000048E-3</v>
      </c>
      <c r="EM137">
        <f t="shared" si="416"/>
        <v>8.5500000000000003E-3</v>
      </c>
      <c r="EN137" s="460">
        <f t="shared" si="417"/>
        <v>17.381250000000001</v>
      </c>
      <c r="EP137" s="460">
        <f t="shared" si="439"/>
        <v>813.67283006052651</v>
      </c>
      <c r="EQ137" s="173">
        <f t="shared" si="418"/>
        <v>1.89</v>
      </c>
      <c r="ER137" s="173">
        <f t="shared" si="419"/>
        <v>2.9953125000000001E-2</v>
      </c>
      <c r="ES137" s="528"/>
      <c r="EU137" s="460">
        <f t="shared" si="420"/>
        <v>1919.953125</v>
      </c>
      <c r="EV137" s="528">
        <f t="shared" si="421"/>
        <v>0.44621052631578967</v>
      </c>
      <c r="EW137" s="528">
        <f t="shared" si="422"/>
        <v>0.55378947368421039</v>
      </c>
      <c r="EX137" s="528">
        <f t="shared" si="423"/>
        <v>5.5979932792380799E-5</v>
      </c>
      <c r="EY137" s="528">
        <f t="shared" si="424"/>
        <v>0.66336174034575923</v>
      </c>
      <c r="EZ137" s="528"/>
      <c r="FA137" s="625">
        <f t="shared" si="425"/>
        <v>7.0650000000000027E-3</v>
      </c>
      <c r="FB137" s="460">
        <f t="shared" si="426"/>
        <v>1670.4827202785518</v>
      </c>
      <c r="FC137" s="173">
        <f t="shared" si="427"/>
        <v>4.4041086753390779</v>
      </c>
      <c r="FD137" s="5">
        <f t="shared" si="428"/>
        <v>41.04</v>
      </c>
      <c r="FE137" s="173">
        <f t="shared" si="429"/>
        <v>0.9030873571137058</v>
      </c>
      <c r="FF137" s="5">
        <f t="shared" si="430"/>
        <v>90.308735711370574</v>
      </c>
      <c r="FG137">
        <f t="shared" si="431"/>
        <v>27</v>
      </c>
      <c r="FI137" s="562">
        <f t="shared" si="432"/>
        <v>-50</v>
      </c>
      <c r="FJ137">
        <f t="shared" si="433"/>
        <v>-50</v>
      </c>
    </row>
    <row r="138" spans="5:166">
      <c r="E138" s="170">
        <v>28</v>
      </c>
      <c r="F138" s="217">
        <f t="shared" si="434"/>
        <v>2.8000000000000003</v>
      </c>
      <c r="G138" s="217">
        <f t="shared" si="313"/>
        <v>7.0000000000000007E-2</v>
      </c>
      <c r="H138" s="217">
        <f t="shared" si="314"/>
        <v>42.000000000000007</v>
      </c>
      <c r="I138" s="217">
        <f t="shared" si="315"/>
        <v>0.56000000000000005</v>
      </c>
      <c r="J138" s="541">
        <f t="shared" si="316"/>
        <v>18.714891263986441</v>
      </c>
      <c r="K138" s="443">
        <f t="shared" si="317"/>
        <v>15.853410526315789</v>
      </c>
      <c r="L138" s="172">
        <f t="shared" si="318"/>
        <v>34.568301790302229</v>
      </c>
      <c r="M138" s="443"/>
      <c r="N138" s="217">
        <f t="shared" si="319"/>
        <v>0.458611204637287</v>
      </c>
      <c r="O138" s="172">
        <f t="shared" si="320"/>
        <v>211.74816185606895</v>
      </c>
      <c r="P138" s="172">
        <f t="shared" si="321"/>
        <v>2.8609529424108873</v>
      </c>
      <c r="Q138" s="217">
        <f t="shared" si="322"/>
        <v>14.116544123737929</v>
      </c>
      <c r="R138" s="217">
        <f t="shared" si="323"/>
        <v>26.468520232008618</v>
      </c>
      <c r="S138" s="217">
        <f t="shared" si="324"/>
        <v>15</v>
      </c>
      <c r="T138" s="217">
        <f t="shared" si="325"/>
        <v>9.917441462502179</v>
      </c>
      <c r="U138" s="217">
        <f t="shared" si="326"/>
        <v>6.3590696772595674</v>
      </c>
      <c r="V138" s="217">
        <f t="shared" si="327"/>
        <v>7.5068577422175027</v>
      </c>
      <c r="W138" s="197">
        <f t="shared" si="328"/>
        <v>71.523823560272163</v>
      </c>
      <c r="X138" s="443">
        <f t="shared" si="435"/>
        <v>71.093783593344966</v>
      </c>
      <c r="Z138" s="217">
        <f t="shared" si="329"/>
        <v>10</v>
      </c>
      <c r="AA138" s="173">
        <f t="shared" si="330"/>
        <v>7.5693491820455039</v>
      </c>
      <c r="AB138" s="173">
        <f t="shared" si="331"/>
        <v>2.6713262929081236</v>
      </c>
      <c r="AC138" s="173"/>
      <c r="AD138" s="173">
        <f t="shared" si="332"/>
        <v>7.5693491820455039</v>
      </c>
      <c r="AE138" s="545">
        <f t="shared" si="333"/>
        <v>73.982582456140364</v>
      </c>
      <c r="AF138" s="528">
        <f t="shared" si="334"/>
        <v>2.706943976813565</v>
      </c>
      <c r="AH138" s="173">
        <f t="shared" si="335"/>
        <v>4.5018514709691022</v>
      </c>
      <c r="AI138" s="173">
        <f t="shared" si="336"/>
        <v>10</v>
      </c>
      <c r="AJ138" s="173">
        <f t="shared" si="337"/>
        <v>1.2</v>
      </c>
      <c r="AL138" s="545">
        <f t="shared" si="338"/>
        <v>2800.0000000000005</v>
      </c>
      <c r="AM138" s="460">
        <f t="shared" si="339"/>
        <v>71.093783593344966</v>
      </c>
      <c r="AO138" s="460">
        <f t="shared" si="340"/>
        <v>2800.0000000000005</v>
      </c>
      <c r="AP138" s="460">
        <f t="shared" si="341"/>
        <v>71.093783593344966</v>
      </c>
      <c r="AR138" s="5">
        <f t="shared" si="443"/>
        <v>14.06592741947707</v>
      </c>
      <c r="AS138" s="5">
        <f t="shared" si="440"/>
        <v>6.4120062632113264</v>
      </c>
      <c r="AT138" s="5">
        <f t="shared" si="441"/>
        <v>7.6539211562657439</v>
      </c>
      <c r="AU138" s="173">
        <f t="shared" si="442"/>
        <v>0.45585378567591855</v>
      </c>
      <c r="AW138" s="5">
        <f t="shared" si="342"/>
        <v>119.69078357994476</v>
      </c>
      <c r="AX138" s="5">
        <f t="shared" si="343"/>
        <v>5.6105054803099108</v>
      </c>
      <c r="AY138" s="5">
        <f t="shared" si="344"/>
        <v>4.7713740658987707</v>
      </c>
      <c r="AZ138" s="5"/>
      <c r="BA138" s="173">
        <f t="shared" si="345"/>
        <v>3.8980926347634797</v>
      </c>
      <c r="BB138" s="173">
        <f t="shared" si="346"/>
        <v>4.258897409440153</v>
      </c>
      <c r="BC138" s="173">
        <f t="shared" si="347"/>
        <v>0.10488578718150653</v>
      </c>
      <c r="BD138" s="173"/>
      <c r="BE138" s="528">
        <f t="shared" si="348"/>
        <v>0.30390252378394578</v>
      </c>
      <c r="BF138" s="528">
        <f t="shared" si="349"/>
        <v>0.4607983812504724</v>
      </c>
      <c r="BG138" s="528">
        <f t="shared" si="350"/>
        <v>3.3262810737370856E-2</v>
      </c>
      <c r="BH138" s="528">
        <f t="shared" si="351"/>
        <v>8.4954760040261736E-3</v>
      </c>
      <c r="BI138">
        <f t="shared" si="352"/>
        <v>8.4217010687938978E-3</v>
      </c>
      <c r="BJ138" s="460">
        <f t="shared" si="436"/>
        <v>41.684511806164757</v>
      </c>
      <c r="BK138">
        <f t="shared" si="353"/>
        <v>0.92181152840474612</v>
      </c>
      <c r="BL138" s="460">
        <f t="shared" si="437"/>
        <v>814.88089284460921</v>
      </c>
      <c r="BM138" s="173">
        <f t="shared" si="354"/>
        <v>1.7394999999999998</v>
      </c>
      <c r="BN138" s="173">
        <f t="shared" si="355"/>
        <v>4.3487499999999998E-2</v>
      </c>
      <c r="BO138" s="528"/>
      <c r="BQ138" s="460">
        <f t="shared" si="356"/>
        <v>1782.9874999999997</v>
      </c>
      <c r="BR138" s="528">
        <f t="shared" si="357"/>
        <v>0.45585378567591861</v>
      </c>
      <c r="BS138" s="528">
        <f t="shared" si="358"/>
        <v>0.54414621432408139</v>
      </c>
      <c r="BT138" s="528">
        <f t="shared" si="359"/>
        <v>5.5005141763421395E-5</v>
      </c>
      <c r="BU138" s="528">
        <f t="shared" si="360"/>
        <v>0.67382803183819329</v>
      </c>
      <c r="BV138" s="528"/>
      <c r="BW138" s="625">
        <f t="shared" si="361"/>
        <v>7.1093783593344975E-3</v>
      </c>
      <c r="BX138" s="460">
        <f t="shared" si="362"/>
        <v>1680.9924153392913</v>
      </c>
      <c r="BY138" s="173">
        <f t="shared" si="363"/>
        <v>4.278860808183901</v>
      </c>
      <c r="BZ138" s="5">
        <f t="shared" si="364"/>
        <v>42.560000000000009</v>
      </c>
      <c r="CA138" s="173">
        <f t="shared" si="365"/>
        <v>0.90864720588088521</v>
      </c>
      <c r="CB138" s="5">
        <f t="shared" si="366"/>
        <v>90.864720588088517</v>
      </c>
      <c r="CC138">
        <f t="shared" si="367"/>
        <v>28.000000000000004</v>
      </c>
      <c r="CE138" s="562">
        <f t="shared" si="368"/>
        <v>-50</v>
      </c>
      <c r="CF138">
        <f t="shared" si="369"/>
        <v>-50</v>
      </c>
      <c r="CG138" s="173">
        <f t="shared" si="370"/>
        <v>0.54755043227665712</v>
      </c>
      <c r="CH138" s="173">
        <f t="shared" si="371"/>
        <v>6.4398811101315845E-2</v>
      </c>
      <c r="CI138" s="170">
        <v>28</v>
      </c>
      <c r="CJ138" s="217">
        <f t="shared" si="438"/>
        <v>2.8000000000000003</v>
      </c>
      <c r="CK138" s="217">
        <f t="shared" si="372"/>
        <v>7.0000000000000007E-2</v>
      </c>
      <c r="CL138" s="217">
        <f t="shared" si="373"/>
        <v>42.000000000000007</v>
      </c>
      <c r="CM138" s="217">
        <f t="shared" si="374"/>
        <v>0.56000000000000005</v>
      </c>
      <c r="CN138" s="541">
        <f t="shared" si="375"/>
        <v>19</v>
      </c>
      <c r="CO138" s="443">
        <f t="shared" si="376"/>
        <v>15.7</v>
      </c>
      <c r="CP138" s="443">
        <f t="shared" si="377"/>
        <v>34.700000000000003</v>
      </c>
      <c r="CQ138" s="443"/>
      <c r="CR138" s="217">
        <f t="shared" si="378"/>
        <v>0.44767441860465118</v>
      </c>
      <c r="CS138" s="172">
        <f t="shared" si="379"/>
        <v>209.84738372093025</v>
      </c>
      <c r="CT138" s="172">
        <f t="shared" si="380"/>
        <v>2.835271317829458</v>
      </c>
      <c r="CU138" s="217">
        <f t="shared" si="381"/>
        <v>13.989825581395349</v>
      </c>
      <c r="CV138" s="217">
        <f t="shared" si="382"/>
        <v>26.230922965116282</v>
      </c>
      <c r="CW138" s="217">
        <f t="shared" si="383"/>
        <v>15</v>
      </c>
      <c r="CX138" s="217">
        <f t="shared" si="384"/>
        <v>10.00727272727273</v>
      </c>
      <c r="CY138" s="217">
        <f t="shared" si="385"/>
        <v>6.3203827751196195</v>
      </c>
      <c r="CZ138" s="217">
        <f t="shared" si="386"/>
        <v>7.6488708743485843</v>
      </c>
      <c r="DA138" s="197">
        <f t="shared" si="387"/>
        <v>71.63784822286263</v>
      </c>
      <c r="DB138" s="443">
        <f t="shared" si="388"/>
        <v>71.585785833165758</v>
      </c>
      <c r="DD138" s="217">
        <f t="shared" si="389"/>
        <v>10.000000000000002</v>
      </c>
      <c r="DE138" s="173">
        <f t="shared" si="390"/>
        <v>7.6433121019108299</v>
      </c>
      <c r="DF138" s="173">
        <f t="shared" si="391"/>
        <v>2.7017291066282429</v>
      </c>
      <c r="DG138" s="173"/>
      <c r="DH138" s="173">
        <f t="shared" si="392"/>
        <v>7.6433121019108281</v>
      </c>
      <c r="DI138" s="545">
        <f t="shared" si="393"/>
        <v>73.26666666666668</v>
      </c>
      <c r="DJ138" s="528">
        <f t="shared" si="394"/>
        <v>2.7377521613832849</v>
      </c>
      <c r="DL138" s="173">
        <f t="shared" si="395"/>
        <v>4.5018514709691022</v>
      </c>
      <c r="DM138" s="173">
        <f t="shared" si="396"/>
        <v>10.00727272727273</v>
      </c>
      <c r="DN138" s="173">
        <f t="shared" si="397"/>
        <v>1.205387205387207</v>
      </c>
      <c r="DP138" s="545">
        <f t="shared" si="398"/>
        <v>2800.0000000000005</v>
      </c>
      <c r="DQ138" s="460">
        <f t="shared" si="399"/>
        <v>71.585785833165758</v>
      </c>
      <c r="DS138" s="460">
        <f t="shared" si="400"/>
        <v>2800.0000000000005</v>
      </c>
      <c r="DT138" s="460">
        <f t="shared" si="401"/>
        <v>71.585785833165758</v>
      </c>
      <c r="DV138" s="5">
        <f t="shared" si="402"/>
        <v>13.969253649468204</v>
      </c>
      <c r="DW138" s="5">
        <f t="shared" si="403"/>
        <v>6.3203827751196195</v>
      </c>
      <c r="DX138" s="5">
        <f t="shared" si="404"/>
        <v>7.6488708743485843</v>
      </c>
      <c r="DY138" s="173">
        <f t="shared" si="405"/>
        <v>0.45244956772334294</v>
      </c>
      <c r="EA138" s="5">
        <f t="shared" si="406"/>
        <v>117.98047846889958</v>
      </c>
      <c r="EB138" s="5">
        <f t="shared" si="407"/>
        <v>5.5303349282296672</v>
      </c>
      <c r="EC138" s="5">
        <f t="shared" si="408"/>
        <v>4.6966750982842189</v>
      </c>
      <c r="ED138" s="5"/>
      <c r="EE138" s="173">
        <f t="shared" si="409"/>
        <v>3.886334672059927</v>
      </c>
      <c r="EF138" s="173">
        <f t="shared" si="410"/>
        <v>4.2753056767226658</v>
      </c>
      <c r="EG138" s="173">
        <f t="shared" si="411"/>
        <v>0.1052898809796798</v>
      </c>
      <c r="EH138" s="173"/>
      <c r="EI138" s="528">
        <f t="shared" si="412"/>
        <v>0.30207194366510282</v>
      </c>
      <c r="EJ138" s="528">
        <f t="shared" si="413"/>
        <v>0.49716666666666665</v>
      </c>
      <c r="EK138" s="528">
        <f t="shared" si="414"/>
        <v>8.9482232291457197E-3</v>
      </c>
      <c r="EL138" s="528">
        <f t="shared" si="415"/>
        <v>8.6195728863856565E-3</v>
      </c>
      <c r="EM138">
        <f t="shared" si="416"/>
        <v>8.5500000000000003E-3</v>
      </c>
      <c r="EN138" s="460">
        <f t="shared" si="417"/>
        <v>17.498223229145719</v>
      </c>
      <c r="EP138" s="460">
        <f t="shared" si="439"/>
        <v>825.35640644730074</v>
      </c>
      <c r="EQ138" s="173">
        <f t="shared" si="418"/>
        <v>1.96</v>
      </c>
      <c r="ER138" s="173">
        <f t="shared" si="419"/>
        <v>3.10625E-2</v>
      </c>
      <c r="ES138" s="528"/>
      <c r="EU138" s="460">
        <f t="shared" si="420"/>
        <v>1991.0625</v>
      </c>
      <c r="EV138" s="528">
        <f t="shared" si="421"/>
        <v>0.45310791549765417</v>
      </c>
      <c r="EW138" s="528">
        <f t="shared" si="422"/>
        <v>0.54834715888251151</v>
      </c>
      <c r="EX138" s="528">
        <f t="shared" si="423"/>
        <v>5.5429795183575684E-5</v>
      </c>
      <c r="EY138" s="528">
        <f t="shared" si="424"/>
        <v>0.6867937521027887</v>
      </c>
      <c r="EZ138" s="528"/>
      <c r="FA138" s="625">
        <f t="shared" si="425"/>
        <v>7.168994847611564E-3</v>
      </c>
      <c r="FB138" s="460">
        <f t="shared" si="426"/>
        <v>1695.4732511257494</v>
      </c>
      <c r="FC138" s="173">
        <f t="shared" si="427"/>
        <v>4.5118921575730502</v>
      </c>
      <c r="FD138" s="5">
        <f t="shared" si="428"/>
        <v>42.560000000000009</v>
      </c>
      <c r="FE138" s="173">
        <f t="shared" si="429"/>
        <v>0.90414891029938838</v>
      </c>
      <c r="FF138" s="5">
        <f t="shared" si="430"/>
        <v>90.414891029938843</v>
      </c>
      <c r="FG138">
        <f t="shared" si="431"/>
        <v>28.000000000000004</v>
      </c>
      <c r="FI138" s="562">
        <f t="shared" si="432"/>
        <v>-50</v>
      </c>
      <c r="FJ138">
        <f t="shared" si="433"/>
        <v>-50</v>
      </c>
    </row>
    <row r="139" spans="5:166">
      <c r="E139" s="170">
        <v>29</v>
      </c>
      <c r="F139" s="217">
        <f t="shared" si="434"/>
        <v>2.9</v>
      </c>
      <c r="G139" s="217">
        <f t="shared" si="313"/>
        <v>7.2499999999999995E-2</v>
      </c>
      <c r="H139" s="217">
        <f t="shared" si="314"/>
        <v>43.5</v>
      </c>
      <c r="I139" s="217">
        <f t="shared" si="315"/>
        <v>0.57999999999999996</v>
      </c>
      <c r="J139" s="541">
        <f t="shared" si="316"/>
        <v>18.704708809128814</v>
      </c>
      <c r="K139" s="443">
        <f t="shared" si="317"/>
        <v>15.85888947368421</v>
      </c>
      <c r="L139" s="172">
        <f t="shared" si="318"/>
        <v>34.563598282813025</v>
      </c>
      <c r="M139" s="443"/>
      <c r="N139" s="217">
        <f t="shared" si="319"/>
        <v>0.45883213153678348</v>
      </c>
      <c r="O139" s="172">
        <f t="shared" si="320"/>
        <v>211.73490327304498</v>
      </c>
      <c r="P139" s="172">
        <f t="shared" si="321"/>
        <v>2.8607738042224748</v>
      </c>
      <c r="Q139" s="217">
        <f t="shared" si="322"/>
        <v>14.115660218202999</v>
      </c>
      <c r="R139" s="217">
        <f t="shared" si="323"/>
        <v>26.466862909130622</v>
      </c>
      <c r="S139" s="217">
        <f t="shared" si="324"/>
        <v>15</v>
      </c>
      <c r="T139" s="217">
        <f t="shared" si="325"/>
        <v>10.272278997833462</v>
      </c>
      <c r="U139" s="217">
        <f t="shared" si="326"/>
        <v>6.5901773308462852</v>
      </c>
      <c r="V139" s="217">
        <f t="shared" si="327"/>
        <v>7.7727603927467852</v>
      </c>
      <c r="W139" s="197">
        <f t="shared" si="328"/>
        <v>71.519345105561882</v>
      </c>
      <c r="X139" s="443">
        <f t="shared" si="435"/>
        <v>68.667463871655769</v>
      </c>
      <c r="Z139" s="217">
        <f t="shared" si="329"/>
        <v>10</v>
      </c>
      <c r="AA139" s="173">
        <f t="shared" si="330"/>
        <v>7.5667341145875691</v>
      </c>
      <c r="AB139" s="173">
        <f t="shared" si="331"/>
        <v>2.6702361930750818</v>
      </c>
      <c r="AC139" s="173"/>
      <c r="AD139" s="173">
        <f t="shared" si="332"/>
        <v>7.5667341145875691</v>
      </c>
      <c r="AE139" s="545">
        <f t="shared" si="333"/>
        <v>76.651299122807018</v>
      </c>
      <c r="AF139" s="528">
        <f t="shared" si="334"/>
        <v>2.7058393423160827</v>
      </c>
      <c r="AH139" s="173">
        <f t="shared" si="335"/>
        <v>4.5815364443029578</v>
      </c>
      <c r="AI139" s="173">
        <f t="shared" si="336"/>
        <v>10.272278997833462</v>
      </c>
      <c r="AJ139" s="173">
        <f t="shared" si="337"/>
        <v>1.4016881465433051</v>
      </c>
      <c r="AL139" s="545">
        <f t="shared" si="338"/>
        <v>2900</v>
      </c>
      <c r="AM139" s="460">
        <f t="shared" si="339"/>
        <v>68.667463871655769</v>
      </c>
      <c r="AO139" s="460">
        <f t="shared" si="340"/>
        <v>2900</v>
      </c>
      <c r="AP139" s="460">
        <f t="shared" si="341"/>
        <v>68.667463871655769</v>
      </c>
      <c r="AR139" s="5">
        <f t="shared" si="443"/>
        <v>14.56293772359307</v>
      </c>
      <c r="AS139" s="5">
        <f t="shared" si="440"/>
        <v>6.5901773308462852</v>
      </c>
      <c r="AT139" s="5">
        <f t="shared" si="441"/>
        <v>7.9727603927467845</v>
      </c>
      <c r="AU139" s="173">
        <f t="shared" si="442"/>
        <v>0.45253076377369211</v>
      </c>
      <c r="AW139" s="5">
        <f t="shared" si="342"/>
        <v>127.41009506302817</v>
      </c>
      <c r="AX139" s="5">
        <f t="shared" si="343"/>
        <v>5.9723482060794462</v>
      </c>
      <c r="AY139" s="5">
        <f t="shared" si="344"/>
        <v>5.1504421905429263</v>
      </c>
      <c r="AZ139" s="5"/>
      <c r="BA139" s="173">
        <f t="shared" si="345"/>
        <v>3.9896080671489207</v>
      </c>
      <c r="BB139" s="173">
        <f t="shared" si="346"/>
        <v>4.3881962209603156</v>
      </c>
      <c r="BC139" s="173">
        <f t="shared" si="347"/>
        <v>0.10807008732404229</v>
      </c>
      <c r="BD139" s="173"/>
      <c r="BE139" s="528">
        <f t="shared" si="348"/>
        <v>0.31833945058919494</v>
      </c>
      <c r="BF139" s="528">
        <f t="shared" si="349"/>
        <v>0.45712822268711517</v>
      </c>
      <c r="BG139" s="528">
        <f t="shared" si="350"/>
        <v>3.2110122909517348E-2</v>
      </c>
      <c r="BH139" s="528">
        <f t="shared" si="351"/>
        <v>8.2033058777712387E-3</v>
      </c>
      <c r="BI139">
        <f t="shared" si="352"/>
        <v>8.4171189641079665E-3</v>
      </c>
      <c r="BJ139" s="460">
        <f t="shared" si="436"/>
        <v>40.527241873625314</v>
      </c>
      <c r="BK139">
        <f t="shared" si="353"/>
        <v>0.94078090254549918</v>
      </c>
      <c r="BL139" s="460">
        <f t="shared" si="437"/>
        <v>824.19822102770684</v>
      </c>
      <c r="BM139" s="173">
        <f t="shared" si="354"/>
        <v>1.8016249999999998</v>
      </c>
      <c r="BN139" s="173">
        <f t="shared" si="355"/>
        <v>4.5040624999999994E-2</v>
      </c>
      <c r="BO139" s="528"/>
      <c r="BQ139" s="460">
        <f t="shared" si="356"/>
        <v>1846.6656249999999</v>
      </c>
      <c r="BR139" s="528">
        <f t="shared" si="357"/>
        <v>0.47750917588379238</v>
      </c>
      <c r="BS139" s="528">
        <f t="shared" si="358"/>
        <v>0.57768798220951179</v>
      </c>
      <c r="BT139" s="528">
        <f t="shared" si="359"/>
        <v>5.8395718871130631E-5</v>
      </c>
      <c r="BU139" s="528">
        <f t="shared" si="360"/>
        <v>0.66071556757941452</v>
      </c>
      <c r="BV139" s="528"/>
      <c r="BW139" s="625">
        <f t="shared" si="361"/>
        <v>7.2457712730845825E-3</v>
      </c>
      <c r="BX139" s="460">
        <f t="shared" si="362"/>
        <v>1723.2168926646746</v>
      </c>
      <c r="BY139" s="173">
        <f t="shared" si="363"/>
        <v>4.3940807386923808</v>
      </c>
      <c r="BZ139" s="5">
        <f t="shared" si="364"/>
        <v>44.08</v>
      </c>
      <c r="CA139" s="173">
        <f t="shared" si="365"/>
        <v>0.90935195321434958</v>
      </c>
      <c r="CB139" s="5">
        <f t="shared" si="366"/>
        <v>90.935195321434961</v>
      </c>
      <c r="CC139">
        <f t="shared" si="367"/>
        <v>28.999999999999996</v>
      </c>
      <c r="CE139" s="562">
        <f t="shared" si="368"/>
        <v>-50</v>
      </c>
      <c r="CF139">
        <f t="shared" si="369"/>
        <v>-50</v>
      </c>
      <c r="CG139" s="173">
        <f t="shared" si="370"/>
        <v>0.54755043227665712</v>
      </c>
      <c r="CH139" s="173">
        <f t="shared" si="371"/>
        <v>6.4398811101315859E-2</v>
      </c>
      <c r="CI139" s="170">
        <v>29</v>
      </c>
      <c r="CJ139" s="217">
        <f t="shared" si="438"/>
        <v>2.9</v>
      </c>
      <c r="CK139" s="217">
        <f t="shared" si="372"/>
        <v>7.2499999999999995E-2</v>
      </c>
      <c r="CL139" s="217">
        <f t="shared" si="373"/>
        <v>43.5</v>
      </c>
      <c r="CM139" s="217">
        <f t="shared" si="374"/>
        <v>0.57999999999999996</v>
      </c>
      <c r="CN139" s="541">
        <f t="shared" si="375"/>
        <v>19</v>
      </c>
      <c r="CO139" s="443">
        <f t="shared" si="376"/>
        <v>15.7</v>
      </c>
      <c r="CP139" s="443">
        <f t="shared" si="377"/>
        <v>34.700000000000003</v>
      </c>
      <c r="CQ139" s="443"/>
      <c r="CR139" s="217">
        <f t="shared" si="378"/>
        <v>0.44767441860465118</v>
      </c>
      <c r="CS139" s="172">
        <f t="shared" si="379"/>
        <v>209.84738372093025</v>
      </c>
      <c r="CT139" s="172">
        <f t="shared" si="380"/>
        <v>2.835271317829458</v>
      </c>
      <c r="CU139" s="217">
        <f t="shared" si="381"/>
        <v>13.989825581395349</v>
      </c>
      <c r="CV139" s="217">
        <f t="shared" si="382"/>
        <v>26.230922965116282</v>
      </c>
      <c r="CW139" s="217">
        <f t="shared" si="383"/>
        <v>15</v>
      </c>
      <c r="CX139" s="217">
        <f t="shared" si="384"/>
        <v>10.364675324675323</v>
      </c>
      <c r="CY139" s="217">
        <f t="shared" si="385"/>
        <v>6.5461107313738882</v>
      </c>
      <c r="CZ139" s="217">
        <f t="shared" si="386"/>
        <v>7.9220448341467433</v>
      </c>
      <c r="DA139" s="197">
        <f t="shared" si="387"/>
        <v>71.63784822286263</v>
      </c>
      <c r="DB139" s="443">
        <f t="shared" si="388"/>
        <v>69.117310459608348</v>
      </c>
      <c r="DD139" s="217">
        <f t="shared" si="389"/>
        <v>10.000000000000002</v>
      </c>
      <c r="DE139" s="173">
        <f t="shared" si="390"/>
        <v>7.6433121019108299</v>
      </c>
      <c r="DF139" s="173">
        <f t="shared" si="391"/>
        <v>2.7017291066282429</v>
      </c>
      <c r="DG139" s="173"/>
      <c r="DH139" s="173">
        <f t="shared" si="392"/>
        <v>7.6433121019108281</v>
      </c>
      <c r="DI139" s="545">
        <f t="shared" si="393"/>
        <v>75.88333333333334</v>
      </c>
      <c r="DJ139" s="528">
        <f t="shared" si="394"/>
        <v>2.7377521613832849</v>
      </c>
      <c r="DL139" s="173">
        <f t="shared" si="395"/>
        <v>4.5815364443029578</v>
      </c>
      <c r="DM139" s="173">
        <f t="shared" si="396"/>
        <v>10.364675324675323</v>
      </c>
      <c r="DN139" s="173">
        <f t="shared" si="397"/>
        <v>1.4701298701298691</v>
      </c>
      <c r="DP139" s="545">
        <f t="shared" si="398"/>
        <v>2900</v>
      </c>
      <c r="DQ139" s="460">
        <f t="shared" si="399"/>
        <v>69.117310459608348</v>
      </c>
      <c r="DS139" s="460">
        <f t="shared" si="400"/>
        <v>2900</v>
      </c>
      <c r="DT139" s="460">
        <f t="shared" si="401"/>
        <v>69.117310459608348</v>
      </c>
      <c r="DV139" s="5">
        <f t="shared" si="402"/>
        <v>14.468155565520634</v>
      </c>
      <c r="DW139" s="5">
        <f t="shared" si="403"/>
        <v>6.5461107313738882</v>
      </c>
      <c r="DX139" s="5">
        <f t="shared" si="404"/>
        <v>7.922044834146746</v>
      </c>
      <c r="DY139" s="173">
        <f t="shared" si="405"/>
        <v>0.45244956772334288</v>
      </c>
      <c r="EA139" s="5">
        <f t="shared" si="406"/>
        <v>126.55814080656184</v>
      </c>
      <c r="EB139" s="5">
        <f t="shared" si="407"/>
        <v>5.9324128503075855</v>
      </c>
      <c r="EC139" s="5">
        <f t="shared" si="408"/>
        <v>5.0381425480319209</v>
      </c>
      <c r="ED139" s="5"/>
      <c r="EE139" s="173">
        <f t="shared" si="409"/>
        <v>4.0251323389192084</v>
      </c>
      <c r="EF139" s="173">
        <f t="shared" si="410"/>
        <v>4.4279951651770455</v>
      </c>
      <c r="EG139" s="173">
        <f t="shared" si="411"/>
        <v>0.10905023387181116</v>
      </c>
      <c r="EH139" s="173"/>
      <c r="EI139" s="528">
        <f t="shared" si="412"/>
        <v>0.32403380691626432</v>
      </c>
      <c r="EJ139" s="528">
        <f t="shared" si="413"/>
        <v>0.49716666666666665</v>
      </c>
      <c r="EK139" s="528">
        <f t="shared" si="414"/>
        <v>8.6396638074510441E-3</v>
      </c>
      <c r="EL139" s="528">
        <f t="shared" si="415"/>
        <v>8.3223462351309837E-3</v>
      </c>
      <c r="EM139">
        <f t="shared" si="416"/>
        <v>8.5500000000000003E-3</v>
      </c>
      <c r="EN139" s="460">
        <f t="shared" si="417"/>
        <v>17.189663807451044</v>
      </c>
      <c r="EP139" s="460">
        <f t="shared" si="439"/>
        <v>846.71248362551296</v>
      </c>
      <c r="EQ139" s="173">
        <f t="shared" si="418"/>
        <v>2.0299999999999998</v>
      </c>
      <c r="ER139" s="173">
        <f t="shared" si="419"/>
        <v>3.2171874999999996E-2</v>
      </c>
      <c r="ES139" s="528"/>
      <c r="EU139" s="460">
        <f t="shared" si="420"/>
        <v>2062.1718749999995</v>
      </c>
      <c r="EV139" s="528">
        <f t="shared" si="421"/>
        <v>0.48605071037439646</v>
      </c>
      <c r="EW139" s="528">
        <f t="shared" si="422"/>
        <v>0.58821423548493879</v>
      </c>
      <c r="EX139" s="528">
        <f t="shared" si="423"/>
        <v>5.945976753748355E-5</v>
      </c>
      <c r="EY139" s="528">
        <f t="shared" si="424"/>
        <v>0.68679375210278981</v>
      </c>
      <c r="EZ139" s="528"/>
      <c r="FA139" s="625">
        <f t="shared" si="425"/>
        <v>7.4250303778834025E-3</v>
      </c>
      <c r="FB139" s="460">
        <f t="shared" si="426"/>
        <v>1768.5431881075458</v>
      </c>
      <c r="FC139" s="173">
        <f t="shared" si="427"/>
        <v>4.6774275467330595</v>
      </c>
      <c r="FD139" s="5">
        <f t="shared" si="428"/>
        <v>44.08</v>
      </c>
      <c r="FE139" s="173">
        <f t="shared" si="429"/>
        <v>0.90406738455900215</v>
      </c>
      <c r="FF139" s="5">
        <f t="shared" si="430"/>
        <v>90.406738455900211</v>
      </c>
      <c r="FG139">
        <f t="shared" si="431"/>
        <v>28.999999999999996</v>
      </c>
      <c r="FI139" s="562">
        <f t="shared" si="432"/>
        <v>-50</v>
      </c>
      <c r="FJ139">
        <f t="shared" si="433"/>
        <v>-50</v>
      </c>
    </row>
    <row r="140" spans="5:166">
      <c r="E140" s="170">
        <v>30</v>
      </c>
      <c r="F140" s="217">
        <f t="shared" si="434"/>
        <v>3</v>
      </c>
      <c r="G140" s="217">
        <f t="shared" si="313"/>
        <v>7.4999999999999997E-2</v>
      </c>
      <c r="H140" s="217">
        <f t="shared" si="314"/>
        <v>45</v>
      </c>
      <c r="I140" s="217">
        <f t="shared" si="315"/>
        <v>0.6</v>
      </c>
      <c r="J140" s="541">
        <f t="shared" si="316"/>
        <v>18.69452635427119</v>
      </c>
      <c r="K140" s="443">
        <f t="shared" si="317"/>
        <v>15.864368421052632</v>
      </c>
      <c r="L140" s="172">
        <f t="shared" si="318"/>
        <v>34.558894775323822</v>
      </c>
      <c r="M140" s="443"/>
      <c r="N140" s="217">
        <f t="shared" si="319"/>
        <v>0.45905311857311792</v>
      </c>
      <c r="O140" s="172">
        <f t="shared" si="320"/>
        <v>211.72156142702789</v>
      </c>
      <c r="P140" s="172">
        <f t="shared" si="321"/>
        <v>2.8605935410585106</v>
      </c>
      <c r="Q140" s="217">
        <f t="shared" si="322"/>
        <v>14.114770761801859</v>
      </c>
      <c r="R140" s="217">
        <f t="shared" si="323"/>
        <v>26.465195178378487</v>
      </c>
      <c r="S140" s="217">
        <f t="shared" si="324"/>
        <v>15</v>
      </c>
      <c r="T140" s="217">
        <f t="shared" si="325"/>
        <v>10.627165154246638</v>
      </c>
      <c r="U140" s="217">
        <f t="shared" si="326"/>
        <v>6.8215679517241936</v>
      </c>
      <c r="V140" s="217">
        <f t="shared" si="327"/>
        <v>8.0385161555960671</v>
      </c>
      <c r="W140" s="197">
        <f t="shared" si="328"/>
        <v>71.514838526462754</v>
      </c>
      <c r="X140" s="443">
        <f t="shared" si="435"/>
        <v>66.400691581392266</v>
      </c>
      <c r="Z140" s="217">
        <f t="shared" si="329"/>
        <v>10</v>
      </c>
      <c r="AA140" s="173">
        <f t="shared" si="330"/>
        <v>7.5641208534186175</v>
      </c>
      <c r="AB140" s="173">
        <f t="shared" si="331"/>
        <v>2.6691457965142207</v>
      </c>
      <c r="AC140" s="173"/>
      <c r="AD140" s="173">
        <f t="shared" si="332"/>
        <v>7.5641208534186175</v>
      </c>
      <c r="AE140" s="545">
        <f t="shared" si="333"/>
        <v>79.321842105263158</v>
      </c>
      <c r="AF140" s="528">
        <f t="shared" si="334"/>
        <v>2.7047344071344108</v>
      </c>
      <c r="AH140" s="173">
        <f t="shared" si="335"/>
        <v>4.6598589800857404</v>
      </c>
      <c r="AI140" s="173">
        <f t="shared" si="336"/>
        <v>10.627165154246638</v>
      </c>
      <c r="AJ140" s="173">
        <f t="shared" si="337"/>
        <v>1.6645667809234357</v>
      </c>
      <c r="AL140" s="545">
        <f t="shared" si="338"/>
        <v>3000</v>
      </c>
      <c r="AM140" s="460">
        <f t="shared" si="339"/>
        <v>66.400691581392266</v>
      </c>
      <c r="AO140" s="460">
        <f t="shared" si="340"/>
        <v>3000</v>
      </c>
      <c r="AP140" s="460">
        <f t="shared" si="341"/>
        <v>66.400691581392266</v>
      </c>
      <c r="AR140" s="5">
        <f t="shared" si="443"/>
        <v>15.060084107320261</v>
      </c>
      <c r="AS140" s="5">
        <f t="shared" si="440"/>
        <v>6.8215679517241936</v>
      </c>
      <c r="AT140" s="5">
        <f t="shared" si="441"/>
        <v>8.2385161555960664</v>
      </c>
      <c r="AU140" s="173">
        <f t="shared" si="442"/>
        <v>0.45295682966394801</v>
      </c>
      <c r="AW140" s="5">
        <f t="shared" si="342"/>
        <v>136.43135903448388</v>
      </c>
      <c r="AX140" s="5">
        <f t="shared" si="343"/>
        <v>6.3952199547414308</v>
      </c>
      <c r="AY140" s="5">
        <f t="shared" si="344"/>
        <v>5.5086419411435026</v>
      </c>
      <c r="AZ140" s="5"/>
      <c r="BA140" s="173">
        <f t="shared" si="345"/>
        <v>4.1293834104708127</v>
      </c>
      <c r="BB140" s="173">
        <f t="shared" si="346"/>
        <v>4.5380325091982066</v>
      </c>
      <c r="BC140" s="173">
        <f t="shared" si="347"/>
        <v>0.11176017316770487</v>
      </c>
      <c r="BD140" s="173"/>
      <c r="BE140" s="528">
        <f t="shared" si="348"/>
        <v>0.34103614701343121</v>
      </c>
      <c r="BF140" s="528">
        <f t="shared" si="349"/>
        <v>0.45724729985125268</v>
      </c>
      <c r="BG140" s="528">
        <f t="shared" si="350"/>
        <v>3.1033236967754271E-2</v>
      </c>
      <c r="BH140" s="528">
        <f t="shared" si="351"/>
        <v>7.930348858486003E-3</v>
      </c>
      <c r="BI140">
        <f t="shared" si="352"/>
        <v>8.4125368594220352E-3</v>
      </c>
      <c r="BJ140" s="460">
        <f t="shared" si="436"/>
        <v>39.445773827176303</v>
      </c>
      <c r="BK140">
        <f t="shared" si="353"/>
        <v>0.97750061449815517</v>
      </c>
      <c r="BL140" s="460">
        <f t="shared" si="437"/>
        <v>845.65956955034619</v>
      </c>
      <c r="BM140" s="173">
        <f t="shared" si="354"/>
        <v>1.8637499999999996</v>
      </c>
      <c r="BN140" s="173">
        <f t="shared" si="355"/>
        <v>4.6593749999999996E-2</v>
      </c>
      <c r="BO140" s="528"/>
      <c r="BQ140" s="460">
        <f t="shared" si="356"/>
        <v>1910.3437499999995</v>
      </c>
      <c r="BR140" s="528">
        <f t="shared" si="357"/>
        <v>0.51155422052014676</v>
      </c>
      <c r="BS140" s="528">
        <f t="shared" si="358"/>
        <v>0.61781217163619306</v>
      </c>
      <c r="BT140" s="528">
        <f t="shared" si="359"/>
        <v>6.2451681532376896E-5</v>
      </c>
      <c r="BU140" s="528">
        <f t="shared" si="360"/>
        <v>0.66137090540684906</v>
      </c>
      <c r="BV140" s="528"/>
      <c r="BW140" s="625">
        <f t="shared" si="361"/>
        <v>7.4990709487962829E-3</v>
      </c>
      <c r="BX140" s="460">
        <f t="shared" si="362"/>
        <v>1798.2988201935177</v>
      </c>
      <c r="BY140" s="173">
        <f t="shared" si="363"/>
        <v>4.5543021397438634</v>
      </c>
      <c r="BZ140" s="5">
        <f t="shared" si="364"/>
        <v>45.6</v>
      </c>
      <c r="CA140" s="173">
        <f t="shared" si="365"/>
        <v>0.90919418782751071</v>
      </c>
      <c r="CB140" s="5">
        <f t="shared" si="366"/>
        <v>90.919418782751066</v>
      </c>
      <c r="CC140">
        <f t="shared" si="367"/>
        <v>30</v>
      </c>
      <c r="CE140" s="562">
        <f t="shared" si="368"/>
        <v>-50</v>
      </c>
      <c r="CF140">
        <f t="shared" si="369"/>
        <v>-50</v>
      </c>
      <c r="CG140" s="173">
        <f t="shared" si="370"/>
        <v>0.54755043227665701</v>
      </c>
      <c r="CH140" s="173">
        <f t="shared" si="371"/>
        <v>6.4398811101315845E-2</v>
      </c>
      <c r="CI140" s="170">
        <v>30</v>
      </c>
      <c r="CJ140" s="217">
        <f t="shared" si="438"/>
        <v>3</v>
      </c>
      <c r="CK140" s="217">
        <f t="shared" si="372"/>
        <v>7.4999999999999997E-2</v>
      </c>
      <c r="CL140" s="217">
        <f t="shared" si="373"/>
        <v>45</v>
      </c>
      <c r="CM140" s="217">
        <f t="shared" si="374"/>
        <v>0.6</v>
      </c>
      <c r="CN140" s="541">
        <f t="shared" si="375"/>
        <v>19</v>
      </c>
      <c r="CO140" s="443">
        <f t="shared" si="376"/>
        <v>15.7</v>
      </c>
      <c r="CP140" s="443">
        <f t="shared" si="377"/>
        <v>34.700000000000003</v>
      </c>
      <c r="CQ140" s="443"/>
      <c r="CR140" s="217">
        <f t="shared" si="378"/>
        <v>0.44767441860465118</v>
      </c>
      <c r="CS140" s="172">
        <f t="shared" si="379"/>
        <v>209.84738372093025</v>
      </c>
      <c r="CT140" s="172">
        <f t="shared" si="380"/>
        <v>2.835271317829458</v>
      </c>
      <c r="CU140" s="217">
        <f t="shared" si="381"/>
        <v>13.989825581395349</v>
      </c>
      <c r="CV140" s="217">
        <f t="shared" si="382"/>
        <v>26.230922965116282</v>
      </c>
      <c r="CW140" s="217">
        <f t="shared" si="383"/>
        <v>15</v>
      </c>
      <c r="CX140" s="217">
        <f t="shared" si="384"/>
        <v>10.722077922077922</v>
      </c>
      <c r="CY140" s="217">
        <f t="shared" si="385"/>
        <v>6.7718386876281622</v>
      </c>
      <c r="CZ140" s="217">
        <f t="shared" si="386"/>
        <v>8.1952187939449104</v>
      </c>
      <c r="DA140" s="197">
        <f t="shared" si="387"/>
        <v>71.63784822286263</v>
      </c>
      <c r="DB140" s="443">
        <f t="shared" si="388"/>
        <v>66.813400110954731</v>
      </c>
      <c r="DD140" s="217">
        <f t="shared" si="389"/>
        <v>10.000000000000002</v>
      </c>
      <c r="DE140" s="173">
        <f t="shared" si="390"/>
        <v>7.6433121019108299</v>
      </c>
      <c r="DF140" s="173">
        <f t="shared" si="391"/>
        <v>2.7017291066282429</v>
      </c>
      <c r="DG140" s="173"/>
      <c r="DH140" s="173">
        <f t="shared" si="392"/>
        <v>7.6433121019108281</v>
      </c>
      <c r="DI140" s="545">
        <f t="shared" si="393"/>
        <v>78.500000000000014</v>
      </c>
      <c r="DJ140" s="528">
        <f t="shared" si="394"/>
        <v>2.7377521613832849</v>
      </c>
      <c r="DL140" s="173">
        <f t="shared" si="395"/>
        <v>4.6598589800857404</v>
      </c>
      <c r="DM140" s="173">
        <f t="shared" si="396"/>
        <v>10.722077922077922</v>
      </c>
      <c r="DN140" s="173">
        <f t="shared" si="397"/>
        <v>1.7348725348725349</v>
      </c>
      <c r="DP140" s="545">
        <f t="shared" si="398"/>
        <v>3000</v>
      </c>
      <c r="DQ140" s="460">
        <f t="shared" si="399"/>
        <v>66.813400110954731</v>
      </c>
      <c r="DS140" s="460">
        <f t="shared" si="400"/>
        <v>3000</v>
      </c>
      <c r="DT140" s="460">
        <f t="shared" si="401"/>
        <v>66.813400110954731</v>
      </c>
      <c r="DV140" s="5">
        <f t="shared" si="402"/>
        <v>14.96705748157307</v>
      </c>
      <c r="DW140" s="5">
        <f t="shared" si="403"/>
        <v>6.7718386876281622</v>
      </c>
      <c r="DX140" s="5">
        <f t="shared" si="404"/>
        <v>8.1952187939449068</v>
      </c>
      <c r="DY140" s="173">
        <f t="shared" si="405"/>
        <v>0.45244956772334299</v>
      </c>
      <c r="EA140" s="5">
        <f t="shared" si="406"/>
        <v>135.43677375256325</v>
      </c>
      <c r="EB140" s="5">
        <f t="shared" si="407"/>
        <v>6.3485987696514021</v>
      </c>
      <c r="EC140" s="5">
        <f t="shared" si="408"/>
        <v>5.3915913118058594</v>
      </c>
      <c r="ED140" s="5"/>
      <c r="EE140" s="173">
        <f t="shared" si="409"/>
        <v>4.1639300057784929</v>
      </c>
      <c r="EF140" s="173">
        <f t="shared" si="410"/>
        <v>4.5806846536314261</v>
      </c>
      <c r="EG140" s="173">
        <f t="shared" si="411"/>
        <v>0.11281058676394261</v>
      </c>
      <c r="EH140" s="173"/>
      <c r="EI140" s="528">
        <f t="shared" si="412"/>
        <v>0.34676626186044962</v>
      </c>
      <c r="EJ140" s="528">
        <f t="shared" si="413"/>
        <v>0.4971666666666667</v>
      </c>
      <c r="EK140" s="528">
        <f t="shared" si="414"/>
        <v>8.3516750138693408E-3</v>
      </c>
      <c r="EL140" s="528">
        <f t="shared" si="415"/>
        <v>8.0449346939599486E-3</v>
      </c>
      <c r="EM140">
        <f t="shared" si="416"/>
        <v>8.5500000000000003E-3</v>
      </c>
      <c r="EN140" s="460">
        <f t="shared" si="417"/>
        <v>16.90167501386934</v>
      </c>
      <c r="EP140" s="460">
        <f t="shared" si="439"/>
        <v>868.87953823494558</v>
      </c>
      <c r="EQ140" s="173">
        <f t="shared" si="418"/>
        <v>2.0999999999999996</v>
      </c>
      <c r="ER140" s="173">
        <f t="shared" si="419"/>
        <v>3.3281249999999998E-2</v>
      </c>
      <c r="ES140" s="528"/>
      <c r="EU140" s="460">
        <f t="shared" si="420"/>
        <v>2133.2812499999995</v>
      </c>
      <c r="EV140" s="528">
        <f t="shared" si="421"/>
        <v>0.5201493927906744</v>
      </c>
      <c r="EW140" s="528">
        <f t="shared" si="422"/>
        <v>0.62948015688043379</v>
      </c>
      <c r="EX140" s="528">
        <f t="shared" si="423"/>
        <v>6.3631142430125122E-5</v>
      </c>
      <c r="EY140" s="528">
        <f t="shared" si="424"/>
        <v>0.68679375210278804</v>
      </c>
      <c r="EZ140" s="528"/>
      <c r="FA140" s="625">
        <f t="shared" si="425"/>
        <v>7.6810659081552454E-3</v>
      </c>
      <c r="FB140" s="460">
        <f t="shared" si="426"/>
        <v>1844.1679988244814</v>
      </c>
      <c r="FC140" s="173">
        <f t="shared" si="427"/>
        <v>4.8463287870594263</v>
      </c>
      <c r="FD140" s="5">
        <f t="shared" si="428"/>
        <v>45.6</v>
      </c>
      <c r="FE140" s="173">
        <f t="shared" si="429"/>
        <v>0.90393099153921752</v>
      </c>
      <c r="FF140" s="5">
        <f t="shared" si="430"/>
        <v>90.393099153921753</v>
      </c>
      <c r="FG140">
        <f t="shared" si="431"/>
        <v>30</v>
      </c>
      <c r="FI140" s="562">
        <f t="shared" si="432"/>
        <v>-50</v>
      </c>
      <c r="FJ140">
        <f t="shared" si="433"/>
        <v>-50</v>
      </c>
    </row>
    <row r="141" spans="5:166">
      <c r="E141" s="170">
        <v>31</v>
      </c>
      <c r="F141" s="217">
        <f t="shared" si="434"/>
        <v>3.1</v>
      </c>
      <c r="G141" s="217">
        <f t="shared" si="313"/>
        <v>7.7499999999999999E-2</v>
      </c>
      <c r="H141" s="217">
        <f t="shared" si="314"/>
        <v>46.5</v>
      </c>
      <c r="I141" s="217">
        <f t="shared" si="315"/>
        <v>0.62</v>
      </c>
      <c r="J141" s="541">
        <f t="shared" si="316"/>
        <v>18.684343899413562</v>
      </c>
      <c r="K141" s="443">
        <f t="shared" si="317"/>
        <v>15.869847368421052</v>
      </c>
      <c r="L141" s="172">
        <f t="shared" si="318"/>
        <v>34.554191267834611</v>
      </c>
      <c r="M141" s="443"/>
      <c r="N141" s="217">
        <f t="shared" si="319"/>
        <v>0.45927416577084773</v>
      </c>
      <c r="O141" s="172">
        <f t="shared" si="320"/>
        <v>211.70813628401621</v>
      </c>
      <c r="P141" s="172">
        <f t="shared" si="321"/>
        <v>2.8604121524595971</v>
      </c>
      <c r="Q141" s="217">
        <f t="shared" si="322"/>
        <v>14.113875752267747</v>
      </c>
      <c r="R141" s="217">
        <f t="shared" si="323"/>
        <v>26.463517035502026</v>
      </c>
      <c r="S141" s="217">
        <f t="shared" si="324"/>
        <v>15</v>
      </c>
      <c r="T141" s="217">
        <f t="shared" si="325"/>
        <v>10.982100361418821</v>
      </c>
      <c r="U141" s="217">
        <f t="shared" si="326"/>
        <v>7.053242278481191</v>
      </c>
      <c r="V141" s="217">
        <f t="shared" si="327"/>
        <v>8.3041255078017588</v>
      </c>
      <c r="W141" s="197">
        <f t="shared" si="328"/>
        <v>71.510303811489933</v>
      </c>
      <c r="X141" s="443">
        <f t="shared" si="435"/>
        <v>64.278225837259427</v>
      </c>
      <c r="Z141" s="217">
        <f t="shared" si="329"/>
        <v>10</v>
      </c>
      <c r="AA141" s="173">
        <f t="shared" si="330"/>
        <v>7.5615093966678293</v>
      </c>
      <c r="AB141" s="173">
        <f t="shared" si="331"/>
        <v>2.6680551031043702</v>
      </c>
      <c r="AC141" s="173"/>
      <c r="AD141" s="173">
        <f t="shared" si="332"/>
        <v>7.5615093966678293</v>
      </c>
      <c r="AE141" s="545">
        <f t="shared" si="333"/>
        <v>81.994211403508771</v>
      </c>
      <c r="AF141" s="528">
        <f t="shared" si="334"/>
        <v>2.7036291711457614</v>
      </c>
      <c r="AH141" s="173">
        <f t="shared" si="335"/>
        <v>4.7368866608876381</v>
      </c>
      <c r="AI141" s="173">
        <f t="shared" si="336"/>
        <v>10.982100361418821</v>
      </c>
      <c r="AJ141" s="173">
        <f t="shared" si="337"/>
        <v>1.9274817491991267</v>
      </c>
      <c r="AL141" s="545">
        <f t="shared" si="338"/>
        <v>3100</v>
      </c>
      <c r="AM141" s="460">
        <f t="shared" si="339"/>
        <v>64.278225837259427</v>
      </c>
      <c r="AO141" s="460">
        <f t="shared" si="340"/>
        <v>3100</v>
      </c>
      <c r="AP141" s="460">
        <f t="shared" si="341"/>
        <v>64.278225837259427</v>
      </c>
      <c r="AR141" s="5">
        <f t="shared" si="443"/>
        <v>15.557367786282947</v>
      </c>
      <c r="AS141" s="5">
        <f t="shared" si="440"/>
        <v>7.053242278481191</v>
      </c>
      <c r="AT141" s="5">
        <f t="shared" si="441"/>
        <v>8.5041255078017564</v>
      </c>
      <c r="AU141" s="173">
        <f t="shared" si="442"/>
        <v>0.45336990006112021</v>
      </c>
      <c r="AW141" s="5">
        <f t="shared" si="342"/>
        <v>145.76700708861125</v>
      </c>
      <c r="AX141" s="5">
        <f t="shared" si="343"/>
        <v>6.8328284572786542</v>
      </c>
      <c r="AY141" s="5">
        <f t="shared" si="344"/>
        <v>5.8789837666828832</v>
      </c>
      <c r="AZ141" s="5"/>
      <c r="BA141" s="173">
        <f t="shared" si="345"/>
        <v>4.2692454330937792</v>
      </c>
      <c r="BB141" s="173">
        <f t="shared" si="346"/>
        <v>4.6878267404096441</v>
      </c>
      <c r="BC141" s="173">
        <f t="shared" si="347"/>
        <v>0.11544922325401007</v>
      </c>
      <c r="BD141" s="173"/>
      <c r="BE141" s="528">
        <f t="shared" si="348"/>
        <v>0.36452913135984183</v>
      </c>
      <c r="BF141" s="528">
        <f t="shared" si="349"/>
        <v>0.45735274954290051</v>
      </c>
      <c r="BG141" s="528">
        <f t="shared" si="350"/>
        <v>3.0024911919688133E-2</v>
      </c>
      <c r="BH141" s="528">
        <f t="shared" si="351"/>
        <v>7.6747696048354011E-3</v>
      </c>
      <c r="BI141">
        <f t="shared" si="352"/>
        <v>8.4079547547361022E-3</v>
      </c>
      <c r="BJ141" s="460">
        <f t="shared" si="436"/>
        <v>38.432866674424233</v>
      </c>
      <c r="BK141">
        <f t="shared" si="353"/>
        <v>1.0159752914737288</v>
      </c>
      <c r="BL141" s="460">
        <f t="shared" si="437"/>
        <v>867.98951718200203</v>
      </c>
      <c r="BM141" s="173">
        <f t="shared" si="354"/>
        <v>1.9258749999999998</v>
      </c>
      <c r="BN141" s="173">
        <f t="shared" si="355"/>
        <v>4.8146874999999999E-2</v>
      </c>
      <c r="BO141" s="528"/>
      <c r="BQ141" s="460">
        <f t="shared" si="356"/>
        <v>1974.0218749999999</v>
      </c>
      <c r="BR141" s="528">
        <f t="shared" si="357"/>
        <v>0.54679369703976277</v>
      </c>
      <c r="BS141" s="528">
        <f t="shared" si="358"/>
        <v>0.65927158644299122</v>
      </c>
      <c r="BT141" s="528">
        <f t="shared" si="359"/>
        <v>6.6642615749771297E-5</v>
      </c>
      <c r="BU141" s="528">
        <f t="shared" si="360"/>
        <v>0.66197749915670978</v>
      </c>
      <c r="BV141" s="528"/>
      <c r="BW141" s="625">
        <f t="shared" si="361"/>
        <v>7.7523736666182787E-3</v>
      </c>
      <c r="BX141" s="460">
        <f t="shared" si="362"/>
        <v>1875.8617989218319</v>
      </c>
      <c r="BY141" s="173">
        <f t="shared" si="363"/>
        <v>4.7178731911038341</v>
      </c>
      <c r="BZ141" s="5">
        <f t="shared" si="364"/>
        <v>47.12</v>
      </c>
      <c r="CA141" s="173">
        <f t="shared" si="365"/>
        <v>0.90898790979114685</v>
      </c>
      <c r="CB141" s="5">
        <f t="shared" si="366"/>
        <v>90.898790979114679</v>
      </c>
      <c r="CC141">
        <f t="shared" si="367"/>
        <v>31</v>
      </c>
      <c r="CE141" s="562">
        <f t="shared" si="368"/>
        <v>-50</v>
      </c>
      <c r="CF141">
        <f t="shared" si="369"/>
        <v>-50</v>
      </c>
      <c r="CG141" s="173">
        <f t="shared" si="370"/>
        <v>0.54755043227665712</v>
      </c>
      <c r="CH141" s="173">
        <f t="shared" si="371"/>
        <v>6.4398811101315859E-2</v>
      </c>
      <c r="CI141" s="170">
        <v>31</v>
      </c>
      <c r="CJ141" s="217">
        <f t="shared" si="438"/>
        <v>3.1</v>
      </c>
      <c r="CK141" s="217">
        <f t="shared" si="372"/>
        <v>7.7499999999999999E-2</v>
      </c>
      <c r="CL141" s="217">
        <f t="shared" si="373"/>
        <v>46.5</v>
      </c>
      <c r="CM141" s="217">
        <f t="shared" si="374"/>
        <v>0.62</v>
      </c>
      <c r="CN141" s="541">
        <f t="shared" si="375"/>
        <v>19</v>
      </c>
      <c r="CO141" s="443">
        <f t="shared" si="376"/>
        <v>15.7</v>
      </c>
      <c r="CP141" s="443">
        <f t="shared" si="377"/>
        <v>34.700000000000003</v>
      </c>
      <c r="CQ141" s="443"/>
      <c r="CR141" s="217">
        <f t="shared" si="378"/>
        <v>0.44767441860465118</v>
      </c>
      <c r="CS141" s="172">
        <f t="shared" si="379"/>
        <v>209.84738372093025</v>
      </c>
      <c r="CT141" s="172">
        <f t="shared" si="380"/>
        <v>2.835271317829458</v>
      </c>
      <c r="CU141" s="217">
        <f t="shared" si="381"/>
        <v>13.989825581395349</v>
      </c>
      <c r="CV141" s="217">
        <f t="shared" si="382"/>
        <v>26.230922965116282</v>
      </c>
      <c r="CW141" s="217">
        <f t="shared" si="383"/>
        <v>15</v>
      </c>
      <c r="CX141" s="217">
        <f t="shared" si="384"/>
        <v>11.079480519480517</v>
      </c>
      <c r="CY141" s="217">
        <f t="shared" si="385"/>
        <v>6.9975666438824318</v>
      </c>
      <c r="CZ141" s="217">
        <f t="shared" si="386"/>
        <v>8.4683927537430712</v>
      </c>
      <c r="DA141" s="197">
        <f t="shared" si="387"/>
        <v>71.63784822286263</v>
      </c>
      <c r="DB141" s="443">
        <f t="shared" si="388"/>
        <v>64.658129139633616</v>
      </c>
      <c r="DD141" s="217">
        <f t="shared" si="389"/>
        <v>10.000000000000002</v>
      </c>
      <c r="DE141" s="173">
        <f t="shared" si="390"/>
        <v>7.6433121019108299</v>
      </c>
      <c r="DF141" s="173">
        <f t="shared" si="391"/>
        <v>2.7017291066282429</v>
      </c>
      <c r="DG141" s="173"/>
      <c r="DH141" s="173">
        <f t="shared" si="392"/>
        <v>7.6433121019108281</v>
      </c>
      <c r="DI141" s="545">
        <f t="shared" si="393"/>
        <v>81.116666666666674</v>
      </c>
      <c r="DJ141" s="528">
        <f t="shared" si="394"/>
        <v>2.7377521613832849</v>
      </c>
      <c r="DL141" s="173">
        <f t="shared" si="395"/>
        <v>4.7368866608876381</v>
      </c>
      <c r="DM141" s="173">
        <f t="shared" si="396"/>
        <v>11.079480519480517</v>
      </c>
      <c r="DN141" s="173">
        <f t="shared" si="397"/>
        <v>1.9996151996151981</v>
      </c>
      <c r="DP141" s="545">
        <f t="shared" si="398"/>
        <v>3100</v>
      </c>
      <c r="DQ141" s="460">
        <f t="shared" si="399"/>
        <v>64.658129139633616</v>
      </c>
      <c r="DS141" s="460">
        <f t="shared" si="400"/>
        <v>3100</v>
      </c>
      <c r="DT141" s="460">
        <f t="shared" si="401"/>
        <v>64.658129139633616</v>
      </c>
      <c r="DV141" s="5">
        <f t="shared" si="402"/>
        <v>15.465959397625506</v>
      </c>
      <c r="DW141" s="5">
        <f t="shared" si="403"/>
        <v>6.9975666438824318</v>
      </c>
      <c r="DX141" s="5">
        <f t="shared" si="404"/>
        <v>8.4683927537430748</v>
      </c>
      <c r="DY141" s="173">
        <f t="shared" si="405"/>
        <v>0.45244956772334283</v>
      </c>
      <c r="EA141" s="5">
        <f t="shared" si="406"/>
        <v>144.61637730690362</v>
      </c>
      <c r="EB141" s="5">
        <f t="shared" si="407"/>
        <v>6.7788926862611047</v>
      </c>
      <c r="EC141" s="5">
        <f t="shared" si="408"/>
        <v>5.7570213896060372</v>
      </c>
      <c r="ED141" s="5"/>
      <c r="EE141" s="173">
        <f t="shared" si="409"/>
        <v>4.3027276726377748</v>
      </c>
      <c r="EF141" s="173">
        <f t="shared" si="410"/>
        <v>4.7333741420858066</v>
      </c>
      <c r="EG141" s="173">
        <f t="shared" si="411"/>
        <v>0.116570939656074</v>
      </c>
      <c r="EH141" s="173"/>
      <c r="EI141" s="528">
        <f t="shared" si="412"/>
        <v>0.3702693084976576</v>
      </c>
      <c r="EJ141" s="528">
        <f t="shared" si="413"/>
        <v>0.49716666666666665</v>
      </c>
      <c r="EK141" s="528">
        <f t="shared" si="414"/>
        <v>8.0822661424542024E-3</v>
      </c>
      <c r="EL141" s="528">
        <f t="shared" si="415"/>
        <v>7.7854206715741465E-3</v>
      </c>
      <c r="EM141">
        <f t="shared" si="416"/>
        <v>8.5500000000000003E-3</v>
      </c>
      <c r="EN141" s="460">
        <f t="shared" si="417"/>
        <v>16.632266142454203</v>
      </c>
      <c r="EP141" s="460">
        <f t="shared" si="439"/>
        <v>891.85366197835253</v>
      </c>
      <c r="EQ141" s="173">
        <f t="shared" si="418"/>
        <v>2.17</v>
      </c>
      <c r="ER141" s="173">
        <f t="shared" si="419"/>
        <v>3.4390625000000001E-2</v>
      </c>
      <c r="ES141" s="528"/>
      <c r="EU141" s="460">
        <f t="shared" si="420"/>
        <v>2204.390625</v>
      </c>
      <c r="EV141" s="528">
        <f t="shared" si="421"/>
        <v>0.5554039627464864</v>
      </c>
      <c r="EW141" s="528">
        <f t="shared" si="422"/>
        <v>0.67214492306899642</v>
      </c>
      <c r="EX141" s="528">
        <f t="shared" si="423"/>
        <v>6.7943919861500226E-5</v>
      </c>
      <c r="EY141" s="528">
        <f t="shared" si="424"/>
        <v>0.6867937521027887</v>
      </c>
      <c r="EZ141" s="528"/>
      <c r="FA141" s="625">
        <f t="shared" si="425"/>
        <v>7.9371014384270865E-3</v>
      </c>
      <c r="FB141" s="460">
        <f t="shared" si="426"/>
        <v>1922.34768327656</v>
      </c>
      <c r="FC141" s="173">
        <f t="shared" si="427"/>
        <v>5.0185919702549135</v>
      </c>
      <c r="FD141" s="5">
        <f t="shared" si="428"/>
        <v>47.12</v>
      </c>
      <c r="FE141" s="173">
        <f t="shared" si="429"/>
        <v>0.90374515727010774</v>
      </c>
      <c r="FF141" s="5">
        <f t="shared" si="430"/>
        <v>90.374515727010774</v>
      </c>
      <c r="FG141">
        <f t="shared" si="431"/>
        <v>31</v>
      </c>
      <c r="FI141" s="562">
        <f t="shared" si="432"/>
        <v>-50</v>
      </c>
      <c r="FJ141">
        <f t="shared" si="433"/>
        <v>-50</v>
      </c>
    </row>
    <row r="142" spans="5:166">
      <c r="E142" s="170">
        <v>32</v>
      </c>
      <c r="F142" s="217">
        <f t="shared" si="434"/>
        <v>3.2</v>
      </c>
      <c r="G142" s="217">
        <f t="shared" ref="G142:G173" si="444">IF(PLOT_TYPE=1, E142/100*Iout2, min_I*EXP(Q142*rr/100))</f>
        <v>0.08</v>
      </c>
      <c r="H142" s="217">
        <f t="shared" ref="H142:H173" si="445">F142*Vout</f>
        <v>48</v>
      </c>
      <c r="I142" s="217">
        <f t="shared" ref="I142:I173" si="446">Vout2*G142</f>
        <v>0.64</v>
      </c>
      <c r="J142" s="541">
        <f t="shared" ref="J142:J173" si="447">VIN_min-(F142/CG142/Nps+G142/CH142/(Nps/Nsec1sec2))*(Rdcr_pri+RON/1000)</f>
        <v>18.674161444555935</v>
      </c>
      <c r="K142" s="443">
        <f t="shared" ref="K142:K173" si="448">MAX((S142+Vfwd2+Rdcr_sec*F142/CG142)*Nps,(Vout2+Vfwd22+Rdcr_sec2*G142/CH142)*Nps/Nsec1sec2)</f>
        <v>15.875326315789472</v>
      </c>
      <c r="L142" s="172">
        <f t="shared" ref="L142:L173" si="449">MAX((Vout+Vfwd2+F142/CG142*Rdcr_sec)*Nps+J142, (Vout2+Vfwd22+G142/CH142*Rdcr_sec2)*Nps/Nsec1sec2+J142)</f>
        <v>34.549487760345407</v>
      </c>
      <c r="M142" s="443"/>
      <c r="N142" s="217">
        <f t="shared" ref="N142:N173" si="450">MAX((Vout+Vfwd2+F142/CG142*Rdcr_sec)*Nps/((Vout+Vfwd2+F142/CG142*Rdcr_sec)*Nps+J142), (Vout2+Vfwd22+G142/CH142*Rdcr_sec2)*Nps/Nsec1sec2/((Vout2+Vfwd22+G142/CH142*Rdcr_sec2)*Nps/Nsec1sec2+J142))</f>
        <v>0.45949527315454358</v>
      </c>
      <c r="O142" s="172">
        <f t="shared" ref="O142:O173" si="451">N142*J142*Isw_max*0.5*Efficiency*Pout/(Pout+Pout2)</f>
        <v>211.69462780999032</v>
      </c>
      <c r="P142" s="172">
        <f t="shared" ref="P142:P173" si="452">N142*J142*Isw_max*0.5*Efficiency*(Pout2/Pout_total)</f>
        <v>2.8602296379660919</v>
      </c>
      <c r="Q142" s="217">
        <f t="shared" si="322"/>
        <v>14.112975187332689</v>
      </c>
      <c r="R142" s="217">
        <f t="shared" ref="R142:R173" si="453">O142/Vout2</f>
        <v>26.46182847624879</v>
      </c>
      <c r="S142" s="217">
        <f t="shared" ref="S142:S173" si="454">MIN(Vout,O142/F142)</f>
        <v>15</v>
      </c>
      <c r="T142" s="217">
        <f t="shared" ref="T142:T173" si="455">MIN(2*(Vout*F142+Vout2*G142)/(Efficiency*J142*N142), Isw_max)</f>
        <v>11.337085049480594</v>
      </c>
      <c r="U142" s="217">
        <f t="shared" si="326"/>
        <v>7.2852010516074994</v>
      </c>
      <c r="V142" s="217">
        <f t="shared" si="327"/>
        <v>8.5695889260844886</v>
      </c>
      <c r="W142" s="197">
        <f t="shared" si="328"/>
        <v>71.505740949152298</v>
      </c>
      <c r="X142" s="443">
        <f t="shared" si="435"/>
        <v>62.286707044408089</v>
      </c>
      <c r="Z142" s="217">
        <f t="shared" si="329"/>
        <v>9.9999999999999982</v>
      </c>
      <c r="AA142" s="173">
        <f t="shared" si="330"/>
        <v>7.5588997424669593</v>
      </c>
      <c r="AB142" s="173">
        <f t="shared" ref="AB142:AB173" si="456">0.5*AA142*Z142*Nps*W142/1000*(Pout/(Pout+Pout2))</f>
        <v>2.6669641127242913</v>
      </c>
      <c r="AC142" s="173"/>
      <c r="AD142" s="173">
        <f t="shared" si="332"/>
        <v>7.5588997424669611</v>
      </c>
      <c r="AE142" s="545">
        <f t="shared" ref="AE142:AE173" si="457">MAX(10, F142/(0.5*AD142/1000000*Isw_min*Nps)/1000*Pout_total/Pout)</f>
        <v>84.668407017543856</v>
      </c>
      <c r="AF142" s="528">
        <f t="shared" ref="AF142:AF173" si="458">0.5*AD142/1000000*Isw_min*Nps*W142*1000*(Pout/Pout_total)</f>
        <v>2.7025236342272825</v>
      </c>
      <c r="AH142" s="173">
        <f t="shared" ref="AH142:AH173" si="459">SQRT((H142+I142)/(0.5*L*Fsw_DCM))</f>
        <v>4.8126816601459064</v>
      </c>
      <c r="AI142" s="173">
        <f t="shared" ref="AI142:AI173" si="460">MAX(IF(F142&gt;AB142,T142,AH142),Isw_min)</f>
        <v>11.337085049480594</v>
      </c>
      <c r="AJ142" s="173">
        <f t="shared" ref="AJ142:AJ173" si="461">IF(F142&gt;AF142, (AI142-Isw_min)/1.08*0.8+1.2, AE142*0.2/350+1)</f>
        <v>2.1904333699856249</v>
      </c>
      <c r="AL142" s="545">
        <f t="shared" ref="AL142:AL173" si="462">F142*1000</f>
        <v>3200</v>
      </c>
      <c r="AM142" s="460">
        <f t="shared" ref="AM142:AM173" si="463">IF(F142&gt;AF142, X142, AE142)</f>
        <v>62.286707044408089</v>
      </c>
      <c r="AO142" s="460">
        <f t="shared" si="340"/>
        <v>3200</v>
      </c>
      <c r="AP142" s="460">
        <f t="shared" si="341"/>
        <v>62.286707044408089</v>
      </c>
      <c r="AR142" s="5">
        <f t="shared" si="443"/>
        <v>16.054789977691989</v>
      </c>
      <c r="AS142" s="5">
        <f t="shared" si="440"/>
        <v>7.2852010516074994</v>
      </c>
      <c r="AT142" s="5">
        <f t="shared" si="441"/>
        <v>8.7695889260844897</v>
      </c>
      <c r="AU142" s="173">
        <f t="shared" si="442"/>
        <v>0.45377118366109004</v>
      </c>
      <c r="AW142" s="5">
        <f t="shared" si="342"/>
        <v>155.41762243429332</v>
      </c>
      <c r="AX142" s="5">
        <f t="shared" si="343"/>
        <v>7.2852010516074994</v>
      </c>
      <c r="AY142" s="5">
        <f t="shared" si="344"/>
        <v>6.2614780693074223</v>
      </c>
      <c r="AZ142" s="5"/>
      <c r="BA142" s="173">
        <f t="shared" si="345"/>
        <v>4.4091942642337587</v>
      </c>
      <c r="BB142" s="173">
        <f t="shared" si="346"/>
        <v>4.8375791204520464</v>
      </c>
      <c r="BC142" s="173">
        <f t="shared" si="347"/>
        <v>0.11913724265270138</v>
      </c>
      <c r="BD142" s="173"/>
      <c r="BE142" s="528">
        <f t="shared" si="348"/>
        <v>0.38881988119503752</v>
      </c>
      <c r="BF142" s="528">
        <f t="shared" ref="BF142:BF173" si="464">0.5*L142*AI142*AM142*1000*Tfall</f>
        <v>0.45744581722099248</v>
      </c>
      <c r="BG142" s="528">
        <f t="shared" ref="BG142:BG173" si="465">Qg*Vdd*AM142*1000*0+Qg*J142*AM142*1000</f>
        <v>2.9078800579925901E-2</v>
      </c>
      <c r="BH142" s="528">
        <f t="shared" si="351"/>
        <v>7.4349593246678947E-3</v>
      </c>
      <c r="BI142">
        <f t="shared" si="352"/>
        <v>8.4033726500501709E-3</v>
      </c>
      <c r="BJ142" s="460">
        <f t="shared" si="436"/>
        <v>37.482173229976077</v>
      </c>
      <c r="BK142">
        <f t="shared" ref="BK142:BK173" si="466">(BF142+BG142*0+BH142+BI142*0+BE142*(1+RdsonTC*(Ta-25)))/(1-BE142*RdsonTC*ThetaJA)</f>
        <v>1.0562634496771119</v>
      </c>
      <c r="BL142" s="460">
        <f t="shared" si="437"/>
        <v>891.18283097067388</v>
      </c>
      <c r="BM142" s="173">
        <f t="shared" ref="BM142:BM173" si="467">Vfwd2*F142*(1+Diode_TC/1000*(Ta-25))</f>
        <v>1.9879999999999998</v>
      </c>
      <c r="BN142" s="173">
        <f t="shared" ref="BN142:BN173" si="468">Vfwd2*G142*(1+Diode_TC/1000*(Ta-25))</f>
        <v>4.9699999999999994E-2</v>
      </c>
      <c r="BO142" s="528"/>
      <c r="BQ142" s="460">
        <f t="shared" si="356"/>
        <v>2037.6999999999996</v>
      </c>
      <c r="BR142" s="528">
        <f t="shared" si="357"/>
        <v>0.58322982179255622</v>
      </c>
      <c r="BS142" s="528">
        <f t="shared" si="358"/>
        <v>0.7020651523990078</v>
      </c>
      <c r="BT142" s="528">
        <f t="shared" si="359"/>
        <v>7.0968412934443247E-5</v>
      </c>
      <c r="BU142" s="528">
        <f t="shared" si="360"/>
        <v>0.66253975738830695</v>
      </c>
      <c r="BV142" s="528"/>
      <c r="BW142" s="625">
        <f t="shared" ref="BW142:BW173" si="469">0.5*Lleak*0.000000001*AI142^2*AM142*1000</f>
        <v>8.0056791523119997E-3</v>
      </c>
      <c r="BX142" s="460">
        <f t="shared" si="362"/>
        <v>1955.9113791451175</v>
      </c>
      <c r="BY142" s="173">
        <f t="shared" si="363"/>
        <v>4.8847942101157926</v>
      </c>
      <c r="BZ142" s="5">
        <f t="shared" si="364"/>
        <v>48.64</v>
      </c>
      <c r="CA142" s="173">
        <f t="shared" si="365"/>
        <v>0.90873773020144366</v>
      </c>
      <c r="CB142" s="5">
        <f t="shared" si="366"/>
        <v>90.87377302014437</v>
      </c>
      <c r="CC142">
        <f t="shared" si="367"/>
        <v>32</v>
      </c>
      <c r="CE142" s="562">
        <f t="shared" ref="CE142:CE173" si="470">IF(ABS(F142-Ioutmax_Vinmin)&lt;Iout/200, AM142, -50)</f>
        <v>-50</v>
      </c>
      <c r="CF142">
        <f t="shared" ref="CF142:CF173" si="471">IF(ABS(F142-Ioutmax_Vinmin)&lt;Iout/200, (O142+P142)*CA142, -50)</f>
        <v>-50</v>
      </c>
      <c r="CG142" s="173">
        <f t="shared" si="370"/>
        <v>0.54755043227665712</v>
      </c>
      <c r="CH142" s="173">
        <f t="shared" ref="CH142:CH173" si="472">MIN(SQRT(2*DT142*1000*Ls2_*(CM142+CK142*Vfwd22))/(Vout2+Vfwd22), 1-DY142)</f>
        <v>6.4398811101315859E-2</v>
      </c>
      <c r="CI142" s="170">
        <v>32</v>
      </c>
      <c r="CJ142" s="217">
        <f t="shared" si="438"/>
        <v>3.2</v>
      </c>
      <c r="CK142" s="217">
        <f t="shared" si="372"/>
        <v>0.08</v>
      </c>
      <c r="CL142" s="217">
        <f t="shared" si="373"/>
        <v>48</v>
      </c>
      <c r="CM142" s="217">
        <f t="shared" si="374"/>
        <v>0.64</v>
      </c>
      <c r="CN142" s="541">
        <f t="shared" si="375"/>
        <v>19</v>
      </c>
      <c r="CO142" s="443">
        <f t="shared" ref="CO142:CO173" si="473">(CW142+Vfwd2)*Nps</f>
        <v>15.7</v>
      </c>
      <c r="CP142" s="443">
        <f t="shared" ref="CP142:CP173" si="474">(Vout+Vfwd2)*Nps+CN142</f>
        <v>34.700000000000003</v>
      </c>
      <c r="CQ142" s="443"/>
      <c r="CR142" s="217">
        <f t="shared" si="378"/>
        <v>0.44767441860465118</v>
      </c>
      <c r="CS142" s="172">
        <f t="shared" si="379"/>
        <v>209.84738372093025</v>
      </c>
      <c r="CT142" s="172">
        <f t="shared" si="380"/>
        <v>2.835271317829458</v>
      </c>
      <c r="CU142" s="217">
        <f t="shared" si="381"/>
        <v>13.989825581395349</v>
      </c>
      <c r="CV142" s="217">
        <f t="shared" si="382"/>
        <v>26.230922965116282</v>
      </c>
      <c r="CW142" s="217">
        <f t="shared" si="383"/>
        <v>15</v>
      </c>
      <c r="CX142" s="217">
        <f t="shared" si="384"/>
        <v>11.436883116883116</v>
      </c>
      <c r="CY142" s="217">
        <f t="shared" si="385"/>
        <v>7.2232946001367049</v>
      </c>
      <c r="CZ142" s="217">
        <f t="shared" si="386"/>
        <v>8.7415667135412356</v>
      </c>
      <c r="DA142" s="197">
        <f t="shared" si="387"/>
        <v>71.63784822286263</v>
      </c>
      <c r="DB142" s="443">
        <f t="shared" si="388"/>
        <v>62.637562604020061</v>
      </c>
      <c r="DD142" s="217">
        <f t="shared" si="389"/>
        <v>10.000000000000002</v>
      </c>
      <c r="DE142" s="173">
        <f t="shared" si="390"/>
        <v>7.6433121019108299</v>
      </c>
      <c r="DF142" s="173">
        <f t="shared" si="391"/>
        <v>2.7017291066282429</v>
      </c>
      <c r="DG142" s="173"/>
      <c r="DH142" s="173">
        <f t="shared" si="392"/>
        <v>7.6433121019108281</v>
      </c>
      <c r="DI142" s="545">
        <f t="shared" si="393"/>
        <v>83.733333333333348</v>
      </c>
      <c r="DJ142" s="528">
        <f t="shared" si="394"/>
        <v>2.7377521613832849</v>
      </c>
      <c r="DL142" s="173">
        <f t="shared" si="395"/>
        <v>4.8126816601459064</v>
      </c>
      <c r="DM142" s="173">
        <f t="shared" si="396"/>
        <v>11.436883116883116</v>
      </c>
      <c r="DN142" s="173">
        <f t="shared" si="397"/>
        <v>2.2643578643578639</v>
      </c>
      <c r="DP142" s="545">
        <f t="shared" si="398"/>
        <v>3200</v>
      </c>
      <c r="DQ142" s="460">
        <f t="shared" si="399"/>
        <v>62.637562604020061</v>
      </c>
      <c r="DS142" s="460">
        <f t="shared" si="400"/>
        <v>3200</v>
      </c>
      <c r="DT142" s="460">
        <f t="shared" si="401"/>
        <v>62.637562604020061</v>
      </c>
      <c r="DV142" s="5">
        <f t="shared" si="402"/>
        <v>15.964861313677941</v>
      </c>
      <c r="DW142" s="5">
        <f t="shared" si="403"/>
        <v>7.2232946001367049</v>
      </c>
      <c r="DX142" s="5">
        <f t="shared" si="404"/>
        <v>8.7415667135412356</v>
      </c>
      <c r="DY142" s="173">
        <f t="shared" si="405"/>
        <v>0.45244956772334288</v>
      </c>
      <c r="EA142" s="5">
        <f t="shared" si="406"/>
        <v>154.09695146958305</v>
      </c>
      <c r="EB142" s="5">
        <f t="shared" si="407"/>
        <v>7.2232946001367049</v>
      </c>
      <c r="EC142" s="5">
        <f t="shared" si="408"/>
        <v>6.1344327814324453</v>
      </c>
      <c r="ED142" s="5"/>
      <c r="EE142" s="173">
        <f t="shared" si="409"/>
        <v>4.4415253394970584</v>
      </c>
      <c r="EF142" s="173">
        <f t="shared" si="410"/>
        <v>4.8860636305401881</v>
      </c>
      <c r="EG142" s="173">
        <f t="shared" si="411"/>
        <v>0.12033129254820542</v>
      </c>
      <c r="EH142" s="173"/>
      <c r="EI142" s="528">
        <f t="shared" si="412"/>
        <v>0.39454294682788921</v>
      </c>
      <c r="EJ142" s="528">
        <f t="shared" si="413"/>
        <v>0.4971666666666667</v>
      </c>
      <c r="EK142" s="528">
        <f t="shared" si="414"/>
        <v>7.8296953255025063E-3</v>
      </c>
      <c r="EL142" s="528">
        <f t="shared" si="415"/>
        <v>7.5421262755874536E-3</v>
      </c>
      <c r="EM142">
        <f t="shared" si="416"/>
        <v>8.5500000000000003E-3</v>
      </c>
      <c r="EN142" s="460">
        <f t="shared" si="417"/>
        <v>16.379695325502507</v>
      </c>
      <c r="EP142" s="460">
        <f t="shared" si="439"/>
        <v>915.63143509564577</v>
      </c>
      <c r="EQ142" s="173">
        <f t="shared" si="418"/>
        <v>2.2399999999999998</v>
      </c>
      <c r="ER142" s="173">
        <f t="shared" ref="ER142:ER173" si="475">Vfwd22*CK142*(1+Diode_TC/1000*(Ta-25))</f>
        <v>3.5499999999999997E-2</v>
      </c>
      <c r="ES142" s="528"/>
      <c r="EU142" s="460">
        <f t="shared" si="420"/>
        <v>2275.4999999999995</v>
      </c>
      <c r="EV142" s="528">
        <f t="shared" si="421"/>
        <v>0.59181442024183373</v>
      </c>
      <c r="EW142" s="528">
        <f t="shared" si="422"/>
        <v>0.7162085340506269</v>
      </c>
      <c r="EX142" s="528">
        <f t="shared" si="423"/>
        <v>7.2398099831608983E-5</v>
      </c>
      <c r="EY142" s="528">
        <f t="shared" si="424"/>
        <v>0.68679375210278804</v>
      </c>
      <c r="EZ142" s="528"/>
      <c r="FA142" s="625">
        <f t="shared" si="425"/>
        <v>8.1931369686989303E-3</v>
      </c>
      <c r="FB142" s="460">
        <f t="shared" si="426"/>
        <v>2003.0822414637792</v>
      </c>
      <c r="FC142" s="173">
        <f t="shared" si="427"/>
        <v>5.194213676559424</v>
      </c>
      <c r="FD142" s="5">
        <f t="shared" si="428"/>
        <v>48.64</v>
      </c>
      <c r="FE142" s="173">
        <f t="shared" si="429"/>
        <v>0.90351463647696795</v>
      </c>
      <c r="FF142" s="5">
        <f t="shared" si="430"/>
        <v>90.351463647696789</v>
      </c>
      <c r="FG142">
        <f t="shared" si="431"/>
        <v>32</v>
      </c>
      <c r="FI142" s="562">
        <f t="shared" si="432"/>
        <v>-50</v>
      </c>
      <c r="FJ142">
        <f t="shared" si="433"/>
        <v>-50</v>
      </c>
    </row>
    <row r="143" spans="5:166">
      <c r="E143" s="170">
        <v>33</v>
      </c>
      <c r="F143" s="217">
        <f t="shared" ref="F143:F174" si="476">IF(PLOT_TYPE=1, E143/100*Iout_max, min_I*EXP(O143*rr/100))</f>
        <v>3.3000000000000003</v>
      </c>
      <c r="G143" s="217">
        <f t="shared" si="444"/>
        <v>8.2500000000000004E-2</v>
      </c>
      <c r="H143" s="217">
        <f t="shared" si="445"/>
        <v>49.500000000000007</v>
      </c>
      <c r="I143" s="217">
        <f t="shared" si="446"/>
        <v>0.66</v>
      </c>
      <c r="J143" s="541">
        <f t="shared" si="447"/>
        <v>18.663978989698307</v>
      </c>
      <c r="K143" s="443">
        <f t="shared" si="448"/>
        <v>15.880805263157894</v>
      </c>
      <c r="L143" s="172">
        <f t="shared" si="449"/>
        <v>34.544784252856203</v>
      </c>
      <c r="M143" s="443"/>
      <c r="N143" s="217">
        <f t="shared" si="450"/>
        <v>0.45971644074878976</v>
      </c>
      <c r="O143" s="172">
        <f t="shared" si="451"/>
        <v>211.68103597091195</v>
      </c>
      <c r="P143" s="172">
        <f t="shared" si="452"/>
        <v>2.8600459971180996</v>
      </c>
      <c r="Q143" s="217">
        <f t="shared" si="322"/>
        <v>14.112069064727462</v>
      </c>
      <c r="R143" s="217">
        <f t="shared" si="453"/>
        <v>26.460129496363994</v>
      </c>
      <c r="S143" s="217">
        <f t="shared" si="454"/>
        <v>15</v>
      </c>
      <c r="T143" s="217">
        <f t="shared" si="455"/>
        <v>11.692119649018068</v>
      </c>
      <c r="U143" s="217">
        <f t="shared" si="326"/>
        <v>7.5174450135021704</v>
      </c>
      <c r="V143" s="217">
        <f t="shared" si="327"/>
        <v>8.8349068868512219</v>
      </c>
      <c r="W143" s="197">
        <f t="shared" si="328"/>
        <v>71.501149927952497</v>
      </c>
      <c r="X143" s="443">
        <f t="shared" si="435"/>
        <v>60.41437531174347</v>
      </c>
      <c r="Z143" s="217">
        <f t="shared" si="329"/>
        <v>9.9999999999999982</v>
      </c>
      <c r="AA143" s="173">
        <f t="shared" si="330"/>
        <v>7.556291888950347</v>
      </c>
      <c r="AB143" s="173">
        <f t="shared" si="456"/>
        <v>2.6658728252526807</v>
      </c>
      <c r="AC143" s="173"/>
      <c r="AD143" s="173">
        <f t="shared" si="332"/>
        <v>7.5562918889503479</v>
      </c>
      <c r="AE143" s="545">
        <f t="shared" si="457"/>
        <v>87.344428947368414</v>
      </c>
      <c r="AF143" s="528">
        <f t="shared" si="458"/>
        <v>2.7014177962560515</v>
      </c>
      <c r="AH143" s="173">
        <f t="shared" si="459"/>
        <v>4.8873013295390626</v>
      </c>
      <c r="AI143" s="173">
        <f t="shared" si="460"/>
        <v>11.692119649018068</v>
      </c>
      <c r="AJ143" s="173">
        <f t="shared" si="461"/>
        <v>2.4534219622356055</v>
      </c>
      <c r="AL143" s="545">
        <f t="shared" si="462"/>
        <v>3300.0000000000005</v>
      </c>
      <c r="AM143" s="460">
        <f t="shared" si="463"/>
        <v>60.41437531174347</v>
      </c>
      <c r="AO143" s="460">
        <f t="shared" si="340"/>
        <v>3300.0000000000005</v>
      </c>
      <c r="AP143" s="460">
        <f t="shared" si="341"/>
        <v>60.41437531174347</v>
      </c>
      <c r="AR143" s="5">
        <f t="shared" si="443"/>
        <v>16.552351900353393</v>
      </c>
      <c r="AS143" s="5">
        <f t="shared" si="440"/>
        <v>7.5174450135021704</v>
      </c>
      <c r="AT143" s="5">
        <f t="shared" si="441"/>
        <v>9.034906886851223</v>
      </c>
      <c r="AU143" s="173">
        <f t="shared" si="442"/>
        <v>0.45416174443111451</v>
      </c>
      <c r="AW143" s="5">
        <f t="shared" si="342"/>
        <v>165.38379029704774</v>
      </c>
      <c r="AX143" s="5">
        <f t="shared" si="343"/>
        <v>7.7523651701741132</v>
      </c>
      <c r="AY143" s="5">
        <f t="shared" si="344"/>
        <v>6.6561353162031409</v>
      </c>
      <c r="AZ143" s="5"/>
      <c r="BA143" s="173">
        <f t="shared" si="345"/>
        <v>4.5492300402078785</v>
      </c>
      <c r="BB143" s="173">
        <f t="shared" si="346"/>
        <v>4.9872898455562371</v>
      </c>
      <c r="BC143" s="173">
        <f t="shared" si="347"/>
        <v>0.12282423619644382</v>
      </c>
      <c r="BD143" s="173"/>
      <c r="BE143" s="528">
        <f t="shared" si="348"/>
        <v>0.41390987917459554</v>
      </c>
      <c r="BF143" s="528">
        <f t="shared" si="464"/>
        <v>0.45752759921078801</v>
      </c>
      <c r="BG143" s="528">
        <f t="shared" si="465"/>
        <v>2.8189315787353206E-2</v>
      </c>
      <c r="BH143" s="528">
        <f t="shared" si="351"/>
        <v>7.2095018657191813E-3</v>
      </c>
      <c r="BI143">
        <f t="shared" si="352"/>
        <v>8.3987905453642379E-3</v>
      </c>
      <c r="BJ143" s="460">
        <f t="shared" si="436"/>
        <v>36.588106332717445</v>
      </c>
      <c r="BK143">
        <f t="shared" si="466"/>
        <v>1.0984274846468987</v>
      </c>
      <c r="BL143" s="460">
        <f t="shared" si="437"/>
        <v>915.23508658382013</v>
      </c>
      <c r="BM143" s="173">
        <f t="shared" si="467"/>
        <v>2.050125</v>
      </c>
      <c r="BN143" s="173">
        <f t="shared" si="468"/>
        <v>5.1253124999999997E-2</v>
      </c>
      <c r="BO143" s="528"/>
      <c r="BQ143" s="460">
        <f t="shared" si="356"/>
        <v>2101.3781250000002</v>
      </c>
      <c r="BR143" s="528">
        <f t="shared" si="357"/>
        <v>0.62086481876189326</v>
      </c>
      <c r="BS143" s="528">
        <f t="shared" si="358"/>
        <v>0.74619180010765063</v>
      </c>
      <c r="BT143" s="528">
        <f t="shared" si="359"/>
        <v>7.5428964986199113E-5</v>
      </c>
      <c r="BU143" s="528">
        <f t="shared" si="360"/>
        <v>0.66306156570626695</v>
      </c>
      <c r="BV143" s="528"/>
      <c r="BW143" s="625">
        <f t="shared" si="469"/>
        <v>8.2589871644787663E-3</v>
      </c>
      <c r="BX143" s="460">
        <f t="shared" si="362"/>
        <v>2038.4526007052757</v>
      </c>
      <c r="BY143" s="173">
        <f t="shared" si="363"/>
        <v>5.0550658122890955</v>
      </c>
      <c r="BZ143" s="5">
        <f t="shared" si="364"/>
        <v>50.160000000000004</v>
      </c>
      <c r="CA143" s="173">
        <f t="shared" si="365"/>
        <v>0.90844770828537169</v>
      </c>
      <c r="CB143" s="5">
        <f t="shared" si="366"/>
        <v>90.844770828537165</v>
      </c>
      <c r="CC143">
        <f t="shared" si="367"/>
        <v>33</v>
      </c>
      <c r="CE143" s="562">
        <f t="shared" si="470"/>
        <v>-50</v>
      </c>
      <c r="CF143">
        <f t="shared" si="471"/>
        <v>-50</v>
      </c>
      <c r="CG143" s="173">
        <f t="shared" si="370"/>
        <v>0.54755043227665712</v>
      </c>
      <c r="CH143" s="173">
        <f t="shared" si="472"/>
        <v>6.4398811101315845E-2</v>
      </c>
      <c r="CI143" s="170">
        <v>33</v>
      </c>
      <c r="CJ143" s="217">
        <f t="shared" si="438"/>
        <v>3.3000000000000003</v>
      </c>
      <c r="CK143" s="217">
        <f t="shared" si="372"/>
        <v>8.2500000000000004E-2</v>
      </c>
      <c r="CL143" s="217">
        <f t="shared" si="373"/>
        <v>49.500000000000007</v>
      </c>
      <c r="CM143" s="217">
        <f t="shared" si="374"/>
        <v>0.66</v>
      </c>
      <c r="CN143" s="541">
        <f t="shared" si="375"/>
        <v>19</v>
      </c>
      <c r="CO143" s="443">
        <f t="shared" si="473"/>
        <v>15.7</v>
      </c>
      <c r="CP143" s="443">
        <f t="shared" si="474"/>
        <v>34.700000000000003</v>
      </c>
      <c r="CQ143" s="443"/>
      <c r="CR143" s="217">
        <f t="shared" si="378"/>
        <v>0.44767441860465118</v>
      </c>
      <c r="CS143" s="172">
        <f t="shared" si="379"/>
        <v>209.84738372093025</v>
      </c>
      <c r="CT143" s="172">
        <f t="shared" si="380"/>
        <v>2.835271317829458</v>
      </c>
      <c r="CU143" s="217">
        <f t="shared" si="381"/>
        <v>13.989825581395349</v>
      </c>
      <c r="CV143" s="217">
        <f t="shared" si="382"/>
        <v>26.230922965116282</v>
      </c>
      <c r="CW143" s="217">
        <f t="shared" si="383"/>
        <v>15</v>
      </c>
      <c r="CX143" s="217">
        <f t="shared" si="384"/>
        <v>11.794285714285715</v>
      </c>
      <c r="CY143" s="217">
        <f t="shared" si="385"/>
        <v>7.449022556390978</v>
      </c>
      <c r="CZ143" s="217">
        <f t="shared" si="386"/>
        <v>9.0147406733394</v>
      </c>
      <c r="DA143" s="197">
        <f t="shared" si="387"/>
        <v>71.63784822286263</v>
      </c>
      <c r="DB143" s="443">
        <f t="shared" si="388"/>
        <v>60.739454646322471</v>
      </c>
      <c r="DD143" s="217">
        <f t="shared" si="389"/>
        <v>10.000000000000002</v>
      </c>
      <c r="DE143" s="173">
        <f t="shared" si="390"/>
        <v>7.6433121019108299</v>
      </c>
      <c r="DF143" s="173">
        <f t="shared" si="391"/>
        <v>2.7017291066282429</v>
      </c>
      <c r="DG143" s="173"/>
      <c r="DH143" s="173">
        <f t="shared" si="392"/>
        <v>7.6433121019108281</v>
      </c>
      <c r="DI143" s="545">
        <f t="shared" si="393"/>
        <v>86.350000000000009</v>
      </c>
      <c r="DJ143" s="528">
        <f t="shared" si="394"/>
        <v>2.7377521613832849</v>
      </c>
      <c r="DL143" s="173">
        <f t="shared" si="395"/>
        <v>4.8873013295390626</v>
      </c>
      <c r="DM143" s="173">
        <f t="shared" si="396"/>
        <v>11.794285714285715</v>
      </c>
      <c r="DN143" s="173">
        <f t="shared" si="397"/>
        <v>2.5291005291005302</v>
      </c>
      <c r="DP143" s="545">
        <f t="shared" si="398"/>
        <v>3300.0000000000005</v>
      </c>
      <c r="DQ143" s="460">
        <f t="shared" si="399"/>
        <v>60.739454646322471</v>
      </c>
      <c r="DS143" s="460">
        <f t="shared" si="400"/>
        <v>3300.0000000000005</v>
      </c>
      <c r="DT143" s="460">
        <f t="shared" si="401"/>
        <v>60.739454646322471</v>
      </c>
      <c r="DV143" s="5">
        <f t="shared" si="402"/>
        <v>16.463763229730379</v>
      </c>
      <c r="DW143" s="5">
        <f t="shared" si="403"/>
        <v>7.449022556390978</v>
      </c>
      <c r="DX143" s="5">
        <f t="shared" si="404"/>
        <v>9.0147406733394</v>
      </c>
      <c r="DY143" s="173">
        <f t="shared" si="405"/>
        <v>0.45244956772334294</v>
      </c>
      <c r="EA143" s="5">
        <f t="shared" si="406"/>
        <v>163.87849624060152</v>
      </c>
      <c r="EB143" s="5">
        <f t="shared" si="407"/>
        <v>7.6818045112781963</v>
      </c>
      <c r="EC143" s="5">
        <f t="shared" si="408"/>
        <v>6.5238254872850927</v>
      </c>
      <c r="ED143" s="5"/>
      <c r="EE143" s="173">
        <f t="shared" si="409"/>
        <v>4.580323006356342</v>
      </c>
      <c r="EF143" s="173">
        <f t="shared" si="410"/>
        <v>5.0387531189945705</v>
      </c>
      <c r="EG143" s="173">
        <f t="shared" si="411"/>
        <v>0.12409164544033689</v>
      </c>
      <c r="EH143" s="173"/>
      <c r="EI143" s="528">
        <f t="shared" si="412"/>
        <v>0.41958717685114399</v>
      </c>
      <c r="EJ143" s="528">
        <f t="shared" si="413"/>
        <v>0.49716666666666665</v>
      </c>
      <c r="EK143" s="528">
        <f t="shared" si="414"/>
        <v>7.5924318307903091E-3</v>
      </c>
      <c r="EL143" s="528">
        <f t="shared" si="415"/>
        <v>7.3135769945090441E-3</v>
      </c>
      <c r="EM143">
        <f t="shared" si="416"/>
        <v>8.5500000000000003E-3</v>
      </c>
      <c r="EN143" s="460">
        <f t="shared" si="417"/>
        <v>16.142431830790311</v>
      </c>
      <c r="EP143" s="460">
        <f t="shared" si="439"/>
        <v>940.2098523431099</v>
      </c>
      <c r="EQ143" s="173">
        <f t="shared" si="418"/>
        <v>2.31</v>
      </c>
      <c r="ER143" s="173">
        <f t="shared" si="475"/>
        <v>3.6609375E-2</v>
      </c>
      <c r="ES143" s="528"/>
      <c r="EU143" s="460">
        <f t="shared" si="420"/>
        <v>2346.609375</v>
      </c>
      <c r="EV143" s="528">
        <f t="shared" si="421"/>
        <v>0.62938076527671594</v>
      </c>
      <c r="EW143" s="528">
        <f t="shared" si="422"/>
        <v>0.76167098982532533</v>
      </c>
      <c r="EX143" s="528">
        <f t="shared" si="423"/>
        <v>7.699368234045142E-5</v>
      </c>
      <c r="EY143" s="528">
        <f t="shared" si="424"/>
        <v>0.6867937521027887</v>
      </c>
      <c r="EZ143" s="528"/>
      <c r="FA143" s="625">
        <f t="shared" si="425"/>
        <v>8.4491724989707688E-3</v>
      </c>
      <c r="FB143" s="460">
        <f t="shared" si="426"/>
        <v>2086.3716733861411</v>
      </c>
      <c r="FC143" s="173">
        <f t="shared" si="427"/>
        <v>5.3731909007292513</v>
      </c>
      <c r="FD143" s="5">
        <f t="shared" si="428"/>
        <v>50.160000000000004</v>
      </c>
      <c r="FE143" s="173">
        <f t="shared" si="429"/>
        <v>0.90324361316938684</v>
      </c>
      <c r="FF143" s="5">
        <f t="shared" si="430"/>
        <v>90.324361316938678</v>
      </c>
      <c r="FG143">
        <f t="shared" si="431"/>
        <v>33</v>
      </c>
      <c r="FI143" s="562">
        <f t="shared" si="432"/>
        <v>-50</v>
      </c>
      <c r="FJ143">
        <f t="shared" si="433"/>
        <v>-50</v>
      </c>
    </row>
    <row r="144" spans="5:166">
      <c r="E144" s="170">
        <v>34</v>
      </c>
      <c r="F144" s="217">
        <f t="shared" si="476"/>
        <v>3.4000000000000004</v>
      </c>
      <c r="G144" s="217">
        <f t="shared" si="444"/>
        <v>8.5000000000000006E-2</v>
      </c>
      <c r="H144" s="217">
        <f t="shared" si="445"/>
        <v>51.000000000000007</v>
      </c>
      <c r="I144" s="217">
        <f t="shared" si="446"/>
        <v>0.68</v>
      </c>
      <c r="J144" s="541">
        <f t="shared" si="447"/>
        <v>18.65379653484068</v>
      </c>
      <c r="K144" s="443">
        <f t="shared" si="448"/>
        <v>15.886284210526314</v>
      </c>
      <c r="L144" s="172">
        <f t="shared" si="449"/>
        <v>34.540080745366993</v>
      </c>
      <c r="M144" s="443"/>
      <c r="N144" s="217">
        <f t="shared" si="450"/>
        <v>0.45993766857818391</v>
      </c>
      <c r="O144" s="172">
        <f t="shared" si="451"/>
        <v>211.6673607327244</v>
      </c>
      <c r="P144" s="172">
        <f t="shared" si="452"/>
        <v>2.8598612294554764</v>
      </c>
      <c r="Q144" s="217">
        <f t="shared" si="322"/>
        <v>14.111157382181627</v>
      </c>
      <c r="R144" s="217">
        <f t="shared" si="453"/>
        <v>26.458420091590551</v>
      </c>
      <c r="S144" s="217">
        <f t="shared" si="454"/>
        <v>15</v>
      </c>
      <c r="T144" s="217">
        <f t="shared" si="455"/>
        <v>12.047204591074976</v>
      </c>
      <c r="U144" s="217">
        <f t="shared" si="326"/>
        <v>7.7499749084796408</v>
      </c>
      <c r="V144" s="217">
        <f t="shared" si="327"/>
        <v>9.1000798661973707</v>
      </c>
      <c r="W144" s="197">
        <f t="shared" si="328"/>
        <v>71.496530736386902</v>
      </c>
      <c r="X144" s="443">
        <f t="shared" si="435"/>
        <v>58.650837971806077</v>
      </c>
      <c r="Z144" s="217">
        <f t="shared" si="329"/>
        <v>10</v>
      </c>
      <c r="AA144" s="173">
        <f t="shared" si="330"/>
        <v>7.5536858342549058</v>
      </c>
      <c r="AB144" s="173">
        <f t="shared" si="456"/>
        <v>2.6647812405681721</v>
      </c>
      <c r="AC144" s="173"/>
      <c r="AD144" s="173">
        <f t="shared" si="332"/>
        <v>7.5536858342549058</v>
      </c>
      <c r="AE144" s="545">
        <f t="shared" si="457"/>
        <v>90.022277192982457</v>
      </c>
      <c r="AF144" s="528">
        <f t="shared" si="458"/>
        <v>2.7003116571090811</v>
      </c>
      <c r="AH144" s="173">
        <f t="shared" si="459"/>
        <v>4.960798706813633</v>
      </c>
      <c r="AI144" s="173">
        <f t="shared" si="460"/>
        <v>12.047204591074976</v>
      </c>
      <c r="AJ144" s="173">
        <f t="shared" si="461"/>
        <v>2.7164478452407232</v>
      </c>
      <c r="AL144" s="545">
        <f t="shared" si="462"/>
        <v>3400.0000000000005</v>
      </c>
      <c r="AM144" s="460">
        <f t="shared" si="463"/>
        <v>58.650837971806077</v>
      </c>
      <c r="AO144" s="460">
        <f t="shared" si="340"/>
        <v>3400.0000000000005</v>
      </c>
      <c r="AP144" s="460">
        <f t="shared" si="341"/>
        <v>58.650837971806077</v>
      </c>
      <c r="AR144" s="5">
        <f t="shared" si="443"/>
        <v>17.050054774677012</v>
      </c>
      <c r="AS144" s="5">
        <f t="shared" si="440"/>
        <v>7.7499749084796408</v>
      </c>
      <c r="AT144" s="5">
        <f t="shared" si="441"/>
        <v>9.3000798661973718</v>
      </c>
      <c r="AU144" s="173">
        <f t="shared" si="442"/>
        <v>0.45454252264280204</v>
      </c>
      <c r="AW144" s="5">
        <f t="shared" si="342"/>
        <v>175.66609792553857</v>
      </c>
      <c r="AX144" s="5">
        <f t="shared" si="343"/>
        <v>8.2343483402596185</v>
      </c>
      <c r="AY144" s="5">
        <f t="shared" si="344"/>
        <v>7.0629660397398233</v>
      </c>
      <c r="AZ144" s="5"/>
      <c r="BA144" s="173">
        <f t="shared" si="345"/>
        <v>4.6893529034528605</v>
      </c>
      <c r="BB144" s="173">
        <f t="shared" si="346"/>
        <v>5.1369591037192643</v>
      </c>
      <c r="BC144" s="173">
        <f t="shared" si="347"/>
        <v>0.12651020851512543</v>
      </c>
      <c r="BD144" s="173"/>
      <c r="BE144" s="528">
        <f t="shared" si="348"/>
        <v>0.43980061306243551</v>
      </c>
      <c r="BF144" s="528">
        <f t="shared" si="464"/>
        <v>0.45759906437701781</v>
      </c>
      <c r="BG144" s="528">
        <f t="shared" si="465"/>
        <v>2.7351519953099455E-2</v>
      </c>
      <c r="BH144" s="528">
        <f t="shared" si="351"/>
        <v>6.9971457198387292E-3</v>
      </c>
      <c r="BI144">
        <f t="shared" si="352"/>
        <v>8.3942084406783066E-3</v>
      </c>
      <c r="BJ144" s="460">
        <f t="shared" si="436"/>
        <v>35.745728393777767</v>
      </c>
      <c r="BK144">
        <f t="shared" si="466"/>
        <v>1.1425339289696979</v>
      </c>
      <c r="BL144" s="460">
        <f t="shared" si="437"/>
        <v>940.14255155306978</v>
      </c>
      <c r="BM144" s="173">
        <f t="shared" si="467"/>
        <v>2.11225</v>
      </c>
      <c r="BN144" s="173">
        <f t="shared" si="468"/>
        <v>5.2806249999999992E-2</v>
      </c>
      <c r="BO144" s="528"/>
      <c r="BQ144" s="460">
        <f t="shared" si="356"/>
        <v>2165.0562500000001</v>
      </c>
      <c r="BR144" s="528">
        <f t="shared" si="357"/>
        <v>0.65970091959365318</v>
      </c>
      <c r="BS144" s="528">
        <f t="shared" si="358"/>
        <v>0.79165046499852676</v>
      </c>
      <c r="BT144" s="528">
        <f t="shared" si="359"/>
        <v>8.0024164292702562E-5</v>
      </c>
      <c r="BU144" s="528">
        <f t="shared" si="360"/>
        <v>0.66354636206394557</v>
      </c>
      <c r="BV144" s="528"/>
      <c r="BW144" s="625">
        <f t="shared" si="469"/>
        <v>8.5122974897872353E-3</v>
      </c>
      <c r="BX144" s="460">
        <f t="shared" si="362"/>
        <v>2123.4900683102055</v>
      </c>
      <c r="BY144" s="173">
        <f t="shared" si="363"/>
        <v>5.2286888698632747</v>
      </c>
      <c r="BZ144" s="5">
        <f t="shared" si="364"/>
        <v>51.680000000000007</v>
      </c>
      <c r="CA144" s="173">
        <f t="shared" si="365"/>
        <v>0.90812143147736102</v>
      </c>
      <c r="CB144" s="5">
        <f t="shared" si="366"/>
        <v>90.812143147736109</v>
      </c>
      <c r="CC144">
        <f t="shared" si="367"/>
        <v>34</v>
      </c>
      <c r="CE144" s="562">
        <f t="shared" si="470"/>
        <v>-50</v>
      </c>
      <c r="CF144">
        <f t="shared" si="471"/>
        <v>-50</v>
      </c>
      <c r="CG144" s="173">
        <f t="shared" si="370"/>
        <v>0.54755043227665712</v>
      </c>
      <c r="CH144" s="173">
        <f t="shared" si="472"/>
        <v>6.4398811101315845E-2</v>
      </c>
      <c r="CI144" s="170">
        <v>34</v>
      </c>
      <c r="CJ144" s="217">
        <f t="shared" si="438"/>
        <v>3.4000000000000004</v>
      </c>
      <c r="CK144" s="217">
        <f t="shared" si="372"/>
        <v>8.5000000000000006E-2</v>
      </c>
      <c r="CL144" s="217">
        <f t="shared" si="373"/>
        <v>51.000000000000007</v>
      </c>
      <c r="CM144" s="217">
        <f t="shared" si="374"/>
        <v>0.68</v>
      </c>
      <c r="CN144" s="541">
        <f t="shared" si="375"/>
        <v>19</v>
      </c>
      <c r="CO144" s="443">
        <f t="shared" si="473"/>
        <v>15.7</v>
      </c>
      <c r="CP144" s="443">
        <f t="shared" si="474"/>
        <v>34.700000000000003</v>
      </c>
      <c r="CQ144" s="443"/>
      <c r="CR144" s="217">
        <f t="shared" si="378"/>
        <v>0.44767441860465118</v>
      </c>
      <c r="CS144" s="172">
        <f t="shared" si="379"/>
        <v>209.84738372093025</v>
      </c>
      <c r="CT144" s="172">
        <f t="shared" si="380"/>
        <v>2.835271317829458</v>
      </c>
      <c r="CU144" s="217">
        <f t="shared" si="381"/>
        <v>13.989825581395349</v>
      </c>
      <c r="CV144" s="217">
        <f t="shared" si="382"/>
        <v>26.230922965116282</v>
      </c>
      <c r="CW144" s="217">
        <f t="shared" si="383"/>
        <v>15</v>
      </c>
      <c r="CX144" s="217">
        <f t="shared" si="384"/>
        <v>12.151688311688313</v>
      </c>
      <c r="CY144" s="217">
        <f t="shared" si="385"/>
        <v>7.6747505126452493</v>
      </c>
      <c r="CZ144" s="217">
        <f t="shared" si="386"/>
        <v>9.2879146331375644</v>
      </c>
      <c r="DA144" s="197">
        <f t="shared" si="387"/>
        <v>71.63784822286263</v>
      </c>
      <c r="DB144" s="443">
        <f t="shared" si="388"/>
        <v>58.953000097901224</v>
      </c>
      <c r="DD144" s="217">
        <f t="shared" si="389"/>
        <v>10.000000000000002</v>
      </c>
      <c r="DE144" s="173">
        <f t="shared" si="390"/>
        <v>7.6433121019108299</v>
      </c>
      <c r="DF144" s="173">
        <f t="shared" si="391"/>
        <v>2.7017291066282429</v>
      </c>
      <c r="DG144" s="173"/>
      <c r="DH144" s="173">
        <f t="shared" si="392"/>
        <v>7.6433121019108281</v>
      </c>
      <c r="DI144" s="545">
        <f t="shared" si="393"/>
        <v>88.966666666666683</v>
      </c>
      <c r="DJ144" s="528">
        <f t="shared" si="394"/>
        <v>2.7377521613832849</v>
      </c>
      <c r="DL144" s="173">
        <f t="shared" si="395"/>
        <v>4.960798706813633</v>
      </c>
      <c r="DM144" s="173">
        <f t="shared" si="396"/>
        <v>12.151688311688313</v>
      </c>
      <c r="DN144" s="173">
        <f t="shared" si="397"/>
        <v>2.7938431938431947</v>
      </c>
      <c r="DP144" s="545">
        <f t="shared" si="398"/>
        <v>3400.0000000000005</v>
      </c>
      <c r="DQ144" s="460">
        <f t="shared" si="399"/>
        <v>58.953000097901224</v>
      </c>
      <c r="DS144" s="460">
        <f t="shared" si="400"/>
        <v>3400.0000000000005</v>
      </c>
      <c r="DT144" s="460">
        <f t="shared" si="401"/>
        <v>58.953000097901224</v>
      </c>
      <c r="DV144" s="5">
        <f t="shared" si="402"/>
        <v>16.962665145782815</v>
      </c>
      <c r="DW144" s="5">
        <f t="shared" si="403"/>
        <v>7.6747505126452493</v>
      </c>
      <c r="DX144" s="5">
        <f t="shared" si="404"/>
        <v>9.2879146331375644</v>
      </c>
      <c r="DY144" s="173">
        <f t="shared" si="405"/>
        <v>0.45244956772334288</v>
      </c>
      <c r="EA144" s="5">
        <f t="shared" si="406"/>
        <v>173.96101161995901</v>
      </c>
      <c r="EB144" s="5">
        <f t="shared" si="407"/>
        <v>8.1544224196855772</v>
      </c>
      <c r="EC144" s="5">
        <f t="shared" si="408"/>
        <v>6.925199507163974</v>
      </c>
      <c r="ED144" s="5"/>
      <c r="EE144" s="173">
        <f t="shared" si="409"/>
        <v>4.7191206732156248</v>
      </c>
      <c r="EF144" s="173">
        <f t="shared" si="410"/>
        <v>5.191442607448951</v>
      </c>
      <c r="EG144" s="173">
        <f t="shared" si="411"/>
        <v>0.1278519983324683</v>
      </c>
      <c r="EH144" s="173"/>
      <c r="EI144" s="528">
        <f t="shared" si="412"/>
        <v>0.44540199856742185</v>
      </c>
      <c r="EJ144" s="528">
        <f t="shared" si="413"/>
        <v>0.49716666666666665</v>
      </c>
      <c r="EK144" s="528">
        <f t="shared" si="414"/>
        <v>7.3691250122376525E-3</v>
      </c>
      <c r="EL144" s="528">
        <f t="shared" si="415"/>
        <v>7.0984717887881904E-3</v>
      </c>
      <c r="EM144">
        <f t="shared" si="416"/>
        <v>8.5500000000000003E-3</v>
      </c>
      <c r="EN144" s="460">
        <f t="shared" si="417"/>
        <v>15.919125012237654</v>
      </c>
      <c r="EP144" s="460">
        <f t="shared" si="439"/>
        <v>965.58626203511437</v>
      </c>
      <c r="EQ144" s="173">
        <f t="shared" si="418"/>
        <v>2.38</v>
      </c>
      <c r="ER144" s="173">
        <f t="shared" si="475"/>
        <v>3.7718750000000002E-2</v>
      </c>
      <c r="ES144" s="528"/>
      <c r="EU144" s="460">
        <f t="shared" si="420"/>
        <v>2417.7187499999995</v>
      </c>
      <c r="EV144" s="528">
        <f t="shared" si="421"/>
        <v>0.6681029978511327</v>
      </c>
      <c r="EW144" s="528">
        <f t="shared" si="422"/>
        <v>0.80853229039309082</v>
      </c>
      <c r="EX144" s="528">
        <f t="shared" si="423"/>
        <v>8.1730667388027375E-5</v>
      </c>
      <c r="EY144" s="528">
        <f t="shared" si="424"/>
        <v>0.68679375210278815</v>
      </c>
      <c r="EZ144" s="528"/>
      <c r="FA144" s="625">
        <f t="shared" si="425"/>
        <v>8.7052080292426108E-3</v>
      </c>
      <c r="FB144" s="460">
        <f t="shared" si="426"/>
        <v>2172.2159790436422</v>
      </c>
      <c r="FC144" s="173">
        <f t="shared" si="427"/>
        <v>5.5555209910787555</v>
      </c>
      <c r="FD144" s="5">
        <f t="shared" si="428"/>
        <v>51.680000000000007</v>
      </c>
      <c r="FE144" s="173">
        <f t="shared" si="429"/>
        <v>0.90293578367278793</v>
      </c>
      <c r="FF144" s="5">
        <f t="shared" si="430"/>
        <v>90.293578367278798</v>
      </c>
      <c r="FG144">
        <f t="shared" si="431"/>
        <v>34</v>
      </c>
      <c r="FI144" s="562">
        <f t="shared" si="432"/>
        <v>-50</v>
      </c>
      <c r="FJ144">
        <f t="shared" si="433"/>
        <v>-50</v>
      </c>
    </row>
    <row r="145" spans="5:166">
      <c r="E145" s="170">
        <v>35</v>
      </c>
      <c r="F145" s="217">
        <f t="shared" si="476"/>
        <v>3.5</v>
      </c>
      <c r="G145" s="217">
        <f t="shared" si="444"/>
        <v>8.7499999999999994E-2</v>
      </c>
      <c r="H145" s="217">
        <f t="shared" si="445"/>
        <v>52.5</v>
      </c>
      <c r="I145" s="217">
        <f t="shared" si="446"/>
        <v>0.7</v>
      </c>
      <c r="J145" s="541">
        <f t="shared" si="447"/>
        <v>18.643614079983053</v>
      </c>
      <c r="K145" s="443">
        <f t="shared" si="448"/>
        <v>15.891763157894736</v>
      </c>
      <c r="L145" s="172">
        <f t="shared" si="449"/>
        <v>34.535377237877789</v>
      </c>
      <c r="M145" s="443"/>
      <c r="N145" s="217">
        <f t="shared" si="450"/>
        <v>0.46015895666733686</v>
      </c>
      <c r="O145" s="172">
        <f t="shared" si="451"/>
        <v>211.65360206135213</v>
      </c>
      <c r="P145" s="172">
        <f t="shared" si="452"/>
        <v>2.8596753345178247</v>
      </c>
      <c r="Q145" s="217">
        <f t="shared" si="322"/>
        <v>14.110240137423476</v>
      </c>
      <c r="R145" s="217">
        <f t="shared" si="453"/>
        <v>26.456700257669016</v>
      </c>
      <c r="S145" s="217">
        <f t="shared" si="454"/>
        <v>15</v>
      </c>
      <c r="T145" s="217">
        <f t="shared" si="455"/>
        <v>12.402340307154754</v>
      </c>
      <c r="U145" s="217">
        <f t="shared" si="326"/>
        <v>7.9827914827763005</v>
      </c>
      <c r="V145" s="217">
        <f t="shared" si="327"/>
        <v>9.3651083399089021</v>
      </c>
      <c r="W145" s="197">
        <f t="shared" si="328"/>
        <v>71.491883362945615</v>
      </c>
      <c r="X145" s="443">
        <f t="shared" si="435"/>
        <v>56.986876498305577</v>
      </c>
      <c r="Z145" s="217">
        <f t="shared" si="329"/>
        <v>9.9999999999999982</v>
      </c>
      <c r="AA145" s="173">
        <f t="shared" si="330"/>
        <v>7.5510815765201089</v>
      </c>
      <c r="AB145" s="173">
        <f t="shared" si="456"/>
        <v>2.6636893585493238</v>
      </c>
      <c r="AC145" s="173"/>
      <c r="AD145" s="173">
        <f t="shared" si="332"/>
        <v>7.5510815765201107</v>
      </c>
      <c r="AE145" s="545">
        <f t="shared" si="457"/>
        <v>92.701951754385973</v>
      </c>
      <c r="AF145" s="528">
        <f t="shared" si="458"/>
        <v>2.6992052166633163</v>
      </c>
      <c r="AH145" s="173">
        <f t="shared" si="459"/>
        <v>5.0332229568471663</v>
      </c>
      <c r="AI145" s="173">
        <f t="shared" si="460"/>
        <v>12.402340307154754</v>
      </c>
      <c r="AJ145" s="173">
        <f t="shared" si="461"/>
        <v>2.9795113386331509</v>
      </c>
      <c r="AL145" s="545">
        <f t="shared" si="462"/>
        <v>3500</v>
      </c>
      <c r="AM145" s="460">
        <f t="shared" si="463"/>
        <v>56.986876498305577</v>
      </c>
      <c r="AO145" s="460">
        <f t="shared" si="340"/>
        <v>3500</v>
      </c>
      <c r="AP145" s="460">
        <f t="shared" si="341"/>
        <v>56.986876498305577</v>
      </c>
      <c r="AR145" s="5">
        <f t="shared" si="443"/>
        <v>17.547899822685203</v>
      </c>
      <c r="AS145" s="5">
        <f t="shared" si="440"/>
        <v>7.9827914827763005</v>
      </c>
      <c r="AT145" s="5">
        <f t="shared" si="441"/>
        <v>9.5651083399089032</v>
      </c>
      <c r="AU145" s="173">
        <f t="shared" si="442"/>
        <v>0.45491435234069871</v>
      </c>
      <c r="AW145" s="5">
        <f t="shared" si="342"/>
        <v>186.26513459811366</v>
      </c>
      <c r="AX145" s="5">
        <f t="shared" si="343"/>
        <v>8.7311781842865788</v>
      </c>
      <c r="AY145" s="5">
        <f t="shared" si="344"/>
        <v>7.4819808376158452</v>
      </c>
      <c r="AZ145" s="5"/>
      <c r="BA145" s="173">
        <f t="shared" si="345"/>
        <v>4.8295630017102544</v>
      </c>
      <c r="BB145" s="173">
        <f t="shared" si="346"/>
        <v>5.2865870758618856</v>
      </c>
      <c r="BC145" s="173">
        <f t="shared" si="347"/>
        <v>0.13019516406436332</v>
      </c>
      <c r="BD145" s="173"/>
      <c r="BE145" s="528">
        <f t="shared" si="348"/>
        <v>0.46649357574977124</v>
      </c>
      <c r="BF145" s="528">
        <f t="shared" si="464"/>
        <v>0.45766107212415463</v>
      </c>
      <c r="BG145" s="528">
        <f t="shared" si="465"/>
        <v>2.6561033326451627E-2</v>
      </c>
      <c r="BH145" s="528">
        <f t="shared" si="351"/>
        <v>6.7967807715693922E-3</v>
      </c>
      <c r="BI145">
        <f t="shared" si="352"/>
        <v>8.3896263359923735E-3</v>
      </c>
      <c r="BJ145" s="460">
        <f t="shared" si="436"/>
        <v>34.950659662443996</v>
      </c>
      <c r="BK145">
        <f t="shared" si="466"/>
        <v>1.1886537352064441</v>
      </c>
      <c r="BL145" s="460">
        <f t="shared" si="437"/>
        <v>965.90208830793938</v>
      </c>
      <c r="BM145" s="173">
        <f t="shared" si="467"/>
        <v>2.1743749999999995</v>
      </c>
      <c r="BN145" s="173">
        <f t="shared" si="468"/>
        <v>5.4359374999999988E-2</v>
      </c>
      <c r="BO145" s="528"/>
      <c r="BQ145" s="460">
        <f t="shared" si="356"/>
        <v>2228.7343749999991</v>
      </c>
      <c r="BR145" s="528">
        <f t="shared" si="357"/>
        <v>0.69974036362465686</v>
      </c>
      <c r="BS145" s="528">
        <f t="shared" si="358"/>
        <v>0.83844008732009756</v>
      </c>
      <c r="BT145" s="528">
        <f t="shared" si="359"/>
        <v>8.4753903728732426E-5</v>
      </c>
      <c r="BU145" s="528">
        <f t="shared" si="360"/>
        <v>0.66399719941984947</v>
      </c>
      <c r="BV145" s="528"/>
      <c r="BW145" s="625">
        <f t="shared" si="469"/>
        <v>8.7656099390096744E-3</v>
      </c>
      <c r="BX145" s="460">
        <f t="shared" si="362"/>
        <v>2211.0280142073425</v>
      </c>
      <c r="BY145" s="173">
        <f t="shared" si="363"/>
        <v>5.4056644775152813</v>
      </c>
      <c r="BZ145" s="5">
        <f t="shared" si="364"/>
        <v>53.2</v>
      </c>
      <c r="CA145" s="173">
        <f t="shared" si="365"/>
        <v>0.90776208194705776</v>
      </c>
      <c r="CB145" s="5">
        <f t="shared" si="366"/>
        <v>90.776208194705774</v>
      </c>
      <c r="CC145">
        <f t="shared" si="367"/>
        <v>35</v>
      </c>
      <c r="CE145" s="562">
        <f t="shared" si="470"/>
        <v>-50</v>
      </c>
      <c r="CF145">
        <f t="shared" si="471"/>
        <v>-50</v>
      </c>
      <c r="CG145" s="173">
        <f t="shared" si="370"/>
        <v>0.54755043227665712</v>
      </c>
      <c r="CH145" s="173">
        <f t="shared" si="472"/>
        <v>6.4398811101315831E-2</v>
      </c>
      <c r="CI145" s="170">
        <v>35</v>
      </c>
      <c r="CJ145" s="217">
        <f t="shared" si="438"/>
        <v>3.5</v>
      </c>
      <c r="CK145" s="217">
        <f t="shared" si="372"/>
        <v>8.7499999999999994E-2</v>
      </c>
      <c r="CL145" s="217">
        <f t="shared" si="373"/>
        <v>52.5</v>
      </c>
      <c r="CM145" s="217">
        <f t="shared" si="374"/>
        <v>0.7</v>
      </c>
      <c r="CN145" s="541">
        <f t="shared" si="375"/>
        <v>19</v>
      </c>
      <c r="CO145" s="443">
        <f t="shared" si="473"/>
        <v>15.7</v>
      </c>
      <c r="CP145" s="443">
        <f t="shared" si="474"/>
        <v>34.700000000000003</v>
      </c>
      <c r="CQ145" s="443"/>
      <c r="CR145" s="217">
        <f t="shared" si="378"/>
        <v>0.44767441860465118</v>
      </c>
      <c r="CS145" s="172">
        <f t="shared" si="379"/>
        <v>209.84738372093025</v>
      </c>
      <c r="CT145" s="172">
        <f t="shared" si="380"/>
        <v>2.835271317829458</v>
      </c>
      <c r="CU145" s="217">
        <f t="shared" si="381"/>
        <v>13.989825581395349</v>
      </c>
      <c r="CV145" s="217">
        <f t="shared" si="382"/>
        <v>26.230922965116282</v>
      </c>
      <c r="CW145" s="217">
        <f t="shared" si="383"/>
        <v>15</v>
      </c>
      <c r="CX145" s="217">
        <f t="shared" si="384"/>
        <v>12.50909090909091</v>
      </c>
      <c r="CY145" s="217">
        <f t="shared" si="385"/>
        <v>7.9004784688995233</v>
      </c>
      <c r="CZ145" s="217">
        <f t="shared" si="386"/>
        <v>9.5610885929357288</v>
      </c>
      <c r="DA145" s="197">
        <f t="shared" si="387"/>
        <v>71.63784822286263</v>
      </c>
      <c r="DB145" s="443">
        <f t="shared" si="388"/>
        <v>57.268628666532607</v>
      </c>
      <c r="DD145" s="217">
        <f t="shared" si="389"/>
        <v>10.000000000000002</v>
      </c>
      <c r="DE145" s="173">
        <f t="shared" si="390"/>
        <v>7.6433121019108299</v>
      </c>
      <c r="DF145" s="173">
        <f t="shared" si="391"/>
        <v>2.7017291066282429</v>
      </c>
      <c r="DG145" s="173"/>
      <c r="DH145" s="173">
        <f t="shared" si="392"/>
        <v>7.6433121019108281</v>
      </c>
      <c r="DI145" s="545">
        <f t="shared" si="393"/>
        <v>91.583333333333343</v>
      </c>
      <c r="DJ145" s="528">
        <f t="shared" si="394"/>
        <v>2.7377521613832849</v>
      </c>
      <c r="DL145" s="173">
        <f t="shared" si="395"/>
        <v>5.0332229568471663</v>
      </c>
      <c r="DM145" s="173">
        <f t="shared" si="396"/>
        <v>12.50909090909091</v>
      </c>
      <c r="DN145" s="173">
        <f t="shared" si="397"/>
        <v>3.0585858585858592</v>
      </c>
      <c r="DP145" s="545">
        <f t="shared" si="398"/>
        <v>3500</v>
      </c>
      <c r="DQ145" s="460">
        <f t="shared" si="399"/>
        <v>57.268628666532607</v>
      </c>
      <c r="DS145" s="460">
        <f t="shared" si="400"/>
        <v>3500</v>
      </c>
      <c r="DT145" s="460">
        <f t="shared" si="401"/>
        <v>57.268628666532607</v>
      </c>
      <c r="DV145" s="5">
        <f t="shared" si="402"/>
        <v>17.461567061835254</v>
      </c>
      <c r="DW145" s="5">
        <f t="shared" si="403"/>
        <v>7.9004784688995233</v>
      </c>
      <c r="DX145" s="5">
        <f t="shared" si="404"/>
        <v>9.5610885929357305</v>
      </c>
      <c r="DY145" s="173">
        <f t="shared" si="405"/>
        <v>0.45244956772334288</v>
      </c>
      <c r="EA145" s="5">
        <f t="shared" si="406"/>
        <v>184.34449760765557</v>
      </c>
      <c r="EB145" s="5">
        <f t="shared" si="407"/>
        <v>8.6411483253588539</v>
      </c>
      <c r="EC145" s="5">
        <f t="shared" si="408"/>
        <v>7.3385548410690902</v>
      </c>
      <c r="ED145" s="5"/>
      <c r="EE145" s="173">
        <f t="shared" si="409"/>
        <v>4.8579183400749075</v>
      </c>
      <c r="EF145" s="173">
        <f t="shared" si="410"/>
        <v>5.3441320959033316</v>
      </c>
      <c r="EG145" s="173">
        <f t="shared" si="411"/>
        <v>0.13161235122459972</v>
      </c>
      <c r="EH145" s="173"/>
      <c r="EI145" s="528">
        <f t="shared" si="412"/>
        <v>0.47198741197672289</v>
      </c>
      <c r="EJ145" s="528">
        <f t="shared" si="413"/>
        <v>0.49716666666666659</v>
      </c>
      <c r="EK145" s="528">
        <f t="shared" si="414"/>
        <v>7.1585785833165752E-3</v>
      </c>
      <c r="EL145" s="528">
        <f t="shared" si="415"/>
        <v>6.8956583091085259E-3</v>
      </c>
      <c r="EM145">
        <f t="shared" si="416"/>
        <v>8.5500000000000003E-3</v>
      </c>
      <c r="EN145" s="460">
        <f t="shared" si="417"/>
        <v>15.708578583316577</v>
      </c>
      <c r="EP145" s="460">
        <f t="shared" si="439"/>
        <v>991.75831553581452</v>
      </c>
      <c r="EQ145" s="173">
        <f t="shared" si="418"/>
        <v>2.4499999999999997</v>
      </c>
      <c r="ER145" s="173">
        <f t="shared" si="475"/>
        <v>3.8828124999999998E-2</v>
      </c>
      <c r="ES145" s="528"/>
      <c r="EU145" s="460">
        <f t="shared" si="420"/>
        <v>2488.828125</v>
      </c>
      <c r="EV145" s="528">
        <f t="shared" si="421"/>
        <v>0.70798111796508434</v>
      </c>
      <c r="EW145" s="528">
        <f t="shared" si="422"/>
        <v>0.85679243575392405</v>
      </c>
      <c r="EX145" s="528">
        <f t="shared" si="423"/>
        <v>8.6609054974336969E-5</v>
      </c>
      <c r="EY145" s="528">
        <f t="shared" si="424"/>
        <v>0.68679375210278792</v>
      </c>
      <c r="EZ145" s="528"/>
      <c r="FA145" s="625">
        <f t="shared" si="425"/>
        <v>8.9612435595144511E-3</v>
      </c>
      <c r="FB145" s="460">
        <f t="shared" si="426"/>
        <v>2260.6151584362851</v>
      </c>
      <c r="FC145" s="173">
        <f t="shared" si="427"/>
        <v>5.7412015989720988</v>
      </c>
      <c r="FD145" s="5">
        <f t="shared" si="428"/>
        <v>53.2</v>
      </c>
      <c r="FE145" s="173">
        <f t="shared" si="429"/>
        <v>0.90259442557628111</v>
      </c>
      <c r="FF145" s="5">
        <f t="shared" si="430"/>
        <v>90.259442557628105</v>
      </c>
      <c r="FG145">
        <f t="shared" si="431"/>
        <v>35</v>
      </c>
      <c r="FI145" s="562">
        <f t="shared" si="432"/>
        <v>-50</v>
      </c>
      <c r="FJ145">
        <f t="shared" si="433"/>
        <v>-50</v>
      </c>
    </row>
    <row r="146" spans="5:166">
      <c r="E146" s="170">
        <v>36</v>
      </c>
      <c r="F146" s="217">
        <f t="shared" si="476"/>
        <v>3.5999999999999996</v>
      </c>
      <c r="G146" s="217">
        <f t="shared" si="444"/>
        <v>0.09</v>
      </c>
      <c r="H146" s="217">
        <f t="shared" si="445"/>
        <v>53.999999999999993</v>
      </c>
      <c r="I146" s="217">
        <f t="shared" si="446"/>
        <v>0.72</v>
      </c>
      <c r="J146" s="541">
        <f t="shared" si="447"/>
        <v>18.633431625125425</v>
      </c>
      <c r="K146" s="443">
        <f t="shared" si="448"/>
        <v>15.897242105263157</v>
      </c>
      <c r="L146" s="172">
        <f t="shared" si="449"/>
        <v>34.530673730388585</v>
      </c>
      <c r="M146" s="443"/>
      <c r="N146" s="217">
        <f t="shared" si="450"/>
        <v>0.46038030504087302</v>
      </c>
      <c r="O146" s="172">
        <f t="shared" si="451"/>
        <v>211.6397599227013</v>
      </c>
      <c r="P146" s="172">
        <f t="shared" si="452"/>
        <v>2.859488311844498</v>
      </c>
      <c r="Q146" s="217">
        <f t="shared" si="322"/>
        <v>14.109317328180087</v>
      </c>
      <c r="R146" s="217">
        <f t="shared" si="453"/>
        <v>26.454969990337663</v>
      </c>
      <c r="S146" s="217">
        <f t="shared" si="454"/>
        <v>15</v>
      </c>
      <c r="T146" s="217">
        <f t="shared" si="455"/>
        <v>12.757527229222617</v>
      </c>
      <c r="U146" s="217">
        <f t="shared" si="326"/>
        <v>8.2158954845570982</v>
      </c>
      <c r="V146" s="217">
        <f t="shared" si="327"/>
        <v>9.6299927834644503</v>
      </c>
      <c r="W146" s="197">
        <f t="shared" si="328"/>
        <v>71.487207796112457</v>
      </c>
      <c r="X146" s="443">
        <f t="shared" si="435"/>
        <v>55.414285245911849</v>
      </c>
      <c r="Z146" s="217">
        <f t="shared" si="329"/>
        <v>10</v>
      </c>
      <c r="AA146" s="173">
        <f t="shared" si="330"/>
        <v>7.5484791138880105</v>
      </c>
      <c r="AB146" s="173">
        <f t="shared" si="456"/>
        <v>2.6625971790746399</v>
      </c>
      <c r="AC146" s="173"/>
      <c r="AD146" s="173">
        <f t="shared" si="332"/>
        <v>7.5484791138880105</v>
      </c>
      <c r="AE146" s="545">
        <f t="shared" si="457"/>
        <v>95.383452631578947</v>
      </c>
      <c r="AF146" s="528">
        <f t="shared" si="458"/>
        <v>2.6980984747956351</v>
      </c>
      <c r="AH146" s="173">
        <f t="shared" si="459"/>
        <v>5.1046197563719531</v>
      </c>
      <c r="AI146" s="173">
        <f t="shared" si="460"/>
        <v>12.757527229222617</v>
      </c>
      <c r="AJ146" s="173">
        <f t="shared" si="461"/>
        <v>3.2426127623871235</v>
      </c>
      <c r="AL146" s="545">
        <f t="shared" si="462"/>
        <v>3599.9999999999995</v>
      </c>
      <c r="AM146" s="460">
        <f t="shared" si="463"/>
        <v>55.414285245911849</v>
      </c>
      <c r="AO146" s="460">
        <f t="shared" si="340"/>
        <v>3599.9999999999995</v>
      </c>
      <c r="AP146" s="460">
        <f t="shared" si="341"/>
        <v>55.414285245911849</v>
      </c>
      <c r="AR146" s="5">
        <f t="shared" si="443"/>
        <v>18.045888268021546</v>
      </c>
      <c r="AS146" s="5">
        <f t="shared" si="440"/>
        <v>8.2158954845570982</v>
      </c>
      <c r="AT146" s="5">
        <f t="shared" si="441"/>
        <v>9.8299927834644478</v>
      </c>
      <c r="AU146" s="173">
        <f t="shared" si="442"/>
        <v>0.45527797593184616</v>
      </c>
      <c r="AW146" s="5">
        <f t="shared" si="342"/>
        <v>197.18149162937036</v>
      </c>
      <c r="AX146" s="5">
        <f t="shared" si="343"/>
        <v>9.2428824201267368</v>
      </c>
      <c r="AY146" s="5">
        <f t="shared" si="344"/>
        <v>7.91319037300378</v>
      </c>
      <c r="AZ146" s="5"/>
      <c r="BA146" s="173">
        <f t="shared" si="345"/>
        <v>4.9698604873464021</v>
      </c>
      <c r="BB146" s="173">
        <f t="shared" si="346"/>
        <v>5.4361739367958499</v>
      </c>
      <c r="BC146" s="173">
        <f t="shared" si="347"/>
        <v>0.13387910714932527</v>
      </c>
      <c r="BD146" s="173"/>
      <c r="BE146" s="528">
        <f t="shared" si="348"/>
        <v>0.49399026527374035</v>
      </c>
      <c r="BF146" s="528">
        <f t="shared" si="464"/>
        <v>0.45771438743002452</v>
      </c>
      <c r="BG146" s="528">
        <f t="shared" si="465"/>
        <v>2.5813957379622374E-2</v>
      </c>
      <c r="BH146" s="528">
        <f t="shared" si="351"/>
        <v>6.6074188788340154E-3</v>
      </c>
      <c r="BI146">
        <f t="shared" si="352"/>
        <v>8.3850442313064405E-3</v>
      </c>
      <c r="BJ146" s="460">
        <f t="shared" si="436"/>
        <v>34.199001610928818</v>
      </c>
      <c r="BK146">
        <f t="shared" si="466"/>
        <v>1.2368625863324902</v>
      </c>
      <c r="BL146" s="460">
        <f t="shared" si="437"/>
        <v>992.51107319352775</v>
      </c>
      <c r="BM146" s="173">
        <f t="shared" si="467"/>
        <v>2.2364999999999995</v>
      </c>
      <c r="BN146" s="173">
        <f t="shared" si="468"/>
        <v>5.5912499999999997E-2</v>
      </c>
      <c r="BO146" s="528"/>
      <c r="BQ146" s="460">
        <f t="shared" si="356"/>
        <v>2292.4124999999995</v>
      </c>
      <c r="BR146" s="528">
        <f t="shared" si="357"/>
        <v>0.74098539791061047</v>
      </c>
      <c r="BS146" s="528">
        <f t="shared" si="358"/>
        <v>0.88655961213295476</v>
      </c>
      <c r="BT146" s="528">
        <f t="shared" si="359"/>
        <v>8.9618076655502578E-5</v>
      </c>
      <c r="BU146" s="528">
        <f t="shared" si="360"/>
        <v>0.66441679815746191</v>
      </c>
      <c r="BV146" s="528"/>
      <c r="BW146" s="625">
        <f t="shared" si="469"/>
        <v>9.0189243437114579E-3</v>
      </c>
      <c r="BX146" s="460">
        <f t="shared" si="362"/>
        <v>2301.070350621394</v>
      </c>
      <c r="BY146" s="173">
        <f t="shared" si="363"/>
        <v>5.5859939238149208</v>
      </c>
      <c r="BZ146" s="5">
        <f t="shared" si="364"/>
        <v>54.719999999999992</v>
      </c>
      <c r="CA146" s="173">
        <f t="shared" si="365"/>
        <v>0.90737249217927241</v>
      </c>
      <c r="CB146" s="5">
        <f t="shared" si="366"/>
        <v>90.737249217927243</v>
      </c>
      <c r="CC146">
        <f t="shared" si="367"/>
        <v>36</v>
      </c>
      <c r="CE146" s="562">
        <f t="shared" si="470"/>
        <v>-50</v>
      </c>
      <c r="CF146">
        <f t="shared" si="471"/>
        <v>-50</v>
      </c>
      <c r="CG146" s="173">
        <f t="shared" si="370"/>
        <v>0.54755043227665712</v>
      </c>
      <c r="CH146" s="173">
        <f t="shared" si="472"/>
        <v>6.4398811101315859E-2</v>
      </c>
      <c r="CI146" s="170">
        <v>36</v>
      </c>
      <c r="CJ146" s="217">
        <f t="shared" si="438"/>
        <v>3.5999999999999996</v>
      </c>
      <c r="CK146" s="217">
        <f t="shared" si="372"/>
        <v>0.09</v>
      </c>
      <c r="CL146" s="217">
        <f t="shared" si="373"/>
        <v>53.999999999999993</v>
      </c>
      <c r="CM146" s="217">
        <f t="shared" si="374"/>
        <v>0.72</v>
      </c>
      <c r="CN146" s="541">
        <f t="shared" si="375"/>
        <v>19</v>
      </c>
      <c r="CO146" s="443">
        <f t="shared" si="473"/>
        <v>15.7</v>
      </c>
      <c r="CP146" s="443">
        <f t="shared" si="474"/>
        <v>34.700000000000003</v>
      </c>
      <c r="CQ146" s="443"/>
      <c r="CR146" s="217">
        <f t="shared" si="378"/>
        <v>0.44767441860465118</v>
      </c>
      <c r="CS146" s="172">
        <f t="shared" si="379"/>
        <v>209.84738372093025</v>
      </c>
      <c r="CT146" s="172">
        <f t="shared" si="380"/>
        <v>2.835271317829458</v>
      </c>
      <c r="CU146" s="217">
        <f t="shared" si="381"/>
        <v>13.989825581395349</v>
      </c>
      <c r="CV146" s="217">
        <f t="shared" si="382"/>
        <v>26.230922965116282</v>
      </c>
      <c r="CW146" s="217">
        <f t="shared" si="383"/>
        <v>15</v>
      </c>
      <c r="CX146" s="217">
        <f t="shared" si="384"/>
        <v>12.866493506493503</v>
      </c>
      <c r="CY146" s="217">
        <f t="shared" si="385"/>
        <v>8.1262064251537911</v>
      </c>
      <c r="CZ146" s="217">
        <f t="shared" si="386"/>
        <v>9.8342625527338878</v>
      </c>
      <c r="DA146" s="197">
        <f t="shared" si="387"/>
        <v>71.63784822286263</v>
      </c>
      <c r="DB146" s="443">
        <f t="shared" si="388"/>
        <v>55.677833425795626</v>
      </c>
      <c r="DD146" s="217">
        <f t="shared" si="389"/>
        <v>10.000000000000002</v>
      </c>
      <c r="DE146" s="173">
        <f t="shared" si="390"/>
        <v>7.6433121019108299</v>
      </c>
      <c r="DF146" s="173">
        <f t="shared" si="391"/>
        <v>2.7017291066282429</v>
      </c>
      <c r="DG146" s="173"/>
      <c r="DH146" s="173">
        <f t="shared" si="392"/>
        <v>7.6433121019108281</v>
      </c>
      <c r="DI146" s="545">
        <f t="shared" si="393"/>
        <v>94.2</v>
      </c>
      <c r="DJ146" s="528">
        <f t="shared" si="394"/>
        <v>2.7377521613832849</v>
      </c>
      <c r="DL146" s="173">
        <f t="shared" si="395"/>
        <v>5.1046197563719531</v>
      </c>
      <c r="DM146" s="173">
        <f t="shared" si="396"/>
        <v>12.866493506493503</v>
      </c>
      <c r="DN146" s="173">
        <f t="shared" si="397"/>
        <v>3.323328523328521</v>
      </c>
      <c r="DP146" s="545">
        <f t="shared" si="398"/>
        <v>3599.9999999999995</v>
      </c>
      <c r="DQ146" s="460">
        <f t="shared" si="399"/>
        <v>55.677833425795626</v>
      </c>
      <c r="DS146" s="460">
        <f t="shared" si="400"/>
        <v>3599.9999999999995</v>
      </c>
      <c r="DT146" s="460">
        <f t="shared" si="401"/>
        <v>55.677833425795626</v>
      </c>
      <c r="DV146" s="5">
        <f t="shared" si="402"/>
        <v>17.960468977887679</v>
      </c>
      <c r="DW146" s="5">
        <f t="shared" si="403"/>
        <v>8.1262064251537911</v>
      </c>
      <c r="DX146" s="5">
        <f t="shared" si="404"/>
        <v>9.8342625527338878</v>
      </c>
      <c r="DY146" s="173">
        <f t="shared" si="405"/>
        <v>0.45244956772334294</v>
      </c>
      <c r="EA146" s="5">
        <f t="shared" si="406"/>
        <v>195.02895420369097</v>
      </c>
      <c r="EB146" s="5">
        <f t="shared" si="407"/>
        <v>9.1419822282980157</v>
      </c>
      <c r="EC146" s="5">
        <f t="shared" si="408"/>
        <v>7.7638914890004358</v>
      </c>
      <c r="ED146" s="5"/>
      <c r="EE146" s="173">
        <f t="shared" si="409"/>
        <v>4.9967160069341894</v>
      </c>
      <c r="EF146" s="173">
        <f t="shared" si="410"/>
        <v>5.4968215843577113</v>
      </c>
      <c r="EG146" s="173">
        <f t="shared" si="411"/>
        <v>0.13537270411673108</v>
      </c>
      <c r="EH146" s="173"/>
      <c r="EI146" s="528">
        <f t="shared" si="412"/>
        <v>0.499343417079047</v>
      </c>
      <c r="EJ146" s="528">
        <f t="shared" si="413"/>
        <v>0.4971666666666667</v>
      </c>
      <c r="EK146" s="528">
        <f t="shared" si="414"/>
        <v>6.959729178224453E-3</v>
      </c>
      <c r="EL146" s="528">
        <f t="shared" si="415"/>
        <v>6.7041122449666268E-3</v>
      </c>
      <c r="EM146">
        <f t="shared" si="416"/>
        <v>8.5500000000000003E-3</v>
      </c>
      <c r="EN146" s="460">
        <f t="shared" si="417"/>
        <v>15.509729178224452</v>
      </c>
      <c r="EP146" s="460">
        <f t="shared" si="439"/>
        <v>1018.7239251689049</v>
      </c>
      <c r="EQ146" s="173">
        <f t="shared" si="418"/>
        <v>2.5199999999999996</v>
      </c>
      <c r="ER146" s="173">
        <f t="shared" si="475"/>
        <v>3.9937499999999994E-2</v>
      </c>
      <c r="ES146" s="528"/>
      <c r="EU146" s="460">
        <f t="shared" si="420"/>
        <v>2559.9374999999995</v>
      </c>
      <c r="EV146" s="528">
        <f t="shared" si="421"/>
        <v>0.74901512561857042</v>
      </c>
      <c r="EW146" s="528">
        <f t="shared" si="422"/>
        <v>0.90645142590782457</v>
      </c>
      <c r="EX146" s="528">
        <f t="shared" si="423"/>
        <v>9.1628845099380095E-5</v>
      </c>
      <c r="EY146" s="528">
        <f t="shared" si="424"/>
        <v>0.68679375210278859</v>
      </c>
      <c r="EZ146" s="528"/>
      <c r="FA146" s="625">
        <f t="shared" si="425"/>
        <v>9.2172790897862931E-3</v>
      </c>
      <c r="FB146" s="460">
        <f t="shared" si="426"/>
        <v>2351.5692115640695</v>
      </c>
      <c r="FC146" s="173">
        <f t="shared" si="427"/>
        <v>5.9302306367329729</v>
      </c>
      <c r="FD146" s="5">
        <f t="shared" si="428"/>
        <v>54.719999999999992</v>
      </c>
      <c r="FE146" s="173">
        <f t="shared" si="429"/>
        <v>0.90222245530685063</v>
      </c>
      <c r="FF146" s="5">
        <f t="shared" si="430"/>
        <v>90.222245530685058</v>
      </c>
      <c r="FG146">
        <f t="shared" si="431"/>
        <v>36</v>
      </c>
      <c r="FI146" s="562">
        <f t="shared" si="432"/>
        <v>-50</v>
      </c>
      <c r="FJ146">
        <f t="shared" si="433"/>
        <v>-50</v>
      </c>
    </row>
    <row r="147" spans="5:166">
      <c r="E147" s="170">
        <v>37</v>
      </c>
      <c r="F147" s="217">
        <f t="shared" si="476"/>
        <v>3.7</v>
      </c>
      <c r="G147" s="217">
        <f t="shared" si="444"/>
        <v>9.2499999999999999E-2</v>
      </c>
      <c r="H147" s="217">
        <f t="shared" si="445"/>
        <v>55.5</v>
      </c>
      <c r="I147" s="217">
        <f t="shared" si="446"/>
        <v>0.74</v>
      </c>
      <c r="J147" s="541">
        <f t="shared" si="447"/>
        <v>18.623249170267798</v>
      </c>
      <c r="K147" s="443">
        <f t="shared" si="448"/>
        <v>15.902721052631579</v>
      </c>
      <c r="L147" s="172">
        <f t="shared" si="449"/>
        <v>34.525970222899375</v>
      </c>
      <c r="M147" s="443"/>
      <c r="N147" s="217">
        <f t="shared" si="450"/>
        <v>0.46060171372343034</v>
      </c>
      <c r="O147" s="172">
        <f t="shared" si="451"/>
        <v>211.62583428265955</v>
      </c>
      <c r="P147" s="172">
        <f t="shared" si="452"/>
        <v>2.8593001609746</v>
      </c>
      <c r="Q147" s="217">
        <f t="shared" si="322"/>
        <v>14.108388952177304</v>
      </c>
      <c r="R147" s="217">
        <f t="shared" si="453"/>
        <v>26.453229285332444</v>
      </c>
      <c r="S147" s="217">
        <f t="shared" si="454"/>
        <v>15</v>
      </c>
      <c r="T147" s="217">
        <f t="shared" si="455"/>
        <v>13.112765789707657</v>
      </c>
      <c r="U147" s="217">
        <f t="shared" si="326"/>
        <v>8.4492876639221368</v>
      </c>
      <c r="V147" s="217">
        <f t="shared" si="327"/>
        <v>9.8947336720374093</v>
      </c>
      <c r="W147" s="197">
        <f t="shared" si="328"/>
        <v>71.482504024364999</v>
      </c>
      <c r="X147" s="443">
        <f t="shared" si="435"/>
        <v>53.925736057089999</v>
      </c>
      <c r="Z147" s="217">
        <f t="shared" si="329"/>
        <v>10</v>
      </c>
      <c r="AA147" s="173">
        <f t="shared" si="330"/>
        <v>7.5458784445032077</v>
      </c>
      <c r="AB147" s="173">
        <f t="shared" si="456"/>
        <v>2.661504702022548</v>
      </c>
      <c r="AC147" s="173"/>
      <c r="AD147" s="173">
        <f t="shared" si="332"/>
        <v>7.5458784445032077</v>
      </c>
      <c r="AE147" s="545">
        <f t="shared" si="457"/>
        <v>98.066779824561408</v>
      </c>
      <c r="AF147" s="528">
        <f t="shared" si="458"/>
        <v>2.6969914313828482</v>
      </c>
      <c r="AH147" s="173">
        <f t="shared" si="459"/>
        <v>5.1750316309132236</v>
      </c>
      <c r="AI147" s="173">
        <f t="shared" si="460"/>
        <v>13.112765789707657</v>
      </c>
      <c r="AJ147" s="173">
        <f t="shared" si="461"/>
        <v>3.5057524368204867</v>
      </c>
      <c r="AL147" s="545">
        <f t="shared" si="462"/>
        <v>3700</v>
      </c>
      <c r="AM147" s="460">
        <f t="shared" si="463"/>
        <v>53.925736057089999</v>
      </c>
      <c r="AO147" s="460">
        <f t="shared" si="340"/>
        <v>3700</v>
      </c>
      <c r="AP147" s="460">
        <f t="shared" si="341"/>
        <v>53.925736057089999</v>
      </c>
      <c r="AR147" s="5">
        <f t="shared" si="443"/>
        <v>18.544021335959545</v>
      </c>
      <c r="AS147" s="5">
        <f t="shared" si="440"/>
        <v>8.4492876639221368</v>
      </c>
      <c r="AT147" s="5">
        <f t="shared" si="441"/>
        <v>10.094733672037409</v>
      </c>
      <c r="AU147" s="173">
        <f t="shared" si="442"/>
        <v>0.45563405643509175</v>
      </c>
      <c r="AW147" s="5">
        <f t="shared" si="342"/>
        <v>208.41576237674602</v>
      </c>
      <c r="AX147" s="5">
        <f t="shared" si="343"/>
        <v>9.7694888614099717</v>
      </c>
      <c r="AY147" s="5">
        <f t="shared" si="344"/>
        <v>8.3566053746967537</v>
      </c>
      <c r="AZ147" s="5"/>
      <c r="BA147" s="173">
        <f t="shared" si="345"/>
        <v>5.1102455167818341</v>
      </c>
      <c r="BB147" s="173">
        <f t="shared" si="346"/>
        <v>5.5857198560364916</v>
      </c>
      <c r="BC147" s="173">
        <f t="shared" si="347"/>
        <v>0.13756204194474184</v>
      </c>
      <c r="BD147" s="173"/>
      <c r="BE147" s="528">
        <f t="shared" si="348"/>
        <v>0.52229218483577666</v>
      </c>
      <c r="BF147" s="528">
        <f t="shared" si="464"/>
        <v>0.45775969346794515</v>
      </c>
      <c r="BG147" s="528">
        <f t="shared" si="465"/>
        <v>2.5106810482032036E-2</v>
      </c>
      <c r="BH147" s="528">
        <f t="shared" si="351"/>
        <v>6.4281775685891326E-3</v>
      </c>
      <c r="BI147">
        <f t="shared" si="352"/>
        <v>8.3804621266205092E-3</v>
      </c>
      <c r="BJ147" s="460">
        <f t="shared" si="436"/>
        <v>33.487272608652546</v>
      </c>
      <c r="BK147">
        <f t="shared" si="466"/>
        <v>1.2872412363453565</v>
      </c>
      <c r="BL147" s="460">
        <f t="shared" si="437"/>
        <v>1019.9673284809634</v>
      </c>
      <c r="BM147" s="173">
        <f t="shared" si="467"/>
        <v>2.2986249999999999</v>
      </c>
      <c r="BN147" s="173">
        <f t="shared" si="468"/>
        <v>5.7465624999999999E-2</v>
      </c>
      <c r="BO147" s="528"/>
      <c r="BQ147" s="460">
        <f t="shared" si="356"/>
        <v>2356.0906249999998</v>
      </c>
      <c r="BR147" s="528">
        <f t="shared" si="357"/>
        <v>0.78343827725366499</v>
      </c>
      <c r="BS147" s="528">
        <f t="shared" si="358"/>
        <v>0.93600798930360962</v>
      </c>
      <c r="BT147" s="528">
        <f t="shared" si="359"/>
        <v>9.4616576920034562E-5</v>
      </c>
      <c r="BU147" s="528">
        <f t="shared" si="360"/>
        <v>0.66480759016780566</v>
      </c>
      <c r="BV147" s="528"/>
      <c r="BW147" s="625">
        <f t="shared" si="469"/>
        <v>9.2722405534716411E-3</v>
      </c>
      <c r="BX147" s="460">
        <f t="shared" si="362"/>
        <v>2393.6207138554719</v>
      </c>
      <c r="BY147" s="173">
        <f t="shared" si="363"/>
        <v>5.7696786673364349</v>
      </c>
      <c r="BZ147" s="5">
        <f t="shared" si="364"/>
        <v>56.24</v>
      </c>
      <c r="CA147" s="173">
        <f t="shared" si="365"/>
        <v>0.90695519165178951</v>
      </c>
      <c r="CB147" s="5">
        <f t="shared" si="366"/>
        <v>90.695519165178951</v>
      </c>
      <c r="CC147">
        <f t="shared" si="367"/>
        <v>37</v>
      </c>
      <c r="CE147" s="562">
        <f t="shared" si="470"/>
        <v>-50</v>
      </c>
      <c r="CF147">
        <f t="shared" si="471"/>
        <v>-50</v>
      </c>
      <c r="CG147" s="173">
        <f t="shared" si="370"/>
        <v>0.54755043227665701</v>
      </c>
      <c r="CH147" s="173">
        <f t="shared" si="472"/>
        <v>6.4398811101315859E-2</v>
      </c>
      <c r="CI147" s="170">
        <v>37</v>
      </c>
      <c r="CJ147" s="217">
        <f t="shared" si="438"/>
        <v>3.7</v>
      </c>
      <c r="CK147" s="217">
        <f t="shared" si="372"/>
        <v>9.2499999999999999E-2</v>
      </c>
      <c r="CL147" s="217">
        <f t="shared" si="373"/>
        <v>55.5</v>
      </c>
      <c r="CM147" s="217">
        <f t="shared" si="374"/>
        <v>0.74</v>
      </c>
      <c r="CN147" s="541">
        <f t="shared" si="375"/>
        <v>19</v>
      </c>
      <c r="CO147" s="443">
        <f t="shared" si="473"/>
        <v>15.7</v>
      </c>
      <c r="CP147" s="443">
        <f t="shared" si="474"/>
        <v>34.700000000000003</v>
      </c>
      <c r="CQ147" s="443"/>
      <c r="CR147" s="217">
        <f t="shared" si="378"/>
        <v>0.44767441860465118</v>
      </c>
      <c r="CS147" s="172">
        <f t="shared" si="379"/>
        <v>209.84738372093025</v>
      </c>
      <c r="CT147" s="172">
        <f t="shared" si="380"/>
        <v>2.835271317829458</v>
      </c>
      <c r="CU147" s="217">
        <f t="shared" si="381"/>
        <v>13.989825581395349</v>
      </c>
      <c r="CV147" s="217">
        <f t="shared" si="382"/>
        <v>26.230922965116282</v>
      </c>
      <c r="CW147" s="217">
        <f t="shared" si="383"/>
        <v>15</v>
      </c>
      <c r="CX147" s="217">
        <f t="shared" si="384"/>
        <v>13.223896103896104</v>
      </c>
      <c r="CY147" s="217">
        <f t="shared" si="385"/>
        <v>8.351934381408066</v>
      </c>
      <c r="CZ147" s="217">
        <f t="shared" si="386"/>
        <v>10.107436512532054</v>
      </c>
      <c r="DA147" s="197">
        <f t="shared" si="387"/>
        <v>71.63784822286263</v>
      </c>
      <c r="DB147" s="443">
        <f t="shared" si="388"/>
        <v>54.173027116990326</v>
      </c>
      <c r="DD147" s="217">
        <f t="shared" si="389"/>
        <v>10.000000000000002</v>
      </c>
      <c r="DE147" s="173">
        <f t="shared" si="390"/>
        <v>7.6433121019108299</v>
      </c>
      <c r="DF147" s="173">
        <f t="shared" si="391"/>
        <v>2.7017291066282429</v>
      </c>
      <c r="DG147" s="173"/>
      <c r="DH147" s="173">
        <f t="shared" si="392"/>
        <v>7.6433121019108281</v>
      </c>
      <c r="DI147" s="545">
        <f t="shared" si="393"/>
        <v>96.816666666666691</v>
      </c>
      <c r="DJ147" s="528">
        <f t="shared" si="394"/>
        <v>2.7377521613832849</v>
      </c>
      <c r="DL147" s="173">
        <f t="shared" si="395"/>
        <v>5.1750316309132236</v>
      </c>
      <c r="DM147" s="173">
        <f t="shared" si="396"/>
        <v>13.223896103896104</v>
      </c>
      <c r="DN147" s="173">
        <f t="shared" si="397"/>
        <v>3.5880711880711882</v>
      </c>
      <c r="DP147" s="545">
        <f t="shared" si="398"/>
        <v>3700</v>
      </c>
      <c r="DQ147" s="460">
        <f t="shared" si="399"/>
        <v>54.173027116990326</v>
      </c>
      <c r="DS147" s="460">
        <f t="shared" si="400"/>
        <v>3700</v>
      </c>
      <c r="DT147" s="460">
        <f t="shared" si="401"/>
        <v>54.173027116990326</v>
      </c>
      <c r="DV147" s="5">
        <f t="shared" si="402"/>
        <v>18.459370893940118</v>
      </c>
      <c r="DW147" s="5">
        <f t="shared" si="403"/>
        <v>8.351934381408066</v>
      </c>
      <c r="DX147" s="5">
        <f t="shared" si="404"/>
        <v>10.107436512532052</v>
      </c>
      <c r="DY147" s="173">
        <f t="shared" si="405"/>
        <v>0.45244956772334299</v>
      </c>
      <c r="EA147" s="5">
        <f t="shared" si="406"/>
        <v>206.01438140806565</v>
      </c>
      <c r="EB147" s="5">
        <f t="shared" si="407"/>
        <v>9.6569241285030767</v>
      </c>
      <c r="EC147" s="5">
        <f t="shared" si="408"/>
        <v>8.2012094509580251</v>
      </c>
      <c r="ED147" s="5"/>
      <c r="EE147" s="173">
        <f t="shared" si="409"/>
        <v>5.1355136737934748</v>
      </c>
      <c r="EF147" s="173">
        <f t="shared" si="410"/>
        <v>5.6495110728120927</v>
      </c>
      <c r="EG147" s="173">
        <f t="shared" si="411"/>
        <v>0.1391330570088625</v>
      </c>
      <c r="EH147" s="173"/>
      <c r="EI147" s="528">
        <f t="shared" si="412"/>
        <v>0.52747001387439507</v>
      </c>
      <c r="EJ147" s="528">
        <f t="shared" si="413"/>
        <v>0.49716666666666681</v>
      </c>
      <c r="EK147" s="528">
        <f t="shared" si="414"/>
        <v>6.7716283896237907E-3</v>
      </c>
      <c r="EL147" s="528">
        <f t="shared" si="415"/>
        <v>6.5229200221296902E-3</v>
      </c>
      <c r="EM147">
        <f t="shared" si="416"/>
        <v>8.5500000000000003E-3</v>
      </c>
      <c r="EN147" s="460">
        <f t="shared" si="417"/>
        <v>15.321628389623791</v>
      </c>
      <c r="EP147" s="460">
        <f t="shared" si="439"/>
        <v>1046.4812289528154</v>
      </c>
      <c r="EQ147" s="173">
        <f t="shared" si="418"/>
        <v>2.59</v>
      </c>
      <c r="ER147" s="173">
        <f t="shared" si="475"/>
        <v>4.1046874999999997E-2</v>
      </c>
      <c r="ES147" s="528"/>
      <c r="EU147" s="460">
        <f t="shared" si="420"/>
        <v>2631.046875</v>
      </c>
      <c r="EV147" s="528">
        <f t="shared" si="421"/>
        <v>0.7912050208115925</v>
      </c>
      <c r="EW147" s="528">
        <f t="shared" si="422"/>
        <v>0.95750926085479326</v>
      </c>
      <c r="EX147" s="528">
        <f t="shared" si="423"/>
        <v>9.6790037763156914E-5</v>
      </c>
      <c r="EY147" s="528">
        <f t="shared" si="424"/>
        <v>0.68679375210278926</v>
      </c>
      <c r="EZ147" s="528"/>
      <c r="FA147" s="625">
        <f t="shared" si="425"/>
        <v>9.4733146200581368E-3</v>
      </c>
      <c r="FB147" s="460">
        <f t="shared" si="426"/>
        <v>2445.0781384269967</v>
      </c>
      <c r="FC147" s="173">
        <f t="shared" si="427"/>
        <v>6.1226062423798115</v>
      </c>
      <c r="FD147" s="5">
        <f t="shared" si="428"/>
        <v>56.24</v>
      </c>
      <c r="FE147" s="173">
        <f t="shared" si="429"/>
        <v>0.90182247645995484</v>
      </c>
      <c r="FF147" s="5">
        <f t="shared" si="430"/>
        <v>90.182247645995488</v>
      </c>
      <c r="FG147">
        <f t="shared" si="431"/>
        <v>37</v>
      </c>
      <c r="FI147" s="562">
        <f t="shared" si="432"/>
        <v>-50</v>
      </c>
      <c r="FJ147">
        <f t="shared" si="433"/>
        <v>-50</v>
      </c>
    </row>
    <row r="148" spans="5:166">
      <c r="E148" s="170">
        <v>38</v>
      </c>
      <c r="F148" s="217">
        <f t="shared" si="476"/>
        <v>3.8</v>
      </c>
      <c r="G148" s="217">
        <f t="shared" si="444"/>
        <v>9.5000000000000001E-2</v>
      </c>
      <c r="H148" s="217">
        <f t="shared" si="445"/>
        <v>57</v>
      </c>
      <c r="I148" s="217">
        <f t="shared" si="446"/>
        <v>0.76</v>
      </c>
      <c r="J148" s="541">
        <f t="shared" si="447"/>
        <v>18.613066715410174</v>
      </c>
      <c r="K148" s="443">
        <f t="shared" si="448"/>
        <v>15.908199999999999</v>
      </c>
      <c r="L148" s="172">
        <f t="shared" si="449"/>
        <v>34.521266715410171</v>
      </c>
      <c r="M148" s="443"/>
      <c r="N148" s="217">
        <f t="shared" si="450"/>
        <v>0.46082318273965989</v>
      </c>
      <c r="O148" s="172">
        <f t="shared" si="451"/>
        <v>211.61182510709565</v>
      </c>
      <c r="P148" s="172">
        <f t="shared" si="452"/>
        <v>2.8591108814469814</v>
      </c>
      <c r="Q148" s="217">
        <f t="shared" si="322"/>
        <v>14.107455007139711</v>
      </c>
      <c r="R148" s="217">
        <f t="shared" si="453"/>
        <v>26.451478138386957</v>
      </c>
      <c r="S148" s="217">
        <f t="shared" si="454"/>
        <v>15</v>
      </c>
      <c r="T148" s="217">
        <f t="shared" si="455"/>
        <v>13.46805642150494</v>
      </c>
      <c r="U148" s="217">
        <f t="shared" si="326"/>
        <v>8.6829687729133429</v>
      </c>
      <c r="V148" s="217">
        <f t="shared" si="327"/>
        <v>10.159331480498063</v>
      </c>
      <c r="W148" s="197">
        <f t="shared" si="328"/>
        <v>71.477772036174514</v>
      </c>
      <c r="X148" s="443">
        <f t="shared" si="435"/>
        <v>52.514664021267663</v>
      </c>
      <c r="Z148" s="217">
        <f t="shared" si="329"/>
        <v>10</v>
      </c>
      <c r="AA148" s="173">
        <f t="shared" si="330"/>
        <v>7.5432795665128687</v>
      </c>
      <c r="AB148" s="173">
        <f t="shared" si="456"/>
        <v>2.6604119272714146</v>
      </c>
      <c r="AC148" s="173"/>
      <c r="AD148" s="173">
        <f t="shared" si="332"/>
        <v>7.5432795665128687</v>
      </c>
      <c r="AE148" s="545">
        <f t="shared" si="457"/>
        <v>100.75193333333333</v>
      </c>
      <c r="AF148" s="528">
        <f t="shared" si="458"/>
        <v>2.6958840863017004</v>
      </c>
      <c r="AH148" s="173">
        <f t="shared" si="459"/>
        <v>5.2444982510018923</v>
      </c>
      <c r="AI148" s="173">
        <f t="shared" si="460"/>
        <v>13.46805642150494</v>
      </c>
      <c r="AJ148" s="173">
        <f t="shared" si="461"/>
        <v>3.7689306825962516</v>
      </c>
      <c r="AL148" s="545">
        <f t="shared" si="462"/>
        <v>3800</v>
      </c>
      <c r="AM148" s="460">
        <f t="shared" si="463"/>
        <v>52.514664021267663</v>
      </c>
      <c r="AO148" s="460">
        <f t="shared" si="340"/>
        <v>3800</v>
      </c>
      <c r="AP148" s="460">
        <f t="shared" si="341"/>
        <v>52.514664021267663</v>
      </c>
      <c r="AR148" s="5">
        <f t="shared" si="443"/>
        <v>19.042300253411405</v>
      </c>
      <c r="AS148" s="5">
        <f t="shared" si="440"/>
        <v>8.6829687729133429</v>
      </c>
      <c r="AT148" s="5">
        <f t="shared" si="441"/>
        <v>10.359331480498062</v>
      </c>
      <c r="AU148" s="173">
        <f t="shared" si="442"/>
        <v>0.45598318781670294</v>
      </c>
      <c r="AW148" s="5">
        <f t="shared" si="342"/>
        <v>219.968542247138</v>
      </c>
      <c r="AX148" s="5">
        <f t="shared" si="343"/>
        <v>10.311025417834594</v>
      </c>
      <c r="AY148" s="5">
        <f t="shared" si="344"/>
        <v>8.8122366372555483</v>
      </c>
      <c r="AZ148" s="5"/>
      <c r="BA148" s="173">
        <f t="shared" si="345"/>
        <v>5.2507182500101628</v>
      </c>
      <c r="BB148" s="173">
        <f t="shared" si="346"/>
        <v>5.7352249984887571</v>
      </c>
      <c r="BC148" s="173">
        <f t="shared" si="347"/>
        <v>0.14124397251180157</v>
      </c>
      <c r="BD148" s="173"/>
      <c r="BE148" s="528">
        <f t="shared" si="348"/>
        <v>0.55140084281979573</v>
      </c>
      <c r="BF148" s="528">
        <f t="shared" si="464"/>
        <v>0.4577976022569204</v>
      </c>
      <c r="BG148" s="528">
        <f t="shared" si="465"/>
        <v>2.4436473624130133E-2</v>
      </c>
      <c r="BH148" s="528">
        <f t="shared" si="351"/>
        <v>6.2582662796895625E-3</v>
      </c>
      <c r="BI148">
        <f t="shared" si="352"/>
        <v>8.3758800219345779E-3</v>
      </c>
      <c r="BJ148" s="460">
        <f t="shared" si="436"/>
        <v>32.812353646064714</v>
      </c>
      <c r="BK148">
        <f t="shared" si="466"/>
        <v>1.3398758840787206</v>
      </c>
      <c r="BL148" s="460">
        <f t="shared" si="437"/>
        <v>1048.2690650024704</v>
      </c>
      <c r="BM148" s="173">
        <f t="shared" si="467"/>
        <v>2.3607499999999995</v>
      </c>
      <c r="BN148" s="173">
        <f t="shared" si="468"/>
        <v>5.9018749999999988E-2</v>
      </c>
      <c r="BO148" s="528"/>
      <c r="BQ148" s="460">
        <f t="shared" si="356"/>
        <v>2419.7687499999993</v>
      </c>
      <c r="BR148" s="528">
        <f t="shared" si="357"/>
        <v>0.82710126422969366</v>
      </c>
      <c r="BS148" s="528">
        <f t="shared" si="358"/>
        <v>0.98678417349871084</v>
      </c>
      <c r="BT148" s="528">
        <f t="shared" si="359"/>
        <v>9.9749298854572799E-5</v>
      </c>
      <c r="BU148" s="528">
        <f t="shared" si="360"/>
        <v>0.66517175610173895</v>
      </c>
      <c r="BV148" s="528"/>
      <c r="BW148" s="625">
        <f t="shared" si="469"/>
        <v>9.5255584335377196E-3</v>
      </c>
      <c r="BX148" s="460">
        <f t="shared" si="362"/>
        <v>2488.6825015625359</v>
      </c>
      <c r="BY148" s="173">
        <f t="shared" si="363"/>
        <v>5.956720316565006</v>
      </c>
      <c r="BZ148" s="5">
        <f t="shared" si="364"/>
        <v>57.76</v>
      </c>
      <c r="CA148" s="173">
        <f t="shared" si="365"/>
        <v>0.90651244623122285</v>
      </c>
      <c r="CB148" s="5">
        <f t="shared" si="366"/>
        <v>90.651244623122281</v>
      </c>
      <c r="CC148">
        <f t="shared" si="367"/>
        <v>38</v>
      </c>
      <c r="CE148" s="562">
        <f t="shared" si="470"/>
        <v>-50</v>
      </c>
      <c r="CF148">
        <f t="shared" si="471"/>
        <v>-50</v>
      </c>
      <c r="CG148" s="173">
        <f t="shared" si="370"/>
        <v>0.54755043227665712</v>
      </c>
      <c r="CH148" s="173">
        <f t="shared" si="472"/>
        <v>6.4398811101315859E-2</v>
      </c>
      <c r="CI148" s="170">
        <v>38</v>
      </c>
      <c r="CJ148" s="217">
        <f t="shared" si="438"/>
        <v>3.8</v>
      </c>
      <c r="CK148" s="217">
        <f t="shared" si="372"/>
        <v>9.5000000000000001E-2</v>
      </c>
      <c r="CL148" s="217">
        <f t="shared" si="373"/>
        <v>57</v>
      </c>
      <c r="CM148" s="217">
        <f t="shared" si="374"/>
        <v>0.76</v>
      </c>
      <c r="CN148" s="541">
        <f t="shared" si="375"/>
        <v>19</v>
      </c>
      <c r="CO148" s="443">
        <f t="shared" si="473"/>
        <v>15.7</v>
      </c>
      <c r="CP148" s="443">
        <f t="shared" si="474"/>
        <v>34.700000000000003</v>
      </c>
      <c r="CQ148" s="443"/>
      <c r="CR148" s="217">
        <f t="shared" si="378"/>
        <v>0.44767441860465118</v>
      </c>
      <c r="CS148" s="172">
        <f t="shared" si="379"/>
        <v>209.84738372093025</v>
      </c>
      <c r="CT148" s="172">
        <f t="shared" si="380"/>
        <v>2.835271317829458</v>
      </c>
      <c r="CU148" s="217">
        <f t="shared" si="381"/>
        <v>13.989825581395349</v>
      </c>
      <c r="CV148" s="217">
        <f t="shared" si="382"/>
        <v>26.230922965116282</v>
      </c>
      <c r="CW148" s="217">
        <f t="shared" si="383"/>
        <v>15</v>
      </c>
      <c r="CX148" s="217">
        <f t="shared" si="384"/>
        <v>13.581298701298699</v>
      </c>
      <c r="CY148" s="217">
        <f t="shared" si="385"/>
        <v>8.5776623376623355</v>
      </c>
      <c r="CZ148" s="217">
        <f t="shared" si="386"/>
        <v>10.380610472330217</v>
      </c>
      <c r="DA148" s="197">
        <f t="shared" si="387"/>
        <v>71.63784822286263</v>
      </c>
      <c r="DB148" s="443">
        <f t="shared" si="388"/>
        <v>52.747421140227438</v>
      </c>
      <c r="DD148" s="217">
        <f t="shared" si="389"/>
        <v>10.000000000000002</v>
      </c>
      <c r="DE148" s="173">
        <f t="shared" si="390"/>
        <v>7.6433121019108299</v>
      </c>
      <c r="DF148" s="173">
        <f t="shared" si="391"/>
        <v>2.7017291066282429</v>
      </c>
      <c r="DG148" s="173"/>
      <c r="DH148" s="173">
        <f t="shared" si="392"/>
        <v>7.6433121019108281</v>
      </c>
      <c r="DI148" s="545">
        <f t="shared" si="393"/>
        <v>99.433333333333337</v>
      </c>
      <c r="DJ148" s="528">
        <f t="shared" si="394"/>
        <v>2.7377521613832849</v>
      </c>
      <c r="DL148" s="173">
        <f t="shared" si="395"/>
        <v>5.2444982510018923</v>
      </c>
      <c r="DM148" s="173">
        <f t="shared" si="396"/>
        <v>13.581298701298699</v>
      </c>
      <c r="DN148" s="173">
        <f t="shared" si="397"/>
        <v>3.8528138528138518</v>
      </c>
      <c r="DP148" s="545">
        <f t="shared" si="398"/>
        <v>3800</v>
      </c>
      <c r="DQ148" s="460">
        <f t="shared" si="399"/>
        <v>52.747421140227438</v>
      </c>
      <c r="DS148" s="460">
        <f t="shared" si="400"/>
        <v>3800</v>
      </c>
      <c r="DT148" s="460">
        <f t="shared" si="401"/>
        <v>52.747421140227438</v>
      </c>
      <c r="DV148" s="5">
        <f t="shared" si="402"/>
        <v>18.95827280999255</v>
      </c>
      <c r="DW148" s="5">
        <f t="shared" si="403"/>
        <v>8.5776623376623355</v>
      </c>
      <c r="DX148" s="5">
        <f t="shared" si="404"/>
        <v>10.380610472330215</v>
      </c>
      <c r="DY148" s="173">
        <f t="shared" si="405"/>
        <v>0.45244956772334294</v>
      </c>
      <c r="EA148" s="5">
        <f t="shared" si="406"/>
        <v>217.30077922077913</v>
      </c>
      <c r="EB148" s="5">
        <f t="shared" si="407"/>
        <v>10.185974025974025</v>
      </c>
      <c r="EC148" s="5">
        <f t="shared" si="408"/>
        <v>8.6505087269418457</v>
      </c>
      <c r="ED148" s="5"/>
      <c r="EE148" s="173">
        <f t="shared" si="409"/>
        <v>5.2743113406527558</v>
      </c>
      <c r="EF148" s="173">
        <f t="shared" si="410"/>
        <v>5.8022005612664733</v>
      </c>
      <c r="EG148" s="173">
        <f t="shared" si="411"/>
        <v>0.14289340990099395</v>
      </c>
      <c r="EH148" s="173"/>
      <c r="EI148" s="528">
        <f t="shared" si="412"/>
        <v>0.55636720236276538</v>
      </c>
      <c r="EJ148" s="528">
        <f t="shared" si="413"/>
        <v>0.49716666666666681</v>
      </c>
      <c r="EK148" s="528">
        <f t="shared" si="414"/>
        <v>6.5934276425284296E-3</v>
      </c>
      <c r="EL148" s="528">
        <f t="shared" si="415"/>
        <v>6.3512642320736473E-3</v>
      </c>
      <c r="EM148">
        <f t="shared" si="416"/>
        <v>8.5500000000000003E-3</v>
      </c>
      <c r="EN148" s="460">
        <f t="shared" si="417"/>
        <v>15.143427642528431</v>
      </c>
      <c r="EP148" s="460">
        <f t="shared" si="439"/>
        <v>1075.0285609040343</v>
      </c>
      <c r="EQ148" s="173">
        <f t="shared" si="418"/>
        <v>2.6599999999999997</v>
      </c>
      <c r="ER148" s="173">
        <f t="shared" si="475"/>
        <v>4.2156249999999999E-2</v>
      </c>
      <c r="ES148" s="528"/>
      <c r="EU148" s="460">
        <f t="shared" si="420"/>
        <v>2702.15625</v>
      </c>
      <c r="EV148" s="528">
        <f t="shared" si="421"/>
        <v>0.83455080354414801</v>
      </c>
      <c r="EW148" s="528">
        <f t="shared" si="422"/>
        <v>1.0099659405948294</v>
      </c>
      <c r="EX148" s="528">
        <f t="shared" si="423"/>
        <v>1.0209263296566739E-4</v>
      </c>
      <c r="EY148" s="528">
        <f t="shared" si="424"/>
        <v>0.68679375210278815</v>
      </c>
      <c r="EZ148" s="528"/>
      <c r="FA148" s="625">
        <f t="shared" si="425"/>
        <v>9.7293501503299788E-3</v>
      </c>
      <c r="FB148" s="460">
        <f t="shared" si="426"/>
        <v>2541.1419390250612</v>
      </c>
      <c r="FC148" s="173">
        <f t="shared" si="427"/>
        <v>6.3183267499290956</v>
      </c>
      <c r="FD148" s="5">
        <f t="shared" si="428"/>
        <v>57.76</v>
      </c>
      <c r="FE148" s="173">
        <f t="shared" si="429"/>
        <v>0.90139682057262704</v>
      </c>
      <c r="FF148" s="5">
        <f t="shared" si="430"/>
        <v>90.139682057262704</v>
      </c>
      <c r="FG148">
        <f t="shared" si="431"/>
        <v>38</v>
      </c>
      <c r="FI148" s="562">
        <f t="shared" si="432"/>
        <v>-50</v>
      </c>
      <c r="FJ148">
        <f t="shared" si="433"/>
        <v>-50</v>
      </c>
    </row>
    <row r="149" spans="5:166">
      <c r="E149" s="170">
        <v>39</v>
      </c>
      <c r="F149" s="217">
        <f t="shared" si="476"/>
        <v>3.9000000000000004</v>
      </c>
      <c r="G149" s="217">
        <f t="shared" si="444"/>
        <v>9.7500000000000003E-2</v>
      </c>
      <c r="H149" s="217">
        <f t="shared" si="445"/>
        <v>58.500000000000007</v>
      </c>
      <c r="I149" s="217">
        <f t="shared" si="446"/>
        <v>0.78</v>
      </c>
      <c r="J149" s="541">
        <f t="shared" si="447"/>
        <v>18.602884260552546</v>
      </c>
      <c r="K149" s="443">
        <f t="shared" si="448"/>
        <v>15.913678947368421</v>
      </c>
      <c r="L149" s="172">
        <f t="shared" si="449"/>
        <v>34.516563207920967</v>
      </c>
      <c r="M149" s="443"/>
      <c r="N149" s="217">
        <f t="shared" si="450"/>
        <v>0.46104471211422637</v>
      </c>
      <c r="O149" s="172">
        <f t="shared" si="451"/>
        <v>211.59773236185993</v>
      </c>
      <c r="P149" s="172">
        <f t="shared" si="452"/>
        <v>2.8589204728002411</v>
      </c>
      <c r="Q149" s="217">
        <f t="shared" si="322"/>
        <v>14.106515490790661</v>
      </c>
      <c r="R149" s="217">
        <f t="shared" si="453"/>
        <v>26.449716545232491</v>
      </c>
      <c r="S149" s="217">
        <f t="shared" si="454"/>
        <v>15</v>
      </c>
      <c r="T149" s="217">
        <f t="shared" si="455"/>
        <v>13.823399557977618</v>
      </c>
      <c r="U149" s="217">
        <f t="shared" si="326"/>
        <v>8.9169395655211368</v>
      </c>
      <c r="V149" s="217">
        <f t="shared" si="327"/>
        <v>10.423786683415681</v>
      </c>
      <c r="W149" s="197">
        <f t="shared" si="328"/>
        <v>71.473011820006022</v>
      </c>
      <c r="X149" s="443">
        <f t="shared" si="435"/>
        <v>51.17517062879935</v>
      </c>
      <c r="Z149" s="217">
        <f t="shared" si="329"/>
        <v>9.9999999999999982</v>
      </c>
      <c r="AA149" s="173">
        <f t="shared" si="330"/>
        <v>7.5406824780666994</v>
      </c>
      <c r="AB149" s="173">
        <f t="shared" si="456"/>
        <v>2.6593188546995399</v>
      </c>
      <c r="AC149" s="173"/>
      <c r="AD149" s="173">
        <f t="shared" si="332"/>
        <v>7.5406824780667012</v>
      </c>
      <c r="AE149" s="545">
        <f t="shared" si="457"/>
        <v>103.43891315789475</v>
      </c>
      <c r="AF149" s="528">
        <f t="shared" si="458"/>
        <v>2.694776439428868</v>
      </c>
      <c r="AH149" s="173">
        <f t="shared" si="459"/>
        <v>5.3130566935212942</v>
      </c>
      <c r="AI149" s="173">
        <f t="shared" si="460"/>
        <v>13.823399557977618</v>
      </c>
      <c r="AJ149" s="173">
        <f t="shared" si="461"/>
        <v>4.0321478207241617</v>
      </c>
      <c r="AL149" s="545">
        <f t="shared" si="462"/>
        <v>3900.0000000000005</v>
      </c>
      <c r="AM149" s="460">
        <f t="shared" si="463"/>
        <v>51.17517062879935</v>
      </c>
      <c r="AO149" s="460">
        <f t="shared" si="340"/>
        <v>3900.0000000000005</v>
      </c>
      <c r="AP149" s="460">
        <f t="shared" si="341"/>
        <v>51.17517062879935</v>
      </c>
      <c r="AR149" s="5">
        <f t="shared" si="443"/>
        <v>19.540726248936821</v>
      </c>
      <c r="AS149" s="5">
        <f t="shared" si="440"/>
        <v>8.9169395655211368</v>
      </c>
      <c r="AT149" s="5">
        <f t="shared" si="441"/>
        <v>10.623786683415684</v>
      </c>
      <c r="AU149" s="173">
        <f t="shared" si="442"/>
        <v>0.45632590375223608</v>
      </c>
      <c r="AW149" s="5">
        <f t="shared" si="342"/>
        <v>231.84042870354958</v>
      </c>
      <c r="AX149" s="5">
        <f t="shared" si="343"/>
        <v>10.867520095478886</v>
      </c>
      <c r="AY149" s="5">
        <f t="shared" si="344"/>
        <v>9.2800950211565318</v>
      </c>
      <c r="AZ149" s="5"/>
      <c r="BA149" s="173">
        <f t="shared" si="345"/>
        <v>5.3912788501905062</v>
      </c>
      <c r="BB149" s="173">
        <f t="shared" si="346"/>
        <v>5.8846895250290929</v>
      </c>
      <c r="BC149" s="173">
        <f t="shared" si="347"/>
        <v>0.14492490281248119</v>
      </c>
      <c r="BD149" s="173"/>
      <c r="BE149" s="528">
        <f t="shared" si="348"/>
        <v>0.58131775281022935</v>
      </c>
      <c r="BF149" s="528">
        <f t="shared" si="464"/>
        <v>0.45782866369018799</v>
      </c>
      <c r="BG149" s="528">
        <f t="shared" si="465"/>
        <v>2.3800144405539559E-2</v>
      </c>
      <c r="BH149" s="528">
        <f t="shared" si="351"/>
        <v>6.0969747004731992E-3</v>
      </c>
      <c r="BI149">
        <f t="shared" si="352"/>
        <v>8.3712979172486449E-3</v>
      </c>
      <c r="BJ149" s="460">
        <f t="shared" si="436"/>
        <v>32.171442322788209</v>
      </c>
      <c r="BK149">
        <f t="shared" si="466"/>
        <v>1.39485858368778</v>
      </c>
      <c r="BL149" s="460">
        <f t="shared" si="437"/>
        <v>1077.4148335236787</v>
      </c>
      <c r="BM149" s="173">
        <f t="shared" si="467"/>
        <v>2.4228749999999999</v>
      </c>
      <c r="BN149" s="173">
        <f t="shared" si="468"/>
        <v>6.057187499999999E-2</v>
      </c>
      <c r="BO149" s="528"/>
      <c r="BQ149" s="460">
        <f t="shared" si="356"/>
        <v>2483.4468749999996</v>
      </c>
      <c r="BR149" s="528">
        <f t="shared" si="357"/>
        <v>0.87197662921534391</v>
      </c>
      <c r="BS149" s="528">
        <f t="shared" si="358"/>
        <v>1.0388871241796138</v>
      </c>
      <c r="BT149" s="528">
        <f t="shared" si="359"/>
        <v>1.0501613727603559E-4</v>
      </c>
      <c r="BU149" s="528">
        <f t="shared" si="360"/>
        <v>0.66551125699552693</v>
      </c>
      <c r="BV149" s="528"/>
      <c r="BW149" s="625">
        <f t="shared" si="469"/>
        <v>9.778877862837496E-3</v>
      </c>
      <c r="BX149" s="460">
        <f t="shared" si="362"/>
        <v>2586.2589043905978</v>
      </c>
      <c r="BY149" s="173">
        <f t="shared" si="363"/>
        <v>6.1471206129142768</v>
      </c>
      <c r="BZ149" s="5">
        <f t="shared" si="364"/>
        <v>59.280000000000008</v>
      </c>
      <c r="CA149" s="173">
        <f t="shared" si="365"/>
        <v>0.90604629157864958</v>
      </c>
      <c r="CB149" s="5">
        <f t="shared" si="366"/>
        <v>90.604629157864963</v>
      </c>
      <c r="CC149">
        <f t="shared" si="367"/>
        <v>39</v>
      </c>
      <c r="CE149" s="562">
        <f t="shared" si="470"/>
        <v>-50</v>
      </c>
      <c r="CF149">
        <f t="shared" si="471"/>
        <v>-50</v>
      </c>
      <c r="CG149" s="173">
        <f t="shared" si="370"/>
        <v>0.54755043227665712</v>
      </c>
      <c r="CH149" s="173">
        <f t="shared" si="472"/>
        <v>6.4398811101315845E-2</v>
      </c>
      <c r="CI149" s="170">
        <v>39</v>
      </c>
      <c r="CJ149" s="217">
        <f t="shared" si="438"/>
        <v>3.9000000000000004</v>
      </c>
      <c r="CK149" s="217">
        <f t="shared" si="372"/>
        <v>9.7500000000000003E-2</v>
      </c>
      <c r="CL149" s="217">
        <f t="shared" si="373"/>
        <v>58.500000000000007</v>
      </c>
      <c r="CM149" s="217">
        <f t="shared" si="374"/>
        <v>0.78</v>
      </c>
      <c r="CN149" s="541">
        <f t="shared" si="375"/>
        <v>19</v>
      </c>
      <c r="CO149" s="443">
        <f t="shared" si="473"/>
        <v>15.7</v>
      </c>
      <c r="CP149" s="443">
        <f t="shared" si="474"/>
        <v>34.700000000000003</v>
      </c>
      <c r="CQ149" s="443"/>
      <c r="CR149" s="217">
        <f t="shared" si="378"/>
        <v>0.44767441860465118</v>
      </c>
      <c r="CS149" s="172">
        <f t="shared" si="379"/>
        <v>209.84738372093025</v>
      </c>
      <c r="CT149" s="172">
        <f t="shared" si="380"/>
        <v>2.835271317829458</v>
      </c>
      <c r="CU149" s="217">
        <f t="shared" si="381"/>
        <v>13.989825581395349</v>
      </c>
      <c r="CV149" s="217">
        <f t="shared" si="382"/>
        <v>26.230922965116282</v>
      </c>
      <c r="CW149" s="217">
        <f t="shared" si="383"/>
        <v>15</v>
      </c>
      <c r="CX149" s="217">
        <f t="shared" si="384"/>
        <v>13.9387012987013</v>
      </c>
      <c r="CY149" s="217">
        <f t="shared" si="385"/>
        <v>8.8033902939166104</v>
      </c>
      <c r="CZ149" s="217">
        <f t="shared" si="386"/>
        <v>10.653784432128383</v>
      </c>
      <c r="DA149" s="197">
        <f t="shared" si="387"/>
        <v>71.63784822286263</v>
      </c>
      <c r="DB149" s="443">
        <f t="shared" si="388"/>
        <v>51.39492316227286</v>
      </c>
      <c r="DD149" s="217">
        <f t="shared" si="389"/>
        <v>10.000000000000002</v>
      </c>
      <c r="DE149" s="173">
        <f t="shared" si="390"/>
        <v>7.6433121019108299</v>
      </c>
      <c r="DF149" s="173">
        <f t="shared" si="391"/>
        <v>2.7017291066282429</v>
      </c>
      <c r="DG149" s="173"/>
      <c r="DH149" s="173">
        <f t="shared" si="392"/>
        <v>7.6433121019108281</v>
      </c>
      <c r="DI149" s="545">
        <f t="shared" si="393"/>
        <v>102.05000000000001</v>
      </c>
      <c r="DJ149" s="528">
        <f t="shared" si="394"/>
        <v>2.7377521613832849</v>
      </c>
      <c r="DL149" s="173">
        <f t="shared" si="395"/>
        <v>5.3130566935212942</v>
      </c>
      <c r="DM149" s="173">
        <f t="shared" si="396"/>
        <v>13.9387012987013</v>
      </c>
      <c r="DN149" s="173">
        <f t="shared" si="397"/>
        <v>4.1175565175565181</v>
      </c>
      <c r="DP149" s="545">
        <f t="shared" si="398"/>
        <v>3900.0000000000005</v>
      </c>
      <c r="DQ149" s="460">
        <f t="shared" si="399"/>
        <v>51.39492316227286</v>
      </c>
      <c r="DS149" s="460">
        <f t="shared" si="400"/>
        <v>3900.0000000000005</v>
      </c>
      <c r="DT149" s="460">
        <f t="shared" si="401"/>
        <v>51.39492316227286</v>
      </c>
      <c r="DV149" s="5">
        <f t="shared" si="402"/>
        <v>19.457174726044997</v>
      </c>
      <c r="DW149" s="5">
        <f t="shared" si="403"/>
        <v>8.8033902939166104</v>
      </c>
      <c r="DX149" s="5">
        <f t="shared" si="404"/>
        <v>10.653784432128386</v>
      </c>
      <c r="DY149" s="173">
        <f t="shared" si="405"/>
        <v>0.45244956772334283</v>
      </c>
      <c r="EA149" s="5">
        <f t="shared" si="406"/>
        <v>228.88814764183192</v>
      </c>
      <c r="EB149" s="5">
        <f t="shared" si="407"/>
        <v>10.729131920710868</v>
      </c>
      <c r="EC149" s="5">
        <f t="shared" si="408"/>
        <v>9.1117893169519117</v>
      </c>
      <c r="ED149" s="5"/>
      <c r="EE149" s="173">
        <f t="shared" si="409"/>
        <v>5.4131090075120403</v>
      </c>
      <c r="EF149" s="173">
        <f t="shared" si="410"/>
        <v>5.9548900497208557</v>
      </c>
      <c r="EG149" s="173">
        <f t="shared" si="411"/>
        <v>0.14665376279312539</v>
      </c>
      <c r="EH149" s="173"/>
      <c r="EI149" s="528">
        <f t="shared" si="412"/>
        <v>0.58603498254415975</v>
      </c>
      <c r="EJ149" s="528">
        <f t="shared" si="413"/>
        <v>0.49716666666666665</v>
      </c>
      <c r="EK149" s="528">
        <f t="shared" si="414"/>
        <v>6.4243653952841071E-3</v>
      </c>
      <c r="EL149" s="528">
        <f t="shared" si="415"/>
        <v>6.1884113030461138E-3</v>
      </c>
      <c r="EM149">
        <f t="shared" si="416"/>
        <v>8.5500000000000003E-3</v>
      </c>
      <c r="EN149" s="460">
        <f t="shared" si="417"/>
        <v>14.974365395284108</v>
      </c>
      <c r="EP149" s="460">
        <f t="shared" si="439"/>
        <v>1104.3644259091566</v>
      </c>
      <c r="EQ149" s="173">
        <f t="shared" si="418"/>
        <v>2.73</v>
      </c>
      <c r="ER149" s="173">
        <f t="shared" si="475"/>
        <v>4.3265625000000002E-2</v>
      </c>
      <c r="ES149" s="528"/>
      <c r="EU149" s="460">
        <f t="shared" si="420"/>
        <v>2773.265625</v>
      </c>
      <c r="EV149" s="528">
        <f t="shared" si="421"/>
        <v>0.87905247381623963</v>
      </c>
      <c r="EW149" s="528">
        <f t="shared" si="422"/>
        <v>1.0638214651279336</v>
      </c>
      <c r="EX149" s="528">
        <f t="shared" si="423"/>
        <v>1.0753663070691144E-4</v>
      </c>
      <c r="EY149" s="528">
        <f t="shared" si="424"/>
        <v>0.6867937521027887</v>
      </c>
      <c r="EZ149" s="528"/>
      <c r="FA149" s="625">
        <f t="shared" si="425"/>
        <v>9.9853856806018191E-3</v>
      </c>
      <c r="FB149" s="460">
        <f t="shared" si="426"/>
        <v>2639.7606133582708</v>
      </c>
      <c r="FC149" s="173">
        <f t="shared" si="427"/>
        <v>6.5173906642674266</v>
      </c>
      <c r="FD149" s="5">
        <f t="shared" si="428"/>
        <v>59.280000000000008</v>
      </c>
      <c r="FE149" s="173">
        <f t="shared" si="429"/>
        <v>0.90094758168264522</v>
      </c>
      <c r="FF149" s="5">
        <f t="shared" si="430"/>
        <v>90.094758168264519</v>
      </c>
      <c r="FG149">
        <f t="shared" si="431"/>
        <v>39</v>
      </c>
      <c r="FI149" s="562">
        <f t="shared" si="432"/>
        <v>-50</v>
      </c>
      <c r="FJ149">
        <f t="shared" si="433"/>
        <v>-50</v>
      </c>
    </row>
    <row r="150" spans="5:166">
      <c r="E150" s="170">
        <v>40</v>
      </c>
      <c r="F150" s="217">
        <f t="shared" si="476"/>
        <v>4</v>
      </c>
      <c r="G150" s="217">
        <f t="shared" si="444"/>
        <v>0.1</v>
      </c>
      <c r="H150" s="217">
        <f t="shared" si="445"/>
        <v>60</v>
      </c>
      <c r="I150" s="217">
        <f t="shared" si="446"/>
        <v>0.8</v>
      </c>
      <c r="J150" s="541">
        <f t="shared" si="447"/>
        <v>18.592701805694919</v>
      </c>
      <c r="K150" s="443">
        <f t="shared" si="448"/>
        <v>15.919157894736841</v>
      </c>
      <c r="L150" s="172">
        <f t="shared" si="449"/>
        <v>34.511859700431756</v>
      </c>
      <c r="M150" s="443"/>
      <c r="N150" s="217">
        <f t="shared" si="450"/>
        <v>0.46126630187180806</v>
      </c>
      <c r="O150" s="172">
        <f t="shared" si="451"/>
        <v>211.58355601278413</v>
      </c>
      <c r="P150" s="172">
        <f t="shared" si="452"/>
        <v>2.8587289345727278</v>
      </c>
      <c r="Q150" s="217">
        <f t="shared" si="322"/>
        <v>14.105570400852276</v>
      </c>
      <c r="R150" s="217">
        <f t="shared" si="453"/>
        <v>26.447944501598016</v>
      </c>
      <c r="S150" s="217">
        <f t="shared" si="454"/>
        <v>15</v>
      </c>
      <c r="T150" s="217">
        <f t="shared" si="455"/>
        <v>14.178795632959002</v>
      </c>
      <c r="U150" s="217">
        <f t="shared" si="326"/>
        <v>9.1512007976910965</v>
      </c>
      <c r="V150" s="217">
        <f t="shared" si="327"/>
        <v>10.688099755060611</v>
      </c>
      <c r="W150" s="197">
        <f t="shared" si="328"/>
        <v>71.468223364318177</v>
      </c>
      <c r="X150" s="443">
        <f t="shared" si="435"/>
        <v>49.901941306164225</v>
      </c>
      <c r="Z150" s="217">
        <f t="shared" si="329"/>
        <v>10</v>
      </c>
      <c r="AA150" s="173">
        <f t="shared" si="330"/>
        <v>7.53808717731697</v>
      </c>
      <c r="AB150" s="173">
        <f t="shared" si="456"/>
        <v>2.6582254841851576</v>
      </c>
      <c r="AC150" s="173"/>
      <c r="AD150" s="173">
        <f t="shared" si="332"/>
        <v>7.53808717731697</v>
      </c>
      <c r="AE150" s="545">
        <f t="shared" si="457"/>
        <v>106.12771929824562</v>
      </c>
      <c r="AF150" s="528">
        <f t="shared" si="458"/>
        <v>2.6936684906409596</v>
      </c>
      <c r="AH150" s="173">
        <f t="shared" si="459"/>
        <v>5.3807416730763942</v>
      </c>
      <c r="AI150" s="173">
        <f t="shared" si="460"/>
        <v>14.178795632959002</v>
      </c>
      <c r="AJ150" s="173">
        <f t="shared" si="461"/>
        <v>4.2954041725622236</v>
      </c>
      <c r="AL150" s="545">
        <f t="shared" si="462"/>
        <v>4000</v>
      </c>
      <c r="AM150" s="460">
        <f t="shared" si="463"/>
        <v>49.901941306164225</v>
      </c>
      <c r="AO150" s="460">
        <f t="shared" si="340"/>
        <v>4000</v>
      </c>
      <c r="AP150" s="460">
        <f t="shared" si="341"/>
        <v>49.901941306164225</v>
      </c>
      <c r="AR150" s="5">
        <f t="shared" si="443"/>
        <v>20.039300552751708</v>
      </c>
      <c r="AS150" s="5">
        <f t="shared" si="440"/>
        <v>9.1512007976910965</v>
      </c>
      <c r="AT150" s="5">
        <f t="shared" si="441"/>
        <v>10.888099755060612</v>
      </c>
      <c r="AU150" s="173">
        <f t="shared" si="442"/>
        <v>0.45666268508730429</v>
      </c>
      <c r="AW150" s="5">
        <f t="shared" si="342"/>
        <v>244.03202127176257</v>
      </c>
      <c r="AX150" s="5">
        <f t="shared" si="343"/>
        <v>11.439000997113872</v>
      </c>
      <c r="AY150" s="5">
        <f t="shared" si="344"/>
        <v>9.7601914529402443</v>
      </c>
      <c r="AZ150" s="5"/>
      <c r="BA150" s="173">
        <f t="shared" si="345"/>
        <v>5.5319274833006986</v>
      </c>
      <c r="BB150" s="173">
        <f t="shared" si="346"/>
        <v>6.0341135930011687</v>
      </c>
      <c r="BC150" s="173">
        <f t="shared" si="347"/>
        <v>0.14860483672175431</v>
      </c>
      <c r="BD150" s="173"/>
      <c r="BE150" s="528">
        <f t="shared" si="348"/>
        <v>0.61204443360995198</v>
      </c>
      <c r="BF150" s="528">
        <f t="shared" si="464"/>
        <v>0.45785337322306957</v>
      </c>
      <c r="BG150" s="528">
        <f t="shared" si="465"/>
        <v>2.3195297855770035E-2</v>
      </c>
      <c r="BH150" s="528">
        <f t="shared" si="351"/>
        <v>5.9436628381659426E-3</v>
      </c>
      <c r="BI150">
        <f t="shared" si="352"/>
        <v>8.3667158125627136E-3</v>
      </c>
      <c r="BJ150" s="460">
        <f t="shared" si="436"/>
        <v>31.562013668332749</v>
      </c>
      <c r="BK150">
        <f t="shared" si="466"/>
        <v>1.4522876957495268</v>
      </c>
      <c r="BL150" s="460">
        <f t="shared" si="437"/>
        <v>1107.4034833395203</v>
      </c>
      <c r="BM150" s="173">
        <f t="shared" si="467"/>
        <v>2.4849999999999999</v>
      </c>
      <c r="BN150" s="173">
        <f t="shared" si="468"/>
        <v>6.2124999999999993E-2</v>
      </c>
      <c r="BO150" s="528"/>
      <c r="BQ150" s="460">
        <f t="shared" si="356"/>
        <v>2547.125</v>
      </c>
      <c r="BR150" s="528">
        <f t="shared" si="357"/>
        <v>0.91806665041492796</v>
      </c>
      <c r="BS150" s="528">
        <f t="shared" si="358"/>
        <v>1.0923158055972442</v>
      </c>
      <c r="BT150" s="528">
        <f t="shared" si="359"/>
        <v>1.1041698748549629E-4</v>
      </c>
      <c r="BU150" s="528">
        <f t="shared" si="360"/>
        <v>0.66582786123682214</v>
      </c>
      <c r="BV150" s="528"/>
      <c r="BW150" s="625">
        <f t="shared" si="469"/>
        <v>1.0032198732286172E-2</v>
      </c>
      <c r="BX150" s="460">
        <f t="shared" si="362"/>
        <v>2686.3529329687658</v>
      </c>
      <c r="BY150" s="173">
        <f t="shared" si="363"/>
        <v>6.3408814163082869</v>
      </c>
      <c r="BZ150" s="5">
        <f t="shared" si="364"/>
        <v>60.8</v>
      </c>
      <c r="CA150" s="173">
        <f t="shared" si="365"/>
        <v>0.90555856160136561</v>
      </c>
      <c r="CB150" s="5">
        <f t="shared" si="366"/>
        <v>90.555856160136557</v>
      </c>
      <c r="CC150">
        <f t="shared" si="367"/>
        <v>40</v>
      </c>
      <c r="CE150" s="562">
        <f t="shared" si="470"/>
        <v>-50</v>
      </c>
      <c r="CF150">
        <f t="shared" si="471"/>
        <v>-50</v>
      </c>
      <c r="CG150" s="173">
        <f t="shared" si="370"/>
        <v>0.54755043227665701</v>
      </c>
      <c r="CH150" s="173">
        <f t="shared" si="472"/>
        <v>6.4398811101315859E-2</v>
      </c>
      <c r="CI150" s="170">
        <v>40</v>
      </c>
      <c r="CJ150" s="217">
        <f t="shared" si="438"/>
        <v>4</v>
      </c>
      <c r="CK150" s="217">
        <f t="shared" si="372"/>
        <v>0.1</v>
      </c>
      <c r="CL150" s="217">
        <f t="shared" si="373"/>
        <v>60</v>
      </c>
      <c r="CM150" s="217">
        <f t="shared" si="374"/>
        <v>0.8</v>
      </c>
      <c r="CN150" s="541">
        <f t="shared" si="375"/>
        <v>19</v>
      </c>
      <c r="CO150" s="443">
        <f t="shared" si="473"/>
        <v>15.7</v>
      </c>
      <c r="CP150" s="443">
        <f t="shared" si="474"/>
        <v>34.700000000000003</v>
      </c>
      <c r="CQ150" s="443"/>
      <c r="CR150" s="217">
        <f t="shared" si="378"/>
        <v>0.44767441860465118</v>
      </c>
      <c r="CS150" s="172">
        <f t="shared" si="379"/>
        <v>209.84738372093025</v>
      </c>
      <c r="CT150" s="172">
        <f t="shared" si="380"/>
        <v>2.835271317829458</v>
      </c>
      <c r="CU150" s="217">
        <f t="shared" si="381"/>
        <v>13.989825581395349</v>
      </c>
      <c r="CV150" s="217">
        <f t="shared" si="382"/>
        <v>26.230922965116282</v>
      </c>
      <c r="CW150" s="217">
        <f t="shared" si="383"/>
        <v>15</v>
      </c>
      <c r="CX150" s="217">
        <f t="shared" si="384"/>
        <v>14.296103896103896</v>
      </c>
      <c r="CY150" s="217">
        <f t="shared" si="385"/>
        <v>9.0291182501708818</v>
      </c>
      <c r="CZ150" s="217">
        <f t="shared" si="386"/>
        <v>10.926958391926545</v>
      </c>
      <c r="DA150" s="197">
        <f t="shared" si="387"/>
        <v>71.63784822286263</v>
      </c>
      <c r="DB150" s="443">
        <f t="shared" si="388"/>
        <v>50.110050083216045</v>
      </c>
      <c r="DD150" s="217">
        <f t="shared" si="389"/>
        <v>10.000000000000002</v>
      </c>
      <c r="DE150" s="173">
        <f t="shared" si="390"/>
        <v>7.6433121019108299</v>
      </c>
      <c r="DF150" s="173">
        <f t="shared" si="391"/>
        <v>2.7017291066282429</v>
      </c>
      <c r="DG150" s="173"/>
      <c r="DH150" s="173">
        <f t="shared" si="392"/>
        <v>7.6433121019108281</v>
      </c>
      <c r="DI150" s="545">
        <f t="shared" si="393"/>
        <v>104.66666666666667</v>
      </c>
      <c r="DJ150" s="528">
        <f t="shared" si="394"/>
        <v>2.7377521613832849</v>
      </c>
      <c r="DL150" s="173">
        <f t="shared" si="395"/>
        <v>5.3807416730763942</v>
      </c>
      <c r="DM150" s="173">
        <f t="shared" si="396"/>
        <v>14.296103896103896</v>
      </c>
      <c r="DN150" s="173">
        <f t="shared" si="397"/>
        <v>4.3822991822991817</v>
      </c>
      <c r="DP150" s="545">
        <f t="shared" si="398"/>
        <v>4000</v>
      </c>
      <c r="DQ150" s="460">
        <f t="shared" si="399"/>
        <v>50.110050083216045</v>
      </c>
      <c r="DS150" s="460">
        <f t="shared" si="400"/>
        <v>4000</v>
      </c>
      <c r="DT150" s="460">
        <f t="shared" si="401"/>
        <v>50.110050083216045</v>
      </c>
      <c r="DV150" s="5">
        <f t="shared" si="402"/>
        <v>19.956076642097425</v>
      </c>
      <c r="DW150" s="5">
        <f t="shared" si="403"/>
        <v>9.0291182501708818</v>
      </c>
      <c r="DX150" s="5">
        <f t="shared" si="404"/>
        <v>10.926958391926544</v>
      </c>
      <c r="DY150" s="173">
        <f t="shared" si="405"/>
        <v>0.45244956772334299</v>
      </c>
      <c r="EA150" s="5">
        <f t="shared" si="406"/>
        <v>240.77648667122349</v>
      </c>
      <c r="EB150" s="5">
        <f t="shared" si="407"/>
        <v>11.286397812713604</v>
      </c>
      <c r="EC150" s="5">
        <f t="shared" si="408"/>
        <v>9.5850512209881948</v>
      </c>
      <c r="ED150" s="5"/>
      <c r="EE150" s="173">
        <f t="shared" si="409"/>
        <v>5.551906674371323</v>
      </c>
      <c r="EF150" s="173">
        <f t="shared" si="410"/>
        <v>6.1075795381752345</v>
      </c>
      <c r="EG150" s="173">
        <f t="shared" si="411"/>
        <v>0.15041411568525678</v>
      </c>
      <c r="EH150" s="173"/>
      <c r="EI150" s="528">
        <f t="shared" si="412"/>
        <v>0.61647335441857687</v>
      </c>
      <c r="EJ150" s="528">
        <f t="shared" si="413"/>
        <v>0.49716666666666665</v>
      </c>
      <c r="EK150" s="528">
        <f t="shared" si="414"/>
        <v>6.2637562604020052E-3</v>
      </c>
      <c r="EL150" s="528">
        <f t="shared" si="415"/>
        <v>6.0337010204699624E-3</v>
      </c>
      <c r="EM150">
        <f t="shared" si="416"/>
        <v>8.5500000000000003E-3</v>
      </c>
      <c r="EN150" s="460">
        <f t="shared" si="417"/>
        <v>14.813756260402007</v>
      </c>
      <c r="EP150" s="460">
        <f t="shared" si="439"/>
        <v>1134.4874783661157</v>
      </c>
      <c r="EQ150" s="173">
        <f t="shared" si="418"/>
        <v>2.8</v>
      </c>
      <c r="ER150" s="173">
        <f t="shared" si="475"/>
        <v>4.4374999999999998E-2</v>
      </c>
      <c r="ES150" s="528"/>
      <c r="EU150" s="460">
        <f t="shared" si="420"/>
        <v>2844.375</v>
      </c>
      <c r="EV150" s="528">
        <f t="shared" si="421"/>
        <v>0.92471003162786525</v>
      </c>
      <c r="EW150" s="528">
        <f t="shared" si="422"/>
        <v>1.1190758344541043</v>
      </c>
      <c r="EX150" s="528">
        <f t="shared" si="423"/>
        <v>1.1312203098688906E-4</v>
      </c>
      <c r="EY150" s="528">
        <f t="shared" si="424"/>
        <v>0.68679375210278926</v>
      </c>
      <c r="EZ150" s="528"/>
      <c r="FA150" s="625">
        <f t="shared" si="425"/>
        <v>1.0241421210873659E-2</v>
      </c>
      <c r="FB150" s="460">
        <f t="shared" si="426"/>
        <v>2740.9341614266191</v>
      </c>
      <c r="FC150" s="173">
        <f t="shared" si="427"/>
        <v>6.7197966397927358</v>
      </c>
      <c r="FD150" s="5">
        <f t="shared" si="428"/>
        <v>60.8</v>
      </c>
      <c r="FE150" s="173">
        <f t="shared" si="429"/>
        <v>0.90047664575114517</v>
      </c>
      <c r="FF150" s="5">
        <f t="shared" si="430"/>
        <v>90.04766457511451</v>
      </c>
      <c r="FG150">
        <f t="shared" si="431"/>
        <v>40</v>
      </c>
      <c r="FI150" s="562">
        <f t="shared" si="432"/>
        <v>-50</v>
      </c>
      <c r="FJ150">
        <f t="shared" si="433"/>
        <v>-50</v>
      </c>
    </row>
    <row r="151" spans="5:166">
      <c r="E151" s="170">
        <v>41</v>
      </c>
      <c r="F151" s="217">
        <f t="shared" si="476"/>
        <v>4.0999999999999996</v>
      </c>
      <c r="G151" s="217">
        <f t="shared" si="444"/>
        <v>0.10249999999999999</v>
      </c>
      <c r="H151" s="217">
        <f t="shared" si="445"/>
        <v>61.499999999999993</v>
      </c>
      <c r="I151" s="217">
        <f t="shared" si="446"/>
        <v>0.82</v>
      </c>
      <c r="J151" s="541">
        <f t="shared" si="447"/>
        <v>18.582519350837291</v>
      </c>
      <c r="K151" s="443">
        <f t="shared" si="448"/>
        <v>15.924636842105262</v>
      </c>
      <c r="L151" s="172">
        <f t="shared" si="449"/>
        <v>34.507156192942553</v>
      </c>
      <c r="M151" s="443"/>
      <c r="N151" s="217">
        <f t="shared" si="450"/>
        <v>0.46148795203709625</v>
      </c>
      <c r="O151" s="172">
        <f t="shared" si="451"/>
        <v>211.56929602568124</v>
      </c>
      <c r="P151" s="172">
        <f t="shared" si="452"/>
        <v>2.8585362663025378</v>
      </c>
      <c r="Q151" s="217">
        <f t="shared" si="322"/>
        <v>14.104619735045416</v>
      </c>
      <c r="R151" s="217">
        <f t="shared" si="453"/>
        <v>26.446162003210155</v>
      </c>
      <c r="S151" s="217">
        <f t="shared" si="454"/>
        <v>15</v>
      </c>
      <c r="T151" s="217">
        <f t="shared" si="455"/>
        <v>14.534245080754735</v>
      </c>
      <c r="U151" s="217">
        <f t="shared" si="326"/>
        <v>9.3857532273307296</v>
      </c>
      <c r="V151" s="217">
        <f t="shared" si="327"/>
        <v>10.952271169406425</v>
      </c>
      <c r="W151" s="197">
        <f t="shared" si="328"/>
        <v>71.463406657563439</v>
      </c>
      <c r="X151" s="443">
        <f t="shared" si="435"/>
        <v>48.690174901090714</v>
      </c>
      <c r="Z151" s="217">
        <f t="shared" si="329"/>
        <v>10</v>
      </c>
      <c r="AA151" s="173">
        <f t="shared" si="330"/>
        <v>7.5354936624184781</v>
      </c>
      <c r="AB151" s="173">
        <f t="shared" si="456"/>
        <v>2.6571318156064327</v>
      </c>
      <c r="AC151" s="173"/>
      <c r="AD151" s="173">
        <f t="shared" si="332"/>
        <v>7.5354936624184781</v>
      </c>
      <c r="AE151" s="545">
        <f t="shared" si="457"/>
        <v>108.81835175438593</v>
      </c>
      <c r="AF151" s="528">
        <f t="shared" si="458"/>
        <v>2.6925602398145192</v>
      </c>
      <c r="AH151" s="173">
        <f t="shared" si="459"/>
        <v>5.4475857474839691</v>
      </c>
      <c r="AI151" s="173">
        <f t="shared" si="460"/>
        <v>14.534245080754735</v>
      </c>
      <c r="AJ151" s="173">
        <f t="shared" si="461"/>
        <v>4.5587000598183218</v>
      </c>
      <c r="AL151" s="545">
        <f t="shared" si="462"/>
        <v>4100</v>
      </c>
      <c r="AM151" s="460">
        <f t="shared" si="463"/>
        <v>48.690174901090714</v>
      </c>
      <c r="AO151" s="460">
        <f t="shared" si="340"/>
        <v>4100</v>
      </c>
      <c r="AP151" s="460">
        <f t="shared" si="341"/>
        <v>48.690174901090714</v>
      </c>
      <c r="AR151" s="5">
        <f t="shared" si="443"/>
        <v>20.538024396737153</v>
      </c>
      <c r="AS151" s="5">
        <f t="shared" si="440"/>
        <v>9.3857532273307296</v>
      </c>
      <c r="AT151" s="5">
        <f t="shared" si="441"/>
        <v>11.152271169406424</v>
      </c>
      <c r="AU151" s="173">
        <f t="shared" si="442"/>
        <v>0.45699396621720983</v>
      </c>
      <c r="AW151" s="5">
        <f t="shared" si="342"/>
        <v>256.54392154703993</v>
      </c>
      <c r="AX151" s="5">
        <f t="shared" si="343"/>
        <v>12.025496322517498</v>
      </c>
      <c r="AY151" s="5">
        <f t="shared" si="344"/>
        <v>10.252536925360914</v>
      </c>
      <c r="AZ151" s="5"/>
      <c r="BA151" s="173">
        <f t="shared" si="345"/>
        <v>5.6726643178410132</v>
      </c>
      <c r="BB151" s="173">
        <f t="shared" si="346"/>
        <v>6.1834973566400446</v>
      </c>
      <c r="BC151" s="173">
        <f t="shared" si="347"/>
        <v>0.15228377803803719</v>
      </c>
      <c r="BD151" s="173"/>
      <c r="BE151" s="528">
        <f t="shared" si="348"/>
        <v>0.64358240925813293</v>
      </c>
      <c r="BF151" s="528">
        <f t="shared" si="464"/>
        <v>0.45787217844677608</v>
      </c>
      <c r="BG151" s="528">
        <f t="shared" si="465"/>
        <v>2.2619652932379261E-2</v>
      </c>
      <c r="BH151" s="528">
        <f t="shared" si="351"/>
        <v>5.7977525273234442E-3</v>
      </c>
      <c r="BI151">
        <f t="shared" si="352"/>
        <v>8.3621337078767805E-3</v>
      </c>
      <c r="BJ151" s="460">
        <f t="shared" si="436"/>
        <v>30.98178664025604</v>
      </c>
      <c r="BK151">
        <f t="shared" si="466"/>
        <v>1.5122683834623807</v>
      </c>
      <c r="BL151" s="460">
        <f t="shared" si="437"/>
        <v>1138.2341268724886</v>
      </c>
      <c r="BM151" s="173">
        <f t="shared" si="467"/>
        <v>2.5471249999999994</v>
      </c>
      <c r="BN151" s="173">
        <f t="shared" si="468"/>
        <v>6.3678124999999988E-2</v>
      </c>
      <c r="BO151" s="528"/>
      <c r="BQ151" s="460">
        <f t="shared" si="356"/>
        <v>2610.8031249999995</v>
      </c>
      <c r="BR151" s="528">
        <f t="shared" si="357"/>
        <v>0.96537361388719933</v>
      </c>
      <c r="BS151" s="528">
        <f t="shared" si="358"/>
        <v>1.1470691867872325</v>
      </c>
      <c r="BT151" s="528">
        <f t="shared" si="359"/>
        <v>1.1595174526769091E-4</v>
      </c>
      <c r="BU151" s="528">
        <f t="shared" si="360"/>
        <v>0.66612316765275303</v>
      </c>
      <c r="BV151" s="528"/>
      <c r="BW151" s="625">
        <f t="shared" si="469"/>
        <v>1.0285520943338801E-2</v>
      </c>
      <c r="BX151" s="460">
        <f t="shared" si="362"/>
        <v>2788.9674410157913</v>
      </c>
      <c r="BY151" s="173">
        <f t="shared" si="363"/>
        <v>6.5380046928882791</v>
      </c>
      <c r="BZ151" s="5">
        <f t="shared" si="364"/>
        <v>62.319999999999993</v>
      </c>
      <c r="CA151" s="173">
        <f t="shared" si="365"/>
        <v>0.90505091278714422</v>
      </c>
      <c r="CB151" s="5">
        <f t="shared" si="366"/>
        <v>90.505091278714417</v>
      </c>
      <c r="CC151">
        <f t="shared" si="367"/>
        <v>41</v>
      </c>
      <c r="CE151" s="562">
        <f t="shared" si="470"/>
        <v>-50</v>
      </c>
      <c r="CF151">
        <f t="shared" si="471"/>
        <v>-50</v>
      </c>
      <c r="CG151" s="173">
        <f t="shared" si="370"/>
        <v>0.54755043227665712</v>
      </c>
      <c r="CH151" s="173">
        <f t="shared" si="472"/>
        <v>6.4398811101315859E-2</v>
      </c>
      <c r="CI151" s="170">
        <v>41</v>
      </c>
      <c r="CJ151" s="217">
        <f t="shared" si="438"/>
        <v>4.0999999999999996</v>
      </c>
      <c r="CK151" s="217">
        <f t="shared" si="372"/>
        <v>0.10249999999999999</v>
      </c>
      <c r="CL151" s="217">
        <f t="shared" si="373"/>
        <v>61.499999999999993</v>
      </c>
      <c r="CM151" s="217">
        <f t="shared" si="374"/>
        <v>0.82</v>
      </c>
      <c r="CN151" s="541">
        <f t="shared" si="375"/>
        <v>19</v>
      </c>
      <c r="CO151" s="443">
        <f t="shared" si="473"/>
        <v>15.7</v>
      </c>
      <c r="CP151" s="443">
        <f t="shared" si="474"/>
        <v>34.700000000000003</v>
      </c>
      <c r="CQ151" s="443"/>
      <c r="CR151" s="217">
        <f t="shared" si="378"/>
        <v>0.44767441860465118</v>
      </c>
      <c r="CS151" s="172">
        <f t="shared" si="379"/>
        <v>209.84738372093025</v>
      </c>
      <c r="CT151" s="172">
        <f t="shared" si="380"/>
        <v>2.835271317829458</v>
      </c>
      <c r="CU151" s="217">
        <f t="shared" si="381"/>
        <v>13.989825581395349</v>
      </c>
      <c r="CV151" s="217">
        <f t="shared" si="382"/>
        <v>26.230922965116282</v>
      </c>
      <c r="CW151" s="217">
        <f t="shared" si="383"/>
        <v>15</v>
      </c>
      <c r="CX151" s="217">
        <f t="shared" si="384"/>
        <v>14.653506493506491</v>
      </c>
      <c r="CY151" s="217">
        <f t="shared" si="385"/>
        <v>9.2548462064251513</v>
      </c>
      <c r="CZ151" s="217">
        <f t="shared" si="386"/>
        <v>11.200132351724708</v>
      </c>
      <c r="DA151" s="197">
        <f t="shared" si="387"/>
        <v>71.63784822286263</v>
      </c>
      <c r="DB151" s="443">
        <f t="shared" si="388"/>
        <v>48.887853739722978</v>
      </c>
      <c r="DD151" s="217">
        <f t="shared" si="389"/>
        <v>10.000000000000002</v>
      </c>
      <c r="DE151" s="173">
        <f t="shared" si="390"/>
        <v>7.6433121019108299</v>
      </c>
      <c r="DF151" s="173">
        <f t="shared" si="391"/>
        <v>2.7017291066282429</v>
      </c>
      <c r="DG151" s="173"/>
      <c r="DH151" s="173">
        <f t="shared" si="392"/>
        <v>7.6433121019108281</v>
      </c>
      <c r="DI151" s="545">
        <f t="shared" si="393"/>
        <v>107.28333333333333</v>
      </c>
      <c r="DJ151" s="528">
        <f t="shared" si="394"/>
        <v>2.7377521613832849</v>
      </c>
      <c r="DL151" s="173">
        <f t="shared" si="395"/>
        <v>5.4475857474839691</v>
      </c>
      <c r="DM151" s="173">
        <f t="shared" si="396"/>
        <v>14.653506493506491</v>
      </c>
      <c r="DN151" s="173">
        <f t="shared" si="397"/>
        <v>4.6470418470418453</v>
      </c>
      <c r="DP151" s="545">
        <f t="shared" si="398"/>
        <v>4100</v>
      </c>
      <c r="DQ151" s="460">
        <f t="shared" si="399"/>
        <v>48.887853739722978</v>
      </c>
      <c r="DS151" s="460">
        <f t="shared" si="400"/>
        <v>4100</v>
      </c>
      <c r="DT151" s="460">
        <f t="shared" si="401"/>
        <v>48.887853739722978</v>
      </c>
      <c r="DV151" s="5">
        <f t="shared" si="402"/>
        <v>20.454978558149861</v>
      </c>
      <c r="DW151" s="5">
        <f t="shared" si="403"/>
        <v>9.2548462064251513</v>
      </c>
      <c r="DX151" s="5">
        <f t="shared" si="404"/>
        <v>11.20013235172471</v>
      </c>
      <c r="DY151" s="173">
        <f t="shared" si="405"/>
        <v>0.45244956772334283</v>
      </c>
      <c r="EA151" s="5">
        <f t="shared" si="406"/>
        <v>252.96579630895411</v>
      </c>
      <c r="EB151" s="5">
        <f t="shared" si="407"/>
        <v>11.857771701982223</v>
      </c>
      <c r="EC151" s="5">
        <f t="shared" si="408"/>
        <v>10.070294439050723</v>
      </c>
      <c r="ED151" s="5"/>
      <c r="EE151" s="173">
        <f t="shared" si="409"/>
        <v>5.6907043412306049</v>
      </c>
      <c r="EF151" s="173">
        <f t="shared" si="410"/>
        <v>6.2602690266296159</v>
      </c>
      <c r="EG151" s="173">
        <f t="shared" si="411"/>
        <v>0.1541744685773882</v>
      </c>
      <c r="EH151" s="173"/>
      <c r="EI151" s="528">
        <f t="shared" si="412"/>
        <v>0.64768231798601705</v>
      </c>
      <c r="EJ151" s="528">
        <f t="shared" si="413"/>
        <v>0.49716666666666665</v>
      </c>
      <c r="EK151" s="528">
        <f t="shared" si="414"/>
        <v>6.1109817174653715E-3</v>
      </c>
      <c r="EL151" s="528">
        <f t="shared" si="415"/>
        <v>5.8865375809463057E-3</v>
      </c>
      <c r="EM151">
        <f t="shared" si="416"/>
        <v>8.5500000000000003E-3</v>
      </c>
      <c r="EN151" s="460">
        <f t="shared" si="417"/>
        <v>14.660981717465372</v>
      </c>
      <c r="EP151" s="460">
        <f t="shared" si="439"/>
        <v>1165.3965039510954</v>
      </c>
      <c r="EQ151" s="173">
        <f t="shared" si="418"/>
        <v>2.8699999999999997</v>
      </c>
      <c r="ER151" s="173">
        <f t="shared" si="475"/>
        <v>4.5484374999999994E-2</v>
      </c>
      <c r="ES151" s="528"/>
      <c r="EU151" s="460">
        <f t="shared" si="420"/>
        <v>2915.4843749999995</v>
      </c>
      <c r="EV151" s="528">
        <f t="shared" si="421"/>
        <v>0.97152347697902552</v>
      </c>
      <c r="EW151" s="528">
        <f t="shared" si="422"/>
        <v>1.1757290485733436</v>
      </c>
      <c r="EX151" s="528">
        <f t="shared" si="423"/>
        <v>1.188488338056003E-4</v>
      </c>
      <c r="EY151" s="528">
        <f t="shared" si="424"/>
        <v>0.68679375210278926</v>
      </c>
      <c r="EZ151" s="528"/>
      <c r="FA151" s="625">
        <f t="shared" si="425"/>
        <v>1.04974567411455E-2</v>
      </c>
      <c r="FB151" s="460">
        <f t="shared" si="426"/>
        <v>2844.6625832301092</v>
      </c>
      <c r="FC151" s="173">
        <f t="shared" si="427"/>
        <v>6.9255434621812038</v>
      </c>
      <c r="FD151" s="5">
        <f t="shared" si="428"/>
        <v>62.319999999999993</v>
      </c>
      <c r="FE151" s="173">
        <f t="shared" si="429"/>
        <v>0.899985715817746</v>
      </c>
      <c r="FF151" s="5">
        <f t="shared" si="430"/>
        <v>89.998571581774598</v>
      </c>
      <c r="FG151">
        <f t="shared" si="431"/>
        <v>41</v>
      </c>
      <c r="FI151" s="562">
        <f t="shared" si="432"/>
        <v>-50</v>
      </c>
      <c r="FJ151">
        <f t="shared" si="433"/>
        <v>-50</v>
      </c>
    </row>
    <row r="152" spans="5:166">
      <c r="E152" s="170">
        <v>42</v>
      </c>
      <c r="F152" s="217">
        <f t="shared" si="476"/>
        <v>4.2</v>
      </c>
      <c r="G152" s="217">
        <f t="shared" si="444"/>
        <v>0.105</v>
      </c>
      <c r="H152" s="217">
        <f t="shared" si="445"/>
        <v>63</v>
      </c>
      <c r="I152" s="217">
        <f t="shared" si="446"/>
        <v>0.84</v>
      </c>
      <c r="J152" s="541">
        <f t="shared" si="447"/>
        <v>18.572336895979664</v>
      </c>
      <c r="K152" s="443">
        <f t="shared" si="448"/>
        <v>15.930115789473684</v>
      </c>
      <c r="L152" s="172">
        <f t="shared" si="449"/>
        <v>34.502452685453349</v>
      </c>
      <c r="M152" s="443"/>
      <c r="N152" s="217">
        <f t="shared" si="450"/>
        <v>0.46170966263479618</v>
      </c>
      <c r="O152" s="172">
        <f t="shared" si="451"/>
        <v>211.55495236634579</v>
      </c>
      <c r="P152" s="172">
        <f t="shared" si="452"/>
        <v>2.8583424675275166</v>
      </c>
      <c r="Q152" s="217">
        <f t="shared" si="322"/>
        <v>14.103663491089719</v>
      </c>
      <c r="R152" s="217">
        <f t="shared" si="453"/>
        <v>26.444369045793223</v>
      </c>
      <c r="S152" s="217">
        <f t="shared" si="454"/>
        <v>15</v>
      </c>
      <c r="T152" s="217">
        <f t="shared" si="455"/>
        <v>14.88974833614485</v>
      </c>
      <c r="U152" s="217">
        <f t="shared" si="326"/>
        <v>9.6205976143161731</v>
      </c>
      <c r="V152" s="217">
        <f t="shared" si="327"/>
        <v>11.216301400131977</v>
      </c>
      <c r="W152" s="197">
        <f t="shared" si="328"/>
        <v>71.458561688187913</v>
      </c>
      <c r="X152" s="443">
        <f t="shared" si="435"/>
        <v>47.535523144984424</v>
      </c>
      <c r="Z152" s="217">
        <f t="shared" si="329"/>
        <v>10</v>
      </c>
      <c r="AA152" s="173">
        <f t="shared" si="330"/>
        <v>7.5329019315285652</v>
      </c>
      <c r="AB152" s="173">
        <f t="shared" si="456"/>
        <v>2.6560378488414664</v>
      </c>
      <c r="AC152" s="173"/>
      <c r="AD152" s="173">
        <f t="shared" si="332"/>
        <v>7.5329019315285652</v>
      </c>
      <c r="AE152" s="545">
        <f t="shared" si="457"/>
        <v>111.51081052631579</v>
      </c>
      <c r="AF152" s="528">
        <f t="shared" si="458"/>
        <v>2.6914516868260194</v>
      </c>
      <c r="AH152" s="173">
        <f t="shared" si="459"/>
        <v>5.5136195008360884</v>
      </c>
      <c r="AI152" s="173">
        <f t="shared" si="460"/>
        <v>14.88974833614485</v>
      </c>
      <c r="AJ152" s="173">
        <f t="shared" si="461"/>
        <v>4.8220358045517404</v>
      </c>
      <c r="AL152" s="545">
        <f t="shared" si="462"/>
        <v>4200</v>
      </c>
      <c r="AM152" s="460">
        <f t="shared" si="463"/>
        <v>47.535523144984424</v>
      </c>
      <c r="AO152" s="460">
        <f t="shared" si="340"/>
        <v>4200</v>
      </c>
      <c r="AP152" s="460">
        <f t="shared" si="341"/>
        <v>47.535523144984424</v>
      </c>
      <c r="AR152" s="5">
        <f t="shared" si="443"/>
        <v>21.036899014448149</v>
      </c>
      <c r="AS152" s="5">
        <f t="shared" si="440"/>
        <v>9.6205976143161731</v>
      </c>
      <c r="AT152" s="5">
        <f t="shared" si="441"/>
        <v>11.416301400131976</v>
      </c>
      <c r="AU152" s="173">
        <f t="shared" si="442"/>
        <v>0.45732014056390835</v>
      </c>
      <c r="AW152" s="5">
        <f t="shared" si="342"/>
        <v>269.37673320085287</v>
      </c>
      <c r="AX152" s="5">
        <f t="shared" si="343"/>
        <v>12.627034368789976</v>
      </c>
      <c r="AY152" s="5">
        <f t="shared" si="344"/>
        <v>10.757142497536588</v>
      </c>
      <c r="AZ152" s="5"/>
      <c r="BA152" s="173">
        <f t="shared" si="345"/>
        <v>5.8134895245799969</v>
      </c>
      <c r="BB152" s="173">
        <f t="shared" si="346"/>
        <v>6.3328409674364483</v>
      </c>
      <c r="BC152" s="173">
        <f t="shared" si="347"/>
        <v>0.15596173049216039</v>
      </c>
      <c r="BD152" s="173"/>
      <c r="BE152" s="528">
        <f t="shared" si="348"/>
        <v>0.67593320904802723</v>
      </c>
      <c r="BF152" s="528">
        <f t="shared" si="464"/>
        <v>0.45788548473207136</v>
      </c>
      <c r="BG152" s="528">
        <f t="shared" si="465"/>
        <v>2.2071143759382236E-2</v>
      </c>
      <c r="BH152" s="528">
        <f t="shared" si="351"/>
        <v>5.658720139761886E-3</v>
      </c>
      <c r="BI152">
        <f t="shared" si="352"/>
        <v>8.3575516031908492E-3</v>
      </c>
      <c r="BJ152" s="460">
        <f t="shared" si="436"/>
        <v>30.428695362573084</v>
      </c>
      <c r="BK152">
        <f t="shared" si="466"/>
        <v>1.5749131590451571</v>
      </c>
      <c r="BL152" s="460">
        <f t="shared" si="437"/>
        <v>1169.9061092824334</v>
      </c>
      <c r="BM152" s="173">
        <f t="shared" si="467"/>
        <v>2.6092499999999998</v>
      </c>
      <c r="BN152" s="173">
        <f t="shared" si="468"/>
        <v>6.5231249999999991E-2</v>
      </c>
      <c r="BO152" s="528"/>
      <c r="BQ152" s="460">
        <f t="shared" si="356"/>
        <v>2674.4812499999998</v>
      </c>
      <c r="BR152" s="528">
        <f t="shared" si="357"/>
        <v>1.0138998135720407</v>
      </c>
      <c r="BS152" s="528">
        <f t="shared" si="358"/>
        <v>1.2031462415652423</v>
      </c>
      <c r="BT152" s="528">
        <f t="shared" si="359"/>
        <v>1.2162030689054636E-4</v>
      </c>
      <c r="BU152" s="528">
        <f t="shared" si="360"/>
        <v>0.66639862535550975</v>
      </c>
      <c r="BV152" s="528"/>
      <c r="BW152" s="625">
        <f t="shared" si="469"/>
        <v>1.0538844406747475E-2</v>
      </c>
      <c r="BX152" s="460">
        <f t="shared" si="362"/>
        <v>2894.1051452064307</v>
      </c>
      <c r="BY152" s="173">
        <f t="shared" si="363"/>
        <v>6.7384925044888648</v>
      </c>
      <c r="BZ152" s="5">
        <f t="shared" si="364"/>
        <v>63.84</v>
      </c>
      <c r="CA152" s="173">
        <f t="shared" si="365"/>
        <v>0.90452484509979747</v>
      </c>
      <c r="CB152" s="5">
        <f t="shared" si="366"/>
        <v>90.45248450997974</v>
      </c>
      <c r="CC152">
        <f t="shared" si="367"/>
        <v>42.000000000000007</v>
      </c>
      <c r="CE152" s="562">
        <f t="shared" si="470"/>
        <v>-50</v>
      </c>
      <c r="CF152">
        <f t="shared" si="471"/>
        <v>-50</v>
      </c>
      <c r="CG152" s="173">
        <f t="shared" si="370"/>
        <v>0.54755043227665712</v>
      </c>
      <c r="CH152" s="173">
        <f t="shared" si="472"/>
        <v>6.4398811101315845E-2</v>
      </c>
      <c r="CI152" s="170">
        <v>42</v>
      </c>
      <c r="CJ152" s="217">
        <f t="shared" si="438"/>
        <v>4.2</v>
      </c>
      <c r="CK152" s="217">
        <f t="shared" si="372"/>
        <v>0.105</v>
      </c>
      <c r="CL152" s="217">
        <f t="shared" si="373"/>
        <v>63</v>
      </c>
      <c r="CM152" s="217">
        <f t="shared" si="374"/>
        <v>0.84</v>
      </c>
      <c r="CN152" s="541">
        <f t="shared" si="375"/>
        <v>19</v>
      </c>
      <c r="CO152" s="443">
        <f t="shared" si="473"/>
        <v>15.7</v>
      </c>
      <c r="CP152" s="443">
        <f t="shared" si="474"/>
        <v>34.700000000000003</v>
      </c>
      <c r="CQ152" s="443"/>
      <c r="CR152" s="217">
        <f t="shared" si="378"/>
        <v>0.44767441860465118</v>
      </c>
      <c r="CS152" s="172">
        <f t="shared" si="379"/>
        <v>209.84738372093025</v>
      </c>
      <c r="CT152" s="172">
        <f t="shared" si="380"/>
        <v>2.835271317829458</v>
      </c>
      <c r="CU152" s="217">
        <f t="shared" si="381"/>
        <v>13.989825581395349</v>
      </c>
      <c r="CV152" s="217">
        <f t="shared" si="382"/>
        <v>26.230922965116282</v>
      </c>
      <c r="CW152" s="217">
        <f t="shared" si="383"/>
        <v>15</v>
      </c>
      <c r="CX152" s="217">
        <f t="shared" si="384"/>
        <v>15.010909090909092</v>
      </c>
      <c r="CY152" s="217">
        <f t="shared" si="385"/>
        <v>9.4805741626794262</v>
      </c>
      <c r="CZ152" s="217">
        <f t="shared" si="386"/>
        <v>11.473306311522874</v>
      </c>
      <c r="DA152" s="197">
        <f t="shared" si="387"/>
        <v>71.63784822286263</v>
      </c>
      <c r="DB152" s="443">
        <f t="shared" si="388"/>
        <v>47.723857222110517</v>
      </c>
      <c r="DD152" s="217">
        <f t="shared" si="389"/>
        <v>10.000000000000002</v>
      </c>
      <c r="DE152" s="173">
        <f t="shared" si="390"/>
        <v>7.6433121019108299</v>
      </c>
      <c r="DF152" s="173">
        <f t="shared" si="391"/>
        <v>2.7017291066282429</v>
      </c>
      <c r="DG152" s="173"/>
      <c r="DH152" s="173">
        <f t="shared" si="392"/>
        <v>7.6433121019108281</v>
      </c>
      <c r="DI152" s="545">
        <f t="shared" si="393"/>
        <v>109.90000000000002</v>
      </c>
      <c r="DJ152" s="528">
        <f t="shared" si="394"/>
        <v>2.7377521613832849</v>
      </c>
      <c r="DL152" s="173">
        <f t="shared" si="395"/>
        <v>5.5136195008360884</v>
      </c>
      <c r="DM152" s="173">
        <f t="shared" si="396"/>
        <v>15.010909090909092</v>
      </c>
      <c r="DN152" s="173">
        <f t="shared" si="397"/>
        <v>4.9117845117845125</v>
      </c>
      <c r="DP152" s="545">
        <f t="shared" si="398"/>
        <v>4200</v>
      </c>
      <c r="DQ152" s="460">
        <f t="shared" si="399"/>
        <v>47.723857222110517</v>
      </c>
      <c r="DS152" s="460">
        <f t="shared" si="400"/>
        <v>4200</v>
      </c>
      <c r="DT152" s="460">
        <f t="shared" si="401"/>
        <v>47.723857222110517</v>
      </c>
      <c r="DV152" s="5">
        <f t="shared" si="402"/>
        <v>20.9538804742023</v>
      </c>
      <c r="DW152" s="5">
        <f t="shared" si="403"/>
        <v>9.4805741626794262</v>
      </c>
      <c r="DX152" s="5">
        <f t="shared" si="404"/>
        <v>11.473306311522874</v>
      </c>
      <c r="DY152" s="173">
        <f t="shared" si="405"/>
        <v>0.45244956772334288</v>
      </c>
      <c r="EA152" s="5">
        <f t="shared" si="406"/>
        <v>265.45607655502397</v>
      </c>
      <c r="EB152" s="5">
        <f t="shared" si="407"/>
        <v>12.443253588516747</v>
      </c>
      <c r="EC152" s="5">
        <f t="shared" si="408"/>
        <v>10.56751897113949</v>
      </c>
      <c r="ED152" s="5"/>
      <c r="EE152" s="173">
        <f t="shared" si="409"/>
        <v>5.8295020080898894</v>
      </c>
      <c r="EF152" s="173">
        <f t="shared" si="410"/>
        <v>6.4129585150839983</v>
      </c>
      <c r="EG152" s="173">
        <f t="shared" si="411"/>
        <v>0.15793482146951965</v>
      </c>
      <c r="EH152" s="173"/>
      <c r="EI152" s="528">
        <f t="shared" si="412"/>
        <v>0.67966187324648109</v>
      </c>
      <c r="EJ152" s="528">
        <f t="shared" si="413"/>
        <v>0.49716666666666665</v>
      </c>
      <c r="EK152" s="528">
        <f t="shared" si="414"/>
        <v>5.965482152763814E-3</v>
      </c>
      <c r="EL152" s="528">
        <f t="shared" si="415"/>
        <v>5.7463819242571067E-3</v>
      </c>
      <c r="EM152">
        <f t="shared" si="416"/>
        <v>8.5500000000000003E-3</v>
      </c>
      <c r="EN152" s="460">
        <f t="shared" si="417"/>
        <v>14.515482152763814</v>
      </c>
      <c r="EP152" s="460">
        <f t="shared" si="439"/>
        <v>1197.0904039901686</v>
      </c>
      <c r="EQ152" s="173">
        <f t="shared" si="418"/>
        <v>2.94</v>
      </c>
      <c r="ER152" s="173">
        <f t="shared" si="475"/>
        <v>4.6593749999999996E-2</v>
      </c>
      <c r="ES152" s="528"/>
      <c r="EU152" s="460">
        <f t="shared" si="420"/>
        <v>2986.59375</v>
      </c>
      <c r="EV152" s="528">
        <f t="shared" si="421"/>
        <v>1.0194928098697216</v>
      </c>
      <c r="EW152" s="528">
        <f t="shared" si="422"/>
        <v>1.2337811074856508</v>
      </c>
      <c r="EX152" s="528">
        <f t="shared" si="423"/>
        <v>1.2471703916304522E-4</v>
      </c>
      <c r="EY152" s="528">
        <f t="shared" si="424"/>
        <v>0.68679375210278804</v>
      </c>
      <c r="EZ152" s="528"/>
      <c r="FA152" s="625">
        <f t="shared" si="425"/>
        <v>1.0753492271417345E-2</v>
      </c>
      <c r="FB152" s="460">
        <f t="shared" si="426"/>
        <v>2950.9458787687408</v>
      </c>
      <c r="FC152" s="173">
        <f t="shared" si="427"/>
        <v>7.1346300327589098</v>
      </c>
      <c r="FD152" s="5">
        <f t="shared" si="428"/>
        <v>63.84</v>
      </c>
      <c r="FE152" s="173">
        <f t="shared" si="429"/>
        <v>0.89947633359320278</v>
      </c>
      <c r="FF152" s="5">
        <f t="shared" si="430"/>
        <v>89.947633359320278</v>
      </c>
      <c r="FG152">
        <f t="shared" si="431"/>
        <v>42.000000000000007</v>
      </c>
      <c r="FI152" s="562">
        <f t="shared" si="432"/>
        <v>-50</v>
      </c>
      <c r="FJ152">
        <f t="shared" si="433"/>
        <v>-50</v>
      </c>
    </row>
    <row r="153" spans="5:166">
      <c r="E153" s="170">
        <v>43</v>
      </c>
      <c r="F153" s="217">
        <f t="shared" si="476"/>
        <v>4.3</v>
      </c>
      <c r="G153" s="217">
        <f t="shared" si="444"/>
        <v>0.1075</v>
      </c>
      <c r="H153" s="217">
        <f t="shared" si="445"/>
        <v>64.5</v>
      </c>
      <c r="I153" s="217">
        <f t="shared" si="446"/>
        <v>0.86</v>
      </c>
      <c r="J153" s="541">
        <f t="shared" si="447"/>
        <v>18.562154441122036</v>
      </c>
      <c r="K153" s="443">
        <f t="shared" si="448"/>
        <v>15.935594736842104</v>
      </c>
      <c r="L153" s="172">
        <f t="shared" si="449"/>
        <v>34.497749177964138</v>
      </c>
      <c r="M153" s="443"/>
      <c r="N153" s="217">
        <f t="shared" si="450"/>
        <v>0.46193143368962636</v>
      </c>
      <c r="O153" s="172">
        <f t="shared" si="451"/>
        <v>211.54052500055346</v>
      </c>
      <c r="P153" s="172">
        <f t="shared" si="452"/>
        <v>2.8581475377852557</v>
      </c>
      <c r="Q153" s="217">
        <f t="shared" si="322"/>
        <v>14.102701666703563</v>
      </c>
      <c r="R153" s="217">
        <f t="shared" si="453"/>
        <v>26.442565625069182</v>
      </c>
      <c r="S153" s="217">
        <f t="shared" si="454"/>
        <v>15</v>
      </c>
      <c r="T153" s="217">
        <f t="shared" si="455"/>
        <v>15.245305834385928</v>
      </c>
      <c r="U153" s="217">
        <f t="shared" si="326"/>
        <v>9.8557347204989973</v>
      </c>
      <c r="V153" s="217">
        <f t="shared" si="327"/>
        <v>11.480190920623549</v>
      </c>
      <c r="W153" s="197">
        <f t="shared" si="328"/>
        <v>71.453688444631396</v>
      </c>
      <c r="X153" s="443">
        <f t="shared" si="435"/>
        <v>46.434038483607793</v>
      </c>
      <c r="Z153" s="217">
        <f t="shared" si="329"/>
        <v>10</v>
      </c>
      <c r="AA153" s="173">
        <f t="shared" si="330"/>
        <v>7.5303119828071097</v>
      </c>
      <c r="AB153" s="173">
        <f t="shared" si="456"/>
        <v>2.6549435837682909</v>
      </c>
      <c r="AC153" s="173"/>
      <c r="AD153" s="173">
        <f t="shared" si="332"/>
        <v>7.5303119828071097</v>
      </c>
      <c r="AE153" s="545">
        <f t="shared" si="457"/>
        <v>114.20509561403506</v>
      </c>
      <c r="AF153" s="528">
        <f t="shared" si="458"/>
        <v>2.6903428315518685</v>
      </c>
      <c r="AH153" s="173">
        <f t="shared" si="459"/>
        <v>5.5788717070577567</v>
      </c>
      <c r="AI153" s="173">
        <f t="shared" si="460"/>
        <v>15.245305834385928</v>
      </c>
      <c r="AJ153" s="173">
        <f t="shared" si="461"/>
        <v>5.0854117291747611</v>
      </c>
      <c r="AL153" s="545">
        <f t="shared" si="462"/>
        <v>4300</v>
      </c>
      <c r="AM153" s="460">
        <f t="shared" si="463"/>
        <v>46.434038483607793</v>
      </c>
      <c r="AO153" s="460">
        <f t="shared" si="340"/>
        <v>4300</v>
      </c>
      <c r="AP153" s="460">
        <f t="shared" si="341"/>
        <v>46.434038483607793</v>
      </c>
      <c r="AR153" s="5">
        <f t="shared" si="443"/>
        <v>21.535925641122542</v>
      </c>
      <c r="AS153" s="5">
        <f t="shared" si="440"/>
        <v>9.8557347204989973</v>
      </c>
      <c r="AT153" s="5">
        <f t="shared" si="441"/>
        <v>11.680190920623545</v>
      </c>
      <c r="AU153" s="173">
        <f t="shared" si="442"/>
        <v>0.45764156529587996</v>
      </c>
      <c r="AW153" s="5">
        <f t="shared" si="342"/>
        <v>282.53106198763794</v>
      </c>
      <c r="AX153" s="5">
        <f t="shared" si="343"/>
        <v>13.243643530670527</v>
      </c>
      <c r="AY153" s="5">
        <f t="shared" si="344"/>
        <v>11.274019295100135</v>
      </c>
      <c r="AZ153" s="5"/>
      <c r="BA153" s="173">
        <f t="shared" si="345"/>
        <v>5.954403276335678</v>
      </c>
      <c r="BB153" s="173">
        <f t="shared" si="346"/>
        <v>6.4821445744509187</v>
      </c>
      <c r="BC153" s="173">
        <f t="shared" si="347"/>
        <v>0.159638697755105</v>
      </c>
      <c r="BD153" s="173"/>
      <c r="BE153" s="528">
        <f t="shared" si="348"/>
        <v>0.7090983675447412</v>
      </c>
      <c r="BF153" s="528">
        <f t="shared" si="464"/>
        <v>0.45789366009280008</v>
      </c>
      <c r="BG153" s="528">
        <f t="shared" si="465"/>
        <v>2.1547894841443295E-2</v>
      </c>
      <c r="BH153" s="528">
        <f t="shared" si="351"/>
        <v>5.5260903022123021E-3</v>
      </c>
      <c r="BI153">
        <f t="shared" si="352"/>
        <v>8.3529694985049162E-3</v>
      </c>
      <c r="BJ153" s="460">
        <f t="shared" si="436"/>
        <v>29.90086433994821</v>
      </c>
      <c r="BK153">
        <f t="shared" si="466"/>
        <v>1.6403424861395002</v>
      </c>
      <c r="BL153" s="460">
        <f t="shared" si="437"/>
        <v>1202.4189822797018</v>
      </c>
      <c r="BM153" s="173">
        <f t="shared" si="467"/>
        <v>2.6713749999999998</v>
      </c>
      <c r="BN153" s="173">
        <f t="shared" si="468"/>
        <v>6.6784374999999993E-2</v>
      </c>
      <c r="BO153" s="528"/>
      <c r="BQ153" s="460">
        <f t="shared" si="356"/>
        <v>2738.1593749999997</v>
      </c>
      <c r="BR153" s="528">
        <f t="shared" si="357"/>
        <v>1.0636475513171118</v>
      </c>
      <c r="BS153" s="528">
        <f t="shared" si="358"/>
        <v>1.2605459485225043</v>
      </c>
      <c r="BT153" s="528">
        <f t="shared" si="359"/>
        <v>1.2742256910472884E-4</v>
      </c>
      <c r="BU153" s="528">
        <f t="shared" si="360"/>
        <v>0.66665555086449368</v>
      </c>
      <c r="BV153" s="528"/>
      <c r="BW153" s="625">
        <f t="shared" si="469"/>
        <v>1.0792169041490383E-2</v>
      </c>
      <c r="BX153" s="460">
        <f t="shared" si="362"/>
        <v>3001.7686423147047</v>
      </c>
      <c r="BY153" s="173">
        <f t="shared" si="363"/>
        <v>6.9423469995944078</v>
      </c>
      <c r="BZ153" s="5">
        <f t="shared" si="364"/>
        <v>65.36</v>
      </c>
      <c r="CA153" s="173">
        <f t="shared" si="365"/>
        <v>0.90398171998990084</v>
      </c>
      <c r="CB153" s="5">
        <f t="shared" si="366"/>
        <v>90.39817199899008</v>
      </c>
      <c r="CC153">
        <f t="shared" si="367"/>
        <v>43</v>
      </c>
      <c r="CE153" s="562">
        <f t="shared" si="470"/>
        <v>-50</v>
      </c>
      <c r="CF153">
        <f t="shared" si="471"/>
        <v>-50</v>
      </c>
      <c r="CG153" s="173">
        <f t="shared" si="370"/>
        <v>0.54755043227665712</v>
      </c>
      <c r="CH153" s="173">
        <f t="shared" si="472"/>
        <v>6.4398811101315845E-2</v>
      </c>
      <c r="CI153" s="170">
        <v>43</v>
      </c>
      <c r="CJ153" s="217">
        <f t="shared" si="438"/>
        <v>4.3</v>
      </c>
      <c r="CK153" s="217">
        <f t="shared" si="372"/>
        <v>0.1075</v>
      </c>
      <c r="CL153" s="217">
        <f t="shared" si="373"/>
        <v>64.5</v>
      </c>
      <c r="CM153" s="217">
        <f t="shared" si="374"/>
        <v>0.86</v>
      </c>
      <c r="CN153" s="541">
        <f t="shared" si="375"/>
        <v>19</v>
      </c>
      <c r="CO153" s="443">
        <f t="shared" si="473"/>
        <v>15.7</v>
      </c>
      <c r="CP153" s="443">
        <f t="shared" si="474"/>
        <v>34.700000000000003</v>
      </c>
      <c r="CQ153" s="443"/>
      <c r="CR153" s="217">
        <f t="shared" si="378"/>
        <v>0.44767441860465118</v>
      </c>
      <c r="CS153" s="172">
        <f t="shared" si="379"/>
        <v>209.84738372093025</v>
      </c>
      <c r="CT153" s="172">
        <f t="shared" si="380"/>
        <v>2.835271317829458</v>
      </c>
      <c r="CU153" s="217">
        <f t="shared" si="381"/>
        <v>13.989825581395349</v>
      </c>
      <c r="CV153" s="217">
        <f t="shared" si="382"/>
        <v>26.230922965116282</v>
      </c>
      <c r="CW153" s="217">
        <f t="shared" si="383"/>
        <v>15</v>
      </c>
      <c r="CX153" s="217">
        <f t="shared" si="384"/>
        <v>15.368311688311687</v>
      </c>
      <c r="CY153" s="217">
        <f t="shared" si="385"/>
        <v>9.7063021189336958</v>
      </c>
      <c r="CZ153" s="217">
        <f t="shared" si="386"/>
        <v>11.746480271321035</v>
      </c>
      <c r="DA153" s="197">
        <f t="shared" si="387"/>
        <v>71.63784822286263</v>
      </c>
      <c r="DB153" s="443">
        <f t="shared" si="388"/>
        <v>46.614000077410282</v>
      </c>
      <c r="DD153" s="217">
        <f t="shared" si="389"/>
        <v>10.000000000000002</v>
      </c>
      <c r="DE153" s="173">
        <f t="shared" si="390"/>
        <v>7.6433121019108299</v>
      </c>
      <c r="DF153" s="173">
        <f t="shared" si="391"/>
        <v>2.7017291066282429</v>
      </c>
      <c r="DG153" s="173"/>
      <c r="DH153" s="173">
        <f t="shared" si="392"/>
        <v>7.6433121019108281</v>
      </c>
      <c r="DI153" s="545">
        <f t="shared" si="393"/>
        <v>112.51666666666667</v>
      </c>
      <c r="DJ153" s="528">
        <f t="shared" si="394"/>
        <v>2.7377521613832849</v>
      </c>
      <c r="DL153" s="173">
        <f t="shared" si="395"/>
        <v>5.5788717070577567</v>
      </c>
      <c r="DM153" s="173">
        <f t="shared" si="396"/>
        <v>15.368311688311687</v>
      </c>
      <c r="DN153" s="173">
        <f t="shared" si="397"/>
        <v>5.1765271765271761</v>
      </c>
      <c r="DP153" s="545">
        <f t="shared" si="398"/>
        <v>4300</v>
      </c>
      <c r="DQ153" s="460">
        <f t="shared" si="399"/>
        <v>46.614000077410282</v>
      </c>
      <c r="DS153" s="460">
        <f t="shared" si="400"/>
        <v>4300</v>
      </c>
      <c r="DT153" s="460">
        <f t="shared" si="401"/>
        <v>46.614000077410282</v>
      </c>
      <c r="DV153" s="5">
        <f t="shared" si="402"/>
        <v>21.452782390254733</v>
      </c>
      <c r="DW153" s="5">
        <f t="shared" si="403"/>
        <v>9.7063021189336958</v>
      </c>
      <c r="DX153" s="5">
        <f t="shared" si="404"/>
        <v>11.746480271321037</v>
      </c>
      <c r="DY153" s="173">
        <f t="shared" si="405"/>
        <v>0.45244956772334288</v>
      </c>
      <c r="EA153" s="5">
        <f t="shared" si="406"/>
        <v>278.24732740943261</v>
      </c>
      <c r="EB153" s="5">
        <f t="shared" si="407"/>
        <v>13.042843472317152</v>
      </c>
      <c r="EC153" s="5">
        <f t="shared" si="408"/>
        <v>11.076724817254487</v>
      </c>
      <c r="ED153" s="5"/>
      <c r="EE153" s="173">
        <f t="shared" si="409"/>
        <v>5.9682996749491712</v>
      </c>
      <c r="EF153" s="173">
        <f t="shared" si="410"/>
        <v>6.565648003538378</v>
      </c>
      <c r="EG153" s="173">
        <f t="shared" si="411"/>
        <v>0.16169517436165107</v>
      </c>
      <c r="EH153" s="173"/>
      <c r="EI153" s="528">
        <f t="shared" si="412"/>
        <v>0.71241202019996763</v>
      </c>
      <c r="EJ153" s="528">
        <f t="shared" si="413"/>
        <v>0.49716666666666665</v>
      </c>
      <c r="EK153" s="528">
        <f t="shared" si="414"/>
        <v>5.8267500096762844E-3</v>
      </c>
      <c r="EL153" s="528">
        <f t="shared" si="415"/>
        <v>5.6127451353208966E-3</v>
      </c>
      <c r="EM153">
        <f t="shared" si="416"/>
        <v>8.5500000000000003E-3</v>
      </c>
      <c r="EN153" s="460">
        <f t="shared" si="417"/>
        <v>14.376750009676284</v>
      </c>
      <c r="EP153" s="460">
        <f t="shared" si="439"/>
        <v>1229.5681820116315</v>
      </c>
      <c r="EQ153" s="173">
        <f t="shared" si="418"/>
        <v>3.01</v>
      </c>
      <c r="ER153" s="173">
        <f t="shared" si="475"/>
        <v>4.7703124999999999E-2</v>
      </c>
      <c r="ES153" s="528"/>
      <c r="EU153" s="460">
        <f t="shared" si="420"/>
        <v>3057.7031249999995</v>
      </c>
      <c r="EV153" s="528">
        <f t="shared" si="421"/>
        <v>1.0686180302999515</v>
      </c>
      <c r="EW153" s="528">
        <f t="shared" si="422"/>
        <v>1.2932320111910247</v>
      </c>
      <c r="EX153" s="528">
        <f t="shared" si="423"/>
        <v>1.307266470592237E-4</v>
      </c>
      <c r="EY153" s="528">
        <f t="shared" si="424"/>
        <v>0.68679375210278926</v>
      </c>
      <c r="EZ153" s="528"/>
      <c r="FA153" s="625">
        <f t="shared" si="425"/>
        <v>1.1009527801689185E-2</v>
      </c>
      <c r="FB153" s="460">
        <f t="shared" si="426"/>
        <v>3059.7840480425139</v>
      </c>
      <c r="FC153" s="173">
        <f t="shared" si="427"/>
        <v>7.3470553550541453</v>
      </c>
      <c r="FD153" s="5">
        <f t="shared" si="428"/>
        <v>65.36</v>
      </c>
      <c r="FE153" s="173">
        <f t="shared" si="429"/>
        <v>0.89894989806455672</v>
      </c>
      <c r="FF153" s="5">
        <f t="shared" si="430"/>
        <v>89.894989806455669</v>
      </c>
      <c r="FG153">
        <f t="shared" si="431"/>
        <v>43</v>
      </c>
      <c r="FI153" s="562">
        <f t="shared" si="432"/>
        <v>-50</v>
      </c>
      <c r="FJ153">
        <f t="shared" si="433"/>
        <v>-50</v>
      </c>
    </row>
    <row r="154" spans="5:166">
      <c r="E154" s="170">
        <v>44</v>
      </c>
      <c r="F154" s="217">
        <f t="shared" si="476"/>
        <v>4.4000000000000004</v>
      </c>
      <c r="G154" s="217">
        <f t="shared" si="444"/>
        <v>0.11</v>
      </c>
      <c r="H154" s="217">
        <f t="shared" si="445"/>
        <v>66</v>
      </c>
      <c r="I154" s="217">
        <f t="shared" si="446"/>
        <v>0.88</v>
      </c>
      <c r="J154" s="541">
        <f t="shared" si="447"/>
        <v>18.551971986264409</v>
      </c>
      <c r="K154" s="443">
        <f t="shared" si="448"/>
        <v>15.941073684210526</v>
      </c>
      <c r="L154" s="172">
        <f t="shared" si="449"/>
        <v>34.493045670474935</v>
      </c>
      <c r="M154" s="443"/>
      <c r="N154" s="217">
        <f t="shared" si="450"/>
        <v>0.46215326522631867</v>
      </c>
      <c r="O154" s="172">
        <f t="shared" si="451"/>
        <v>211.52601389406141</v>
      </c>
      <c r="P154" s="172">
        <f t="shared" si="452"/>
        <v>2.8579514766130965</v>
      </c>
      <c r="Q154" s="217">
        <f t="shared" si="322"/>
        <v>14.101734259604093</v>
      </c>
      <c r="R154" s="217">
        <f t="shared" si="453"/>
        <v>26.440751736757676</v>
      </c>
      <c r="S154" s="217">
        <f t="shared" si="454"/>
        <v>15</v>
      </c>
      <c r="T154" s="217">
        <f t="shared" si="455"/>
        <v>15.600918011213217</v>
      </c>
      <c r="U154" s="217">
        <f t="shared" si="326"/>
        <v>10.091165309712991</v>
      </c>
      <c r="V154" s="217">
        <f t="shared" si="327"/>
        <v>11.743940203976928</v>
      </c>
      <c r="W154" s="197">
        <f t="shared" si="328"/>
        <v>71.448786915327403</v>
      </c>
      <c r="X154" s="443">
        <f t="shared" si="435"/>
        <v>45.382128956846721</v>
      </c>
      <c r="Z154" s="217">
        <f t="shared" si="329"/>
        <v>10</v>
      </c>
      <c r="AA154" s="173">
        <f t="shared" si="330"/>
        <v>7.5277238144165155</v>
      </c>
      <c r="AB154" s="173">
        <f t="shared" si="456"/>
        <v>2.6538490202648743</v>
      </c>
      <c r="AC154" s="173"/>
      <c r="AD154" s="173">
        <f t="shared" si="332"/>
        <v>7.5277238144165155</v>
      </c>
      <c r="AE154" s="545">
        <f t="shared" si="457"/>
        <v>116.90120701754385</v>
      </c>
      <c r="AF154" s="528">
        <f t="shared" si="458"/>
        <v>2.6892336738684066</v>
      </c>
      <c r="AH154" s="173">
        <f t="shared" si="459"/>
        <v>5.6433694764403866</v>
      </c>
      <c r="AI154" s="173">
        <f t="shared" si="460"/>
        <v>15.600918011213217</v>
      </c>
      <c r="AJ154" s="173">
        <f t="shared" si="461"/>
        <v>5.3488281564542355</v>
      </c>
      <c r="AL154" s="545">
        <f t="shared" si="462"/>
        <v>4400</v>
      </c>
      <c r="AM154" s="460">
        <f t="shared" si="463"/>
        <v>45.382128956846721</v>
      </c>
      <c r="AO154" s="460">
        <f t="shared" si="340"/>
        <v>4400</v>
      </c>
      <c r="AP154" s="460">
        <f t="shared" si="341"/>
        <v>45.382128956846721</v>
      </c>
      <c r="AR154" s="5">
        <f t="shared" si="443"/>
        <v>22.035105513689917</v>
      </c>
      <c r="AS154" s="5">
        <f t="shared" si="440"/>
        <v>10.091165309712991</v>
      </c>
      <c r="AT154" s="5">
        <f t="shared" si="441"/>
        <v>11.943940203976926</v>
      </c>
      <c r="AU154" s="173">
        <f t="shared" si="442"/>
        <v>0.45795856541025304</v>
      </c>
      <c r="AW154" s="5">
        <f t="shared" si="342"/>
        <v>296.00751575158108</v>
      </c>
      <c r="AX154" s="5">
        <f t="shared" si="343"/>
        <v>13.875352300855361</v>
      </c>
      <c r="AY154" s="5">
        <f t="shared" si="344"/>
        <v>11.803178510351024</v>
      </c>
      <c r="AZ154" s="5"/>
      <c r="BA154" s="173">
        <f t="shared" si="345"/>
        <v>6.0954057477865033</v>
      </c>
      <c r="BB154" s="173">
        <f t="shared" si="346"/>
        <v>6.6314083245856281</v>
      </c>
      <c r="BC154" s="173">
        <f t="shared" si="347"/>
        <v>0.16331468344469707</v>
      </c>
      <c r="BD154" s="173"/>
      <c r="BE154" s="528">
        <f t="shared" si="348"/>
        <v>0.74307942460297483</v>
      </c>
      <c r="BF154" s="528">
        <f t="shared" si="464"/>
        <v>0.4578970393922569</v>
      </c>
      <c r="BG154" s="528">
        <f t="shared" si="465"/>
        <v>2.1048199627111477E-2</v>
      </c>
      <c r="BH154" s="528">
        <f t="shared" si="351"/>
        <v>5.3994304628416324E-3</v>
      </c>
      <c r="BI154">
        <f t="shared" si="352"/>
        <v>8.3483873938189831E-3</v>
      </c>
      <c r="BJ154" s="460">
        <f t="shared" si="436"/>
        <v>29.396587020930461</v>
      </c>
      <c r="BK154">
        <f t="shared" si="466"/>
        <v>1.7086854448286466</v>
      </c>
      <c r="BL154" s="460">
        <f t="shared" si="437"/>
        <v>1235.7724814790038</v>
      </c>
      <c r="BM154" s="173">
        <f t="shared" si="467"/>
        <v>2.7334999999999998</v>
      </c>
      <c r="BN154" s="173">
        <f t="shared" si="468"/>
        <v>6.8337499999999995E-2</v>
      </c>
      <c r="BO154" s="528"/>
      <c r="BQ154" s="460">
        <f t="shared" si="356"/>
        <v>2801.8375000000001</v>
      </c>
      <c r="BR154" s="528">
        <f t="shared" si="357"/>
        <v>1.1146191369044622</v>
      </c>
      <c r="BS154" s="528">
        <f t="shared" si="358"/>
        <v>1.3192672910215069</v>
      </c>
      <c r="BT154" s="528">
        <f t="shared" si="359"/>
        <v>1.3335842914320806E-4</v>
      </c>
      <c r="BU154" s="528">
        <f t="shared" si="360"/>
        <v>0.66689514293131635</v>
      </c>
      <c r="BV154" s="528"/>
      <c r="BW154" s="625">
        <f t="shared" si="469"/>
        <v>1.1045494773845537E-2</v>
      </c>
      <c r="BX154" s="460">
        <f t="shared" si="362"/>
        <v>3111.9604240602744</v>
      </c>
      <c r="BY154" s="173">
        <f t="shared" si="363"/>
        <v>7.1495704055392766</v>
      </c>
      <c r="BZ154" s="5">
        <f t="shared" si="364"/>
        <v>66.88</v>
      </c>
      <c r="CA154" s="173">
        <f t="shared" si="365"/>
        <v>0.90342277597487841</v>
      </c>
      <c r="CB154" s="5">
        <f t="shared" si="366"/>
        <v>90.342277597487836</v>
      </c>
      <c r="CC154">
        <f t="shared" si="367"/>
        <v>44.000000000000007</v>
      </c>
      <c r="CE154" s="562">
        <f t="shared" si="470"/>
        <v>-50</v>
      </c>
      <c r="CF154">
        <f t="shared" si="471"/>
        <v>-50</v>
      </c>
      <c r="CG154" s="173">
        <f t="shared" si="370"/>
        <v>0.54755043227665712</v>
      </c>
      <c r="CH154" s="173">
        <f t="shared" si="472"/>
        <v>6.4398811101315859E-2</v>
      </c>
      <c r="CI154" s="170">
        <v>44</v>
      </c>
      <c r="CJ154" s="217">
        <f t="shared" si="438"/>
        <v>4.4000000000000004</v>
      </c>
      <c r="CK154" s="217">
        <f t="shared" si="372"/>
        <v>0.11</v>
      </c>
      <c r="CL154" s="217">
        <f t="shared" si="373"/>
        <v>66</v>
      </c>
      <c r="CM154" s="217">
        <f t="shared" si="374"/>
        <v>0.88</v>
      </c>
      <c r="CN154" s="541">
        <f t="shared" si="375"/>
        <v>19</v>
      </c>
      <c r="CO154" s="443">
        <f t="shared" si="473"/>
        <v>15.7</v>
      </c>
      <c r="CP154" s="443">
        <f t="shared" si="474"/>
        <v>34.700000000000003</v>
      </c>
      <c r="CQ154" s="443"/>
      <c r="CR154" s="217">
        <f t="shared" si="378"/>
        <v>0.44767441860465118</v>
      </c>
      <c r="CS154" s="172">
        <f t="shared" si="379"/>
        <v>209.84738372093025</v>
      </c>
      <c r="CT154" s="172">
        <f t="shared" si="380"/>
        <v>2.835271317829458</v>
      </c>
      <c r="CU154" s="217">
        <f t="shared" si="381"/>
        <v>13.989825581395349</v>
      </c>
      <c r="CV154" s="217">
        <f t="shared" si="382"/>
        <v>26.230922965116282</v>
      </c>
      <c r="CW154" s="217">
        <f t="shared" si="383"/>
        <v>15</v>
      </c>
      <c r="CX154" s="217">
        <f t="shared" si="384"/>
        <v>15.725714285714284</v>
      </c>
      <c r="CY154" s="217">
        <f t="shared" si="385"/>
        <v>9.9320300751879707</v>
      </c>
      <c r="CZ154" s="217">
        <f t="shared" si="386"/>
        <v>12.019654231119199</v>
      </c>
      <c r="DA154" s="197">
        <f t="shared" si="387"/>
        <v>71.63784822286263</v>
      </c>
      <c r="DB154" s="443">
        <f t="shared" si="388"/>
        <v>45.554590984741857</v>
      </c>
      <c r="DD154" s="217">
        <f t="shared" si="389"/>
        <v>10.000000000000002</v>
      </c>
      <c r="DE154" s="173">
        <f t="shared" si="390"/>
        <v>7.6433121019108299</v>
      </c>
      <c r="DF154" s="173">
        <f t="shared" si="391"/>
        <v>2.7017291066282429</v>
      </c>
      <c r="DG154" s="173"/>
      <c r="DH154" s="173">
        <f t="shared" si="392"/>
        <v>7.6433121019108281</v>
      </c>
      <c r="DI154" s="545">
        <f t="shared" si="393"/>
        <v>115.13333333333335</v>
      </c>
      <c r="DJ154" s="528">
        <f t="shared" si="394"/>
        <v>2.7377521613832849</v>
      </c>
      <c r="DL154" s="173">
        <f t="shared" si="395"/>
        <v>5.6433694764403866</v>
      </c>
      <c r="DM154" s="173">
        <f t="shared" si="396"/>
        <v>15.725714285714284</v>
      </c>
      <c r="DN154" s="173">
        <f t="shared" si="397"/>
        <v>5.4412698412698397</v>
      </c>
      <c r="DP154" s="545">
        <f t="shared" si="398"/>
        <v>4400</v>
      </c>
      <c r="DQ154" s="460">
        <f t="shared" si="399"/>
        <v>45.554590984741857</v>
      </c>
      <c r="DS154" s="460">
        <f t="shared" si="400"/>
        <v>4400</v>
      </c>
      <c r="DT154" s="460">
        <f t="shared" si="401"/>
        <v>45.554590984741857</v>
      </c>
      <c r="DV154" s="5">
        <f t="shared" si="402"/>
        <v>21.951684306307172</v>
      </c>
      <c r="DW154" s="5">
        <f t="shared" si="403"/>
        <v>9.9320300751879707</v>
      </c>
      <c r="DX154" s="5">
        <f t="shared" si="404"/>
        <v>12.019654231119201</v>
      </c>
      <c r="DY154" s="173">
        <f t="shared" si="405"/>
        <v>0.45244956772334294</v>
      </c>
      <c r="EA154" s="5">
        <f t="shared" si="406"/>
        <v>291.3395488721805</v>
      </c>
      <c r="EB154" s="5">
        <f t="shared" si="407"/>
        <v>13.656541353383458</v>
      </c>
      <c r="EC154" s="5">
        <f t="shared" si="408"/>
        <v>11.597911977395722</v>
      </c>
      <c r="ED154" s="5"/>
      <c r="EE154" s="173">
        <f t="shared" si="409"/>
        <v>6.1070973418084549</v>
      </c>
      <c r="EF154" s="173">
        <f t="shared" si="410"/>
        <v>6.7183374919927585</v>
      </c>
      <c r="EG154" s="173">
        <f t="shared" si="411"/>
        <v>0.16545552725378246</v>
      </c>
      <c r="EH154" s="173"/>
      <c r="EI154" s="528">
        <f t="shared" si="412"/>
        <v>0.74593275884647792</v>
      </c>
      <c r="EJ154" s="528">
        <f t="shared" si="413"/>
        <v>0.49716666666666665</v>
      </c>
      <c r="EK154" s="528">
        <f t="shared" si="414"/>
        <v>5.6943238730927321E-3</v>
      </c>
      <c r="EL154" s="528">
        <f t="shared" si="415"/>
        <v>5.4851827458817833E-3</v>
      </c>
      <c r="EM154">
        <f t="shared" si="416"/>
        <v>8.5500000000000003E-3</v>
      </c>
      <c r="EN154" s="460">
        <f t="shared" si="417"/>
        <v>14.244323873092734</v>
      </c>
      <c r="EP154" s="460">
        <f t="shared" si="439"/>
        <v>1262.828932132119</v>
      </c>
      <c r="EQ154" s="173">
        <f t="shared" si="418"/>
        <v>3.08</v>
      </c>
      <c r="ER154" s="173">
        <f t="shared" si="475"/>
        <v>4.8812499999999995E-2</v>
      </c>
      <c r="ES154" s="528"/>
      <c r="EU154" s="460">
        <f t="shared" si="420"/>
        <v>3128.8125</v>
      </c>
      <c r="EV154" s="528">
        <f t="shared" si="421"/>
        <v>1.1188991382697169</v>
      </c>
      <c r="EW154" s="528">
        <f t="shared" si="422"/>
        <v>1.3540817596894663</v>
      </c>
      <c r="EX154" s="528">
        <f t="shared" si="423"/>
        <v>1.3687765749413575E-4</v>
      </c>
      <c r="EY154" s="528">
        <f t="shared" si="424"/>
        <v>0.6867937521027887</v>
      </c>
      <c r="EZ154" s="528"/>
      <c r="FA154" s="625">
        <f t="shared" si="425"/>
        <v>1.1265563331961022E-2</v>
      </c>
      <c r="FB154" s="460">
        <f t="shared" si="426"/>
        <v>3171.1770910514269</v>
      </c>
      <c r="FC154" s="173">
        <f t="shared" si="427"/>
        <v>7.5628185231835463</v>
      </c>
      <c r="FD154" s="5">
        <f t="shared" si="428"/>
        <v>66.88</v>
      </c>
      <c r="FE154" s="173">
        <f t="shared" si="429"/>
        <v>0.89840768158411033</v>
      </c>
      <c r="FF154" s="5">
        <f t="shared" si="430"/>
        <v>89.840768158411038</v>
      </c>
      <c r="FG154">
        <f t="shared" si="431"/>
        <v>44.000000000000007</v>
      </c>
      <c r="FI154" s="562">
        <f t="shared" si="432"/>
        <v>-50</v>
      </c>
      <c r="FJ154">
        <f t="shared" si="433"/>
        <v>-50</v>
      </c>
    </row>
    <row r="155" spans="5:166">
      <c r="E155" s="170">
        <v>45</v>
      </c>
      <c r="F155" s="217">
        <f t="shared" si="476"/>
        <v>4.5</v>
      </c>
      <c r="G155" s="217">
        <f t="shared" si="444"/>
        <v>0.1125</v>
      </c>
      <c r="H155" s="217">
        <f t="shared" si="445"/>
        <v>67.5</v>
      </c>
      <c r="I155" s="217">
        <f t="shared" si="446"/>
        <v>0.9</v>
      </c>
      <c r="J155" s="541">
        <f t="shared" si="447"/>
        <v>18.541789531406781</v>
      </c>
      <c r="K155" s="443">
        <f t="shared" si="448"/>
        <v>15.946552631578946</v>
      </c>
      <c r="L155" s="172">
        <f t="shared" si="449"/>
        <v>34.488342162985731</v>
      </c>
      <c r="M155" s="443"/>
      <c r="N155" s="217">
        <f t="shared" si="450"/>
        <v>0.46237515726961864</v>
      </c>
      <c r="O155" s="172">
        <f t="shared" si="451"/>
        <v>211.51141901260803</v>
      </c>
      <c r="P155" s="172">
        <f t="shared" si="452"/>
        <v>2.8577542835481267</v>
      </c>
      <c r="Q155" s="217">
        <f t="shared" si="322"/>
        <v>14.100761267507202</v>
      </c>
      <c r="R155" s="217">
        <f t="shared" si="453"/>
        <v>26.438927376576004</v>
      </c>
      <c r="S155" s="217">
        <f t="shared" si="454"/>
        <v>15</v>
      </c>
      <c r="T155" s="217">
        <f t="shared" si="455"/>
        <v>15.95658530284277</v>
      </c>
      <c r="U155" s="217">
        <f t="shared" si="326"/>
        <v>10.326890147780981</v>
      </c>
      <c r="V155" s="217">
        <f t="shared" si="327"/>
        <v>12.007549722999531</v>
      </c>
      <c r="W155" s="197">
        <f t="shared" si="328"/>
        <v>71.443857088703155</v>
      </c>
      <c r="X155" s="443">
        <f t="shared" si="435"/>
        <v>44.37651904082422</v>
      </c>
      <c r="Z155" s="217">
        <f t="shared" si="329"/>
        <v>10</v>
      </c>
      <c r="AA155" s="173">
        <f t="shared" si="330"/>
        <v>7.5251374245217173</v>
      </c>
      <c r="AB155" s="173">
        <f t="shared" si="456"/>
        <v>2.6527541582091181</v>
      </c>
      <c r="AC155" s="173"/>
      <c r="AD155" s="173">
        <f t="shared" si="332"/>
        <v>7.5251374245217173</v>
      </c>
      <c r="AE155" s="545">
        <f t="shared" si="457"/>
        <v>119.59914473684209</v>
      </c>
      <c r="AF155" s="528">
        <f t="shared" si="458"/>
        <v>2.6881242136519066</v>
      </c>
      <c r="AH155" s="173">
        <f t="shared" si="459"/>
        <v>5.707138387268051</v>
      </c>
      <c r="AI155" s="173">
        <f t="shared" si="460"/>
        <v>15.95658530284277</v>
      </c>
      <c r="AJ155" s="173">
        <f t="shared" si="461"/>
        <v>5.6122854095131629</v>
      </c>
      <c r="AL155" s="545">
        <f t="shared" si="462"/>
        <v>4500</v>
      </c>
      <c r="AM155" s="460">
        <f t="shared" si="463"/>
        <v>44.37651904082422</v>
      </c>
      <c r="AO155" s="460">
        <f t="shared" si="340"/>
        <v>4500</v>
      </c>
      <c r="AP155" s="460">
        <f t="shared" si="341"/>
        <v>44.37651904082422</v>
      </c>
      <c r="AR155" s="5">
        <f t="shared" si="443"/>
        <v>22.534439870780513</v>
      </c>
      <c r="AS155" s="5">
        <f t="shared" si="440"/>
        <v>10.326890147780981</v>
      </c>
      <c r="AT155" s="5">
        <f t="shared" si="441"/>
        <v>12.207549722999532</v>
      </c>
      <c r="AU155" s="173">
        <f t="shared" si="442"/>
        <v>0.45827143727550279</v>
      </c>
      <c r="AW155" s="5">
        <f t="shared" si="342"/>
        <v>309.80670443342945</v>
      </c>
      <c r="AX155" s="5">
        <f t="shared" si="343"/>
        <v>14.522189270317005</v>
      </c>
      <c r="AY155" s="5">
        <f t="shared" si="344"/>
        <v>12.344631402407847</v>
      </c>
      <c r="AZ155" s="5"/>
      <c r="BA155" s="173">
        <f t="shared" si="345"/>
        <v>6.2364971153074666</v>
      </c>
      <c r="BB155" s="173">
        <f t="shared" si="346"/>
        <v>6.7806323628204188</v>
      </c>
      <c r="BC155" s="173">
        <f t="shared" si="347"/>
        <v>0.16698969113142051</v>
      </c>
      <c r="BD155" s="173"/>
      <c r="BE155" s="528">
        <f t="shared" si="348"/>
        <v>0.77787792538476708</v>
      </c>
      <c r="BF155" s="528">
        <f t="shared" si="464"/>
        <v>0.45789592799371326</v>
      </c>
      <c r="BG155" s="528">
        <f t="shared" si="465"/>
        <v>2.0570501904785706E-2</v>
      </c>
      <c r="BH155" s="528">
        <f t="shared" si="351"/>
        <v>5.2783461757728665E-3</v>
      </c>
      <c r="BI155">
        <f t="shared" si="352"/>
        <v>8.3438052891330518E-3</v>
      </c>
      <c r="BJ155" s="460">
        <f t="shared" si="436"/>
        <v>28.914307193918756</v>
      </c>
      <c r="BK155">
        <f t="shared" si="466"/>
        <v>1.7800804668179377</v>
      </c>
      <c r="BL155" s="460">
        <f t="shared" si="437"/>
        <v>1269.9665067481719</v>
      </c>
      <c r="BM155" s="173">
        <f t="shared" si="467"/>
        <v>2.7956249999999998</v>
      </c>
      <c r="BN155" s="173">
        <f t="shared" si="468"/>
        <v>6.9890624999999998E-2</v>
      </c>
      <c r="BO155" s="528"/>
      <c r="BQ155" s="460">
        <f t="shared" si="356"/>
        <v>2865.515625</v>
      </c>
      <c r="BR155" s="528">
        <f t="shared" si="357"/>
        <v>1.1668168880771506</v>
      </c>
      <c r="BS155" s="528">
        <f t="shared" si="358"/>
        <v>1.3793092571918284</v>
      </c>
      <c r="BT155" s="528">
        <f t="shared" si="359"/>
        <v>1.3942778472083613E-4</v>
      </c>
      <c r="BU155" s="528">
        <f t="shared" si="360"/>
        <v>0.66711849541932011</v>
      </c>
      <c r="BV155" s="528"/>
      <c r="BW155" s="625">
        <f t="shared" si="469"/>
        <v>1.1298821536586923E-2</v>
      </c>
      <c r="BX155" s="460">
        <f t="shared" si="362"/>
        <v>3224.682890009607</v>
      </c>
      <c r="BY155" s="173">
        <f t="shared" si="363"/>
        <v>7.360165021757779</v>
      </c>
      <c r="BZ155" s="5">
        <f t="shared" si="364"/>
        <v>68.400000000000006</v>
      </c>
      <c r="CA155" s="173">
        <f t="shared" si="365"/>
        <v>0.9028491421627185</v>
      </c>
      <c r="CB155" s="5">
        <f t="shared" si="366"/>
        <v>90.284914216271844</v>
      </c>
      <c r="CC155">
        <f t="shared" si="367"/>
        <v>45</v>
      </c>
      <c r="CE155" s="562">
        <f t="shared" si="470"/>
        <v>-50</v>
      </c>
      <c r="CF155">
        <f t="shared" si="471"/>
        <v>-50</v>
      </c>
      <c r="CG155" s="173">
        <f t="shared" si="370"/>
        <v>0.54755043227665712</v>
      </c>
      <c r="CH155" s="173">
        <f t="shared" si="472"/>
        <v>6.4398811101315845E-2</v>
      </c>
      <c r="CI155" s="170">
        <v>45</v>
      </c>
      <c r="CJ155" s="217">
        <f t="shared" si="438"/>
        <v>4.5</v>
      </c>
      <c r="CK155" s="217">
        <f t="shared" si="372"/>
        <v>0.1125</v>
      </c>
      <c r="CL155" s="217">
        <f t="shared" si="373"/>
        <v>67.5</v>
      </c>
      <c r="CM155" s="217">
        <f t="shared" si="374"/>
        <v>0.9</v>
      </c>
      <c r="CN155" s="541">
        <f t="shared" si="375"/>
        <v>19</v>
      </c>
      <c r="CO155" s="443">
        <f t="shared" si="473"/>
        <v>15.7</v>
      </c>
      <c r="CP155" s="443">
        <f t="shared" si="474"/>
        <v>34.700000000000003</v>
      </c>
      <c r="CQ155" s="443"/>
      <c r="CR155" s="217">
        <f t="shared" si="378"/>
        <v>0.44767441860465118</v>
      </c>
      <c r="CS155" s="172">
        <f t="shared" si="379"/>
        <v>209.84738372093025</v>
      </c>
      <c r="CT155" s="172">
        <f t="shared" si="380"/>
        <v>2.835271317829458</v>
      </c>
      <c r="CU155" s="217">
        <f t="shared" si="381"/>
        <v>13.989825581395349</v>
      </c>
      <c r="CV155" s="217">
        <f t="shared" si="382"/>
        <v>26.230922965116282</v>
      </c>
      <c r="CW155" s="217">
        <f t="shared" si="383"/>
        <v>15</v>
      </c>
      <c r="CX155" s="217">
        <f t="shared" si="384"/>
        <v>16.083116883116883</v>
      </c>
      <c r="CY155" s="217">
        <f t="shared" si="385"/>
        <v>10.157758031442242</v>
      </c>
      <c r="CZ155" s="217">
        <f t="shared" si="386"/>
        <v>12.292828190917364</v>
      </c>
      <c r="DA155" s="197">
        <f t="shared" si="387"/>
        <v>71.63784822286263</v>
      </c>
      <c r="DB155" s="443">
        <f t="shared" si="388"/>
        <v>44.542266740636485</v>
      </c>
      <c r="DD155" s="217">
        <f t="shared" si="389"/>
        <v>10.000000000000002</v>
      </c>
      <c r="DE155" s="173">
        <f t="shared" si="390"/>
        <v>7.6433121019108299</v>
      </c>
      <c r="DF155" s="173">
        <f t="shared" si="391"/>
        <v>2.7017291066282429</v>
      </c>
      <c r="DG155" s="173"/>
      <c r="DH155" s="173">
        <f t="shared" si="392"/>
        <v>7.6433121019108281</v>
      </c>
      <c r="DI155" s="545">
        <f t="shared" si="393"/>
        <v>117.75000000000003</v>
      </c>
      <c r="DJ155" s="528">
        <f t="shared" si="394"/>
        <v>2.7377521613832849</v>
      </c>
      <c r="DL155" s="173">
        <f t="shared" si="395"/>
        <v>5.707138387268051</v>
      </c>
      <c r="DM155" s="173">
        <f t="shared" si="396"/>
        <v>16.083116883116883</v>
      </c>
      <c r="DN155" s="173">
        <f t="shared" si="397"/>
        <v>5.706012506012506</v>
      </c>
      <c r="DP155" s="545">
        <f t="shared" si="398"/>
        <v>4500</v>
      </c>
      <c r="DQ155" s="460">
        <f t="shared" si="399"/>
        <v>44.542266740636485</v>
      </c>
      <c r="DS155" s="460">
        <f t="shared" si="400"/>
        <v>4500</v>
      </c>
      <c r="DT155" s="460">
        <f t="shared" si="401"/>
        <v>44.542266740636485</v>
      </c>
      <c r="DV155" s="5">
        <f t="shared" si="402"/>
        <v>22.450586222359608</v>
      </c>
      <c r="DW155" s="5">
        <f t="shared" si="403"/>
        <v>10.157758031442242</v>
      </c>
      <c r="DX155" s="5">
        <f t="shared" si="404"/>
        <v>12.292828190917366</v>
      </c>
      <c r="DY155" s="173">
        <f t="shared" si="405"/>
        <v>0.45244956772334288</v>
      </c>
      <c r="EA155" s="5">
        <f t="shared" si="406"/>
        <v>304.73274094326723</v>
      </c>
      <c r="EB155" s="5">
        <f t="shared" si="407"/>
        <v>14.284347231715653</v>
      </c>
      <c r="EC155" s="5">
        <f t="shared" si="408"/>
        <v>12.131080451563189</v>
      </c>
      <c r="ED155" s="5"/>
      <c r="EE155" s="173">
        <f t="shared" si="409"/>
        <v>6.2458950086677385</v>
      </c>
      <c r="EF155" s="173">
        <f t="shared" si="410"/>
        <v>6.87102698044714</v>
      </c>
      <c r="EG155" s="173">
        <f t="shared" si="411"/>
        <v>0.16921588014591391</v>
      </c>
      <c r="EH155" s="173"/>
      <c r="EI155" s="528">
        <f t="shared" si="412"/>
        <v>0.78022408918601149</v>
      </c>
      <c r="EJ155" s="528">
        <f t="shared" si="413"/>
        <v>0.4971666666666667</v>
      </c>
      <c r="EK155" s="528">
        <f t="shared" si="414"/>
        <v>5.5677833425795608E-3</v>
      </c>
      <c r="EL155" s="528">
        <f t="shared" si="415"/>
        <v>5.3632897959732997E-3</v>
      </c>
      <c r="EM155">
        <f t="shared" si="416"/>
        <v>8.5500000000000003E-3</v>
      </c>
      <c r="EN155" s="460">
        <f t="shared" si="417"/>
        <v>14.11778334257956</v>
      </c>
      <c r="EP155" s="460">
        <f t="shared" si="439"/>
        <v>1296.871828991231</v>
      </c>
      <c r="EQ155" s="173">
        <f t="shared" si="418"/>
        <v>3.15</v>
      </c>
      <c r="ER155" s="173">
        <f t="shared" si="475"/>
        <v>4.9921874999999998E-2</v>
      </c>
      <c r="ES155" s="528"/>
      <c r="EU155" s="460">
        <f t="shared" si="420"/>
        <v>3199.921875</v>
      </c>
      <c r="EV155" s="528">
        <f t="shared" si="421"/>
        <v>1.170336133779017</v>
      </c>
      <c r="EW155" s="528">
        <f t="shared" si="422"/>
        <v>1.4163303529809761</v>
      </c>
      <c r="EX155" s="528">
        <f t="shared" si="423"/>
        <v>1.4317007046778151E-4</v>
      </c>
      <c r="EY155" s="528">
        <f t="shared" si="424"/>
        <v>0.68679375210278815</v>
      </c>
      <c r="EZ155" s="528"/>
      <c r="FA155" s="625">
        <f t="shared" si="425"/>
        <v>1.1521598862232868E-2</v>
      </c>
      <c r="FB155" s="460">
        <f t="shared" si="426"/>
        <v>3285.1250077954824</v>
      </c>
      <c r="FC155" s="173">
        <f t="shared" si="427"/>
        <v>7.7819187117867124</v>
      </c>
      <c r="FD155" s="5">
        <f t="shared" si="428"/>
        <v>68.400000000000006</v>
      </c>
      <c r="FE155" s="173">
        <f t="shared" si="429"/>
        <v>0.89785084383044411</v>
      </c>
      <c r="FF155" s="5">
        <f t="shared" si="430"/>
        <v>89.785084383044406</v>
      </c>
      <c r="FG155">
        <f t="shared" si="431"/>
        <v>45</v>
      </c>
      <c r="FI155" s="562">
        <f t="shared" si="432"/>
        <v>-50</v>
      </c>
      <c r="FJ155">
        <f t="shared" si="433"/>
        <v>-50</v>
      </c>
    </row>
    <row r="156" spans="5:166" s="76" customFormat="1">
      <c r="E156" s="189">
        <v>46</v>
      </c>
      <c r="F156" s="329">
        <f t="shared" si="476"/>
        <v>4.6000000000000005</v>
      </c>
      <c r="G156" s="217">
        <f t="shared" si="444"/>
        <v>0.115</v>
      </c>
      <c r="H156" s="329">
        <f t="shared" si="445"/>
        <v>69.000000000000014</v>
      </c>
      <c r="I156" s="217">
        <f t="shared" si="446"/>
        <v>0.92</v>
      </c>
      <c r="J156" s="541">
        <f t="shared" si="447"/>
        <v>18.531607076549157</v>
      </c>
      <c r="K156" s="443">
        <f t="shared" si="448"/>
        <v>15.952031578947368</v>
      </c>
      <c r="L156" s="172">
        <f t="shared" si="449"/>
        <v>34.483638655496527</v>
      </c>
      <c r="M156" s="443"/>
      <c r="N156" s="217">
        <f t="shared" si="450"/>
        <v>0.46259710984428526</v>
      </c>
      <c r="O156" s="172">
        <f t="shared" si="451"/>
        <v>211.49674032191311</v>
      </c>
      <c r="P156" s="172">
        <f t="shared" si="452"/>
        <v>2.8575559581271817</v>
      </c>
      <c r="Q156" s="329">
        <f t="shared" si="322"/>
        <v>14.09978268812754</v>
      </c>
      <c r="R156" s="217">
        <f t="shared" si="453"/>
        <v>26.437092540239139</v>
      </c>
      <c r="S156" s="329">
        <f t="shared" si="454"/>
        <v>15</v>
      </c>
      <c r="T156" s="217">
        <f t="shared" si="455"/>
        <v>16.312308145973574</v>
      </c>
      <c r="U156" s="329">
        <f t="shared" si="326"/>
        <v>10.562910002521694</v>
      </c>
      <c r="V156" s="329">
        <f t="shared" si="327"/>
        <v>12.271019950212496</v>
      </c>
      <c r="W156" s="537">
        <f t="shared" si="328"/>
        <v>71.438898953179546</v>
      </c>
      <c r="X156" s="443">
        <f t="shared" si="435"/>
        <v>43.414215552969388</v>
      </c>
      <c r="Z156" s="329">
        <f t="shared" si="329"/>
        <v>10</v>
      </c>
      <c r="AA156" s="538">
        <f t="shared" si="330"/>
        <v>7.5225528112901641</v>
      </c>
      <c r="AB156" s="173">
        <f t="shared" si="456"/>
        <v>2.6516589974788558</v>
      </c>
      <c r="AC156" s="538"/>
      <c r="AD156" s="538">
        <f t="shared" si="332"/>
        <v>7.5225528112901641</v>
      </c>
      <c r="AE156" s="545">
        <f t="shared" si="457"/>
        <v>122.29890877192983</v>
      </c>
      <c r="AF156" s="528">
        <f t="shared" si="458"/>
        <v>2.687014450778574</v>
      </c>
      <c r="AH156" s="173">
        <f t="shared" si="459"/>
        <v>5.7702026043491843</v>
      </c>
      <c r="AI156" s="538">
        <f t="shared" si="460"/>
        <v>16.312308145973574</v>
      </c>
      <c r="AJ156" s="538">
        <f t="shared" si="461"/>
        <v>5.875783811832278</v>
      </c>
      <c r="AL156" s="563">
        <f t="shared" si="462"/>
        <v>4600.0000000000009</v>
      </c>
      <c r="AM156" s="564">
        <f t="shared" si="463"/>
        <v>43.414215552969388</v>
      </c>
      <c r="AO156" s="76">
        <f t="shared" si="340"/>
        <v>4600.0000000000009</v>
      </c>
      <c r="AP156" s="76">
        <f t="shared" si="341"/>
        <v>43.414215552969388</v>
      </c>
      <c r="AR156" s="534">
        <f t="shared" si="443"/>
        <v>23.033929952734187</v>
      </c>
      <c r="AS156" s="5">
        <f t="shared" si="440"/>
        <v>10.562910002521694</v>
      </c>
      <c r="AT156" s="5">
        <f t="shared" si="441"/>
        <v>12.471019950212494</v>
      </c>
      <c r="AU156" s="173">
        <f t="shared" si="442"/>
        <v>0.45858045171609324</v>
      </c>
      <c r="AW156" s="5">
        <f t="shared" si="342"/>
        <v>323.92924007733194</v>
      </c>
      <c r="AX156" s="5">
        <f t="shared" si="343"/>
        <v>15.184183128624934</v>
      </c>
      <c r="AY156" s="5">
        <f t="shared" si="344"/>
        <v>12.898389297361637</v>
      </c>
      <c r="AZ156" s="5"/>
      <c r="BA156" s="173">
        <f t="shared" si="345"/>
        <v>6.3776775568275781</v>
      </c>
      <c r="BB156" s="173">
        <f t="shared" si="346"/>
        <v>6.9298168324184273</v>
      </c>
      <c r="BC156" s="173">
        <f t="shared" si="347"/>
        <v>0.17066372434348129</v>
      </c>
      <c r="BD156" s="173"/>
      <c r="BE156" s="528">
        <f t="shared" si="348"/>
        <v>0.81349542037724376</v>
      </c>
      <c r="BF156" s="528">
        <f t="shared" si="464"/>
        <v>0.45789060493894418</v>
      </c>
      <c r="BG156" s="528">
        <f t="shared" si="465"/>
        <v>2.011337960410595E-2</v>
      </c>
      <c r="BH156" s="528">
        <f t="shared" si="351"/>
        <v>5.162476995297551E-3</v>
      </c>
      <c r="BI156">
        <f t="shared" si="352"/>
        <v>8.3392231844471205E-3</v>
      </c>
      <c r="BJ156" s="460">
        <f t="shared" si="436"/>
        <v>28.452602788553069</v>
      </c>
      <c r="BK156">
        <f t="shared" si="466"/>
        <v>1.8546761494011479</v>
      </c>
      <c r="BL156" s="460">
        <f t="shared" si="437"/>
        <v>1305.0011051000386</v>
      </c>
      <c r="BM156" s="173">
        <f t="shared" si="467"/>
        <v>2.8577500000000002</v>
      </c>
      <c r="BN156" s="173">
        <f t="shared" si="468"/>
        <v>7.144375E-2</v>
      </c>
      <c r="BO156" s="528"/>
      <c r="BP156"/>
      <c r="BQ156" s="460">
        <f t="shared" si="356"/>
        <v>2929.1937499999999</v>
      </c>
      <c r="BR156" s="528">
        <f t="shared" si="357"/>
        <v>1.2202431305658656</v>
      </c>
      <c r="BS156" s="528">
        <f t="shared" si="358"/>
        <v>1.4406708399260928</v>
      </c>
      <c r="BT156" s="528">
        <f t="shared" si="359"/>
        <v>1.4563053403393884E-4</v>
      </c>
      <c r="BU156" s="528">
        <f t="shared" si="360"/>
        <v>0.66732660852909509</v>
      </c>
      <c r="BV156" s="528"/>
      <c r="BW156" s="625">
        <f t="shared" si="469"/>
        <v>1.155214926828455E-2</v>
      </c>
      <c r="BX156" s="460">
        <f t="shared" si="362"/>
        <v>3339.9383588233723</v>
      </c>
      <c r="BY156" s="173">
        <f t="shared" si="363"/>
        <v>7.5741332139234112</v>
      </c>
      <c r="BZ156" s="5">
        <f t="shared" si="364"/>
        <v>69.920000000000016</v>
      </c>
      <c r="CA156" s="173">
        <f t="shared" si="365"/>
        <v>0.90226185002915071</v>
      </c>
      <c r="CB156" s="5">
        <f t="shared" si="366"/>
        <v>90.226185002915074</v>
      </c>
      <c r="CC156">
        <f t="shared" si="367"/>
        <v>46.000000000000007</v>
      </c>
      <c r="CE156" s="562">
        <f t="shared" si="470"/>
        <v>-50</v>
      </c>
      <c r="CF156">
        <f t="shared" si="471"/>
        <v>-50</v>
      </c>
      <c r="CG156" s="173">
        <f t="shared" si="370"/>
        <v>0.54755043227665712</v>
      </c>
      <c r="CH156" s="173">
        <f t="shared" si="472"/>
        <v>6.4398811101315845E-2</v>
      </c>
      <c r="CI156" s="189">
        <v>46</v>
      </c>
      <c r="CJ156" s="329">
        <f t="shared" si="438"/>
        <v>4.6000000000000005</v>
      </c>
      <c r="CK156" s="217">
        <f t="shared" si="372"/>
        <v>0.115</v>
      </c>
      <c r="CL156" s="329">
        <f t="shared" si="373"/>
        <v>69.000000000000014</v>
      </c>
      <c r="CM156" s="217">
        <f t="shared" si="374"/>
        <v>0.92</v>
      </c>
      <c r="CN156" s="541">
        <f t="shared" si="375"/>
        <v>19</v>
      </c>
      <c r="CO156" s="443">
        <f t="shared" si="473"/>
        <v>15.7</v>
      </c>
      <c r="CP156" s="443">
        <f t="shared" si="474"/>
        <v>34.700000000000003</v>
      </c>
      <c r="CQ156" s="535"/>
      <c r="CR156" s="329">
        <f t="shared" si="378"/>
        <v>0.44767441860465118</v>
      </c>
      <c r="CS156" s="172">
        <f t="shared" si="379"/>
        <v>209.84738372093025</v>
      </c>
      <c r="CT156" s="172">
        <f t="shared" si="380"/>
        <v>2.835271317829458</v>
      </c>
      <c r="CU156" s="329">
        <f t="shared" si="381"/>
        <v>13.989825581395349</v>
      </c>
      <c r="CV156" s="217">
        <f t="shared" si="382"/>
        <v>26.230922965116282</v>
      </c>
      <c r="CW156" s="329">
        <f t="shared" si="383"/>
        <v>15</v>
      </c>
      <c r="CX156" s="217">
        <f t="shared" si="384"/>
        <v>16.440519480519484</v>
      </c>
      <c r="CY156" s="329">
        <f t="shared" si="385"/>
        <v>10.383485987696517</v>
      </c>
      <c r="CZ156" s="329">
        <f t="shared" si="386"/>
        <v>12.56600215071553</v>
      </c>
      <c r="DA156" s="537">
        <f t="shared" si="387"/>
        <v>71.63784822286263</v>
      </c>
      <c r="DB156" s="535">
        <f t="shared" si="388"/>
        <v>43.573956594100899</v>
      </c>
      <c r="DD156" s="329">
        <f t="shared" si="389"/>
        <v>10.000000000000002</v>
      </c>
      <c r="DE156" s="538">
        <f t="shared" si="390"/>
        <v>7.6433121019108299</v>
      </c>
      <c r="DF156" s="173">
        <f t="shared" si="391"/>
        <v>2.7017291066282429</v>
      </c>
      <c r="DG156" s="538"/>
      <c r="DH156" s="538">
        <f t="shared" si="392"/>
        <v>7.6433121019108281</v>
      </c>
      <c r="DI156" s="545">
        <f t="shared" si="393"/>
        <v>120.36666666666669</v>
      </c>
      <c r="DJ156" s="528">
        <f t="shared" si="394"/>
        <v>2.7377521613832849</v>
      </c>
      <c r="DL156" s="173">
        <f t="shared" si="395"/>
        <v>5.7702026043491843</v>
      </c>
      <c r="DM156" s="538">
        <f t="shared" si="396"/>
        <v>16.440519480519484</v>
      </c>
      <c r="DN156" s="538">
        <f t="shared" si="397"/>
        <v>5.9707551707551731</v>
      </c>
      <c r="DP156" s="563">
        <f t="shared" si="398"/>
        <v>4600.0000000000009</v>
      </c>
      <c r="DQ156" s="564">
        <f t="shared" si="399"/>
        <v>43.573956594100899</v>
      </c>
      <c r="DS156" s="76">
        <f t="shared" si="400"/>
        <v>4600.0000000000009</v>
      </c>
      <c r="DT156" s="76">
        <f t="shared" si="401"/>
        <v>43.573956594100899</v>
      </c>
      <c r="DV156" s="534">
        <f t="shared" si="402"/>
        <v>22.949488138412047</v>
      </c>
      <c r="DW156" s="5">
        <f t="shared" si="403"/>
        <v>10.383485987696517</v>
      </c>
      <c r="DX156" s="5">
        <f t="shared" si="404"/>
        <v>12.56600215071553</v>
      </c>
      <c r="DY156" s="173">
        <f t="shared" si="405"/>
        <v>0.45244956772334294</v>
      </c>
      <c r="EA156" s="5">
        <f t="shared" si="406"/>
        <v>318.4269036226932</v>
      </c>
      <c r="EB156" s="5">
        <f t="shared" si="407"/>
        <v>14.926261107313742</v>
      </c>
      <c r="EC156" s="5">
        <f t="shared" si="408"/>
        <v>12.676230239756896</v>
      </c>
      <c r="ED156" s="5"/>
      <c r="EE156" s="173">
        <f t="shared" si="409"/>
        <v>6.3846926755270221</v>
      </c>
      <c r="EF156" s="173">
        <f t="shared" si="410"/>
        <v>7.0237164689015223</v>
      </c>
      <c r="EG156" s="173">
        <f t="shared" si="411"/>
        <v>0.17297623303804535</v>
      </c>
      <c r="EH156" s="173"/>
      <c r="EI156" s="528">
        <f t="shared" si="412"/>
        <v>0.81528601121856814</v>
      </c>
      <c r="EJ156" s="528">
        <f t="shared" si="413"/>
        <v>0.49716666666666665</v>
      </c>
      <c r="EK156" s="528">
        <f t="shared" si="414"/>
        <v>5.4467445742626122E-3</v>
      </c>
      <c r="EL156" s="528">
        <f t="shared" si="415"/>
        <v>5.246696539539096E-3</v>
      </c>
      <c r="EM156">
        <f t="shared" si="416"/>
        <v>8.5500000000000003E-3</v>
      </c>
      <c r="EN156" s="460">
        <f t="shared" si="417"/>
        <v>13.996744574262612</v>
      </c>
      <c r="EO156"/>
      <c r="EP156" s="460">
        <f t="shared" si="439"/>
        <v>1331.6961189990363</v>
      </c>
      <c r="EQ156" s="173">
        <f t="shared" si="418"/>
        <v>3.22</v>
      </c>
      <c r="ER156" s="173">
        <f t="shared" si="475"/>
        <v>5.103125E-2</v>
      </c>
      <c r="ES156" s="528"/>
      <c r="ET156"/>
      <c r="EU156" s="460">
        <f t="shared" si="420"/>
        <v>3271.03125</v>
      </c>
      <c r="EV156" s="528">
        <f t="shared" si="421"/>
        <v>1.2229290168278522</v>
      </c>
      <c r="EW156" s="528">
        <f t="shared" si="422"/>
        <v>1.479977791065554</v>
      </c>
      <c r="EX156" s="528">
        <f t="shared" si="423"/>
        <v>1.4960388598016087E-4</v>
      </c>
      <c r="EY156" s="528">
        <f t="shared" si="424"/>
        <v>0.68679375210278804</v>
      </c>
      <c r="EZ156" s="528"/>
      <c r="FA156" s="625">
        <f t="shared" si="425"/>
        <v>1.177763439250471E-2</v>
      </c>
      <c r="FB156" s="460">
        <f t="shared" si="426"/>
        <v>3401.6277982746792</v>
      </c>
      <c r="FC156" s="173">
        <f t="shared" si="427"/>
        <v>8.0043551672737152</v>
      </c>
      <c r="FD156" s="5">
        <f t="shared" si="428"/>
        <v>69.920000000000016</v>
      </c>
      <c r="FE156" s="173">
        <f t="shared" si="429"/>
        <v>0.89728044396271955</v>
      </c>
      <c r="FF156" s="5">
        <f t="shared" si="430"/>
        <v>89.728044396271954</v>
      </c>
      <c r="FG156">
        <f t="shared" si="431"/>
        <v>46.000000000000007</v>
      </c>
      <c r="FI156" s="562">
        <f t="shared" si="432"/>
        <v>-50</v>
      </c>
      <c r="FJ156">
        <f t="shared" si="433"/>
        <v>-50</v>
      </c>
    </row>
    <row r="157" spans="5:166">
      <c r="E157" s="170">
        <v>47</v>
      </c>
      <c r="F157" s="217">
        <f t="shared" si="476"/>
        <v>4.6999999999999993</v>
      </c>
      <c r="G157" s="217">
        <f t="shared" si="444"/>
        <v>0.11749999999999999</v>
      </c>
      <c r="H157" s="217">
        <f t="shared" si="445"/>
        <v>70.499999999999986</v>
      </c>
      <c r="I157" s="217">
        <f t="shared" si="446"/>
        <v>0.94</v>
      </c>
      <c r="J157" s="541">
        <f t="shared" si="447"/>
        <v>18.52142462169153</v>
      </c>
      <c r="K157" s="443">
        <f t="shared" si="448"/>
        <v>15.957510526315788</v>
      </c>
      <c r="L157" s="172">
        <f t="shared" si="449"/>
        <v>34.478935148007317</v>
      </c>
      <c r="M157" s="443"/>
      <c r="N157" s="217">
        <f t="shared" si="450"/>
        <v>0.46281912297509109</v>
      </c>
      <c r="O157" s="172">
        <f t="shared" si="451"/>
        <v>211.48197778767761</v>
      </c>
      <c r="P157" s="172">
        <f t="shared" si="452"/>
        <v>2.8573564998868441</v>
      </c>
      <c r="Q157" s="217">
        <f t="shared" si="322"/>
        <v>14.098798519178507</v>
      </c>
      <c r="R157" s="217">
        <f t="shared" si="453"/>
        <v>26.435247223459701</v>
      </c>
      <c r="S157" s="217">
        <f t="shared" si="454"/>
        <v>15</v>
      </c>
      <c r="T157" s="217">
        <f t="shared" si="455"/>
        <v>16.668086977789699</v>
      </c>
      <c r="U157" s="217">
        <f t="shared" si="326"/>
        <v>10.799225643756619</v>
      </c>
      <c r="V157" s="217">
        <f t="shared" si="327"/>
        <v>12.534351357852785</v>
      </c>
      <c r="W157" s="197">
        <f t="shared" si="328"/>
        <v>71.433912497171107</v>
      </c>
      <c r="X157" s="443">
        <f t="shared" si="435"/>
        <v>42.492477872429355</v>
      </c>
      <c r="Z157" s="217">
        <f t="shared" si="329"/>
        <v>9.9999999999999982</v>
      </c>
      <c r="AA157" s="173">
        <f t="shared" si="330"/>
        <v>7.5199699728918263</v>
      </c>
      <c r="AB157" s="173">
        <f t="shared" si="456"/>
        <v>2.6505635379518524</v>
      </c>
      <c r="AC157" s="173"/>
      <c r="AD157" s="173">
        <f t="shared" si="332"/>
        <v>7.5199699728918281</v>
      </c>
      <c r="AE157" s="545">
        <f t="shared" si="457"/>
        <v>125.00049912280699</v>
      </c>
      <c r="AF157" s="528">
        <f t="shared" si="458"/>
        <v>2.685904385124545</v>
      </c>
      <c r="AH157" s="173">
        <f t="shared" si="459"/>
        <v>5.8325849860115726</v>
      </c>
      <c r="AI157" s="173">
        <f t="shared" si="460"/>
        <v>16.668086977789699</v>
      </c>
      <c r="AJ157" s="173">
        <f t="shared" si="461"/>
        <v>6.139323687251629</v>
      </c>
      <c r="AL157" s="545">
        <f t="shared" si="462"/>
        <v>4699.9999999999991</v>
      </c>
      <c r="AM157" s="460">
        <f t="shared" si="463"/>
        <v>42.492477872429355</v>
      </c>
      <c r="AO157">
        <f t="shared" si="340"/>
        <v>4699.9999999999991</v>
      </c>
      <c r="AP157">
        <f t="shared" si="341"/>
        <v>42.492477872429355</v>
      </c>
      <c r="AR157" s="5">
        <f t="shared" si="443"/>
        <v>23.533577001609405</v>
      </c>
      <c r="AS157" s="5">
        <f t="shared" si="440"/>
        <v>10.799225643756619</v>
      </c>
      <c r="AT157" s="5">
        <f t="shared" si="441"/>
        <v>12.734351357852786</v>
      </c>
      <c r="AU157" s="173">
        <f t="shared" si="442"/>
        <v>0.45888585670669979</v>
      </c>
      <c r="AW157" s="5">
        <f t="shared" si="342"/>
        <v>338.37573683770739</v>
      </c>
      <c r="AX157" s="5">
        <f t="shared" si="343"/>
        <v>15.861362664267533</v>
      </c>
      <c r="AY157" s="5">
        <f t="shared" si="344"/>
        <v>13.464463588430027</v>
      </c>
      <c r="AZ157" s="5"/>
      <c r="BA157" s="173">
        <f t="shared" si="345"/>
        <v>6.518947251705546</v>
      </c>
      <c r="BB157" s="173">
        <f t="shared" si="346"/>
        <v>7.0789618751058088</v>
      </c>
      <c r="BC157" s="173">
        <f t="shared" si="347"/>
        <v>0.17433678657123328</v>
      </c>
      <c r="BD157" s="173"/>
      <c r="BE157" s="528">
        <f t="shared" si="348"/>
        <v>0.84993346541038584</v>
      </c>
      <c r="BF157" s="528">
        <f t="shared" si="464"/>
        <v>0.45788132572445378</v>
      </c>
      <c r="BG157" s="528">
        <f t="shared" si="465"/>
        <v>1.9675530647577391E-2</v>
      </c>
      <c r="BH157" s="528">
        <f t="shared" si="351"/>
        <v>5.0514928897515046E-3</v>
      </c>
      <c r="BI157">
        <f t="shared" si="352"/>
        <v>8.3346410797611875E-3</v>
      </c>
      <c r="BJ157" s="460">
        <f t="shared" si="436"/>
        <v>28.01017172733858</v>
      </c>
      <c r="BK157">
        <f t="shared" si="466"/>
        <v>1.9326321580884693</v>
      </c>
      <c r="BL157" s="460">
        <f t="shared" si="437"/>
        <v>1340.8764557519296</v>
      </c>
      <c r="BM157" s="173">
        <f t="shared" si="467"/>
        <v>2.9198749999999989</v>
      </c>
      <c r="BN157" s="173">
        <f t="shared" si="468"/>
        <v>7.2996874999999989E-2</v>
      </c>
      <c r="BO157" s="528"/>
      <c r="BQ157" s="460">
        <f t="shared" si="356"/>
        <v>2992.8718749999989</v>
      </c>
      <c r="BR157" s="528">
        <f t="shared" si="357"/>
        <v>1.2749001981155785</v>
      </c>
      <c r="BS157" s="528">
        <f t="shared" si="358"/>
        <v>1.5033510368760465</v>
      </c>
      <c r="BT157" s="528">
        <f t="shared" si="359"/>
        <v>1.5196657575991871E-4</v>
      </c>
      <c r="BU157" s="528">
        <f t="shared" si="360"/>
        <v>0.66752039861258838</v>
      </c>
      <c r="BV157" s="528"/>
      <c r="BW157" s="625">
        <f t="shared" si="469"/>
        <v>1.1805477912693116E-2</v>
      </c>
      <c r="BX157" s="460">
        <f t="shared" si="362"/>
        <v>3457.7290780926669</v>
      </c>
      <c r="BY157" s="173">
        <f t="shared" si="363"/>
        <v>7.7914774088445959</v>
      </c>
      <c r="BZ157" s="5">
        <f t="shared" si="364"/>
        <v>71.439999999999984</v>
      </c>
      <c r="CA157" s="173">
        <f t="shared" si="365"/>
        <v>0.90166184370588498</v>
      </c>
      <c r="CB157" s="5">
        <f t="shared" si="366"/>
        <v>90.166184370588496</v>
      </c>
      <c r="CC157">
        <f t="shared" si="367"/>
        <v>46.999999999999993</v>
      </c>
      <c r="CE157" s="562">
        <f t="shared" si="470"/>
        <v>-50</v>
      </c>
      <c r="CF157">
        <f t="shared" si="471"/>
        <v>-50</v>
      </c>
      <c r="CG157" s="173">
        <f t="shared" si="370"/>
        <v>0.54755043227665712</v>
      </c>
      <c r="CH157" s="173">
        <f t="shared" si="472"/>
        <v>6.4398811101315859E-2</v>
      </c>
      <c r="CI157" s="170">
        <v>47</v>
      </c>
      <c r="CJ157" s="217">
        <f t="shared" si="438"/>
        <v>4.6999999999999993</v>
      </c>
      <c r="CK157" s="217">
        <f t="shared" si="372"/>
        <v>0.11749999999999999</v>
      </c>
      <c r="CL157" s="217">
        <f t="shared" si="373"/>
        <v>70.499999999999986</v>
      </c>
      <c r="CM157" s="217">
        <f t="shared" si="374"/>
        <v>0.94</v>
      </c>
      <c r="CN157" s="541">
        <f t="shared" si="375"/>
        <v>19</v>
      </c>
      <c r="CO157" s="443">
        <f t="shared" si="473"/>
        <v>15.7</v>
      </c>
      <c r="CP157" s="443">
        <f t="shared" si="474"/>
        <v>34.700000000000003</v>
      </c>
      <c r="CQ157" s="443"/>
      <c r="CR157" s="217">
        <f t="shared" si="378"/>
        <v>0.44767441860465118</v>
      </c>
      <c r="CS157" s="172">
        <f t="shared" si="379"/>
        <v>209.84738372093025</v>
      </c>
      <c r="CT157" s="172">
        <f t="shared" si="380"/>
        <v>2.835271317829458</v>
      </c>
      <c r="CU157" s="217">
        <f t="shared" si="381"/>
        <v>13.989825581395349</v>
      </c>
      <c r="CV157" s="217">
        <f t="shared" si="382"/>
        <v>26.230922965116282</v>
      </c>
      <c r="CW157" s="217">
        <f t="shared" si="383"/>
        <v>15</v>
      </c>
      <c r="CX157" s="217">
        <f t="shared" si="384"/>
        <v>16.797922077922074</v>
      </c>
      <c r="CY157" s="217">
        <f t="shared" si="385"/>
        <v>10.609213943950785</v>
      </c>
      <c r="CZ157" s="217">
        <f t="shared" si="386"/>
        <v>12.839176110513687</v>
      </c>
      <c r="DA157" s="197">
        <f t="shared" si="387"/>
        <v>71.63784822286263</v>
      </c>
      <c r="DB157" s="443">
        <f t="shared" si="388"/>
        <v>42.646851134651961</v>
      </c>
      <c r="DD157" s="217">
        <f t="shared" si="389"/>
        <v>10.000000000000002</v>
      </c>
      <c r="DE157" s="173">
        <f t="shared" si="390"/>
        <v>7.6433121019108299</v>
      </c>
      <c r="DF157" s="173">
        <f t="shared" si="391"/>
        <v>2.7017291066282429</v>
      </c>
      <c r="DG157" s="173"/>
      <c r="DH157" s="173">
        <f t="shared" si="392"/>
        <v>7.6433121019108281</v>
      </c>
      <c r="DI157" s="545">
        <f t="shared" si="393"/>
        <v>122.98333333333333</v>
      </c>
      <c r="DJ157" s="528">
        <f t="shared" si="394"/>
        <v>2.7377521613832849</v>
      </c>
      <c r="DL157" s="173">
        <f t="shared" si="395"/>
        <v>5.8325849860115726</v>
      </c>
      <c r="DM157" s="173">
        <f t="shared" si="396"/>
        <v>16.797922077922074</v>
      </c>
      <c r="DN157" s="173">
        <f t="shared" si="397"/>
        <v>6.2354978354978323</v>
      </c>
      <c r="DP157" s="545">
        <f t="shared" si="398"/>
        <v>4699.9999999999991</v>
      </c>
      <c r="DQ157" s="460">
        <f t="shared" si="399"/>
        <v>42.646851134651961</v>
      </c>
      <c r="DS157">
        <f t="shared" si="400"/>
        <v>4699.9999999999991</v>
      </c>
      <c r="DT157">
        <f t="shared" si="401"/>
        <v>42.646851134651961</v>
      </c>
      <c r="DV157" s="5">
        <f t="shared" si="402"/>
        <v>23.448390054464475</v>
      </c>
      <c r="DW157" s="5">
        <f t="shared" si="403"/>
        <v>10.609213943950785</v>
      </c>
      <c r="DX157" s="5">
        <f t="shared" si="404"/>
        <v>12.839176110513691</v>
      </c>
      <c r="DY157" s="173">
        <f t="shared" si="405"/>
        <v>0.45244956772334288</v>
      </c>
      <c r="EA157" s="5">
        <f t="shared" si="406"/>
        <v>332.42203691045785</v>
      </c>
      <c r="EB157" s="5">
        <f t="shared" si="407"/>
        <v>15.582282980177714</v>
      </c>
      <c r="EC157" s="5">
        <f t="shared" si="408"/>
        <v>13.233361341976828</v>
      </c>
      <c r="ED157" s="5"/>
      <c r="EE157" s="173">
        <f t="shared" si="409"/>
        <v>6.5234903423863031</v>
      </c>
      <c r="EF157" s="173">
        <f t="shared" si="410"/>
        <v>7.1764059573559003</v>
      </c>
      <c r="EG157" s="173">
        <f t="shared" si="411"/>
        <v>0.17673658593017669</v>
      </c>
      <c r="EH157" s="173"/>
      <c r="EI157" s="528">
        <f t="shared" si="412"/>
        <v>0.8511185249441473</v>
      </c>
      <c r="EJ157" s="528">
        <f t="shared" si="413"/>
        <v>0.49716666666666659</v>
      </c>
      <c r="EK157" s="528">
        <f t="shared" si="414"/>
        <v>5.3308563918314953E-3</v>
      </c>
      <c r="EL157" s="528">
        <f t="shared" si="415"/>
        <v>5.1350646982723088E-3</v>
      </c>
      <c r="EM157">
        <f t="shared" si="416"/>
        <v>8.5500000000000003E-3</v>
      </c>
      <c r="EN157" s="460">
        <f t="shared" si="417"/>
        <v>13.880856391831495</v>
      </c>
      <c r="EP157" s="460">
        <f t="shared" si="439"/>
        <v>1367.3011127009179</v>
      </c>
      <c r="EQ157" s="173">
        <f t="shared" si="418"/>
        <v>3.2899999999999991</v>
      </c>
      <c r="ER157" s="173">
        <f t="shared" si="475"/>
        <v>5.2140624999999996E-2</v>
      </c>
      <c r="ES157" s="528"/>
      <c r="EU157" s="460">
        <f t="shared" si="420"/>
        <v>3342.1406249999991</v>
      </c>
      <c r="EV157" s="528">
        <f t="shared" si="421"/>
        <v>1.276677787416221</v>
      </c>
      <c r="EW157" s="528">
        <f t="shared" si="422"/>
        <v>1.5450240739431977</v>
      </c>
      <c r="EX157" s="528">
        <f t="shared" si="423"/>
        <v>1.5617910403127364E-4</v>
      </c>
      <c r="EY157" s="528">
        <f t="shared" si="424"/>
        <v>0.68679375210278792</v>
      </c>
      <c r="EZ157" s="528"/>
      <c r="FA157" s="625">
        <f t="shared" si="425"/>
        <v>1.2033669922776546E-2</v>
      </c>
      <c r="FB157" s="460">
        <f t="shared" si="426"/>
        <v>3520.6854624890138</v>
      </c>
      <c r="FC157" s="173">
        <f t="shared" si="427"/>
        <v>8.2301272001899335</v>
      </c>
      <c r="FD157" s="5">
        <f t="shared" si="428"/>
        <v>71.439999999999984</v>
      </c>
      <c r="FE157" s="173">
        <f t="shared" si="429"/>
        <v>0.89669745123526912</v>
      </c>
      <c r="FF157" s="5">
        <f t="shared" si="430"/>
        <v>89.669745123526909</v>
      </c>
      <c r="FG157">
        <f t="shared" si="431"/>
        <v>46.999999999999993</v>
      </c>
      <c r="FI157" s="562">
        <f t="shared" si="432"/>
        <v>-50</v>
      </c>
      <c r="FJ157">
        <f t="shared" si="433"/>
        <v>-50</v>
      </c>
    </row>
    <row r="158" spans="5:166">
      <c r="E158" s="170">
        <v>48</v>
      </c>
      <c r="F158" s="217">
        <f t="shared" si="476"/>
        <v>4.8</v>
      </c>
      <c r="G158" s="217">
        <f t="shared" si="444"/>
        <v>0.12</v>
      </c>
      <c r="H158" s="217">
        <f t="shared" si="445"/>
        <v>72</v>
      </c>
      <c r="I158" s="217">
        <f t="shared" si="446"/>
        <v>0.96</v>
      </c>
      <c r="J158" s="541">
        <f t="shared" si="447"/>
        <v>18.511242166833902</v>
      </c>
      <c r="K158" s="443">
        <f t="shared" si="448"/>
        <v>15.96298947368421</v>
      </c>
      <c r="L158" s="172">
        <f t="shared" si="449"/>
        <v>34.474231640518113</v>
      </c>
      <c r="M158" s="443"/>
      <c r="N158" s="217">
        <f t="shared" si="450"/>
        <v>0.46304119668682203</v>
      </c>
      <c r="O158" s="172">
        <f t="shared" si="451"/>
        <v>211.46713137558382</v>
      </c>
      <c r="P158" s="172">
        <f t="shared" si="452"/>
        <v>2.8571559083634437</v>
      </c>
      <c r="Q158" s="217">
        <f t="shared" si="322"/>
        <v>14.097808758372254</v>
      </c>
      <c r="R158" s="217">
        <f t="shared" si="453"/>
        <v>26.433391421947977</v>
      </c>
      <c r="S158" s="217">
        <f t="shared" si="454"/>
        <v>15</v>
      </c>
      <c r="T158" s="217">
        <f t="shared" si="455"/>
        <v>17.023922235962477</v>
      </c>
      <c r="U158" s="217">
        <f t="shared" si="326"/>
        <v>11.035837843316934</v>
      </c>
      <c r="V158" s="217">
        <f t="shared" si="327"/>
        <v>12.797544417875311</v>
      </c>
      <c r="W158" s="197">
        <f t="shared" si="328"/>
        <v>71.428897709086087</v>
      </c>
      <c r="X158" s="443">
        <f t="shared" si="435"/>
        <v>41.608791851771272</v>
      </c>
      <c r="Z158" s="217">
        <f t="shared" si="329"/>
        <v>10</v>
      </c>
      <c r="AA158" s="173">
        <f t="shared" si="330"/>
        <v>7.5173889074991891</v>
      </c>
      <c r="AB158" s="173">
        <f t="shared" si="456"/>
        <v>2.6494677795058124</v>
      </c>
      <c r="AC158" s="173"/>
      <c r="AD158" s="173">
        <f t="shared" si="332"/>
        <v>7.5173889074991891</v>
      </c>
      <c r="AE158" s="545">
        <f t="shared" si="457"/>
        <v>127.70391578947365</v>
      </c>
      <c r="AF158" s="528">
        <f t="shared" si="458"/>
        <v>2.6847940165658901</v>
      </c>
      <c r="AH158" s="173">
        <f t="shared" si="459"/>
        <v>5.8943071809040575</v>
      </c>
      <c r="AI158" s="173">
        <f t="shared" si="460"/>
        <v>17.023922235962477</v>
      </c>
      <c r="AJ158" s="173">
        <f t="shared" si="461"/>
        <v>6.4029053599722054</v>
      </c>
      <c r="AL158" s="545">
        <f t="shared" si="462"/>
        <v>4800</v>
      </c>
      <c r="AM158" s="460">
        <f t="shared" si="463"/>
        <v>41.608791851771272</v>
      </c>
      <c r="AO158">
        <f t="shared" si="340"/>
        <v>4800</v>
      </c>
      <c r="AP158">
        <f t="shared" si="341"/>
        <v>41.608791851771272</v>
      </c>
      <c r="AR158" s="5">
        <f t="shared" si="443"/>
        <v>24.033382261192244</v>
      </c>
      <c r="AS158" s="5">
        <f t="shared" si="440"/>
        <v>11.035837843316934</v>
      </c>
      <c r="AT158" s="5">
        <f t="shared" si="441"/>
        <v>12.997544417875311</v>
      </c>
      <c r="AU158" s="173">
        <f t="shared" si="442"/>
        <v>0.45918787973247466</v>
      </c>
      <c r="AW158" s="5">
        <f t="shared" si="342"/>
        <v>353.14681098614187</v>
      </c>
      <c r="AX158" s="5">
        <f t="shared" si="343"/>
        <v>16.553756764975397</v>
      </c>
      <c r="AY158" s="5">
        <f t="shared" si="344"/>
        <v>14.042865736112148</v>
      </c>
      <c r="AZ158" s="5"/>
      <c r="BA158" s="173">
        <f t="shared" si="345"/>
        <v>6.6603063806210523</v>
      </c>
      <c r="BB158" s="173">
        <f t="shared" si="346"/>
        <v>7.2280676312292753</v>
      </c>
      <c r="BC158" s="173">
        <f t="shared" si="347"/>
        <v>0.17800888127105824</v>
      </c>
      <c r="BD158" s="173"/>
      <c r="BE158" s="528">
        <f t="shared" si="348"/>
        <v>0.88719362167482996</v>
      </c>
      <c r="BF158" s="528">
        <f t="shared" si="464"/>
        <v>0.4578683247335798</v>
      </c>
      <c r="BG158" s="528">
        <f t="shared" si="465"/>
        <v>1.9255760555938081E-2</v>
      </c>
      <c r="BH158" s="528">
        <f t="shared" si="351"/>
        <v>4.9450910999039007E-3</v>
      </c>
      <c r="BI158">
        <f t="shared" si="352"/>
        <v>8.3300589750752562E-3</v>
      </c>
      <c r="BJ158" s="460">
        <f t="shared" si="436"/>
        <v>27.585819531013335</v>
      </c>
      <c r="BK158">
        <f t="shared" si="466"/>
        <v>2.0141202292288853</v>
      </c>
      <c r="BL158" s="460">
        <f t="shared" si="437"/>
        <v>1377.5928570393269</v>
      </c>
      <c r="BM158" s="173">
        <f t="shared" si="467"/>
        <v>2.9819999999999998</v>
      </c>
      <c r="BN158" s="173">
        <f t="shared" si="468"/>
        <v>7.4549999999999991E-2</v>
      </c>
      <c r="BO158" s="528"/>
      <c r="BQ158" s="460">
        <f t="shared" si="356"/>
        <v>3056.5499999999997</v>
      </c>
      <c r="BR158" s="528">
        <f t="shared" si="357"/>
        <v>1.3307904325122448</v>
      </c>
      <c r="BS158" s="528">
        <f t="shared" si="358"/>
        <v>1.5673488504487316</v>
      </c>
      <c r="BT158" s="528">
        <f t="shared" si="359"/>
        <v>1.5843580905686855E-4</v>
      </c>
      <c r="BU158" s="528">
        <f t="shared" si="360"/>
        <v>0.6677007067786096</v>
      </c>
      <c r="BV158" s="528"/>
      <c r="BW158" s="625">
        <f t="shared" si="469"/>
        <v>1.2058807418216496E-2</v>
      </c>
      <c r="BX158" s="460">
        <f t="shared" si="362"/>
        <v>3578.0572329668594</v>
      </c>
      <c r="BY158" s="173">
        <f t="shared" si="363"/>
        <v>8.0122000900061874</v>
      </c>
      <c r="BZ158" s="5">
        <f t="shared" si="364"/>
        <v>72.959999999999994</v>
      </c>
      <c r="CA158" s="173">
        <f t="shared" si="365"/>
        <v>0.90104998899498745</v>
      </c>
      <c r="CB158" s="5">
        <f t="shared" si="366"/>
        <v>90.104998899498739</v>
      </c>
      <c r="CC158">
        <f t="shared" si="367"/>
        <v>48</v>
      </c>
      <c r="CE158" s="562">
        <f t="shared" si="470"/>
        <v>-50</v>
      </c>
      <c r="CF158">
        <f t="shared" si="471"/>
        <v>-50</v>
      </c>
      <c r="CG158" s="173">
        <f t="shared" si="370"/>
        <v>0.54755043227665701</v>
      </c>
      <c r="CH158" s="173">
        <f t="shared" si="472"/>
        <v>6.4398811101315859E-2</v>
      </c>
      <c r="CI158" s="170">
        <v>48</v>
      </c>
      <c r="CJ158" s="217">
        <f t="shared" si="438"/>
        <v>4.8</v>
      </c>
      <c r="CK158" s="217">
        <f t="shared" si="372"/>
        <v>0.12</v>
      </c>
      <c r="CL158" s="217">
        <f t="shared" si="373"/>
        <v>72</v>
      </c>
      <c r="CM158" s="217">
        <f t="shared" si="374"/>
        <v>0.96</v>
      </c>
      <c r="CN158" s="541">
        <f t="shared" si="375"/>
        <v>19</v>
      </c>
      <c r="CO158" s="443">
        <f t="shared" si="473"/>
        <v>15.7</v>
      </c>
      <c r="CP158" s="443">
        <f t="shared" si="474"/>
        <v>34.700000000000003</v>
      </c>
      <c r="CQ158" s="443"/>
      <c r="CR158" s="217">
        <f t="shared" si="378"/>
        <v>0.44767441860465118</v>
      </c>
      <c r="CS158" s="172">
        <f t="shared" si="379"/>
        <v>209.84738372093025</v>
      </c>
      <c r="CT158" s="172">
        <f t="shared" si="380"/>
        <v>2.835271317829458</v>
      </c>
      <c r="CU158" s="217">
        <f t="shared" si="381"/>
        <v>13.989825581395349</v>
      </c>
      <c r="CV158" s="217">
        <f t="shared" si="382"/>
        <v>26.230922965116282</v>
      </c>
      <c r="CW158" s="217">
        <f t="shared" si="383"/>
        <v>15</v>
      </c>
      <c r="CX158" s="217">
        <f t="shared" si="384"/>
        <v>17.155324675324675</v>
      </c>
      <c r="CY158" s="217">
        <f t="shared" si="385"/>
        <v>10.834941900205058</v>
      </c>
      <c r="CZ158" s="217">
        <f t="shared" si="386"/>
        <v>13.112350070311853</v>
      </c>
      <c r="DA158" s="197">
        <f t="shared" si="387"/>
        <v>71.63784822286263</v>
      </c>
      <c r="DB158" s="443">
        <f t="shared" si="388"/>
        <v>41.758375069346712</v>
      </c>
      <c r="DD158" s="217">
        <f t="shared" si="389"/>
        <v>10.000000000000002</v>
      </c>
      <c r="DE158" s="173">
        <f t="shared" si="390"/>
        <v>7.6433121019108299</v>
      </c>
      <c r="DF158" s="173">
        <f t="shared" si="391"/>
        <v>2.7017291066282429</v>
      </c>
      <c r="DG158" s="173"/>
      <c r="DH158" s="173">
        <f t="shared" si="392"/>
        <v>7.6433121019108281</v>
      </c>
      <c r="DI158" s="545">
        <f t="shared" si="393"/>
        <v>125.6</v>
      </c>
      <c r="DJ158" s="528">
        <f t="shared" si="394"/>
        <v>2.7377521613832849</v>
      </c>
      <c r="DL158" s="173">
        <f t="shared" si="395"/>
        <v>5.8943071809040575</v>
      </c>
      <c r="DM158" s="173">
        <f t="shared" si="396"/>
        <v>17.155324675324675</v>
      </c>
      <c r="DN158" s="173">
        <f t="shared" si="397"/>
        <v>6.5002405002404995</v>
      </c>
      <c r="DP158" s="545">
        <f t="shared" si="398"/>
        <v>4800</v>
      </c>
      <c r="DQ158" s="460">
        <f t="shared" si="399"/>
        <v>41.758375069346712</v>
      </c>
      <c r="DS158">
        <f t="shared" si="400"/>
        <v>4800</v>
      </c>
      <c r="DT158">
        <f t="shared" si="401"/>
        <v>41.758375069346712</v>
      </c>
      <c r="DV158" s="5">
        <f t="shared" si="402"/>
        <v>23.947291970516908</v>
      </c>
      <c r="DW158" s="5">
        <f t="shared" si="403"/>
        <v>10.834941900205058</v>
      </c>
      <c r="DX158" s="5">
        <f t="shared" si="404"/>
        <v>13.11235007031185</v>
      </c>
      <c r="DY158" s="173">
        <f t="shared" si="405"/>
        <v>0.45244956772334299</v>
      </c>
      <c r="EA158" s="5">
        <f t="shared" si="406"/>
        <v>346.71814080656191</v>
      </c>
      <c r="EB158" s="5">
        <f t="shared" si="407"/>
        <v>16.252412850307586</v>
      </c>
      <c r="EC158" s="5">
        <f t="shared" si="408"/>
        <v>13.802473758223</v>
      </c>
      <c r="ED158" s="5"/>
      <c r="EE158" s="173">
        <f t="shared" si="409"/>
        <v>6.6622880092455885</v>
      </c>
      <c r="EF158" s="173">
        <f t="shared" si="410"/>
        <v>7.3290954458102817</v>
      </c>
      <c r="EG158" s="173">
        <f t="shared" si="411"/>
        <v>0.18049693882230813</v>
      </c>
      <c r="EH158" s="173"/>
      <c r="EI158" s="528">
        <f t="shared" si="412"/>
        <v>0.88772163036275087</v>
      </c>
      <c r="EJ158" s="528">
        <f t="shared" si="413"/>
        <v>0.49716666666666681</v>
      </c>
      <c r="EK158" s="528">
        <f t="shared" si="414"/>
        <v>5.2197968836683387E-3</v>
      </c>
      <c r="EL158" s="528">
        <f t="shared" si="415"/>
        <v>5.0280841837249696E-3</v>
      </c>
      <c r="EM158">
        <f t="shared" si="416"/>
        <v>8.5500000000000003E-3</v>
      </c>
      <c r="EN158" s="460">
        <f t="shared" si="417"/>
        <v>13.76979688366834</v>
      </c>
      <c r="EP158" s="460">
        <f t="shared" si="439"/>
        <v>1403.6861780968109</v>
      </c>
      <c r="EQ158" s="173">
        <f t="shared" si="418"/>
        <v>3.36</v>
      </c>
      <c r="ER158" s="173">
        <f t="shared" si="475"/>
        <v>5.3249999999999999E-2</v>
      </c>
      <c r="ES158" s="528"/>
      <c r="EU158" s="460">
        <f t="shared" si="420"/>
        <v>3413.2499999999995</v>
      </c>
      <c r="EV158" s="528">
        <f t="shared" si="421"/>
        <v>1.3315824455441263</v>
      </c>
      <c r="EW158" s="528">
        <f t="shared" si="422"/>
        <v>1.6114692016139103</v>
      </c>
      <c r="EX158" s="528">
        <f t="shared" si="423"/>
        <v>1.6289572462112022E-4</v>
      </c>
      <c r="EY158" s="528">
        <f t="shared" si="424"/>
        <v>0.68679375210278804</v>
      </c>
      <c r="EZ158" s="528"/>
      <c r="FA158" s="625">
        <f t="shared" si="425"/>
        <v>1.2289705453048394E-2</v>
      </c>
      <c r="FB158" s="460">
        <f t="shared" si="426"/>
        <v>3642.2980004384945</v>
      </c>
      <c r="FC158" s="173">
        <f t="shared" si="427"/>
        <v>8.4592341785353042</v>
      </c>
      <c r="FD158" s="5">
        <f t="shared" si="428"/>
        <v>72.959999999999994</v>
      </c>
      <c r="FE158" s="173">
        <f t="shared" si="429"/>
        <v>0.89610275429530584</v>
      </c>
      <c r="FF158" s="5">
        <f t="shared" si="430"/>
        <v>89.610275429530589</v>
      </c>
      <c r="FG158">
        <f t="shared" si="431"/>
        <v>48</v>
      </c>
      <c r="FI158" s="562">
        <f t="shared" si="432"/>
        <v>-50</v>
      </c>
      <c r="FJ158">
        <f t="shared" si="433"/>
        <v>-50</v>
      </c>
    </row>
    <row r="159" spans="5:166">
      <c r="E159" s="170">
        <v>49</v>
      </c>
      <c r="F159" s="217">
        <f t="shared" si="476"/>
        <v>4.9000000000000004</v>
      </c>
      <c r="G159" s="217">
        <f t="shared" si="444"/>
        <v>0.1225</v>
      </c>
      <c r="H159" s="217">
        <f t="shared" si="445"/>
        <v>73.5</v>
      </c>
      <c r="I159" s="217">
        <f t="shared" si="446"/>
        <v>0.98</v>
      </c>
      <c r="J159" s="541">
        <f t="shared" si="447"/>
        <v>18.501059711976275</v>
      </c>
      <c r="K159" s="443">
        <f t="shared" si="448"/>
        <v>15.968468421052631</v>
      </c>
      <c r="L159" s="172">
        <f t="shared" si="449"/>
        <v>34.469528133028902</v>
      </c>
      <c r="M159" s="443"/>
      <c r="N159" s="217">
        <f t="shared" si="450"/>
        <v>0.46326333100427769</v>
      </c>
      <c r="O159" s="172">
        <f t="shared" si="451"/>
        <v>211.45220105129533</v>
      </c>
      <c r="P159" s="172">
        <f t="shared" si="452"/>
        <v>2.8569541830930572</v>
      </c>
      <c r="Q159" s="217">
        <f t="shared" si="322"/>
        <v>14.09681340341969</v>
      </c>
      <c r="R159" s="217">
        <f t="shared" si="453"/>
        <v>26.431525131411917</v>
      </c>
      <c r="S159" s="217">
        <f t="shared" si="454"/>
        <v>15</v>
      </c>
      <c r="T159" s="217">
        <f t="shared" si="455"/>
        <v>17.379814358652606</v>
      </c>
      <c r="U159" s="217">
        <f t="shared" si="326"/>
        <v>11.2727473750504</v>
      </c>
      <c r="V159" s="217">
        <f t="shared" si="327"/>
        <v>13.060599601955019</v>
      </c>
      <c r="W159" s="197">
        <f t="shared" si="328"/>
        <v>71.423854577326438</v>
      </c>
      <c r="X159" s="443">
        <f t="shared" si="435"/>
        <v>40.760846896971643</v>
      </c>
      <c r="Z159" s="217">
        <f t="shared" si="329"/>
        <v>10</v>
      </c>
      <c r="AA159" s="173">
        <f t="shared" si="330"/>
        <v>7.5148096132872384</v>
      </c>
      <c r="AB159" s="173">
        <f t="shared" si="456"/>
        <v>2.6483717220183673</v>
      </c>
      <c r="AC159" s="173"/>
      <c r="AD159" s="173">
        <f t="shared" si="332"/>
        <v>7.5148096132872384</v>
      </c>
      <c r="AE159" s="545">
        <f t="shared" si="457"/>
        <v>130.40915877192981</v>
      </c>
      <c r="AF159" s="528">
        <f t="shared" si="458"/>
        <v>2.6836833449786126</v>
      </c>
      <c r="AH159" s="173">
        <f t="shared" si="459"/>
        <v>5.9553897157672786</v>
      </c>
      <c r="AI159" s="173">
        <f t="shared" si="460"/>
        <v>17.379814358652606</v>
      </c>
      <c r="AJ159" s="173">
        <f t="shared" si="461"/>
        <v>6.6665291545574856</v>
      </c>
      <c r="AL159" s="545">
        <f t="shared" si="462"/>
        <v>4900</v>
      </c>
      <c r="AM159" s="460">
        <f t="shared" si="463"/>
        <v>40.760846896971643</v>
      </c>
      <c r="AO159">
        <f t="shared" si="340"/>
        <v>4900</v>
      </c>
      <c r="AP159">
        <f t="shared" si="341"/>
        <v>40.760846896971643</v>
      </c>
      <c r="AR159" s="5">
        <f t="shared" si="443"/>
        <v>24.533346977005419</v>
      </c>
      <c r="AS159" s="5">
        <f t="shared" si="440"/>
        <v>11.2727473750504</v>
      </c>
      <c r="AT159" s="5">
        <f t="shared" si="441"/>
        <v>13.260599601955018</v>
      </c>
      <c r="AU159" s="173">
        <f t="shared" si="442"/>
        <v>0.45948672986266836</v>
      </c>
      <c r="AW159" s="5">
        <f t="shared" si="342"/>
        <v>368.24308091831313</v>
      </c>
      <c r="AX159" s="5">
        <f t="shared" si="343"/>
        <v>17.261394418045924</v>
      </c>
      <c r="AY159" s="5">
        <f t="shared" si="344"/>
        <v>14.633607268344321</v>
      </c>
      <c r="AZ159" s="5"/>
      <c r="BA159" s="173">
        <f t="shared" si="345"/>
        <v>6.8017551254793363</v>
      </c>
      <c r="BB159" s="173">
        <f t="shared" si="346"/>
        <v>7.3771342398945592</v>
      </c>
      <c r="BC159" s="173">
        <f t="shared" si="347"/>
        <v>0.18168001186877586</v>
      </c>
      <c r="BD159" s="173"/>
      <c r="BE159" s="528">
        <f t="shared" si="348"/>
        <v>0.92527745573968845</v>
      </c>
      <c r="BF159" s="528">
        <f t="shared" si="464"/>
        <v>0.45785181737322789</v>
      </c>
      <c r="BG159" s="528">
        <f t="shared" si="465"/>
        <v>1.8852971558789879E-2</v>
      </c>
      <c r="BH159" s="528">
        <f t="shared" si="351"/>
        <v>4.8429933788785408E-3</v>
      </c>
      <c r="BI159">
        <f t="shared" si="352"/>
        <v>8.3254768703893232E-3</v>
      </c>
      <c r="BJ159" s="460">
        <f t="shared" si="436"/>
        <v>27.178448429179198</v>
      </c>
      <c r="BK159">
        <f t="shared" si="466"/>
        <v>2.0993252856602833</v>
      </c>
      <c r="BL159" s="460">
        <f t="shared" si="437"/>
        <v>1415.150714920974</v>
      </c>
      <c r="BM159" s="173">
        <f t="shared" si="467"/>
        <v>3.0441250000000002</v>
      </c>
      <c r="BN159" s="173">
        <f t="shared" si="468"/>
        <v>7.6103124999999994E-2</v>
      </c>
      <c r="BO159" s="528"/>
      <c r="BQ159" s="460">
        <f t="shared" si="356"/>
        <v>3120.2281250000001</v>
      </c>
      <c r="BR159" s="528">
        <f t="shared" si="357"/>
        <v>1.3879161836095326</v>
      </c>
      <c r="BS159" s="528">
        <f t="shared" si="358"/>
        <v>1.6326632878027403</v>
      </c>
      <c r="BT159" s="528">
        <f t="shared" si="359"/>
        <v>1.6503813356319268E-4</v>
      </c>
      <c r="BU159" s="528">
        <f t="shared" si="360"/>
        <v>0.66786830645984618</v>
      </c>
      <c r="BV159" s="528"/>
      <c r="BW159" s="625">
        <f t="shared" si="469"/>
        <v>1.2312137737437121E-2</v>
      </c>
      <c r="BX159" s="460">
        <f t="shared" si="362"/>
        <v>3700.9249537431197</v>
      </c>
      <c r="BY159" s="173">
        <f t="shared" si="363"/>
        <v>8.2363037936640939</v>
      </c>
      <c r="BZ159" s="5">
        <f t="shared" si="364"/>
        <v>74.48</v>
      </c>
      <c r="CA159" s="173">
        <f t="shared" si="365"/>
        <v>0.90042708128968674</v>
      </c>
      <c r="CB159" s="5">
        <f t="shared" si="366"/>
        <v>90.04270812896867</v>
      </c>
      <c r="CC159">
        <f t="shared" si="367"/>
        <v>49.000000000000007</v>
      </c>
      <c r="CE159" s="562">
        <f t="shared" si="470"/>
        <v>-50</v>
      </c>
      <c r="CF159">
        <f t="shared" si="471"/>
        <v>-50</v>
      </c>
      <c r="CG159" s="173">
        <f t="shared" si="370"/>
        <v>0.54755043227665712</v>
      </c>
      <c r="CH159" s="173">
        <f t="shared" si="472"/>
        <v>6.4398811101315845E-2</v>
      </c>
      <c r="CI159" s="170">
        <v>49</v>
      </c>
      <c r="CJ159" s="217">
        <f t="shared" si="438"/>
        <v>4.9000000000000004</v>
      </c>
      <c r="CK159" s="217">
        <f t="shared" si="372"/>
        <v>0.1225</v>
      </c>
      <c r="CL159" s="217">
        <f t="shared" si="373"/>
        <v>73.5</v>
      </c>
      <c r="CM159" s="217">
        <f t="shared" si="374"/>
        <v>0.98</v>
      </c>
      <c r="CN159" s="541">
        <f t="shared" si="375"/>
        <v>19</v>
      </c>
      <c r="CO159" s="443">
        <f t="shared" si="473"/>
        <v>15.7</v>
      </c>
      <c r="CP159" s="443">
        <f t="shared" si="474"/>
        <v>34.700000000000003</v>
      </c>
      <c r="CQ159" s="443"/>
      <c r="CR159" s="217">
        <f t="shared" si="378"/>
        <v>0.44767441860465118</v>
      </c>
      <c r="CS159" s="172">
        <f t="shared" si="379"/>
        <v>209.84738372093025</v>
      </c>
      <c r="CT159" s="172">
        <f t="shared" si="380"/>
        <v>2.835271317829458</v>
      </c>
      <c r="CU159" s="217">
        <f t="shared" si="381"/>
        <v>13.989825581395349</v>
      </c>
      <c r="CV159" s="217">
        <f t="shared" si="382"/>
        <v>26.230922965116282</v>
      </c>
      <c r="CW159" s="217">
        <f t="shared" si="383"/>
        <v>15</v>
      </c>
      <c r="CX159" s="217">
        <f t="shared" si="384"/>
        <v>17.512727272727272</v>
      </c>
      <c r="CY159" s="217">
        <f t="shared" si="385"/>
        <v>11.060669856459331</v>
      </c>
      <c r="CZ159" s="217">
        <f t="shared" si="386"/>
        <v>13.38552403011002</v>
      </c>
      <c r="DA159" s="197">
        <f t="shared" si="387"/>
        <v>71.63784822286263</v>
      </c>
      <c r="DB159" s="443">
        <f t="shared" si="388"/>
        <v>40.906163333237586</v>
      </c>
      <c r="DD159" s="217">
        <f t="shared" si="389"/>
        <v>10.000000000000002</v>
      </c>
      <c r="DE159" s="173">
        <f t="shared" si="390"/>
        <v>7.6433121019108299</v>
      </c>
      <c r="DF159" s="173">
        <f t="shared" si="391"/>
        <v>2.7017291066282429</v>
      </c>
      <c r="DG159" s="173"/>
      <c r="DH159" s="173">
        <f t="shared" si="392"/>
        <v>7.6433121019108281</v>
      </c>
      <c r="DI159" s="545">
        <f t="shared" si="393"/>
        <v>128.2166666666667</v>
      </c>
      <c r="DJ159" s="528">
        <f t="shared" si="394"/>
        <v>2.7377521613832849</v>
      </c>
      <c r="DL159" s="173">
        <f t="shared" si="395"/>
        <v>5.9553897157672786</v>
      </c>
      <c r="DM159" s="173">
        <f t="shared" si="396"/>
        <v>17.512727272727272</v>
      </c>
      <c r="DN159" s="173">
        <f t="shared" si="397"/>
        <v>6.7649831649831649</v>
      </c>
      <c r="DP159" s="545">
        <f t="shared" si="398"/>
        <v>4900</v>
      </c>
      <c r="DQ159" s="460">
        <f t="shared" si="399"/>
        <v>40.906163333237586</v>
      </c>
      <c r="DS159">
        <f t="shared" si="400"/>
        <v>4900</v>
      </c>
      <c r="DT159">
        <f t="shared" si="401"/>
        <v>40.906163333237586</v>
      </c>
      <c r="DV159" s="5">
        <f t="shared" si="402"/>
        <v>24.44619388656935</v>
      </c>
      <c r="DW159" s="5">
        <f t="shared" si="403"/>
        <v>11.060669856459331</v>
      </c>
      <c r="DX159" s="5">
        <f t="shared" si="404"/>
        <v>13.38552403011002</v>
      </c>
      <c r="DY159" s="173">
        <f t="shared" si="405"/>
        <v>0.45244956772334294</v>
      </c>
      <c r="EA159" s="5">
        <f t="shared" si="406"/>
        <v>361.31521531100486</v>
      </c>
      <c r="EB159" s="5">
        <f t="shared" si="407"/>
        <v>16.936650717703348</v>
      </c>
      <c r="EC159" s="5">
        <f t="shared" si="408"/>
        <v>14.383567488495414</v>
      </c>
      <c r="ED159" s="5"/>
      <c r="EE159" s="173">
        <f t="shared" si="409"/>
        <v>6.8010856761048704</v>
      </c>
      <c r="EF159" s="173">
        <f t="shared" si="410"/>
        <v>7.4817849342646632</v>
      </c>
      <c r="EG159" s="173">
        <f t="shared" si="411"/>
        <v>0.18425729171443958</v>
      </c>
      <c r="EH159" s="173"/>
      <c r="EI159" s="528">
        <f t="shared" si="412"/>
        <v>0.92509532747437695</v>
      </c>
      <c r="EJ159" s="528">
        <f t="shared" si="413"/>
        <v>0.49716666666666659</v>
      </c>
      <c r="EK159" s="528">
        <f t="shared" si="414"/>
        <v>5.1132704166546982E-3</v>
      </c>
      <c r="EL159" s="528">
        <f t="shared" si="415"/>
        <v>4.9254702207918062E-3</v>
      </c>
      <c r="EM159">
        <f t="shared" si="416"/>
        <v>8.5500000000000003E-3</v>
      </c>
      <c r="EN159" s="460">
        <f t="shared" si="417"/>
        <v>13.663270416654699</v>
      </c>
      <c r="EP159" s="460">
        <f t="shared" si="439"/>
        <v>1440.8507347784901</v>
      </c>
      <c r="EQ159" s="173">
        <f t="shared" si="418"/>
        <v>3.43</v>
      </c>
      <c r="ER159" s="173">
        <f t="shared" si="475"/>
        <v>5.4359374999999995E-2</v>
      </c>
      <c r="ES159" s="528"/>
      <c r="EU159" s="460">
        <f t="shared" si="420"/>
        <v>3484.3593750000005</v>
      </c>
      <c r="EV159" s="528">
        <f t="shared" si="421"/>
        <v>1.3876429912115653</v>
      </c>
      <c r="EW159" s="528">
        <f t="shared" si="422"/>
        <v>1.6793131740776908</v>
      </c>
      <c r="EX159" s="528">
        <f t="shared" si="423"/>
        <v>1.697537477497004E-4</v>
      </c>
      <c r="EY159" s="528">
        <f t="shared" si="424"/>
        <v>0.68679375210278804</v>
      </c>
      <c r="EZ159" s="528"/>
      <c r="FA159" s="625">
        <f t="shared" si="425"/>
        <v>1.2545740983320234E-2</v>
      </c>
      <c r="FB159" s="460">
        <f t="shared" si="426"/>
        <v>3766.4654121231147</v>
      </c>
      <c r="FC159" s="173">
        <f t="shared" si="427"/>
        <v>8.6916755219016046</v>
      </c>
      <c r="FD159" s="5">
        <f t="shared" si="428"/>
        <v>74.48</v>
      </c>
      <c r="FE159" s="173">
        <f t="shared" si="429"/>
        <v>0.89549716935048618</v>
      </c>
      <c r="FF159" s="5">
        <f t="shared" si="430"/>
        <v>89.549716935048622</v>
      </c>
      <c r="FG159">
        <f t="shared" si="431"/>
        <v>49.000000000000007</v>
      </c>
      <c r="FI159" s="562">
        <f t="shared" si="432"/>
        <v>-50</v>
      </c>
      <c r="FJ159">
        <f t="shared" si="433"/>
        <v>-50</v>
      </c>
    </row>
    <row r="160" spans="5:166">
      <c r="E160" s="170">
        <v>50</v>
      </c>
      <c r="F160" s="217">
        <f t="shared" si="476"/>
        <v>5</v>
      </c>
      <c r="G160" s="217">
        <f t="shared" si="444"/>
        <v>0.125</v>
      </c>
      <c r="H160" s="217">
        <f t="shared" si="445"/>
        <v>75</v>
      </c>
      <c r="I160" s="217">
        <f t="shared" si="446"/>
        <v>1</v>
      </c>
      <c r="J160" s="541">
        <f t="shared" si="447"/>
        <v>18.490877257118647</v>
      </c>
      <c r="K160" s="443">
        <f t="shared" si="448"/>
        <v>15.973947368421053</v>
      </c>
      <c r="L160" s="172">
        <f t="shared" si="449"/>
        <v>34.464824625539698</v>
      </c>
      <c r="M160" s="443"/>
      <c r="N160" s="217">
        <f t="shared" si="450"/>
        <v>0.4634855259522711</v>
      </c>
      <c r="O160" s="172">
        <f t="shared" si="451"/>
        <v>211.43718678045701</v>
      </c>
      <c r="P160" s="172">
        <f t="shared" si="452"/>
        <v>2.8567513236115087</v>
      </c>
      <c r="Q160" s="217">
        <f t="shared" si="322"/>
        <v>14.095812452030467</v>
      </c>
      <c r="R160" s="217">
        <f t="shared" si="453"/>
        <v>26.429648347557126</v>
      </c>
      <c r="S160" s="217">
        <f t="shared" si="454"/>
        <v>15</v>
      </c>
      <c r="T160" s="217">
        <f t="shared" si="455"/>
        <v>17.735763784512336</v>
      </c>
      <c r="U160" s="217">
        <f t="shared" si="326"/>
        <v>11.509955014828339</v>
      </c>
      <c r="V160" s="217">
        <f t="shared" si="327"/>
        <v>13.323517381488982</v>
      </c>
      <c r="W160" s="197">
        <f t="shared" si="328"/>
        <v>71.418783090287704</v>
      </c>
      <c r="X160" s="443">
        <f t="shared" si="435"/>
        <v>39.946515775698387</v>
      </c>
      <c r="Z160" s="217">
        <f t="shared" si="329"/>
        <v>10</v>
      </c>
      <c r="AA160" s="173">
        <f t="shared" si="330"/>
        <v>7.5122320884334695</v>
      </c>
      <c r="AB160" s="173">
        <f t="shared" si="456"/>
        <v>2.6472753653670837</v>
      </c>
      <c r="AC160" s="173"/>
      <c r="AD160" s="173">
        <f t="shared" si="332"/>
        <v>7.5122320884334695</v>
      </c>
      <c r="AE160" s="545">
        <f t="shared" si="457"/>
        <v>133.11622807017545</v>
      </c>
      <c r="AF160" s="528">
        <f t="shared" si="458"/>
        <v>2.6825723702386446</v>
      </c>
      <c r="AH160" s="173">
        <f t="shared" si="459"/>
        <v>6.0158520751823836</v>
      </c>
      <c r="AI160" s="173">
        <f t="shared" si="460"/>
        <v>17.735763784512336</v>
      </c>
      <c r="AJ160" s="173">
        <f t="shared" si="461"/>
        <v>6.9301953959350637</v>
      </c>
      <c r="AL160" s="545">
        <f t="shared" si="462"/>
        <v>5000</v>
      </c>
      <c r="AM160" s="460">
        <f t="shared" si="463"/>
        <v>39.946515775698387</v>
      </c>
      <c r="AO160">
        <f t="shared" si="340"/>
        <v>5000</v>
      </c>
      <c r="AP160">
        <f t="shared" si="341"/>
        <v>39.946515775698387</v>
      </c>
      <c r="AR160" s="5">
        <f t="shared" si="443"/>
        <v>25.033472396317322</v>
      </c>
      <c r="AS160" s="5">
        <f t="shared" si="440"/>
        <v>11.509955014828339</v>
      </c>
      <c r="AT160" s="5">
        <f t="shared" si="441"/>
        <v>13.523517381488983</v>
      </c>
      <c r="AU160" s="173">
        <f t="shared" si="442"/>
        <v>0.45978259957741902</v>
      </c>
      <c r="AW160" s="5">
        <f t="shared" si="342"/>
        <v>383.66516716094463</v>
      </c>
      <c r="AX160" s="5">
        <f t="shared" si="343"/>
        <v>17.984304710669281</v>
      </c>
      <c r="AY160" s="5">
        <f t="shared" si="344"/>
        <v>15.236699780656565</v>
      </c>
      <c r="AZ160" s="5"/>
      <c r="BA160" s="173">
        <f t="shared" si="345"/>
        <v>6.9432936693273266</v>
      </c>
      <c r="BB160" s="173">
        <f t="shared" si="346"/>
        <v>7.5261618390885126</v>
      </c>
      <c r="BC160" s="173">
        <f t="shared" si="347"/>
        <v>0.18535018176265045</v>
      </c>
      <c r="BD160" s="173"/>
      <c r="BE160" s="528">
        <f t="shared" si="348"/>
        <v>0.96418653957041867</v>
      </c>
      <c r="BF160" s="528">
        <f t="shared" si="464"/>
        <v>0.45783200195626256</v>
      </c>
      <c r="BG160" s="528">
        <f t="shared" si="465"/>
        <v>1.8466153001449812E-2</v>
      </c>
      <c r="BH160" s="528">
        <f t="shared" si="351"/>
        <v>4.7449435606222523E-3</v>
      </c>
      <c r="BI160">
        <f t="shared" si="352"/>
        <v>8.3208947657033919E-3</v>
      </c>
      <c r="BJ160" s="460">
        <f t="shared" si="436"/>
        <v>26.787047767153204</v>
      </c>
      <c r="BK160">
        <f t="shared" si="466"/>
        <v>2.1884466804119254</v>
      </c>
      <c r="BL160" s="460">
        <f t="shared" si="437"/>
        <v>1453.5505328544566</v>
      </c>
      <c r="BM160" s="173">
        <f t="shared" si="467"/>
        <v>3.1062499999999997</v>
      </c>
      <c r="BN160" s="173">
        <f t="shared" si="468"/>
        <v>7.7656249999999996E-2</v>
      </c>
      <c r="BO160" s="528"/>
      <c r="BQ160" s="460">
        <f t="shared" si="356"/>
        <v>3183.9062499999995</v>
      </c>
      <c r="BR160" s="528">
        <f t="shared" si="357"/>
        <v>1.4462798093556279</v>
      </c>
      <c r="BS160" s="528">
        <f t="shared" si="358"/>
        <v>1.6992933608445653</v>
      </c>
      <c r="BT160" s="528">
        <f t="shared" si="359"/>
        <v>1.7177344939723778E-4</v>
      </c>
      <c r="BU160" s="528">
        <f t="shared" si="360"/>
        <v>0.66802391008474837</v>
      </c>
      <c r="BV160" s="528"/>
      <c r="BW160" s="625">
        <f t="shared" si="469"/>
        <v>1.2565468826701565E-2</v>
      </c>
      <c r="BX160" s="460">
        <f t="shared" si="362"/>
        <v>3826.3343225610402</v>
      </c>
      <c r="BY160" s="173">
        <f t="shared" si="363"/>
        <v>8.4637911054154991</v>
      </c>
      <c r="BZ160" s="5">
        <f t="shared" si="364"/>
        <v>76</v>
      </c>
      <c r="CA160" s="173">
        <f t="shared" si="365"/>
        <v>0.89979385255331223</v>
      </c>
      <c r="CB160" s="5">
        <f t="shared" si="366"/>
        <v>89.979385255331223</v>
      </c>
      <c r="CC160">
        <f t="shared" si="367"/>
        <v>50</v>
      </c>
      <c r="CE160" s="562">
        <f t="shared" si="470"/>
        <v>-50</v>
      </c>
      <c r="CF160">
        <f t="shared" si="471"/>
        <v>-50</v>
      </c>
      <c r="CG160" s="173">
        <f t="shared" si="370"/>
        <v>0.54755043227665712</v>
      </c>
      <c r="CH160" s="173">
        <f t="shared" si="472"/>
        <v>6.4398811101315845E-2</v>
      </c>
      <c r="CI160" s="170">
        <v>50</v>
      </c>
      <c r="CJ160" s="217">
        <f t="shared" si="438"/>
        <v>5</v>
      </c>
      <c r="CK160" s="217">
        <f t="shared" si="372"/>
        <v>0.125</v>
      </c>
      <c r="CL160" s="217">
        <f t="shared" si="373"/>
        <v>75</v>
      </c>
      <c r="CM160" s="217">
        <f t="shared" si="374"/>
        <v>1</v>
      </c>
      <c r="CN160" s="541">
        <f t="shared" si="375"/>
        <v>19</v>
      </c>
      <c r="CO160" s="443">
        <f t="shared" si="473"/>
        <v>15.7</v>
      </c>
      <c r="CP160" s="443">
        <f t="shared" si="474"/>
        <v>34.700000000000003</v>
      </c>
      <c r="CQ160" s="443"/>
      <c r="CR160" s="217">
        <f t="shared" si="378"/>
        <v>0.44767441860465118</v>
      </c>
      <c r="CS160" s="172">
        <f t="shared" si="379"/>
        <v>209.84738372093025</v>
      </c>
      <c r="CT160" s="172">
        <f t="shared" si="380"/>
        <v>2.835271317829458</v>
      </c>
      <c r="CU160" s="217">
        <f t="shared" si="381"/>
        <v>13.989825581395349</v>
      </c>
      <c r="CV160" s="217">
        <f t="shared" si="382"/>
        <v>26.230922965116282</v>
      </c>
      <c r="CW160" s="217">
        <f t="shared" si="383"/>
        <v>15</v>
      </c>
      <c r="CX160" s="217">
        <f t="shared" si="384"/>
        <v>17.870129870129869</v>
      </c>
      <c r="CY160" s="217">
        <f t="shared" si="385"/>
        <v>11.286397812713602</v>
      </c>
      <c r="CZ160" s="217">
        <f t="shared" si="386"/>
        <v>13.658697989908182</v>
      </c>
      <c r="DA160" s="197">
        <f t="shared" si="387"/>
        <v>71.63784822286263</v>
      </c>
      <c r="DB160" s="443">
        <f t="shared" si="388"/>
        <v>40.088040066572837</v>
      </c>
      <c r="DD160" s="217">
        <f t="shared" si="389"/>
        <v>10.000000000000002</v>
      </c>
      <c r="DE160" s="173">
        <f t="shared" si="390"/>
        <v>7.6433121019108299</v>
      </c>
      <c r="DF160" s="173">
        <f t="shared" si="391"/>
        <v>2.7017291066282429</v>
      </c>
      <c r="DG160" s="173"/>
      <c r="DH160" s="173">
        <f t="shared" si="392"/>
        <v>7.6433121019108281</v>
      </c>
      <c r="DI160" s="545">
        <f t="shared" si="393"/>
        <v>130.83333333333334</v>
      </c>
      <c r="DJ160" s="528">
        <f t="shared" si="394"/>
        <v>2.7377521613832849</v>
      </c>
      <c r="DL160" s="173">
        <f t="shared" si="395"/>
        <v>6.0158520751823836</v>
      </c>
      <c r="DM160" s="173">
        <f t="shared" si="396"/>
        <v>17.870129870129869</v>
      </c>
      <c r="DN160" s="173">
        <f t="shared" si="397"/>
        <v>7.0297258297258285</v>
      </c>
      <c r="DP160" s="545">
        <f t="shared" si="398"/>
        <v>5000</v>
      </c>
      <c r="DQ160" s="460">
        <f t="shared" si="399"/>
        <v>40.088040066572837</v>
      </c>
      <c r="DS160">
        <f t="shared" si="400"/>
        <v>5000</v>
      </c>
      <c r="DT160">
        <f t="shared" si="401"/>
        <v>40.088040066572837</v>
      </c>
      <c r="DV160" s="5">
        <f t="shared" si="402"/>
        <v>24.945095802621786</v>
      </c>
      <c r="DW160" s="5">
        <f t="shared" si="403"/>
        <v>11.286397812713602</v>
      </c>
      <c r="DX160" s="5">
        <f t="shared" si="404"/>
        <v>13.658697989908184</v>
      </c>
      <c r="DY160" s="173">
        <f t="shared" si="405"/>
        <v>0.45244956772334288</v>
      </c>
      <c r="EA160" s="5">
        <f t="shared" si="406"/>
        <v>376.21326042378672</v>
      </c>
      <c r="EB160" s="5">
        <f t="shared" si="407"/>
        <v>17.634996582365005</v>
      </c>
      <c r="EC160" s="5">
        <f t="shared" si="408"/>
        <v>14.97664253279406</v>
      </c>
      <c r="ED160" s="5"/>
      <c r="EE160" s="173">
        <f t="shared" si="409"/>
        <v>6.9398833429641531</v>
      </c>
      <c r="EF160" s="173">
        <f t="shared" si="410"/>
        <v>7.6344744227190446</v>
      </c>
      <c r="EG160" s="173">
        <f t="shared" si="411"/>
        <v>0.188017644606571</v>
      </c>
      <c r="EH160" s="173"/>
      <c r="EI160" s="528">
        <f t="shared" si="412"/>
        <v>0.96323961627902621</v>
      </c>
      <c r="EJ160" s="528">
        <f t="shared" si="413"/>
        <v>0.4971666666666667</v>
      </c>
      <c r="EK160" s="528">
        <f t="shared" si="414"/>
        <v>5.0110050083216045E-3</v>
      </c>
      <c r="EL160" s="528">
        <f t="shared" si="415"/>
        <v>4.8269608163759702E-3</v>
      </c>
      <c r="EM160">
        <f t="shared" si="416"/>
        <v>8.5500000000000003E-3</v>
      </c>
      <c r="EN160" s="460">
        <f t="shared" si="417"/>
        <v>13.561005008321604</v>
      </c>
      <c r="EP160" s="460">
        <f t="shared" si="439"/>
        <v>1478.7942487703906</v>
      </c>
      <c r="EQ160" s="173">
        <f t="shared" si="418"/>
        <v>3.5</v>
      </c>
      <c r="ER160" s="173">
        <f t="shared" si="475"/>
        <v>5.5468749999999997E-2</v>
      </c>
      <c r="ES160" s="528"/>
      <c r="EU160" s="460">
        <f t="shared" si="420"/>
        <v>3555.46875</v>
      </c>
      <c r="EV160" s="528">
        <f t="shared" si="421"/>
        <v>1.4448594244185393</v>
      </c>
      <c r="EW160" s="528">
        <f t="shared" si="422"/>
        <v>1.7485559913345388</v>
      </c>
      <c r="EX160" s="528">
        <f t="shared" si="423"/>
        <v>1.7675317341701421E-4</v>
      </c>
      <c r="EY160" s="528">
        <f t="shared" si="424"/>
        <v>0.68679375210278804</v>
      </c>
      <c r="EZ160" s="528"/>
      <c r="FA160" s="625">
        <f t="shared" si="425"/>
        <v>1.2801776513592074E-2</v>
      </c>
      <c r="FB160" s="460">
        <f t="shared" si="426"/>
        <v>3893.1876975428754</v>
      </c>
      <c r="FC160" s="173">
        <f t="shared" si="427"/>
        <v>8.9274506963132669</v>
      </c>
      <c r="FD160" s="5">
        <f t="shared" si="428"/>
        <v>76</v>
      </c>
      <c r="FE160" s="173">
        <f t="shared" si="429"/>
        <v>0.89488144736339281</v>
      </c>
      <c r="FF160" s="5">
        <f t="shared" si="430"/>
        <v>89.488144736339279</v>
      </c>
      <c r="FG160">
        <f t="shared" si="431"/>
        <v>50</v>
      </c>
      <c r="FI160" s="562">
        <f t="shared" si="432"/>
        <v>-50</v>
      </c>
      <c r="FJ160">
        <f t="shared" si="433"/>
        <v>-50</v>
      </c>
    </row>
    <row r="161" spans="5:166">
      <c r="E161" s="170">
        <v>51</v>
      </c>
      <c r="F161" s="217">
        <f t="shared" si="476"/>
        <v>5.0999999999999996</v>
      </c>
      <c r="G161" s="217">
        <f t="shared" si="444"/>
        <v>0.1275</v>
      </c>
      <c r="H161" s="217">
        <f t="shared" si="445"/>
        <v>76.5</v>
      </c>
      <c r="I161" s="217">
        <f t="shared" si="446"/>
        <v>1.02</v>
      </c>
      <c r="J161" s="541">
        <f t="shared" si="447"/>
        <v>18.48069480226102</v>
      </c>
      <c r="K161" s="443">
        <f t="shared" si="448"/>
        <v>15.979426315789473</v>
      </c>
      <c r="L161" s="172">
        <f t="shared" si="449"/>
        <v>34.460121118050495</v>
      </c>
      <c r="M161" s="443"/>
      <c r="N161" s="217">
        <f t="shared" si="450"/>
        <v>0.46370778155562892</v>
      </c>
      <c r="O161" s="172">
        <f t="shared" si="451"/>
        <v>211.4220885286949</v>
      </c>
      <c r="P161" s="172">
        <f t="shared" si="452"/>
        <v>2.8565473294543668</v>
      </c>
      <c r="Q161" s="217">
        <f t="shared" si="322"/>
        <v>14.094805901912993</v>
      </c>
      <c r="R161" s="217">
        <f t="shared" si="453"/>
        <v>26.427761066086862</v>
      </c>
      <c r="S161" s="217">
        <f t="shared" si="454"/>
        <v>15</v>
      </c>
      <c r="T161" s="217">
        <f t="shared" si="455"/>
        <v>18.09177095268765</v>
      </c>
      <c r="U161" s="217">
        <f t="shared" si="326"/>
        <v>11.747461540552607</v>
      </c>
      <c r="V161" s="217">
        <f t="shared" si="327"/>
        <v>13.58629822759853</v>
      </c>
      <c r="W161" s="197">
        <f t="shared" si="328"/>
        <v>71.413683236359162</v>
      </c>
      <c r="X161" s="443">
        <f t="shared" si="435"/>
        <v>39.163836782365429</v>
      </c>
      <c r="Z161" s="217">
        <f t="shared" si="329"/>
        <v>10</v>
      </c>
      <c r="AA161" s="173">
        <f t="shared" si="330"/>
        <v>7.509656331117875</v>
      </c>
      <c r="AB161" s="173">
        <f t="shared" si="456"/>
        <v>2.6461787094294622</v>
      </c>
      <c r="AC161" s="173"/>
      <c r="AD161" s="173">
        <f t="shared" si="332"/>
        <v>7.509656331117875</v>
      </c>
      <c r="AE161" s="545">
        <f t="shared" si="457"/>
        <v>135.82512368421052</v>
      </c>
      <c r="AF161" s="528">
        <f t="shared" si="458"/>
        <v>2.6814610922218551</v>
      </c>
      <c r="AH161" s="173">
        <f t="shared" si="459"/>
        <v>6.0757127741760231</v>
      </c>
      <c r="AI161" s="173">
        <f t="shared" si="460"/>
        <v>18.09177095268765</v>
      </c>
      <c r="AJ161" s="173">
        <f t="shared" si="461"/>
        <v>7.1939044093982591</v>
      </c>
      <c r="AL161" s="545">
        <f t="shared" si="462"/>
        <v>5100</v>
      </c>
      <c r="AM161" s="460">
        <f t="shared" si="463"/>
        <v>39.163836782365429</v>
      </c>
      <c r="AO161">
        <f t="shared" si="340"/>
        <v>5100</v>
      </c>
      <c r="AP161">
        <f t="shared" si="341"/>
        <v>39.163836782365429</v>
      </c>
      <c r="AR161" s="5">
        <f t="shared" si="443"/>
        <v>25.533759768151135</v>
      </c>
      <c r="AS161" s="5">
        <f t="shared" si="440"/>
        <v>11.747461540552607</v>
      </c>
      <c r="AT161" s="5">
        <f t="shared" si="441"/>
        <v>13.786298227598529</v>
      </c>
      <c r="AU161" s="173">
        <f t="shared" si="442"/>
        <v>0.46007566638131742</v>
      </c>
      <c r="AW161" s="5">
        <f t="shared" si="342"/>
        <v>399.4136923787886</v>
      </c>
      <c r="AX161" s="5">
        <f t="shared" si="343"/>
        <v>18.722516830255717</v>
      </c>
      <c r="AY161" s="5">
        <f t="shared" si="344"/>
        <v>15.852154936329921</v>
      </c>
      <c r="AZ161" s="5"/>
      <c r="BA161" s="173">
        <f t="shared" si="345"/>
        <v>7.0849221962797007</v>
      </c>
      <c r="BB161" s="173">
        <f t="shared" si="346"/>
        <v>7.6751505657870158</v>
      </c>
      <c r="BC161" s="173">
        <f t="shared" si="347"/>
        <v>0.18901939432604889</v>
      </c>
      <c r="BD161" s="173"/>
      <c r="BE161" s="528">
        <f t="shared" si="348"/>
        <v>1.0039224505467355</v>
      </c>
      <c r="BF161" s="528">
        <f t="shared" si="464"/>
        <v>0.45780906136418376</v>
      </c>
      <c r="BG161" s="528">
        <f t="shared" si="465"/>
        <v>1.8094372871511492E-2</v>
      </c>
      <c r="BH161" s="528">
        <f t="shared" si="351"/>
        <v>4.6507054121810399E-3</v>
      </c>
      <c r="BI161">
        <f t="shared" si="352"/>
        <v>8.3163126610174588E-3</v>
      </c>
      <c r="BJ161" s="460">
        <f t="shared" si="436"/>
        <v>26.410685532528952</v>
      </c>
      <c r="BK161">
        <f t="shared" si="466"/>
        <v>2.2816995858220386</v>
      </c>
      <c r="BL161" s="460">
        <f t="shared" si="437"/>
        <v>1492.7929028556293</v>
      </c>
      <c r="BM161" s="173">
        <f t="shared" si="467"/>
        <v>3.1683749999999993</v>
      </c>
      <c r="BN161" s="173">
        <f t="shared" si="468"/>
        <v>7.9209374999999999E-2</v>
      </c>
      <c r="BO161" s="528"/>
      <c r="BQ161" s="460">
        <f t="shared" si="356"/>
        <v>3247.5843749999995</v>
      </c>
      <c r="BR161" s="528">
        <f t="shared" si="357"/>
        <v>1.5058836758201033</v>
      </c>
      <c r="BS161" s="528">
        <f t="shared" si="358"/>
        <v>1.7672380862250223</v>
      </c>
      <c r="BT161" s="528">
        <f t="shared" si="359"/>
        <v>1.7864165715693184E-4</v>
      </c>
      <c r="BU161" s="528">
        <f t="shared" si="360"/>
        <v>0.66816817497539982</v>
      </c>
      <c r="BV161" s="528"/>
      <c r="BW161" s="625">
        <f t="shared" si="469"/>
        <v>1.2818800645754365E-2</v>
      </c>
      <c r="BX161" s="460">
        <f t="shared" si="362"/>
        <v>3954.2873793234367</v>
      </c>
      <c r="BY161" s="173">
        <f t="shared" si="363"/>
        <v>8.6946646571790662</v>
      </c>
      <c r="BZ161" s="5">
        <f t="shared" si="364"/>
        <v>77.52</v>
      </c>
      <c r="CA161" s="173">
        <f t="shared" si="365"/>
        <v>0.89915097748448924</v>
      </c>
      <c r="CB161" s="5">
        <f t="shared" si="366"/>
        <v>89.915097748448929</v>
      </c>
      <c r="CC161">
        <f t="shared" si="367"/>
        <v>51</v>
      </c>
      <c r="CE161" s="562">
        <f t="shared" si="470"/>
        <v>-50</v>
      </c>
      <c r="CF161">
        <f t="shared" si="471"/>
        <v>-50</v>
      </c>
      <c r="CG161" s="173">
        <f t="shared" si="370"/>
        <v>0.54755043227665712</v>
      </c>
      <c r="CH161" s="173">
        <f t="shared" si="472"/>
        <v>6.4398811101315859E-2</v>
      </c>
      <c r="CI161" s="170">
        <v>51</v>
      </c>
      <c r="CJ161" s="217">
        <f t="shared" si="438"/>
        <v>5.0999999999999996</v>
      </c>
      <c r="CK161" s="217">
        <f t="shared" si="372"/>
        <v>0.1275</v>
      </c>
      <c r="CL161" s="217">
        <f t="shared" si="373"/>
        <v>76.5</v>
      </c>
      <c r="CM161" s="217">
        <f t="shared" si="374"/>
        <v>1.02</v>
      </c>
      <c r="CN161" s="541">
        <f t="shared" si="375"/>
        <v>19</v>
      </c>
      <c r="CO161" s="443">
        <f t="shared" si="473"/>
        <v>15.7</v>
      </c>
      <c r="CP161" s="443">
        <f t="shared" si="474"/>
        <v>34.700000000000003</v>
      </c>
      <c r="CQ161" s="443"/>
      <c r="CR161" s="217">
        <f t="shared" si="378"/>
        <v>0.44767441860465118</v>
      </c>
      <c r="CS161" s="172">
        <f t="shared" si="379"/>
        <v>209.84738372093025</v>
      </c>
      <c r="CT161" s="172">
        <f t="shared" si="380"/>
        <v>2.835271317829458</v>
      </c>
      <c r="CU161" s="217">
        <f t="shared" si="381"/>
        <v>13.989825581395349</v>
      </c>
      <c r="CV161" s="217">
        <f t="shared" si="382"/>
        <v>26.230922965116282</v>
      </c>
      <c r="CW161" s="217">
        <f t="shared" si="383"/>
        <v>15</v>
      </c>
      <c r="CX161" s="217">
        <f t="shared" si="384"/>
        <v>18.227532467532466</v>
      </c>
      <c r="CY161" s="217">
        <f t="shared" si="385"/>
        <v>11.512125768967874</v>
      </c>
      <c r="CZ161" s="217">
        <f t="shared" si="386"/>
        <v>13.931871949706345</v>
      </c>
      <c r="DA161" s="197">
        <f t="shared" si="387"/>
        <v>71.63784822286263</v>
      </c>
      <c r="DB161" s="443">
        <f t="shared" si="388"/>
        <v>39.302000065267492</v>
      </c>
      <c r="DD161" s="217">
        <f t="shared" si="389"/>
        <v>10.000000000000002</v>
      </c>
      <c r="DE161" s="173">
        <f t="shared" si="390"/>
        <v>7.6433121019108299</v>
      </c>
      <c r="DF161" s="173">
        <f t="shared" si="391"/>
        <v>2.7017291066282429</v>
      </c>
      <c r="DG161" s="173"/>
      <c r="DH161" s="173">
        <f t="shared" si="392"/>
        <v>7.6433121019108281</v>
      </c>
      <c r="DI161" s="545">
        <f t="shared" si="393"/>
        <v>133.44999999999999</v>
      </c>
      <c r="DJ161" s="528">
        <f t="shared" si="394"/>
        <v>2.7377521613832849</v>
      </c>
      <c r="DL161" s="173">
        <f t="shared" si="395"/>
        <v>6.0757127741760231</v>
      </c>
      <c r="DM161" s="173">
        <f t="shared" si="396"/>
        <v>18.227532467532466</v>
      </c>
      <c r="DN161" s="173">
        <f t="shared" si="397"/>
        <v>7.2944684944684939</v>
      </c>
      <c r="DP161" s="545">
        <f t="shared" si="398"/>
        <v>5100</v>
      </c>
      <c r="DQ161" s="460">
        <f t="shared" si="399"/>
        <v>39.302000065267492</v>
      </c>
      <c r="DS161">
        <f t="shared" si="400"/>
        <v>5100</v>
      </c>
      <c r="DT161">
        <f t="shared" si="401"/>
        <v>39.302000065267492</v>
      </c>
      <c r="DV161" s="5">
        <f t="shared" si="402"/>
        <v>25.443997718674218</v>
      </c>
      <c r="DW161" s="5">
        <f t="shared" si="403"/>
        <v>11.512125768967874</v>
      </c>
      <c r="DX161" s="5">
        <f t="shared" si="404"/>
        <v>13.931871949706345</v>
      </c>
      <c r="DY161" s="173">
        <f t="shared" si="405"/>
        <v>0.45244956772334294</v>
      </c>
      <c r="EA161" s="5">
        <f t="shared" si="406"/>
        <v>391.41227614490771</v>
      </c>
      <c r="EB161" s="5">
        <f t="shared" si="407"/>
        <v>18.347450444292548</v>
      </c>
      <c r="EC161" s="5">
        <f t="shared" si="408"/>
        <v>15.581698891118936</v>
      </c>
      <c r="ED161" s="5"/>
      <c r="EE161" s="173">
        <f t="shared" si="409"/>
        <v>7.0786810098234358</v>
      </c>
      <c r="EF161" s="173">
        <f t="shared" si="410"/>
        <v>7.7871639111734252</v>
      </c>
      <c r="EG161" s="173">
        <f t="shared" si="411"/>
        <v>0.19177799749870239</v>
      </c>
      <c r="EH161" s="173"/>
      <c r="EI161" s="528">
        <f t="shared" si="412"/>
        <v>1.0021544967766989</v>
      </c>
      <c r="EJ161" s="528">
        <f t="shared" si="413"/>
        <v>0.4971666666666667</v>
      </c>
      <c r="EK161" s="528">
        <f t="shared" si="414"/>
        <v>4.9127500081584362E-3</v>
      </c>
      <c r="EL161" s="528">
        <f t="shared" si="415"/>
        <v>4.7323145258587945E-3</v>
      </c>
      <c r="EM161">
        <f t="shared" si="416"/>
        <v>8.5500000000000003E-3</v>
      </c>
      <c r="EN161" s="460">
        <f t="shared" si="417"/>
        <v>13.462750008158437</v>
      </c>
      <c r="EP161" s="460">
        <f t="shared" si="439"/>
        <v>1517.5162279773831</v>
      </c>
      <c r="EQ161" s="173">
        <f t="shared" si="418"/>
        <v>3.5699999999999994</v>
      </c>
      <c r="ER161" s="173">
        <f t="shared" si="475"/>
        <v>5.6578125E-2</v>
      </c>
      <c r="ES161" s="528"/>
      <c r="EU161" s="460">
        <f t="shared" si="420"/>
        <v>3626.5781249999995</v>
      </c>
      <c r="EV161" s="528">
        <f t="shared" si="421"/>
        <v>1.5032317451650481</v>
      </c>
      <c r="EW161" s="528">
        <f t="shared" si="422"/>
        <v>1.8191976533844538</v>
      </c>
      <c r="EX161" s="528">
        <f t="shared" si="423"/>
        <v>1.8389400162306151E-4</v>
      </c>
      <c r="EY161" s="528">
        <f t="shared" si="424"/>
        <v>0.6867937521027887</v>
      </c>
      <c r="EZ161" s="528"/>
      <c r="FA161" s="625">
        <f t="shared" si="425"/>
        <v>1.3057812043863916E-2</v>
      </c>
      <c r="FB161" s="460">
        <f t="shared" si="426"/>
        <v>4022.464856697778</v>
      </c>
      <c r="FC161" s="173">
        <f t="shared" si="427"/>
        <v>9.1665592096751585</v>
      </c>
      <c r="FD161" s="5">
        <f t="shared" si="428"/>
        <v>77.52</v>
      </c>
      <c r="FE161" s="173">
        <f t="shared" si="429"/>
        <v>0.89425628040555483</v>
      </c>
      <c r="FF161" s="5">
        <f t="shared" si="430"/>
        <v>89.42562804055548</v>
      </c>
      <c r="FG161">
        <f t="shared" si="431"/>
        <v>51</v>
      </c>
      <c r="FI161" s="562">
        <f t="shared" si="432"/>
        <v>-50</v>
      </c>
      <c r="FJ161">
        <f t="shared" si="433"/>
        <v>-50</v>
      </c>
    </row>
    <row r="162" spans="5:166">
      <c r="E162" s="170">
        <v>52</v>
      </c>
      <c r="F162" s="217">
        <f t="shared" si="476"/>
        <v>5.2</v>
      </c>
      <c r="G162" s="217">
        <f t="shared" si="444"/>
        <v>0.13</v>
      </c>
      <c r="H162" s="217">
        <f t="shared" si="445"/>
        <v>78</v>
      </c>
      <c r="I162" s="217">
        <f t="shared" si="446"/>
        <v>1.04</v>
      </c>
      <c r="J162" s="541">
        <f t="shared" si="447"/>
        <v>18.470512347403393</v>
      </c>
      <c r="K162" s="443">
        <f t="shared" si="448"/>
        <v>15.984905263157895</v>
      </c>
      <c r="L162" s="172">
        <f t="shared" si="449"/>
        <v>34.455417610561284</v>
      </c>
      <c r="M162" s="443"/>
      <c r="N162" s="217">
        <f t="shared" si="450"/>
        <v>0.46393009783919142</v>
      </c>
      <c r="O162" s="172">
        <f t="shared" si="451"/>
        <v>211.40690626161637</v>
      </c>
      <c r="P162" s="172">
        <f t="shared" si="452"/>
        <v>2.8563422001569503</v>
      </c>
      <c r="Q162" s="217">
        <f t="shared" si="322"/>
        <v>14.093793750774426</v>
      </c>
      <c r="R162" s="217">
        <f t="shared" si="453"/>
        <v>26.425863282702046</v>
      </c>
      <c r="S162" s="217">
        <f t="shared" si="454"/>
        <v>15</v>
      </c>
      <c r="T162" s="217">
        <f t="shared" si="455"/>
        <v>18.447836302820424</v>
      </c>
      <c r="U162" s="217">
        <f t="shared" si="326"/>
        <v>11.985267732162619</v>
      </c>
      <c r="V162" s="217">
        <f t="shared" si="327"/>
        <v>13.848942611131346</v>
      </c>
      <c r="W162" s="197">
        <f t="shared" si="328"/>
        <v>71.408555003923738</v>
      </c>
      <c r="X162" s="443">
        <f t="shared" si="435"/>
        <v>38.410997945155096</v>
      </c>
      <c r="Z162" s="217">
        <f t="shared" si="329"/>
        <v>10</v>
      </c>
      <c r="AA162" s="173">
        <f t="shared" si="330"/>
        <v>7.5070823395229445</v>
      </c>
      <c r="AB162" s="173">
        <f t="shared" si="456"/>
        <v>2.6450817540829372</v>
      </c>
      <c r="AC162" s="173"/>
      <c r="AD162" s="173">
        <f t="shared" si="332"/>
        <v>7.5070823395229445</v>
      </c>
      <c r="AE162" s="545">
        <f t="shared" si="457"/>
        <v>138.53584561403508</v>
      </c>
      <c r="AF162" s="528">
        <f t="shared" si="458"/>
        <v>2.6803495108040436</v>
      </c>
      <c r="AH162" s="173">
        <f t="shared" si="459"/>
        <v>6.1349894244485244</v>
      </c>
      <c r="AI162" s="173">
        <f t="shared" si="460"/>
        <v>18.447836302820424</v>
      </c>
      <c r="AJ162" s="173">
        <f t="shared" si="461"/>
        <v>7.4576565206077214</v>
      </c>
      <c r="AL162" s="545">
        <f t="shared" si="462"/>
        <v>5200</v>
      </c>
      <c r="AM162" s="460">
        <f t="shared" si="463"/>
        <v>38.410997945155096</v>
      </c>
      <c r="AO162">
        <f t="shared" si="340"/>
        <v>5200</v>
      </c>
      <c r="AP162">
        <f t="shared" si="341"/>
        <v>38.410997945155096</v>
      </c>
      <c r="AR162" s="5">
        <f t="shared" si="443"/>
        <v>26.034210343293964</v>
      </c>
      <c r="AS162" s="5">
        <f t="shared" si="440"/>
        <v>11.985267732162619</v>
      </c>
      <c r="AT162" s="5">
        <f t="shared" si="441"/>
        <v>14.048942611131345</v>
      </c>
      <c r="AU162" s="173">
        <f t="shared" si="442"/>
        <v>0.46036609423223201</v>
      </c>
      <c r="AW162" s="5">
        <f t="shared" si="342"/>
        <v>415.48928138163745</v>
      </c>
      <c r="AX162" s="5">
        <f t="shared" si="343"/>
        <v>19.476060064764255</v>
      </c>
      <c r="AY162" s="5">
        <f t="shared" si="344"/>
        <v>16.47998446655458</v>
      </c>
      <c r="AZ162" s="5"/>
      <c r="BA162" s="173">
        <f t="shared" si="345"/>
        <v>7.2266408914535347</v>
      </c>
      <c r="BB162" s="173">
        <f t="shared" si="346"/>
        <v>7.8241005560506034</v>
      </c>
      <c r="BC162" s="173">
        <f t="shared" si="347"/>
        <v>0.19268765290979528</v>
      </c>
      <c r="BD162" s="173"/>
      <c r="BE162" s="528">
        <f t="shared" si="348"/>
        <v>1.0444867714805668</v>
      </c>
      <c r="BF162" s="528">
        <f t="shared" si="464"/>
        <v>0.45778316451943912</v>
      </c>
      <c r="BG162" s="528">
        <f t="shared" si="465"/>
        <v>1.7736770295551839E-2</v>
      </c>
      <c r="BH162" s="528">
        <f t="shared" si="351"/>
        <v>4.5600607318745734E-3</v>
      </c>
      <c r="BI162">
        <f t="shared" si="352"/>
        <v>8.3117305563315258E-3</v>
      </c>
      <c r="BJ162" s="460">
        <f t="shared" si="436"/>
        <v>26.048500851883365</v>
      </c>
      <c r="BK162">
        <f t="shared" si="466"/>
        <v>2.3793165481874161</v>
      </c>
      <c r="BL162" s="460">
        <f t="shared" si="437"/>
        <v>1532.8784975837639</v>
      </c>
      <c r="BM162" s="173">
        <f t="shared" si="467"/>
        <v>3.2304999999999997</v>
      </c>
      <c r="BN162" s="173">
        <f t="shared" si="468"/>
        <v>8.0762499999999987E-2</v>
      </c>
      <c r="BO162" s="528"/>
      <c r="BQ162" s="460">
        <f t="shared" si="356"/>
        <v>3311.2624999999998</v>
      </c>
      <c r="BR162" s="528">
        <f t="shared" si="357"/>
        <v>1.5667301572208501</v>
      </c>
      <c r="BS162" s="528">
        <f t="shared" si="358"/>
        <v>1.8364964853357408</v>
      </c>
      <c r="BT162" s="528">
        <f t="shared" si="359"/>
        <v>1.856426579194287E-4</v>
      </c>
      <c r="BU162" s="528">
        <f t="shared" si="360"/>
        <v>0.66830170857415694</v>
      </c>
      <c r="BV162" s="528"/>
      <c r="BW162" s="625">
        <f t="shared" si="469"/>
        <v>1.307213315741383E-2</v>
      </c>
      <c r="BX162" s="460">
        <f t="shared" si="362"/>
        <v>4084.7861269460814</v>
      </c>
      <c r="BY162" s="173">
        <f t="shared" si="363"/>
        <v>8.9289271245298441</v>
      </c>
      <c r="BZ162" s="5">
        <f t="shared" si="364"/>
        <v>79.040000000000006</v>
      </c>
      <c r="CA162" s="173">
        <f t="shared" si="365"/>
        <v>0.89849907897717163</v>
      </c>
      <c r="CB162" s="5">
        <f t="shared" si="366"/>
        <v>89.849907897717159</v>
      </c>
      <c r="CC162">
        <f t="shared" si="367"/>
        <v>52</v>
      </c>
      <c r="CE162" s="562">
        <f t="shared" si="470"/>
        <v>-50</v>
      </c>
      <c r="CF162">
        <f t="shared" si="471"/>
        <v>-50</v>
      </c>
      <c r="CG162" s="173">
        <f t="shared" si="370"/>
        <v>0.54755043227665701</v>
      </c>
      <c r="CH162" s="173">
        <f t="shared" si="472"/>
        <v>6.4398811101315845E-2</v>
      </c>
      <c r="CI162" s="170">
        <v>52</v>
      </c>
      <c r="CJ162" s="217">
        <f t="shared" si="438"/>
        <v>5.2</v>
      </c>
      <c r="CK162" s="217">
        <f t="shared" si="372"/>
        <v>0.13</v>
      </c>
      <c r="CL162" s="217">
        <f t="shared" si="373"/>
        <v>78</v>
      </c>
      <c r="CM162" s="217">
        <f t="shared" si="374"/>
        <v>1.04</v>
      </c>
      <c r="CN162" s="541">
        <f t="shared" si="375"/>
        <v>19</v>
      </c>
      <c r="CO162" s="443">
        <f t="shared" si="473"/>
        <v>15.7</v>
      </c>
      <c r="CP162" s="443">
        <f t="shared" si="474"/>
        <v>34.700000000000003</v>
      </c>
      <c r="CQ162" s="443"/>
      <c r="CR162" s="217">
        <f t="shared" si="378"/>
        <v>0.44767441860465118</v>
      </c>
      <c r="CS162" s="172">
        <f t="shared" si="379"/>
        <v>209.84738372093025</v>
      </c>
      <c r="CT162" s="172">
        <f t="shared" si="380"/>
        <v>2.835271317829458</v>
      </c>
      <c r="CU162" s="217">
        <f t="shared" si="381"/>
        <v>13.989825581395349</v>
      </c>
      <c r="CV162" s="217">
        <f t="shared" si="382"/>
        <v>26.230922965116282</v>
      </c>
      <c r="CW162" s="217">
        <f t="shared" si="383"/>
        <v>15</v>
      </c>
      <c r="CX162" s="217">
        <f t="shared" si="384"/>
        <v>18.584935064935067</v>
      </c>
      <c r="CY162" s="217">
        <f t="shared" si="385"/>
        <v>11.737853725222148</v>
      </c>
      <c r="CZ162" s="217">
        <f t="shared" si="386"/>
        <v>14.205045909504511</v>
      </c>
      <c r="DA162" s="197">
        <f t="shared" si="387"/>
        <v>71.63784822286263</v>
      </c>
      <c r="DB162" s="443">
        <f t="shared" si="388"/>
        <v>38.546192371704649</v>
      </c>
      <c r="DD162" s="217">
        <f t="shared" si="389"/>
        <v>10.000000000000002</v>
      </c>
      <c r="DE162" s="173">
        <f t="shared" si="390"/>
        <v>7.6433121019108299</v>
      </c>
      <c r="DF162" s="173">
        <f t="shared" si="391"/>
        <v>2.7017291066282429</v>
      </c>
      <c r="DG162" s="173"/>
      <c r="DH162" s="173">
        <f t="shared" si="392"/>
        <v>7.6433121019108281</v>
      </c>
      <c r="DI162" s="545">
        <f t="shared" si="393"/>
        <v>136.06666666666669</v>
      </c>
      <c r="DJ162" s="528">
        <f t="shared" si="394"/>
        <v>2.7377521613832849</v>
      </c>
      <c r="DL162" s="173">
        <f t="shared" si="395"/>
        <v>6.1349894244485244</v>
      </c>
      <c r="DM162" s="173">
        <f t="shared" si="396"/>
        <v>18.584935064935067</v>
      </c>
      <c r="DN162" s="173">
        <f t="shared" si="397"/>
        <v>7.5592111592111602</v>
      </c>
      <c r="DP162" s="545">
        <f t="shared" si="398"/>
        <v>5200</v>
      </c>
      <c r="DQ162" s="460">
        <f t="shared" si="399"/>
        <v>38.546192371704649</v>
      </c>
      <c r="DS162">
        <f t="shared" si="400"/>
        <v>5200</v>
      </c>
      <c r="DT162">
        <f t="shared" si="401"/>
        <v>38.546192371704649</v>
      </c>
      <c r="DV162" s="5">
        <f t="shared" si="402"/>
        <v>25.942899634726658</v>
      </c>
      <c r="DW162" s="5">
        <f t="shared" si="403"/>
        <v>11.737853725222148</v>
      </c>
      <c r="DX162" s="5">
        <f t="shared" si="404"/>
        <v>14.205045909504509</v>
      </c>
      <c r="DY162" s="173">
        <f t="shared" si="405"/>
        <v>0.45244956772334299</v>
      </c>
      <c r="EA162" s="5">
        <f t="shared" si="406"/>
        <v>406.91226247436782</v>
      </c>
      <c r="EB162" s="5">
        <f t="shared" si="407"/>
        <v>19.074012303485993</v>
      </c>
      <c r="EC162" s="5">
        <f t="shared" si="408"/>
        <v>16.198736563470053</v>
      </c>
      <c r="ED162" s="5"/>
      <c r="EE162" s="173">
        <f t="shared" si="409"/>
        <v>7.2174786766827213</v>
      </c>
      <c r="EF162" s="173">
        <f t="shared" si="410"/>
        <v>7.9398533996278067</v>
      </c>
      <c r="EG162" s="173">
        <f t="shared" si="411"/>
        <v>0.19553835039083384</v>
      </c>
      <c r="EH162" s="173"/>
      <c r="EI162" s="528">
        <f t="shared" si="412"/>
        <v>1.0418399689673954</v>
      </c>
      <c r="EJ162" s="528">
        <f t="shared" si="413"/>
        <v>0.4971666666666667</v>
      </c>
      <c r="EK162" s="528">
        <f t="shared" si="414"/>
        <v>4.8182740464630808E-3</v>
      </c>
      <c r="EL162" s="528">
        <f t="shared" si="415"/>
        <v>4.6413084772845862E-3</v>
      </c>
      <c r="EM162">
        <f t="shared" si="416"/>
        <v>8.5500000000000003E-3</v>
      </c>
      <c r="EN162" s="460">
        <f t="shared" si="417"/>
        <v>13.368274046463082</v>
      </c>
      <c r="EP162" s="460">
        <f t="shared" si="439"/>
        <v>1557.0162181578098</v>
      </c>
      <c r="EQ162" s="173">
        <f t="shared" si="418"/>
        <v>3.6399999999999997</v>
      </c>
      <c r="ER162" s="173">
        <f t="shared" si="475"/>
        <v>5.7687499999999996E-2</v>
      </c>
      <c r="ES162" s="528"/>
      <c r="EU162" s="460">
        <f t="shared" si="420"/>
        <v>3697.6875</v>
      </c>
      <c r="EV162" s="528">
        <f t="shared" si="421"/>
        <v>1.562759953451093</v>
      </c>
      <c r="EW162" s="528">
        <f t="shared" si="422"/>
        <v>1.8912381602274371</v>
      </c>
      <c r="EX162" s="528">
        <f t="shared" si="423"/>
        <v>1.9117623236784254E-4</v>
      </c>
      <c r="EY162" s="528">
        <f t="shared" si="424"/>
        <v>0.68679375210278926</v>
      </c>
      <c r="EZ162" s="528"/>
      <c r="FA162" s="625">
        <f t="shared" si="425"/>
        <v>1.3313847574135758E-2</v>
      </c>
      <c r="FB162" s="460">
        <f t="shared" si="426"/>
        <v>4154.2968895878221</v>
      </c>
      <c r="FC162" s="173">
        <f t="shared" si="427"/>
        <v>9.4090006077456323</v>
      </c>
      <c r="FD162" s="5">
        <f t="shared" si="428"/>
        <v>79.040000000000006</v>
      </c>
      <c r="FE162" s="173">
        <f t="shared" si="429"/>
        <v>0.89362230728334924</v>
      </c>
      <c r="FF162" s="5">
        <f t="shared" si="430"/>
        <v>89.362230728334922</v>
      </c>
      <c r="FG162">
        <f t="shared" si="431"/>
        <v>52</v>
      </c>
      <c r="FI162" s="562">
        <f t="shared" si="432"/>
        <v>-50</v>
      </c>
      <c r="FJ162">
        <f t="shared" si="433"/>
        <v>-50</v>
      </c>
    </row>
    <row r="163" spans="5:166">
      <c r="E163" s="170">
        <v>53</v>
      </c>
      <c r="F163" s="217">
        <f t="shared" si="476"/>
        <v>5.3000000000000007</v>
      </c>
      <c r="G163" s="217">
        <f t="shared" si="444"/>
        <v>0.13250000000000001</v>
      </c>
      <c r="H163" s="217">
        <f t="shared" si="445"/>
        <v>79.500000000000014</v>
      </c>
      <c r="I163" s="217">
        <f t="shared" si="446"/>
        <v>1.06</v>
      </c>
      <c r="J163" s="541">
        <f t="shared" si="447"/>
        <v>18.460329892545765</v>
      </c>
      <c r="K163" s="443">
        <f t="shared" si="448"/>
        <v>15.990384210526315</v>
      </c>
      <c r="L163" s="172">
        <f t="shared" si="449"/>
        <v>34.45071410307208</v>
      </c>
      <c r="M163" s="443"/>
      <c r="N163" s="217">
        <f t="shared" si="450"/>
        <v>0.46415247482781208</v>
      </c>
      <c r="O163" s="172">
        <f t="shared" si="451"/>
        <v>211.39163994480975</v>
      </c>
      <c r="P163" s="172">
        <f t="shared" si="452"/>
        <v>2.8561359352543185</v>
      </c>
      <c r="Q163" s="217">
        <f t="shared" si="322"/>
        <v>14.09277599632065</v>
      </c>
      <c r="R163" s="217">
        <f t="shared" si="453"/>
        <v>26.423954993101219</v>
      </c>
      <c r="S163" s="217">
        <f t="shared" si="454"/>
        <v>15</v>
      </c>
      <c r="T163" s="217">
        <f t="shared" si="455"/>
        <v>18.803960275050592</v>
      </c>
      <c r="U163" s="217">
        <f t="shared" si="326"/>
        <v>12.22337437164235</v>
      </c>
      <c r="V163" s="217">
        <f t="shared" si="327"/>
        <v>14.111451002663557</v>
      </c>
      <c r="W163" s="197">
        <f t="shared" si="328"/>
        <v>71.40339838135796</v>
      </c>
      <c r="X163" s="443">
        <f t="shared" si="435"/>
        <v>37.686323007360578</v>
      </c>
      <c r="Z163" s="217">
        <f t="shared" si="329"/>
        <v>10.000000000000002</v>
      </c>
      <c r="AA163" s="173">
        <f t="shared" si="330"/>
        <v>7.5045101118336595</v>
      </c>
      <c r="AB163" s="173">
        <f t="shared" si="456"/>
        <v>2.6439844992048749</v>
      </c>
      <c r="AC163" s="173"/>
      <c r="AD163" s="173">
        <f t="shared" si="332"/>
        <v>7.5045101118336586</v>
      </c>
      <c r="AE163" s="545">
        <f t="shared" si="457"/>
        <v>141.24839385964913</v>
      </c>
      <c r="AF163" s="528">
        <f t="shared" si="458"/>
        <v>2.6792376258609396</v>
      </c>
      <c r="AH163" s="173">
        <f t="shared" si="459"/>
        <v>6.1936987948966946</v>
      </c>
      <c r="AI163" s="173">
        <f t="shared" si="460"/>
        <v>18.803960275050592</v>
      </c>
      <c r="AJ163" s="173">
        <f t="shared" si="461"/>
        <v>7.7214520555930308</v>
      </c>
      <c r="AL163" s="545">
        <f t="shared" si="462"/>
        <v>5300.0000000000009</v>
      </c>
      <c r="AM163" s="460">
        <f t="shared" si="463"/>
        <v>37.686323007360578</v>
      </c>
      <c r="AO163">
        <f t="shared" si="340"/>
        <v>5300.0000000000009</v>
      </c>
      <c r="AP163">
        <f t="shared" si="341"/>
        <v>37.686323007360578</v>
      </c>
      <c r="AR163" s="5">
        <f t="shared" si="443"/>
        <v>26.534825374305907</v>
      </c>
      <c r="AS163" s="5">
        <f t="shared" si="440"/>
        <v>12.22337437164235</v>
      </c>
      <c r="AT163" s="5">
        <f t="shared" si="441"/>
        <v>14.311451002663556</v>
      </c>
      <c r="AU163" s="173">
        <f t="shared" si="442"/>
        <v>0.46065403480960676</v>
      </c>
      <c r="AW163" s="5">
        <f t="shared" si="342"/>
        <v>431.8925611313631</v>
      </c>
      <c r="AX163" s="5">
        <f t="shared" si="343"/>
        <v>20.244963803032647</v>
      </c>
      <c r="AY163" s="5">
        <f t="shared" si="344"/>
        <v>17.12020017058877</v>
      </c>
      <c r="AZ163" s="5"/>
      <c r="BA163" s="173">
        <f t="shared" si="345"/>
        <v>7.3684499409104411</v>
      </c>
      <c r="BB163" s="173">
        <f t="shared" si="346"/>
        <v>7.9730119451093993</v>
      </c>
      <c r="BC163" s="173">
        <f t="shared" si="347"/>
        <v>0.19635496084426285</v>
      </c>
      <c r="BD163" s="173"/>
      <c r="BE163" s="528">
        <f t="shared" si="348"/>
        <v>1.0858810906340617</v>
      </c>
      <c r="BF163" s="528">
        <f t="shared" si="464"/>
        <v>0.45775446769232642</v>
      </c>
      <c r="BG163" s="528">
        <f t="shared" si="465"/>
        <v>1.7392548878822845E-2</v>
      </c>
      <c r="BH163" s="528">
        <f t="shared" si="351"/>
        <v>4.4728076611382445E-3</v>
      </c>
      <c r="BI163">
        <f t="shared" si="352"/>
        <v>8.3071484516455945E-3</v>
      </c>
      <c r="BJ163" s="460">
        <f t="shared" si="436"/>
        <v>25.699697330468439</v>
      </c>
      <c r="BK163">
        <f t="shared" si="466"/>
        <v>2.4815492313161873</v>
      </c>
      <c r="BL163" s="460">
        <f t="shared" si="437"/>
        <v>1573.8080633179948</v>
      </c>
      <c r="BM163" s="173">
        <f t="shared" si="467"/>
        <v>3.2926250000000001</v>
      </c>
      <c r="BN163" s="173">
        <f t="shared" si="468"/>
        <v>8.2315624999999989E-2</v>
      </c>
      <c r="BO163" s="528"/>
      <c r="BQ163" s="460">
        <f t="shared" si="356"/>
        <v>3374.9406250000002</v>
      </c>
      <c r="BR163" s="528">
        <f t="shared" si="357"/>
        <v>1.6288216359510923</v>
      </c>
      <c r="BS163" s="528">
        <f t="shared" si="358"/>
        <v>1.907067584305715</v>
      </c>
      <c r="BT163" s="528">
        <f t="shared" si="359"/>
        <v>1.9277635324075999E-4</v>
      </c>
      <c r="BU163" s="528">
        <f t="shared" si="360"/>
        <v>0.66842507308651844</v>
      </c>
      <c r="BV163" s="528"/>
      <c r="BW163" s="625">
        <f t="shared" si="469"/>
        <v>1.3325466327284237E-2</v>
      </c>
      <c r="BX163" s="460">
        <f t="shared" si="362"/>
        <v>4217.8325360238505</v>
      </c>
      <c r="BY163" s="173">
        <f t="shared" si="363"/>
        <v>9.1665812243418472</v>
      </c>
      <c r="BZ163" s="5">
        <f t="shared" si="364"/>
        <v>80.560000000000016</v>
      </c>
      <c r="CA163" s="173">
        <f t="shared" si="365"/>
        <v>0.89783873296785055</v>
      </c>
      <c r="CB163" s="5">
        <f t="shared" si="366"/>
        <v>89.78387329678506</v>
      </c>
      <c r="CC163">
        <f t="shared" si="367"/>
        <v>53</v>
      </c>
      <c r="CE163" s="562">
        <f t="shared" si="470"/>
        <v>-50</v>
      </c>
      <c r="CF163">
        <f t="shared" si="471"/>
        <v>-50</v>
      </c>
      <c r="CG163" s="173">
        <f t="shared" si="370"/>
        <v>0.54755043227665712</v>
      </c>
      <c r="CH163" s="173">
        <f t="shared" si="472"/>
        <v>6.4398811101315845E-2</v>
      </c>
      <c r="CI163" s="170">
        <v>53</v>
      </c>
      <c r="CJ163" s="217">
        <f t="shared" si="438"/>
        <v>5.3000000000000007</v>
      </c>
      <c r="CK163" s="217">
        <f t="shared" si="372"/>
        <v>0.13250000000000001</v>
      </c>
      <c r="CL163" s="217">
        <f t="shared" si="373"/>
        <v>79.500000000000014</v>
      </c>
      <c r="CM163" s="217">
        <f t="shared" si="374"/>
        <v>1.06</v>
      </c>
      <c r="CN163" s="541">
        <f t="shared" si="375"/>
        <v>19</v>
      </c>
      <c r="CO163" s="443">
        <f t="shared" si="473"/>
        <v>15.7</v>
      </c>
      <c r="CP163" s="443">
        <f t="shared" si="474"/>
        <v>34.700000000000003</v>
      </c>
      <c r="CQ163" s="443"/>
      <c r="CR163" s="217">
        <f t="shared" si="378"/>
        <v>0.44767441860465118</v>
      </c>
      <c r="CS163" s="172">
        <f t="shared" si="379"/>
        <v>209.84738372093025</v>
      </c>
      <c r="CT163" s="172">
        <f t="shared" si="380"/>
        <v>2.835271317829458</v>
      </c>
      <c r="CU163" s="217">
        <f t="shared" si="381"/>
        <v>13.989825581395349</v>
      </c>
      <c r="CV163" s="217">
        <f t="shared" si="382"/>
        <v>26.230922965116282</v>
      </c>
      <c r="CW163" s="217">
        <f t="shared" si="383"/>
        <v>15</v>
      </c>
      <c r="CX163" s="217">
        <f t="shared" si="384"/>
        <v>18.942337662337664</v>
      </c>
      <c r="CY163" s="217">
        <f t="shared" si="385"/>
        <v>11.963581681476418</v>
      </c>
      <c r="CZ163" s="217">
        <f t="shared" si="386"/>
        <v>14.478219869302674</v>
      </c>
      <c r="DA163" s="197">
        <f t="shared" si="387"/>
        <v>71.63784822286263</v>
      </c>
      <c r="DB163" s="443">
        <f t="shared" si="388"/>
        <v>37.818905723181921</v>
      </c>
      <c r="DD163" s="217">
        <f t="shared" si="389"/>
        <v>10.000000000000002</v>
      </c>
      <c r="DE163" s="173">
        <f t="shared" si="390"/>
        <v>7.6433121019108299</v>
      </c>
      <c r="DF163" s="173">
        <f t="shared" si="391"/>
        <v>2.7017291066282429</v>
      </c>
      <c r="DG163" s="173"/>
      <c r="DH163" s="173">
        <f t="shared" si="392"/>
        <v>7.6433121019108281</v>
      </c>
      <c r="DI163" s="545">
        <f t="shared" si="393"/>
        <v>138.68333333333337</v>
      </c>
      <c r="DJ163" s="528">
        <f t="shared" si="394"/>
        <v>2.7377521613832849</v>
      </c>
      <c r="DL163" s="173">
        <f t="shared" si="395"/>
        <v>6.1936987948966946</v>
      </c>
      <c r="DM163" s="173">
        <f t="shared" si="396"/>
        <v>18.942337662337664</v>
      </c>
      <c r="DN163" s="173">
        <f t="shared" si="397"/>
        <v>7.8239538239538255</v>
      </c>
      <c r="DP163" s="545">
        <f t="shared" si="398"/>
        <v>5300.0000000000009</v>
      </c>
      <c r="DQ163" s="460">
        <f t="shared" si="399"/>
        <v>37.818905723181921</v>
      </c>
      <c r="DS163">
        <f t="shared" si="400"/>
        <v>5300.0000000000009</v>
      </c>
      <c r="DT163">
        <f t="shared" si="401"/>
        <v>37.818905723181921</v>
      </c>
      <c r="DV163" s="5">
        <f t="shared" si="402"/>
        <v>26.441801550779093</v>
      </c>
      <c r="DW163" s="5">
        <f t="shared" si="403"/>
        <v>11.963581681476418</v>
      </c>
      <c r="DX163" s="5">
        <f t="shared" si="404"/>
        <v>14.478219869302675</v>
      </c>
      <c r="DY163" s="173">
        <f t="shared" si="405"/>
        <v>0.45244956772334288</v>
      </c>
      <c r="EA163" s="5">
        <f t="shared" si="406"/>
        <v>422.71321941216684</v>
      </c>
      <c r="EB163" s="5">
        <f t="shared" si="407"/>
        <v>19.814682159945317</v>
      </c>
      <c r="EC163" s="5">
        <f t="shared" si="408"/>
        <v>16.82775554984741</v>
      </c>
      <c r="ED163" s="5"/>
      <c r="EE163" s="173">
        <f t="shared" si="409"/>
        <v>7.3562763435420031</v>
      </c>
      <c r="EF163" s="173">
        <f t="shared" si="410"/>
        <v>8.092542888082189</v>
      </c>
      <c r="EG163" s="173">
        <f t="shared" si="411"/>
        <v>0.19929870328296528</v>
      </c>
      <c r="EH163" s="173"/>
      <c r="EI163" s="528">
        <f t="shared" si="412"/>
        <v>1.0822960328511142</v>
      </c>
      <c r="EJ163" s="528">
        <f t="shared" si="413"/>
        <v>0.4971666666666667</v>
      </c>
      <c r="EK163" s="528">
        <f t="shared" si="414"/>
        <v>4.7273632153977396E-3</v>
      </c>
      <c r="EL163" s="528">
        <f t="shared" si="415"/>
        <v>4.5537366192226134E-3</v>
      </c>
      <c r="EM163">
        <f t="shared" si="416"/>
        <v>8.5500000000000003E-3</v>
      </c>
      <c r="EN163" s="460">
        <f t="shared" si="417"/>
        <v>13.27736321539774</v>
      </c>
      <c r="EP163" s="460">
        <f t="shared" si="439"/>
        <v>1597.2937993524013</v>
      </c>
      <c r="EQ163" s="173">
        <f t="shared" si="418"/>
        <v>3.7100000000000004</v>
      </c>
      <c r="ER163" s="173">
        <f t="shared" si="475"/>
        <v>5.8796874999999998E-2</v>
      </c>
      <c r="ES163" s="528"/>
      <c r="EU163" s="460">
        <f t="shared" si="420"/>
        <v>3768.7968750000005</v>
      </c>
      <c r="EV163" s="528">
        <f t="shared" si="421"/>
        <v>1.6234440492766711</v>
      </c>
      <c r="EW163" s="528">
        <f t="shared" si="422"/>
        <v>1.9646775118634885</v>
      </c>
      <c r="EX163" s="528">
        <f t="shared" si="423"/>
        <v>1.985998656513572E-4</v>
      </c>
      <c r="EY163" s="528">
        <f t="shared" si="424"/>
        <v>0.68679375210278804</v>
      </c>
      <c r="EZ163" s="528"/>
      <c r="FA163" s="625">
        <f t="shared" si="425"/>
        <v>1.3569883104407602E-2</v>
      </c>
      <c r="FB163" s="460">
        <f t="shared" si="426"/>
        <v>4288.6837962130066</v>
      </c>
      <c r="FC163" s="173">
        <f t="shared" si="427"/>
        <v>9.6547744705654086</v>
      </c>
      <c r="FD163" s="5">
        <f t="shared" si="428"/>
        <v>80.560000000000016</v>
      </c>
      <c r="FE163" s="173">
        <f t="shared" si="429"/>
        <v>0.89298011853129999</v>
      </c>
      <c r="FF163" s="5">
        <f t="shared" si="430"/>
        <v>89.298011853129992</v>
      </c>
      <c r="FG163">
        <f t="shared" si="431"/>
        <v>53</v>
      </c>
      <c r="FI163" s="562">
        <f t="shared" si="432"/>
        <v>-50</v>
      </c>
      <c r="FJ163">
        <f t="shared" si="433"/>
        <v>-50</v>
      </c>
    </row>
    <row r="164" spans="5:166">
      <c r="E164" s="170">
        <v>54</v>
      </c>
      <c r="F164" s="217">
        <f t="shared" si="476"/>
        <v>5.4</v>
      </c>
      <c r="G164" s="217">
        <f t="shared" si="444"/>
        <v>0.13500000000000001</v>
      </c>
      <c r="H164" s="217">
        <f t="shared" si="445"/>
        <v>81</v>
      </c>
      <c r="I164" s="217">
        <f t="shared" si="446"/>
        <v>1.08</v>
      </c>
      <c r="J164" s="541">
        <f t="shared" si="447"/>
        <v>18.450147437688138</v>
      </c>
      <c r="K164" s="443">
        <f t="shared" si="448"/>
        <v>15.995863157894735</v>
      </c>
      <c r="L164" s="172">
        <f t="shared" si="449"/>
        <v>34.446010595582877</v>
      </c>
      <c r="M164" s="443"/>
      <c r="N164" s="217">
        <f t="shared" si="450"/>
        <v>0.46437491254635849</v>
      </c>
      <c r="O164" s="172">
        <f t="shared" si="451"/>
        <v>211.37628954384496</v>
      </c>
      <c r="P164" s="172">
        <f t="shared" si="452"/>
        <v>2.8559285342812832</v>
      </c>
      <c r="Q164" s="217">
        <f t="shared" si="322"/>
        <v>14.091752636256331</v>
      </c>
      <c r="R164" s="217">
        <f t="shared" si="453"/>
        <v>26.42203619298062</v>
      </c>
      <c r="S164" s="217">
        <f t="shared" si="454"/>
        <v>15</v>
      </c>
      <c r="T164" s="217">
        <f t="shared" si="455"/>
        <v>19.160143310018338</v>
      </c>
      <c r="U164" s="217">
        <f t="shared" si="326"/>
        <v>12.461782243027429</v>
      </c>
      <c r="V164" s="217">
        <f t="shared" si="327"/>
        <v>14.373823872501843</v>
      </c>
      <c r="W164" s="197">
        <f t="shared" si="328"/>
        <v>71.398213357032077</v>
      </c>
      <c r="X164" s="443">
        <f t="shared" si="435"/>
        <v>36.988258954756681</v>
      </c>
      <c r="Z164" s="217">
        <f t="shared" si="329"/>
        <v>10</v>
      </c>
      <c r="AA164" s="173">
        <f t="shared" si="330"/>
        <v>7.5019396462374823</v>
      </c>
      <c r="AB164" s="173">
        <f t="shared" si="456"/>
        <v>2.6428869446725733</v>
      </c>
      <c r="AC164" s="173"/>
      <c r="AD164" s="173">
        <f t="shared" si="332"/>
        <v>7.5019396462374823</v>
      </c>
      <c r="AE164" s="545">
        <f t="shared" si="457"/>
        <v>143.96276842105263</v>
      </c>
      <c r="AF164" s="528">
        <f t="shared" si="458"/>
        <v>2.6781254372682071</v>
      </c>
      <c r="AH164" s="173">
        <f t="shared" si="459"/>
        <v>6.2518568670207317</v>
      </c>
      <c r="AI164" s="173">
        <f t="shared" si="460"/>
        <v>19.160143310018338</v>
      </c>
      <c r="AJ164" s="173">
        <f t="shared" si="461"/>
        <v>7.9852913407543245</v>
      </c>
      <c r="AL164" s="545">
        <f t="shared" si="462"/>
        <v>5400</v>
      </c>
      <c r="AM164" s="460">
        <f t="shared" si="463"/>
        <v>36.988258954756681</v>
      </c>
      <c r="AO164">
        <f t="shared" si="340"/>
        <v>5400</v>
      </c>
      <c r="AP164">
        <f t="shared" si="341"/>
        <v>36.988258954756681</v>
      </c>
      <c r="AR164" s="5">
        <f t="shared" si="443"/>
        <v>27.035606115529269</v>
      </c>
      <c r="AS164" s="5">
        <f t="shared" si="440"/>
        <v>12.461782243027429</v>
      </c>
      <c r="AT164" s="5">
        <f t="shared" si="441"/>
        <v>14.573823872501841</v>
      </c>
      <c r="AU164" s="173">
        <f t="shared" si="442"/>
        <v>0.46093962864288712</v>
      </c>
      <c r="AW164" s="5">
        <f t="shared" si="342"/>
        <v>448.62416074898755</v>
      </c>
      <c r="AX164" s="5">
        <f t="shared" si="343"/>
        <v>21.029257535108787</v>
      </c>
      <c r="AY164" s="5">
        <f t="shared" si="344"/>
        <v>17.77281391591848</v>
      </c>
      <c r="AZ164" s="5"/>
      <c r="BA164" s="173">
        <f t="shared" si="345"/>
        <v>7.5103495316052218</v>
      </c>
      <c r="BB164" s="173">
        <f t="shared" si="346"/>
        <v>8.1218848674387605</v>
      </c>
      <c r="BC164" s="173">
        <f t="shared" si="347"/>
        <v>0.20002132144123694</v>
      </c>
      <c r="BD164" s="173"/>
      <c r="BE164" s="528">
        <f t="shared" si="348"/>
        <v>1.1281070017376555</v>
      </c>
      <c r="BF164" s="528">
        <f t="shared" si="464"/>
        <v>0.45772311566376278</v>
      </c>
      <c r="BG164" s="528">
        <f t="shared" si="465"/>
        <v>1.7060970779466229E-2</v>
      </c>
      <c r="BH164" s="528">
        <f t="shared" si="351"/>
        <v>4.3887591825413734E-3</v>
      </c>
      <c r="BI164">
        <f t="shared" si="352"/>
        <v>8.3025663469596615E-3</v>
      </c>
      <c r="BJ164" s="460">
        <f t="shared" si="436"/>
        <v>25.363537126425889</v>
      </c>
      <c r="BK164">
        <f t="shared" si="466"/>
        <v>2.588670376212332</v>
      </c>
      <c r="BL164" s="460">
        <f t="shared" si="437"/>
        <v>1615.5824137103855</v>
      </c>
      <c r="BM164" s="173">
        <f t="shared" si="467"/>
        <v>3.3547499999999997</v>
      </c>
      <c r="BN164" s="173">
        <f t="shared" si="468"/>
        <v>8.3868749999999992E-2</v>
      </c>
      <c r="BO164" s="528"/>
      <c r="BQ164" s="460">
        <f t="shared" si="356"/>
        <v>3438.6187499999996</v>
      </c>
      <c r="BR164" s="528">
        <f t="shared" si="357"/>
        <v>1.6921605026064832</v>
      </c>
      <c r="BS164" s="528">
        <f t="shared" si="358"/>
        <v>1.9789504139979219</v>
      </c>
      <c r="BT164" s="528">
        <f t="shared" si="359"/>
        <v>2.0004264515549315E-4</v>
      </c>
      <c r="BU164" s="528">
        <f t="shared" si="360"/>
        <v>0.66853878961489221</v>
      </c>
      <c r="BV164" s="528"/>
      <c r="BW164" s="625">
        <f t="shared" si="469"/>
        <v>1.3578800123499789E-2</v>
      </c>
      <c r="BX164" s="460">
        <f t="shared" si="362"/>
        <v>4353.428548987953</v>
      </c>
      <c r="BY164" s="173">
        <f t="shared" si="363"/>
        <v>9.4076297126983395</v>
      </c>
      <c r="BZ164" s="5">
        <f t="shared" si="364"/>
        <v>82.08</v>
      </c>
      <c r="CA164" s="173">
        <f t="shared" si="365"/>
        <v>0.89717047274870454</v>
      </c>
      <c r="CB164" s="5">
        <f t="shared" si="366"/>
        <v>89.717047274870453</v>
      </c>
      <c r="CC164">
        <f t="shared" si="367"/>
        <v>54</v>
      </c>
      <c r="CE164" s="562">
        <f t="shared" si="470"/>
        <v>-50</v>
      </c>
      <c r="CF164">
        <f t="shared" si="471"/>
        <v>-50</v>
      </c>
      <c r="CG164" s="173">
        <f t="shared" si="370"/>
        <v>0.54755043227665712</v>
      </c>
      <c r="CH164" s="173">
        <f t="shared" si="472"/>
        <v>6.4398811101315845E-2</v>
      </c>
      <c r="CI164" s="170">
        <v>54</v>
      </c>
      <c r="CJ164" s="217">
        <f t="shared" si="438"/>
        <v>5.4</v>
      </c>
      <c r="CK164" s="217">
        <f t="shared" si="372"/>
        <v>0.13500000000000001</v>
      </c>
      <c r="CL164" s="217">
        <f t="shared" si="373"/>
        <v>81</v>
      </c>
      <c r="CM164" s="217">
        <f t="shared" si="374"/>
        <v>1.08</v>
      </c>
      <c r="CN164" s="541">
        <f t="shared" si="375"/>
        <v>19</v>
      </c>
      <c r="CO164" s="443">
        <f t="shared" si="473"/>
        <v>15.7</v>
      </c>
      <c r="CP164" s="443">
        <f t="shared" si="474"/>
        <v>34.700000000000003</v>
      </c>
      <c r="CQ164" s="443"/>
      <c r="CR164" s="217">
        <f t="shared" si="378"/>
        <v>0.44767441860465118</v>
      </c>
      <c r="CS164" s="172">
        <f t="shared" si="379"/>
        <v>209.84738372093025</v>
      </c>
      <c r="CT164" s="172">
        <f t="shared" si="380"/>
        <v>2.835271317829458</v>
      </c>
      <c r="CU164" s="217">
        <f t="shared" si="381"/>
        <v>13.989825581395349</v>
      </c>
      <c r="CV164" s="217">
        <f t="shared" si="382"/>
        <v>26.230922965116282</v>
      </c>
      <c r="CW164" s="217">
        <f t="shared" si="383"/>
        <v>15</v>
      </c>
      <c r="CX164" s="217">
        <f t="shared" si="384"/>
        <v>19.299740259740258</v>
      </c>
      <c r="CY164" s="217">
        <f t="shared" si="385"/>
        <v>12.189309637730689</v>
      </c>
      <c r="CZ164" s="217">
        <f t="shared" si="386"/>
        <v>14.751393829100834</v>
      </c>
      <c r="DA164" s="197">
        <f t="shared" si="387"/>
        <v>71.63784822286263</v>
      </c>
      <c r="DB164" s="443">
        <f t="shared" si="388"/>
        <v>37.118555617197075</v>
      </c>
      <c r="DD164" s="217">
        <f t="shared" si="389"/>
        <v>10.000000000000002</v>
      </c>
      <c r="DE164" s="173">
        <f t="shared" si="390"/>
        <v>7.6433121019108299</v>
      </c>
      <c r="DF164" s="173">
        <f t="shared" si="391"/>
        <v>2.7017291066282429</v>
      </c>
      <c r="DG164" s="173"/>
      <c r="DH164" s="173">
        <f t="shared" si="392"/>
        <v>7.6433121019108281</v>
      </c>
      <c r="DI164" s="545">
        <f t="shared" si="393"/>
        <v>141.30000000000004</v>
      </c>
      <c r="DJ164" s="528">
        <f t="shared" si="394"/>
        <v>2.7377521613832849</v>
      </c>
      <c r="DL164" s="173">
        <f t="shared" si="395"/>
        <v>6.2518568670207317</v>
      </c>
      <c r="DM164" s="173">
        <f t="shared" si="396"/>
        <v>19.299740259740258</v>
      </c>
      <c r="DN164" s="173">
        <f t="shared" si="397"/>
        <v>8.0886964886964865</v>
      </c>
      <c r="DP164" s="545">
        <f t="shared" si="398"/>
        <v>5400</v>
      </c>
      <c r="DQ164" s="460">
        <f t="shared" si="399"/>
        <v>37.118555617197075</v>
      </c>
      <c r="DS164">
        <f t="shared" si="400"/>
        <v>5400</v>
      </c>
      <c r="DT164">
        <f t="shared" si="401"/>
        <v>37.118555617197075</v>
      </c>
      <c r="DV164" s="5">
        <f t="shared" si="402"/>
        <v>26.940703466831526</v>
      </c>
      <c r="DW164" s="5">
        <f t="shared" si="403"/>
        <v>12.189309637730689</v>
      </c>
      <c r="DX164" s="5">
        <f t="shared" si="404"/>
        <v>14.751393829100836</v>
      </c>
      <c r="DY164" s="173">
        <f t="shared" si="405"/>
        <v>0.45244956772334288</v>
      </c>
      <c r="EA164" s="5">
        <f t="shared" si="406"/>
        <v>438.81514695830487</v>
      </c>
      <c r="EB164" s="5">
        <f t="shared" si="407"/>
        <v>20.569460013670543</v>
      </c>
      <c r="EC164" s="5">
        <f t="shared" si="408"/>
        <v>17.468755850250993</v>
      </c>
      <c r="ED164" s="5"/>
      <c r="EE164" s="173">
        <f t="shared" si="409"/>
        <v>7.495074010401285</v>
      </c>
      <c r="EF164" s="173">
        <f t="shared" si="410"/>
        <v>8.2452323765365669</v>
      </c>
      <c r="EG164" s="173">
        <f t="shared" si="411"/>
        <v>0.2030590561750967</v>
      </c>
      <c r="EH164" s="173"/>
      <c r="EI164" s="528">
        <f t="shared" si="412"/>
        <v>1.1235226884278562</v>
      </c>
      <c r="EJ164" s="528">
        <f t="shared" si="413"/>
        <v>0.49716666666666665</v>
      </c>
      <c r="EK164" s="528">
        <f t="shared" si="414"/>
        <v>4.6398194521496345E-3</v>
      </c>
      <c r="EL164" s="528">
        <f t="shared" si="415"/>
        <v>4.4694081633110836E-3</v>
      </c>
      <c r="EM164">
        <f t="shared" si="416"/>
        <v>8.5500000000000003E-3</v>
      </c>
      <c r="EN164" s="460">
        <f t="shared" si="417"/>
        <v>13.189819452149635</v>
      </c>
      <c r="EP164" s="460">
        <f t="shared" si="439"/>
        <v>1638.3485827099832</v>
      </c>
      <c r="EQ164" s="173">
        <f t="shared" si="418"/>
        <v>3.78</v>
      </c>
      <c r="ER164" s="173">
        <f t="shared" si="475"/>
        <v>5.9906250000000001E-2</v>
      </c>
      <c r="ES164" s="528"/>
      <c r="EU164" s="460">
        <f t="shared" si="420"/>
        <v>3839.90625</v>
      </c>
      <c r="EV164" s="528">
        <f t="shared" si="421"/>
        <v>1.6852840326417839</v>
      </c>
      <c r="EW164" s="528">
        <f t="shared" si="422"/>
        <v>2.0395157082926052</v>
      </c>
      <c r="EX164" s="528">
        <f t="shared" si="423"/>
        <v>2.061649014736054E-4</v>
      </c>
      <c r="EY164" s="528">
        <f t="shared" si="424"/>
        <v>0.6867937521027887</v>
      </c>
      <c r="EZ164" s="528"/>
      <c r="FA164" s="625">
        <f t="shared" si="425"/>
        <v>1.3825918634679439E-2</v>
      </c>
      <c r="FB164" s="460">
        <f t="shared" si="426"/>
        <v>4425.6255765733304</v>
      </c>
      <c r="FC164" s="173">
        <f t="shared" si="427"/>
        <v>9.9038804092833157</v>
      </c>
      <c r="FD164" s="5">
        <f t="shared" si="428"/>
        <v>82.08</v>
      </c>
      <c r="FE164" s="173">
        <f t="shared" si="429"/>
        <v>0.89233026085422917</v>
      </c>
      <c r="FF164" s="5">
        <f t="shared" si="430"/>
        <v>89.233026085422921</v>
      </c>
      <c r="FG164">
        <f t="shared" si="431"/>
        <v>54</v>
      </c>
      <c r="FI164" s="562">
        <f t="shared" si="432"/>
        <v>-50</v>
      </c>
      <c r="FJ164">
        <f t="shared" si="433"/>
        <v>-50</v>
      </c>
    </row>
    <row r="165" spans="5:166">
      <c r="E165" s="170">
        <v>55</v>
      </c>
      <c r="F165" s="217">
        <f t="shared" si="476"/>
        <v>5.5</v>
      </c>
      <c r="G165" s="217">
        <f t="shared" si="444"/>
        <v>0.13750000000000001</v>
      </c>
      <c r="H165" s="217">
        <f t="shared" si="445"/>
        <v>82.5</v>
      </c>
      <c r="I165" s="217">
        <f t="shared" si="446"/>
        <v>1.1000000000000001</v>
      </c>
      <c r="J165" s="541">
        <f t="shared" si="447"/>
        <v>18.439964982830514</v>
      </c>
      <c r="K165" s="443">
        <f t="shared" si="448"/>
        <v>16.001342105263156</v>
      </c>
      <c r="L165" s="172">
        <f t="shared" si="449"/>
        <v>34.441307088093666</v>
      </c>
      <c r="M165" s="443"/>
      <c r="N165" s="217">
        <f t="shared" si="450"/>
        <v>0.46459741101971147</v>
      </c>
      <c r="O165" s="172">
        <f t="shared" si="451"/>
        <v>211.36085502427292</v>
      </c>
      <c r="P165" s="172">
        <f t="shared" si="452"/>
        <v>2.8557199967723985</v>
      </c>
      <c r="Q165" s="217">
        <f t="shared" si="322"/>
        <v>14.090723668284861</v>
      </c>
      <c r="R165" s="217">
        <f t="shared" si="453"/>
        <v>26.420106878034115</v>
      </c>
      <c r="S165" s="217">
        <f t="shared" si="454"/>
        <v>15</v>
      </c>
      <c r="T165" s="217">
        <f t="shared" si="455"/>
        <v>19.516385848866292</v>
      </c>
      <c r="U165" s="217">
        <f t="shared" si="326"/>
        <v>12.700492132412206</v>
      </c>
      <c r="V165" s="217">
        <f t="shared" si="327"/>
        <v>14.636061690685535</v>
      </c>
      <c r="W165" s="197">
        <f t="shared" si="328"/>
        <v>71.392999919309943</v>
      </c>
      <c r="X165" s="443">
        <f t="shared" si="435"/>
        <v>36.31536489367079</v>
      </c>
      <c r="Z165" s="217">
        <f t="shared" si="329"/>
        <v>10</v>
      </c>
      <c r="AA165" s="173">
        <f t="shared" si="330"/>
        <v>7.4993709409243641</v>
      </c>
      <c r="AB165" s="173">
        <f t="shared" si="456"/>
        <v>2.641789090363265</v>
      </c>
      <c r="AC165" s="173"/>
      <c r="AD165" s="173">
        <f t="shared" si="332"/>
        <v>7.4993709409243641</v>
      </c>
      <c r="AE165" s="545">
        <f t="shared" si="457"/>
        <v>146.67896929824559</v>
      </c>
      <c r="AF165" s="528">
        <f t="shared" si="458"/>
        <v>2.6770129449014424</v>
      </c>
      <c r="AH165" s="173">
        <f t="shared" si="459"/>
        <v>6.3094788857340509</v>
      </c>
      <c r="AI165" s="173">
        <f t="shared" si="460"/>
        <v>19.516385848866292</v>
      </c>
      <c r="AJ165" s="173">
        <f t="shared" si="461"/>
        <v>8.24917470286392</v>
      </c>
      <c r="AL165" s="545">
        <f t="shared" si="462"/>
        <v>5500</v>
      </c>
      <c r="AM165" s="460">
        <f t="shared" si="463"/>
        <v>36.31536489367079</v>
      </c>
      <c r="AO165">
        <f t="shared" si="340"/>
        <v>5500</v>
      </c>
      <c r="AP165">
        <f t="shared" si="341"/>
        <v>36.31536489367079</v>
      </c>
      <c r="AR165" s="5">
        <f t="shared" si="443"/>
        <v>27.536553823097744</v>
      </c>
      <c r="AS165" s="5">
        <f t="shared" si="440"/>
        <v>12.700492132412206</v>
      </c>
      <c r="AT165" s="5">
        <f t="shared" si="441"/>
        <v>14.836061690685538</v>
      </c>
      <c r="AU165" s="173">
        <f t="shared" si="442"/>
        <v>0.46122300611774431</v>
      </c>
      <c r="AW165" s="5">
        <f t="shared" si="342"/>
        <v>465.68471152178091</v>
      </c>
      <c r="AX165" s="5">
        <f t="shared" si="343"/>
        <v>21.828970852583481</v>
      </c>
      <c r="AY165" s="5">
        <f t="shared" si="344"/>
        <v>18.437837638418063</v>
      </c>
      <c r="AZ165" s="5"/>
      <c r="BA165" s="173">
        <f t="shared" si="345"/>
        <v>7.6523398513402112</v>
      </c>
      <c r="BB165" s="173">
        <f t="shared" si="346"/>
        <v>8.2707194568267948</v>
      </c>
      <c r="BC165" s="173">
        <f t="shared" si="347"/>
        <v>0.20368673799557754</v>
      </c>
      <c r="BD165" s="173"/>
      <c r="BE165" s="528">
        <f t="shared" si="348"/>
        <v>1.1711661040081907</v>
      </c>
      <c r="BF165" s="528">
        <f t="shared" si="464"/>
        <v>0.45768924276213674</v>
      </c>
      <c r="BG165" s="528">
        <f t="shared" si="465"/>
        <v>1.6741351424450046E-2</v>
      </c>
      <c r="BH165" s="528">
        <f t="shared" si="351"/>
        <v>4.3077417804597605E-3</v>
      </c>
      <c r="BI165">
        <f t="shared" si="352"/>
        <v>8.2979842422737302E-3</v>
      </c>
      <c r="BJ165" s="460">
        <f t="shared" si="436"/>
        <v>25.039335666723776</v>
      </c>
      <c r="BK165">
        <f t="shared" si="466"/>
        <v>2.7009760087083063</v>
      </c>
      <c r="BL165" s="460">
        <f t="shared" si="437"/>
        <v>1658.202424217511</v>
      </c>
      <c r="BM165" s="173">
        <f t="shared" si="467"/>
        <v>3.4168749999999997</v>
      </c>
      <c r="BN165" s="173">
        <f t="shared" si="468"/>
        <v>8.5421874999999994E-2</v>
      </c>
      <c r="BO165" s="528"/>
      <c r="BQ165" s="460">
        <f t="shared" si="356"/>
        <v>3502.296875</v>
      </c>
      <c r="BR165" s="528">
        <f t="shared" si="357"/>
        <v>1.7567491560122859</v>
      </c>
      <c r="BS165" s="528">
        <f t="shared" si="358"/>
        <v>2.0521440100059993</v>
      </c>
      <c r="BT165" s="528">
        <f t="shared" si="359"/>
        <v>2.0744143617639526E-4</v>
      </c>
      <c r="BU165" s="528">
        <f t="shared" si="360"/>
        <v>0.66864334184724261</v>
      </c>
      <c r="BV165" s="528"/>
      <c r="BW165" s="625">
        <f t="shared" si="469"/>
        <v>1.38321345164963E-2</v>
      </c>
      <c r="BX165" s="460">
        <f t="shared" si="362"/>
        <v>4491.5760838182005</v>
      </c>
      <c r="BY165" s="173">
        <f t="shared" si="363"/>
        <v>9.6520753830357116</v>
      </c>
      <c r="BZ165" s="5">
        <f t="shared" si="364"/>
        <v>83.6</v>
      </c>
      <c r="CA165" s="173">
        <f t="shared" si="365"/>
        <v>0.89649479281410605</v>
      </c>
      <c r="CB165" s="5">
        <f t="shared" si="366"/>
        <v>89.649479281410606</v>
      </c>
      <c r="CC165">
        <f t="shared" si="367"/>
        <v>55.000000000000007</v>
      </c>
      <c r="CE165" s="562">
        <f t="shared" si="470"/>
        <v>-50</v>
      </c>
      <c r="CF165">
        <f t="shared" si="471"/>
        <v>-50</v>
      </c>
      <c r="CG165" s="173">
        <f t="shared" si="370"/>
        <v>0.54755043227665712</v>
      </c>
      <c r="CH165" s="173">
        <f t="shared" si="472"/>
        <v>6.4398811101315859E-2</v>
      </c>
      <c r="CI165" s="170">
        <v>55</v>
      </c>
      <c r="CJ165" s="217">
        <f t="shared" si="438"/>
        <v>5.5</v>
      </c>
      <c r="CK165" s="217">
        <f t="shared" si="372"/>
        <v>0.13750000000000001</v>
      </c>
      <c r="CL165" s="217">
        <f t="shared" si="373"/>
        <v>82.5</v>
      </c>
      <c r="CM165" s="217">
        <f t="shared" si="374"/>
        <v>1.1000000000000001</v>
      </c>
      <c r="CN165" s="541">
        <f t="shared" si="375"/>
        <v>19</v>
      </c>
      <c r="CO165" s="443">
        <f t="shared" si="473"/>
        <v>15.7</v>
      </c>
      <c r="CP165" s="443">
        <f t="shared" si="474"/>
        <v>34.700000000000003</v>
      </c>
      <c r="CQ165" s="443"/>
      <c r="CR165" s="217">
        <f t="shared" si="378"/>
        <v>0.44767441860465118</v>
      </c>
      <c r="CS165" s="172">
        <f t="shared" si="379"/>
        <v>209.84738372093025</v>
      </c>
      <c r="CT165" s="172">
        <f t="shared" si="380"/>
        <v>2.835271317829458</v>
      </c>
      <c r="CU165" s="217">
        <f t="shared" si="381"/>
        <v>13.989825581395349</v>
      </c>
      <c r="CV165" s="217">
        <f t="shared" si="382"/>
        <v>26.230922965116282</v>
      </c>
      <c r="CW165" s="217">
        <f t="shared" si="383"/>
        <v>15</v>
      </c>
      <c r="CX165" s="217">
        <f t="shared" si="384"/>
        <v>19.657142857142855</v>
      </c>
      <c r="CY165" s="217">
        <f t="shared" si="385"/>
        <v>12.415037593984961</v>
      </c>
      <c r="CZ165" s="217">
        <f t="shared" si="386"/>
        <v>15.024567788898997</v>
      </c>
      <c r="DA165" s="197">
        <f t="shared" si="387"/>
        <v>71.63784822286263</v>
      </c>
      <c r="DB165" s="443">
        <f t="shared" si="388"/>
        <v>36.443672787793496</v>
      </c>
      <c r="DD165" s="217">
        <f t="shared" si="389"/>
        <v>10.000000000000002</v>
      </c>
      <c r="DE165" s="173">
        <f t="shared" si="390"/>
        <v>7.6433121019108299</v>
      </c>
      <c r="DF165" s="173">
        <f t="shared" si="391"/>
        <v>2.7017291066282429</v>
      </c>
      <c r="DG165" s="173"/>
      <c r="DH165" s="173">
        <f t="shared" si="392"/>
        <v>7.6433121019108281</v>
      </c>
      <c r="DI165" s="545">
        <f t="shared" si="393"/>
        <v>143.91666666666669</v>
      </c>
      <c r="DJ165" s="528">
        <f t="shared" si="394"/>
        <v>2.7377521613832849</v>
      </c>
      <c r="DL165" s="173">
        <f t="shared" si="395"/>
        <v>6.3094788857340509</v>
      </c>
      <c r="DM165" s="173">
        <f t="shared" si="396"/>
        <v>19.657142857142855</v>
      </c>
      <c r="DN165" s="173">
        <f t="shared" si="397"/>
        <v>8.353439153439151</v>
      </c>
      <c r="DP165" s="545">
        <f t="shared" si="398"/>
        <v>5500</v>
      </c>
      <c r="DQ165" s="460">
        <f t="shared" si="399"/>
        <v>36.443672787793496</v>
      </c>
      <c r="DS165">
        <f t="shared" si="400"/>
        <v>5500</v>
      </c>
      <c r="DT165">
        <f t="shared" si="401"/>
        <v>36.443672787793496</v>
      </c>
      <c r="DV165" s="5">
        <f t="shared" si="402"/>
        <v>27.439605382883958</v>
      </c>
      <c r="DW165" s="5">
        <f t="shared" si="403"/>
        <v>12.415037593984961</v>
      </c>
      <c r="DX165" s="5">
        <f t="shared" si="404"/>
        <v>15.024567788898997</v>
      </c>
      <c r="DY165" s="173">
        <f t="shared" si="405"/>
        <v>0.45244956772334294</v>
      </c>
      <c r="EA165" s="5">
        <f t="shared" si="406"/>
        <v>455.21804511278191</v>
      </c>
      <c r="EB165" s="5">
        <f t="shared" si="407"/>
        <v>21.338345864661655</v>
      </c>
      <c r="EC165" s="5">
        <f t="shared" si="408"/>
        <v>18.121737464680805</v>
      </c>
      <c r="ED165" s="5"/>
      <c r="EE165" s="173">
        <f t="shared" si="409"/>
        <v>7.6338716772605677</v>
      </c>
      <c r="EF165" s="173">
        <f t="shared" si="410"/>
        <v>8.3979218649909484</v>
      </c>
      <c r="EG165" s="173">
        <f t="shared" si="411"/>
        <v>0.20681940906722807</v>
      </c>
      <c r="EH165" s="173"/>
      <c r="EI165" s="528">
        <f t="shared" si="412"/>
        <v>1.1655199356976216</v>
      </c>
      <c r="EJ165" s="528">
        <f t="shared" si="413"/>
        <v>0.4971666666666667</v>
      </c>
      <c r="EK165" s="528">
        <f t="shared" si="414"/>
        <v>4.5554590984741876E-3</v>
      </c>
      <c r="EL165" s="528">
        <f t="shared" si="415"/>
        <v>4.3881461967054287E-3</v>
      </c>
      <c r="EM165">
        <f t="shared" si="416"/>
        <v>8.5500000000000003E-3</v>
      </c>
      <c r="EN165" s="460">
        <f t="shared" si="417"/>
        <v>13.105459098474187</v>
      </c>
      <c r="EP165" s="460">
        <f t="shared" si="439"/>
        <v>1680.1802076594681</v>
      </c>
      <c r="EQ165" s="173">
        <f t="shared" si="418"/>
        <v>3.8499999999999996</v>
      </c>
      <c r="ER165" s="173">
        <f t="shared" si="475"/>
        <v>6.1015625000000004E-2</v>
      </c>
      <c r="ES165" s="528"/>
      <c r="EU165" s="460">
        <f t="shared" si="420"/>
        <v>3911.0156249999995</v>
      </c>
      <c r="EV165" s="528">
        <f t="shared" si="421"/>
        <v>1.748279903546432</v>
      </c>
      <c r="EW165" s="528">
        <f t="shared" si="422"/>
        <v>2.1157527495147916</v>
      </c>
      <c r="EX165" s="528">
        <f t="shared" si="423"/>
        <v>2.1387133983458709E-4</v>
      </c>
      <c r="EY165" s="528">
        <f t="shared" si="424"/>
        <v>0.68679375210278937</v>
      </c>
      <c r="EZ165" s="528"/>
      <c r="FA165" s="625">
        <f t="shared" si="425"/>
        <v>1.4081954164951282E-2</v>
      </c>
      <c r="FB165" s="460">
        <f t="shared" si="426"/>
        <v>4565.1222306687996</v>
      </c>
      <c r="FC165" s="173">
        <f t="shared" si="427"/>
        <v>10.156318063328266</v>
      </c>
      <c r="FD165" s="5">
        <f t="shared" si="428"/>
        <v>83.6</v>
      </c>
      <c r="FE165" s="173">
        <f t="shared" si="429"/>
        <v>0.89167324108794321</v>
      </c>
      <c r="FF165" s="5">
        <f t="shared" si="430"/>
        <v>89.167324108794318</v>
      </c>
      <c r="FG165">
        <f t="shared" si="431"/>
        <v>55.000000000000007</v>
      </c>
      <c r="FI165" s="562">
        <f t="shared" si="432"/>
        <v>-50</v>
      </c>
      <c r="FJ165">
        <f t="shared" si="433"/>
        <v>-50</v>
      </c>
    </row>
    <row r="166" spans="5:166">
      <c r="E166" s="170">
        <v>56</v>
      </c>
      <c r="F166" s="217">
        <f t="shared" si="476"/>
        <v>5.6000000000000005</v>
      </c>
      <c r="G166" s="217">
        <f t="shared" si="444"/>
        <v>0.14000000000000001</v>
      </c>
      <c r="H166" s="217">
        <f t="shared" si="445"/>
        <v>84.000000000000014</v>
      </c>
      <c r="I166" s="217">
        <f t="shared" si="446"/>
        <v>1.1200000000000001</v>
      </c>
      <c r="J166" s="541">
        <f t="shared" si="447"/>
        <v>18.429782527972886</v>
      </c>
      <c r="K166" s="443">
        <f t="shared" si="448"/>
        <v>16.00682105263158</v>
      </c>
      <c r="L166" s="172">
        <f t="shared" si="449"/>
        <v>34.436603580604469</v>
      </c>
      <c r="M166" s="443"/>
      <c r="N166" s="217">
        <f t="shared" si="450"/>
        <v>0.4648199702727655</v>
      </c>
      <c r="O166" s="172">
        <f t="shared" si="451"/>
        <v>211.34533635162558</v>
      </c>
      <c r="P166" s="172">
        <f t="shared" si="452"/>
        <v>2.8555103222619636</v>
      </c>
      <c r="Q166" s="217">
        <f t="shared" si="322"/>
        <v>14.089689090108372</v>
      </c>
      <c r="R166" s="217">
        <f t="shared" si="453"/>
        <v>26.418167043953197</v>
      </c>
      <c r="S166" s="217">
        <f t="shared" si="454"/>
        <v>15</v>
      </c>
      <c r="T166" s="217">
        <f t="shared" si="455"/>
        <v>19.872688333241737</v>
      </c>
      <c r="U166" s="217">
        <f t="shared" si="326"/>
        <v>12.939504827956897</v>
      </c>
      <c r="V166" s="217">
        <f t="shared" si="327"/>
        <v>14.898164926988743</v>
      </c>
      <c r="W166" s="197">
        <f t="shared" si="328"/>
        <v>71.387758056549089</v>
      </c>
      <c r="X166" s="443">
        <f t="shared" si="435"/>
        <v>35.666302112129245</v>
      </c>
      <c r="Z166" s="217">
        <f t="shared" si="329"/>
        <v>10</v>
      </c>
      <c r="AA166" s="173">
        <f t="shared" si="330"/>
        <v>7.4968039940867319</v>
      </c>
      <c r="AB166" s="173">
        <f t="shared" si="456"/>
        <v>2.6406909361541171</v>
      </c>
      <c r="AC166" s="173"/>
      <c r="AD166" s="173">
        <f t="shared" si="332"/>
        <v>7.4968039940867319</v>
      </c>
      <c r="AE166" s="545">
        <f t="shared" si="457"/>
        <v>149.39699649122807</v>
      </c>
      <c r="AF166" s="528">
        <f t="shared" si="458"/>
        <v>2.6759001486361726</v>
      </c>
      <c r="AH166" s="173">
        <f t="shared" si="459"/>
        <v>6.3665794060337717</v>
      </c>
      <c r="AI166" s="173">
        <f t="shared" si="460"/>
        <v>19.872688333241737</v>
      </c>
      <c r="AJ166" s="173">
        <f t="shared" si="461"/>
        <v>8.5131024690679524</v>
      </c>
      <c r="AL166" s="545">
        <f t="shared" si="462"/>
        <v>5600.0000000000009</v>
      </c>
      <c r="AM166" s="460">
        <f t="shared" si="463"/>
        <v>35.666302112129245</v>
      </c>
      <c r="AO166">
        <f t="shared" si="340"/>
        <v>5600.0000000000009</v>
      </c>
      <c r="AP166">
        <f t="shared" si="341"/>
        <v>35.666302112129245</v>
      </c>
      <c r="AR166" s="5">
        <f t="shared" si="443"/>
        <v>28.037669754945643</v>
      </c>
      <c r="AS166" s="5">
        <f t="shared" si="440"/>
        <v>12.939504827956897</v>
      </c>
      <c r="AT166" s="5">
        <f t="shared" si="441"/>
        <v>15.098164926988746</v>
      </c>
      <c r="AU166" s="173">
        <f t="shared" si="442"/>
        <v>0.46150428837526564</v>
      </c>
      <c r="AW166" s="5">
        <f t="shared" si="342"/>
        <v>483.07484691039082</v>
      </c>
      <c r="AX166" s="5">
        <f t="shared" si="343"/>
        <v>22.64413344892457</v>
      </c>
      <c r="AY166" s="5">
        <f t="shared" si="344"/>
        <v>19.115283342511564</v>
      </c>
      <c r="AZ166" s="5"/>
      <c r="BA166" s="173">
        <f t="shared" si="345"/>
        <v>7.7944210887246168</v>
      </c>
      <c r="BB166" s="173">
        <f t="shared" si="346"/>
        <v>8.4195158464347415</v>
      </c>
      <c r="BC166" s="173">
        <f t="shared" si="347"/>
        <v>0.20735121378670662</v>
      </c>
      <c r="BD166" s="173"/>
      <c r="BE166" s="528">
        <f t="shared" si="348"/>
        <v>1.2150600021671008</v>
      </c>
      <c r="BF166" s="528">
        <f t="shared" si="464"/>
        <v>0.45765297378986552</v>
      </c>
      <c r="BG166" s="528">
        <f t="shared" si="465"/>
        <v>1.6433054787588046E-2</v>
      </c>
      <c r="BH166" s="528">
        <f t="shared" si="351"/>
        <v>4.2295942442168184E-3</v>
      </c>
      <c r="BI166">
        <f t="shared" si="352"/>
        <v>8.2934021375877989E-3</v>
      </c>
      <c r="BJ166" s="460">
        <f t="shared" si="436"/>
        <v>24.726456925175846</v>
      </c>
      <c r="BK166">
        <f t="shared" si="466"/>
        <v>2.8187879323373384</v>
      </c>
      <c r="BL166" s="460">
        <f t="shared" si="437"/>
        <v>1701.6690271263587</v>
      </c>
      <c r="BM166" s="173">
        <f t="shared" si="467"/>
        <v>3.4789999999999996</v>
      </c>
      <c r="BN166" s="173">
        <f t="shared" si="468"/>
        <v>8.6974999999999997E-2</v>
      </c>
      <c r="BO166" s="528"/>
      <c r="BQ166" s="460">
        <f t="shared" si="356"/>
        <v>3565.9749999999995</v>
      </c>
      <c r="BR166" s="528">
        <f t="shared" si="357"/>
        <v>1.822590003250651</v>
      </c>
      <c r="BS166" s="528">
        <f t="shared" si="358"/>
        <v>2.1266474126509713</v>
      </c>
      <c r="BT166" s="528">
        <f t="shared" si="359"/>
        <v>2.1497262929410257E-4</v>
      </c>
      <c r="BU166" s="528">
        <f t="shared" si="360"/>
        <v>0.66873917935551752</v>
      </c>
      <c r="BV166" s="528"/>
      <c r="BW166" s="625">
        <f t="shared" si="469"/>
        <v>1.408546947880719E-2</v>
      </c>
      <c r="BX166" s="460">
        <f t="shared" si="362"/>
        <v>4632.277037365242</v>
      </c>
      <c r="BY166" s="173">
        <f t="shared" si="363"/>
        <v>9.8999210644915987</v>
      </c>
      <c r="BZ166" s="5">
        <f t="shared" si="364"/>
        <v>85.120000000000019</v>
      </c>
      <c r="CA166" s="173">
        <f t="shared" si="365"/>
        <v>0.89581215229833377</v>
      </c>
      <c r="CB166" s="5">
        <f t="shared" si="366"/>
        <v>89.581215229833376</v>
      </c>
      <c r="CC166">
        <f t="shared" si="367"/>
        <v>56.000000000000007</v>
      </c>
      <c r="CE166" s="562">
        <f t="shared" si="470"/>
        <v>-50</v>
      </c>
      <c r="CF166">
        <f t="shared" si="471"/>
        <v>-50</v>
      </c>
      <c r="CG166" s="173">
        <f t="shared" si="370"/>
        <v>0.54755043227665712</v>
      </c>
      <c r="CH166" s="173">
        <f t="shared" si="472"/>
        <v>6.4398811101315845E-2</v>
      </c>
      <c r="CI166" s="170">
        <v>56</v>
      </c>
      <c r="CJ166" s="217">
        <f t="shared" si="438"/>
        <v>5.6000000000000005</v>
      </c>
      <c r="CK166" s="217">
        <f t="shared" si="372"/>
        <v>0.14000000000000001</v>
      </c>
      <c r="CL166" s="217">
        <f t="shared" si="373"/>
        <v>84.000000000000014</v>
      </c>
      <c r="CM166" s="217">
        <f t="shared" si="374"/>
        <v>1.1200000000000001</v>
      </c>
      <c r="CN166" s="541">
        <f t="shared" si="375"/>
        <v>19</v>
      </c>
      <c r="CO166" s="443">
        <f t="shared" si="473"/>
        <v>15.7</v>
      </c>
      <c r="CP166" s="443">
        <f t="shared" si="474"/>
        <v>34.700000000000003</v>
      </c>
      <c r="CQ166" s="443"/>
      <c r="CR166" s="217">
        <f t="shared" si="378"/>
        <v>0.44767441860465118</v>
      </c>
      <c r="CS166" s="172">
        <f t="shared" si="379"/>
        <v>209.84738372093025</v>
      </c>
      <c r="CT166" s="172">
        <f t="shared" si="380"/>
        <v>2.835271317829458</v>
      </c>
      <c r="CU166" s="217">
        <f t="shared" si="381"/>
        <v>13.989825581395349</v>
      </c>
      <c r="CV166" s="217">
        <f t="shared" si="382"/>
        <v>26.230922965116282</v>
      </c>
      <c r="CW166" s="217">
        <f t="shared" si="383"/>
        <v>15</v>
      </c>
      <c r="CX166" s="217">
        <f t="shared" si="384"/>
        <v>20.014545454545459</v>
      </c>
      <c r="CY166" s="217">
        <f t="shared" si="385"/>
        <v>12.640765550239239</v>
      </c>
      <c r="CZ166" s="217">
        <f t="shared" si="386"/>
        <v>15.297741748697169</v>
      </c>
      <c r="DA166" s="197">
        <f t="shared" si="387"/>
        <v>71.63784822286263</v>
      </c>
      <c r="DB166" s="443">
        <f t="shared" si="388"/>
        <v>35.792892916582879</v>
      </c>
      <c r="DD166" s="217">
        <f t="shared" si="389"/>
        <v>10.000000000000002</v>
      </c>
      <c r="DE166" s="173">
        <f t="shared" si="390"/>
        <v>7.6433121019108299</v>
      </c>
      <c r="DF166" s="173">
        <f t="shared" si="391"/>
        <v>2.7017291066282429</v>
      </c>
      <c r="DG166" s="173"/>
      <c r="DH166" s="173">
        <f t="shared" si="392"/>
        <v>7.6433121019108281</v>
      </c>
      <c r="DI166" s="545">
        <f t="shared" si="393"/>
        <v>146.53333333333336</v>
      </c>
      <c r="DJ166" s="528">
        <f t="shared" si="394"/>
        <v>2.7377521613832849</v>
      </c>
      <c r="DL166" s="173">
        <f t="shared" si="395"/>
        <v>6.3665794060337717</v>
      </c>
      <c r="DM166" s="173">
        <f t="shared" si="396"/>
        <v>20.014545454545459</v>
      </c>
      <c r="DN166" s="173">
        <f t="shared" si="397"/>
        <v>8.6181818181818208</v>
      </c>
      <c r="DP166" s="545">
        <f t="shared" si="398"/>
        <v>5600.0000000000009</v>
      </c>
      <c r="DQ166" s="460">
        <f t="shared" si="399"/>
        <v>35.792892916582879</v>
      </c>
      <c r="DS166">
        <f t="shared" si="400"/>
        <v>5600.0000000000009</v>
      </c>
      <c r="DT166">
        <f t="shared" si="401"/>
        <v>35.792892916582879</v>
      </c>
      <c r="DV166" s="5">
        <f t="shared" si="402"/>
        <v>27.938507298936408</v>
      </c>
      <c r="DW166" s="5">
        <f t="shared" si="403"/>
        <v>12.640765550239239</v>
      </c>
      <c r="DX166" s="5">
        <f t="shared" si="404"/>
        <v>15.297741748697169</v>
      </c>
      <c r="DY166" s="173">
        <f t="shared" si="405"/>
        <v>0.45244956772334294</v>
      </c>
      <c r="EA166" s="5">
        <f t="shared" si="406"/>
        <v>471.92191387559831</v>
      </c>
      <c r="EB166" s="5">
        <f t="shared" si="407"/>
        <v>22.121339712918669</v>
      </c>
      <c r="EC166" s="5">
        <f t="shared" si="408"/>
        <v>18.786700393136876</v>
      </c>
      <c r="ED166" s="5"/>
      <c r="EE166" s="173">
        <f t="shared" si="409"/>
        <v>7.772669344119854</v>
      </c>
      <c r="EF166" s="173">
        <f t="shared" si="410"/>
        <v>8.5506113534453316</v>
      </c>
      <c r="EG166" s="173">
        <f t="shared" si="411"/>
        <v>0.2105797619593596</v>
      </c>
      <c r="EH166" s="173"/>
      <c r="EI166" s="528">
        <f t="shared" si="412"/>
        <v>1.2082877746604113</v>
      </c>
      <c r="EJ166" s="528">
        <f t="shared" si="413"/>
        <v>0.49716666666666665</v>
      </c>
      <c r="EK166" s="528">
        <f t="shared" si="414"/>
        <v>4.4741116145728599E-3</v>
      </c>
      <c r="EL166" s="528">
        <f t="shared" si="415"/>
        <v>4.3097864431928283E-3</v>
      </c>
      <c r="EM166">
        <f t="shared" si="416"/>
        <v>8.5500000000000003E-3</v>
      </c>
      <c r="EN166" s="460">
        <f t="shared" si="417"/>
        <v>13.02411161457286</v>
      </c>
      <c r="EP166" s="460">
        <f t="shared" si="439"/>
        <v>1722.7883393848438</v>
      </c>
      <c r="EQ166" s="173">
        <f t="shared" si="418"/>
        <v>3.92</v>
      </c>
      <c r="ER166" s="173">
        <f t="shared" si="475"/>
        <v>6.2125E-2</v>
      </c>
      <c r="ES166" s="528"/>
      <c r="EU166" s="460">
        <f t="shared" si="420"/>
        <v>3982.125</v>
      </c>
      <c r="EV166" s="528">
        <f t="shared" si="421"/>
        <v>1.8124316619906167</v>
      </c>
      <c r="EW166" s="528">
        <f t="shared" si="422"/>
        <v>2.193388635530046</v>
      </c>
      <c r="EX166" s="528">
        <f t="shared" si="423"/>
        <v>2.2171918073430274E-4</v>
      </c>
      <c r="EY166" s="528">
        <f t="shared" si="424"/>
        <v>0.68679375210278804</v>
      </c>
      <c r="EZ166" s="528"/>
      <c r="FA166" s="625">
        <f t="shared" si="425"/>
        <v>1.4337989695223128E-2</v>
      </c>
      <c r="FB166" s="460">
        <f t="shared" si="426"/>
        <v>4707.1737584994071</v>
      </c>
      <c r="FC166" s="173">
        <f t="shared" si="427"/>
        <v>10.412087097884251</v>
      </c>
      <c r="FD166" s="5">
        <f t="shared" si="428"/>
        <v>85.120000000000019</v>
      </c>
      <c r="FE166" s="173">
        <f t="shared" si="429"/>
        <v>0.89100952973825642</v>
      </c>
      <c r="FF166" s="5">
        <f t="shared" si="430"/>
        <v>89.100952973825642</v>
      </c>
      <c r="FG166">
        <f t="shared" si="431"/>
        <v>56.000000000000007</v>
      </c>
      <c r="FI166" s="562">
        <f t="shared" si="432"/>
        <v>-50</v>
      </c>
      <c r="FJ166">
        <f t="shared" si="433"/>
        <v>-50</v>
      </c>
    </row>
    <row r="167" spans="5:166">
      <c r="E167" s="170">
        <v>57</v>
      </c>
      <c r="F167" s="217">
        <f t="shared" si="476"/>
        <v>5.6999999999999993</v>
      </c>
      <c r="G167" s="217">
        <f t="shared" si="444"/>
        <v>0.14249999999999999</v>
      </c>
      <c r="H167" s="217">
        <f t="shared" si="445"/>
        <v>85.499999999999986</v>
      </c>
      <c r="I167" s="217">
        <f t="shared" si="446"/>
        <v>1.1399999999999999</v>
      </c>
      <c r="J167" s="541">
        <f t="shared" si="447"/>
        <v>18.419600073115259</v>
      </c>
      <c r="K167" s="443">
        <f t="shared" si="448"/>
        <v>16.0123</v>
      </c>
      <c r="L167" s="172">
        <f t="shared" si="449"/>
        <v>34.431900073115258</v>
      </c>
      <c r="M167" s="443"/>
      <c r="N167" s="217">
        <f t="shared" si="450"/>
        <v>0.46504259033042877</v>
      </c>
      <c r="O167" s="172">
        <f t="shared" si="451"/>
        <v>211.32973349141633</v>
      </c>
      <c r="P167" s="172">
        <f t="shared" si="452"/>
        <v>2.8552995102840253</v>
      </c>
      <c r="Q167" s="217">
        <f t="shared" si="322"/>
        <v>14.088648899427756</v>
      </c>
      <c r="R167" s="217">
        <f t="shared" si="453"/>
        <v>26.416216686427042</v>
      </c>
      <c r="S167" s="217">
        <f t="shared" si="454"/>
        <v>15</v>
      </c>
      <c r="T167" s="217">
        <f t="shared" si="455"/>
        <v>20.229051205298749</v>
      </c>
      <c r="U167" s="217">
        <f t="shared" si="326"/>
        <v>13.17882111989468</v>
      </c>
      <c r="V167" s="217">
        <f t="shared" si="327"/>
        <v>15.160134050922416</v>
      </c>
      <c r="W167" s="197">
        <f t="shared" si="328"/>
        <v>71.382487757100634</v>
      </c>
      <c r="X167" s="443">
        <f t="shared" si="435"/>
        <v>35.039825179814706</v>
      </c>
      <c r="Z167" s="217">
        <f t="shared" si="329"/>
        <v>9.9999999999999982</v>
      </c>
      <c r="AA167" s="173">
        <f t="shared" si="330"/>
        <v>7.4942388039194849</v>
      </c>
      <c r="AB167" s="173">
        <f t="shared" si="456"/>
        <v>2.6395924819222256</v>
      </c>
      <c r="AC167" s="173"/>
      <c r="AD167" s="173">
        <f t="shared" si="332"/>
        <v>7.4942388039194867</v>
      </c>
      <c r="AE167" s="545">
        <f t="shared" si="457"/>
        <v>152.11684999999997</v>
      </c>
      <c r="AF167" s="528">
        <f t="shared" si="458"/>
        <v>2.6747870483478562</v>
      </c>
      <c r="AH167" s="173">
        <f t="shared" si="459"/>
        <v>6.4231723359367248</v>
      </c>
      <c r="AI167" s="173">
        <f t="shared" si="460"/>
        <v>20.229051205298749</v>
      </c>
      <c r="AJ167" s="173">
        <f t="shared" si="461"/>
        <v>8.7770749668879624</v>
      </c>
      <c r="AL167" s="545">
        <f t="shared" si="462"/>
        <v>5699.9999999999991</v>
      </c>
      <c r="AM167" s="460">
        <f t="shared" si="463"/>
        <v>35.039825179814706</v>
      </c>
      <c r="AO167">
        <f t="shared" si="340"/>
        <v>5699.9999999999991</v>
      </c>
      <c r="AP167">
        <f t="shared" si="341"/>
        <v>35.039825179814706</v>
      </c>
      <c r="AR167" s="5">
        <f t="shared" si="443"/>
        <v>28.538955170817097</v>
      </c>
      <c r="AS167" s="5">
        <f t="shared" si="440"/>
        <v>13.17882111989468</v>
      </c>
      <c r="AT167" s="5">
        <f t="shared" si="441"/>
        <v>15.360134050922417</v>
      </c>
      <c r="AU167" s="173">
        <f t="shared" si="442"/>
        <v>0.46178358811715947</v>
      </c>
      <c r="AW167" s="5">
        <f t="shared" si="342"/>
        <v>500.79520255599772</v>
      </c>
      <c r="AX167" s="5">
        <f t="shared" si="343"/>
        <v>23.474775119812396</v>
      </c>
      <c r="AY167" s="5">
        <f t="shared" si="344"/>
        <v>19.805163101334866</v>
      </c>
      <c r="AZ167" s="5"/>
      <c r="BA167" s="173">
        <f t="shared" si="345"/>
        <v>7.9365934331381904</v>
      </c>
      <c r="BB167" s="173">
        <f t="shared" si="346"/>
        <v>8.5682741688510795</v>
      </c>
      <c r="BC167" s="173">
        <f t="shared" si="347"/>
        <v>0.2110147520799403</v>
      </c>
      <c r="BD167" s="173"/>
      <c r="BE167" s="528">
        <f t="shared" si="348"/>
        <v>1.2597903064586451</v>
      </c>
      <c r="BF167" s="528">
        <f t="shared" si="464"/>
        <v>0.45761442485310783</v>
      </c>
      <c r="BG167" s="528">
        <f t="shared" si="465"/>
        <v>1.613548916110152E-2</v>
      </c>
      <c r="BH167" s="528">
        <f t="shared" si="351"/>
        <v>4.1541665963206005E-3</v>
      </c>
      <c r="BI167">
        <f t="shared" si="352"/>
        <v>8.2888200329018658E-3</v>
      </c>
      <c r="BJ167" s="460">
        <f t="shared" si="436"/>
        <v>24.424309194003389</v>
      </c>
      <c r="BK167">
        <f t="shared" si="466"/>
        <v>2.9424565502945872</v>
      </c>
      <c r="BL167" s="460">
        <f t="shared" si="437"/>
        <v>1745.9832071020767</v>
      </c>
      <c r="BM167" s="173">
        <f t="shared" si="467"/>
        <v>3.5411249999999992</v>
      </c>
      <c r="BN167" s="173">
        <f t="shared" si="468"/>
        <v>8.8528124999999985E-2</v>
      </c>
      <c r="BO167" s="528"/>
      <c r="BQ167" s="460">
        <f t="shared" si="356"/>
        <v>3629.6531249999989</v>
      </c>
      <c r="BR167" s="528">
        <f t="shared" si="357"/>
        <v>1.8896854596879673</v>
      </c>
      <c r="BS167" s="528">
        <f t="shared" si="358"/>
        <v>2.2024596669780196</v>
      </c>
      <c r="BT167" s="528">
        <f t="shared" si="359"/>
        <v>2.2263612797679335E-4</v>
      </c>
      <c r="BU167" s="528">
        <f t="shared" si="360"/>
        <v>0.66882672055120018</v>
      </c>
      <c r="BV167" s="528"/>
      <c r="BW167" s="625">
        <f t="shared" si="469"/>
        <v>1.4338804984880691E-2</v>
      </c>
      <c r="BX167" s="460">
        <f t="shared" si="362"/>
        <v>4775.5332883300443</v>
      </c>
      <c r="BY167" s="173">
        <f t="shared" si="363"/>
        <v>10.151169620432119</v>
      </c>
      <c r="BZ167" s="5">
        <f t="shared" si="364"/>
        <v>86.639999999999986</v>
      </c>
      <c r="CA167" s="173">
        <f t="shared" si="365"/>
        <v>0.89512297805429908</v>
      </c>
      <c r="CB167" s="5">
        <f t="shared" si="366"/>
        <v>89.51229780542991</v>
      </c>
      <c r="CC167">
        <f t="shared" si="367"/>
        <v>56.999999999999993</v>
      </c>
      <c r="CE167" s="562">
        <f t="shared" si="470"/>
        <v>-50</v>
      </c>
      <c r="CF167">
        <f t="shared" si="471"/>
        <v>-50</v>
      </c>
      <c r="CG167" s="173">
        <f t="shared" si="370"/>
        <v>0.54755043227665701</v>
      </c>
      <c r="CH167" s="173">
        <f t="shared" si="472"/>
        <v>6.4398811101315859E-2</v>
      </c>
      <c r="CI167" s="170">
        <v>57</v>
      </c>
      <c r="CJ167" s="217">
        <f t="shared" si="438"/>
        <v>5.6999999999999993</v>
      </c>
      <c r="CK167" s="217">
        <f t="shared" si="372"/>
        <v>0.14249999999999999</v>
      </c>
      <c r="CL167" s="217">
        <f t="shared" si="373"/>
        <v>85.499999999999986</v>
      </c>
      <c r="CM167" s="217">
        <f t="shared" si="374"/>
        <v>1.1399999999999999</v>
      </c>
      <c r="CN167" s="541">
        <f t="shared" si="375"/>
        <v>19</v>
      </c>
      <c r="CO167" s="443">
        <f t="shared" si="473"/>
        <v>15.7</v>
      </c>
      <c r="CP167" s="443">
        <f t="shared" si="474"/>
        <v>34.700000000000003</v>
      </c>
      <c r="CQ167" s="443"/>
      <c r="CR167" s="217">
        <f t="shared" si="378"/>
        <v>0.44767441860465118</v>
      </c>
      <c r="CS167" s="172">
        <f t="shared" si="379"/>
        <v>209.84738372093025</v>
      </c>
      <c r="CT167" s="172">
        <f t="shared" si="380"/>
        <v>2.835271317829458</v>
      </c>
      <c r="CU167" s="217">
        <f t="shared" si="381"/>
        <v>13.989825581395349</v>
      </c>
      <c r="CV167" s="217">
        <f t="shared" si="382"/>
        <v>26.230922965116282</v>
      </c>
      <c r="CW167" s="217">
        <f t="shared" si="383"/>
        <v>15</v>
      </c>
      <c r="CX167" s="217">
        <f t="shared" si="384"/>
        <v>20.371948051948049</v>
      </c>
      <c r="CY167" s="217">
        <f t="shared" si="385"/>
        <v>12.866493506493503</v>
      </c>
      <c r="CZ167" s="217">
        <f t="shared" si="386"/>
        <v>15.570915708495322</v>
      </c>
      <c r="DA167" s="197">
        <f t="shared" si="387"/>
        <v>71.63784822286263</v>
      </c>
      <c r="DB167" s="443">
        <f t="shared" si="388"/>
        <v>35.164947426818294</v>
      </c>
      <c r="DD167" s="217">
        <f t="shared" si="389"/>
        <v>10.000000000000002</v>
      </c>
      <c r="DE167" s="173">
        <f t="shared" si="390"/>
        <v>7.6433121019108299</v>
      </c>
      <c r="DF167" s="173">
        <f t="shared" si="391"/>
        <v>2.7017291066282429</v>
      </c>
      <c r="DG167" s="173"/>
      <c r="DH167" s="173">
        <f t="shared" si="392"/>
        <v>7.6433121019108281</v>
      </c>
      <c r="DI167" s="545">
        <f t="shared" si="393"/>
        <v>149.15</v>
      </c>
      <c r="DJ167" s="528">
        <f t="shared" si="394"/>
        <v>2.7377521613832849</v>
      </c>
      <c r="DL167" s="173">
        <f t="shared" si="395"/>
        <v>6.4231723359367248</v>
      </c>
      <c r="DM167" s="173">
        <f t="shared" si="396"/>
        <v>20.371948051948049</v>
      </c>
      <c r="DN167" s="173">
        <f t="shared" si="397"/>
        <v>8.88292448292448</v>
      </c>
      <c r="DP167" s="545">
        <f t="shared" si="398"/>
        <v>5699.9999999999991</v>
      </c>
      <c r="DQ167" s="460">
        <f t="shared" si="399"/>
        <v>35.164947426818294</v>
      </c>
      <c r="DS167">
        <f t="shared" si="400"/>
        <v>5699.9999999999991</v>
      </c>
      <c r="DT167">
        <f t="shared" si="401"/>
        <v>35.164947426818294</v>
      </c>
      <c r="DV167" s="5">
        <f t="shared" si="402"/>
        <v>28.437409214988822</v>
      </c>
      <c r="DW167" s="5">
        <f t="shared" si="403"/>
        <v>12.866493506493503</v>
      </c>
      <c r="DX167" s="5">
        <f t="shared" si="404"/>
        <v>15.570915708495319</v>
      </c>
      <c r="DY167" s="173">
        <f t="shared" si="405"/>
        <v>0.45244956772334299</v>
      </c>
      <c r="EA167" s="5">
        <f t="shared" si="406"/>
        <v>488.92675324675309</v>
      </c>
      <c r="EB167" s="5">
        <f t="shared" si="407"/>
        <v>22.91844155844155</v>
      </c>
      <c r="EC167" s="5">
        <f t="shared" si="408"/>
        <v>19.463644635619143</v>
      </c>
      <c r="ED167" s="5"/>
      <c r="EE167" s="173">
        <f t="shared" si="409"/>
        <v>7.911467010979135</v>
      </c>
      <c r="EF167" s="173">
        <f t="shared" si="410"/>
        <v>8.7033008418997095</v>
      </c>
      <c r="EG167" s="173">
        <f t="shared" si="411"/>
        <v>0.2143401148514909</v>
      </c>
      <c r="EH167" s="173"/>
      <c r="EI167" s="528">
        <f t="shared" si="412"/>
        <v>1.2518262053162226</v>
      </c>
      <c r="EJ167" s="528">
        <f t="shared" si="413"/>
        <v>0.49716666666666687</v>
      </c>
      <c r="EK167" s="528">
        <f t="shared" si="414"/>
        <v>4.3956184283522864E-3</v>
      </c>
      <c r="EL167" s="528">
        <f t="shared" si="415"/>
        <v>4.2341761547157655E-3</v>
      </c>
      <c r="EM167">
        <f t="shared" si="416"/>
        <v>8.5500000000000003E-3</v>
      </c>
      <c r="EN167" s="460">
        <f t="shared" si="417"/>
        <v>12.945618428352287</v>
      </c>
      <c r="EP167" s="460">
        <f t="shared" si="439"/>
        <v>1766.1726665659573</v>
      </c>
      <c r="EQ167" s="173">
        <f t="shared" si="418"/>
        <v>3.9899999999999993</v>
      </c>
      <c r="ER167" s="173">
        <f t="shared" si="475"/>
        <v>6.3234374999999995E-2</v>
      </c>
      <c r="ES167" s="528"/>
      <c r="EU167" s="460">
        <f t="shared" si="420"/>
        <v>4053.2343749999995</v>
      </c>
      <c r="EV167" s="528">
        <f t="shared" si="421"/>
        <v>1.8777393079743339</v>
      </c>
      <c r="EW167" s="528">
        <f t="shared" si="422"/>
        <v>2.2724233663383657</v>
      </c>
      <c r="EX167" s="528">
        <f t="shared" si="423"/>
        <v>2.2970842417275157E-4</v>
      </c>
      <c r="EY167" s="528">
        <f t="shared" si="424"/>
        <v>0.68679375210278981</v>
      </c>
      <c r="EZ167" s="528"/>
      <c r="FA167" s="625">
        <f t="shared" si="425"/>
        <v>1.4594025225494968E-2</v>
      </c>
      <c r="FB167" s="460">
        <f t="shared" si="426"/>
        <v>4851.7801600651574</v>
      </c>
      <c r="FC167" s="173">
        <f t="shared" si="427"/>
        <v>10.671187201631115</v>
      </c>
      <c r="FD167" s="5">
        <f t="shared" si="428"/>
        <v>86.639999999999986</v>
      </c>
      <c r="FE167" s="173">
        <f t="shared" si="429"/>
        <v>0.89033956414980164</v>
      </c>
      <c r="FF167" s="5">
        <f t="shared" si="430"/>
        <v>89.033956414980167</v>
      </c>
      <c r="FG167">
        <f t="shared" si="431"/>
        <v>56.999999999999993</v>
      </c>
      <c r="FI167" s="562">
        <f t="shared" si="432"/>
        <v>-50</v>
      </c>
      <c r="FJ167">
        <f t="shared" si="433"/>
        <v>-50</v>
      </c>
    </row>
    <row r="168" spans="5:166">
      <c r="E168" s="170">
        <v>58</v>
      </c>
      <c r="F168" s="217">
        <f t="shared" si="476"/>
        <v>5.8</v>
      </c>
      <c r="G168" s="217">
        <f t="shared" si="444"/>
        <v>0.14499999999999999</v>
      </c>
      <c r="H168" s="217">
        <f t="shared" si="445"/>
        <v>87</v>
      </c>
      <c r="I168" s="217">
        <f t="shared" si="446"/>
        <v>1.1599999999999999</v>
      </c>
      <c r="J168" s="541">
        <f t="shared" si="447"/>
        <v>18.409417618257631</v>
      </c>
      <c r="K168" s="443">
        <f t="shared" si="448"/>
        <v>16.01777894736842</v>
      </c>
      <c r="L168" s="172">
        <f t="shared" si="449"/>
        <v>34.427196565626048</v>
      </c>
      <c r="M168" s="443"/>
      <c r="N168" s="217">
        <f t="shared" si="450"/>
        <v>0.46526527121762296</v>
      </c>
      <c r="O168" s="172">
        <f t="shared" si="451"/>
        <v>211.31404640913956</v>
      </c>
      <c r="P168" s="172">
        <f t="shared" si="452"/>
        <v>2.8550875603723744</v>
      </c>
      <c r="Q168" s="217">
        <f t="shared" si="322"/>
        <v>14.087603093942638</v>
      </c>
      <c r="R168" s="217">
        <f t="shared" si="453"/>
        <v>26.414255801142446</v>
      </c>
      <c r="S168" s="217">
        <f t="shared" si="454"/>
        <v>15</v>
      </c>
      <c r="T168" s="217">
        <f t="shared" si="455"/>
        <v>20.585474907700494</v>
      </c>
      <c r="U168" s="217">
        <f t="shared" si="326"/>
        <v>13.418441800538924</v>
      </c>
      <c r="V168" s="217">
        <f t="shared" si="327"/>
        <v>15.421969531736487</v>
      </c>
      <c r="W168" s="197">
        <f t="shared" si="328"/>
        <v>71.377189009309362</v>
      </c>
      <c r="X168" s="443">
        <f t="shared" si="435"/>
        <v>34.434773962330333</v>
      </c>
      <c r="Z168" s="217">
        <f t="shared" si="329"/>
        <v>9.9999999999999982</v>
      </c>
      <c r="AA168" s="173">
        <f t="shared" si="330"/>
        <v>7.4916753686199993</v>
      </c>
      <c r="AB168" s="173">
        <f t="shared" si="456"/>
        <v>2.6384937275446232</v>
      </c>
      <c r="AC168" s="173"/>
      <c r="AD168" s="173">
        <f t="shared" si="332"/>
        <v>7.4916753686200011</v>
      </c>
      <c r="AE168" s="545">
        <f t="shared" si="457"/>
        <v>154.83852982456139</v>
      </c>
      <c r="AF168" s="528">
        <f t="shared" si="458"/>
        <v>2.673673643911886</v>
      </c>
      <c r="AH168" s="173">
        <f t="shared" si="459"/>
        <v>6.4792709760398495</v>
      </c>
      <c r="AI168" s="173">
        <f t="shared" si="460"/>
        <v>20.585474907700494</v>
      </c>
      <c r="AJ168" s="173">
        <f t="shared" si="461"/>
        <v>9.0410925242225879</v>
      </c>
      <c r="AL168" s="545">
        <f t="shared" si="462"/>
        <v>5800</v>
      </c>
      <c r="AM168" s="460">
        <f t="shared" si="463"/>
        <v>34.434773962330333</v>
      </c>
      <c r="AO168">
        <f t="shared" si="340"/>
        <v>5800</v>
      </c>
      <c r="AP168">
        <f t="shared" si="341"/>
        <v>34.434773962330333</v>
      </c>
      <c r="AR168" s="5">
        <f t="shared" si="443"/>
        <v>29.040411332275411</v>
      </c>
      <c r="AS168" s="5">
        <f t="shared" si="440"/>
        <v>13.418441800538924</v>
      </c>
      <c r="AT168" s="5">
        <f t="shared" si="441"/>
        <v>15.621969531736488</v>
      </c>
      <c r="AU168" s="173">
        <f t="shared" si="442"/>
        <v>0.46206101032824265</v>
      </c>
      <c r="AW168" s="5">
        <f t="shared" si="342"/>
        <v>518.84641628750501</v>
      </c>
      <c r="AX168" s="5">
        <f t="shared" si="343"/>
        <v>24.320925763476797</v>
      </c>
      <c r="AY168" s="5">
        <f t="shared" si="344"/>
        <v>20.507489056898805</v>
      </c>
      <c r="AZ168" s="5"/>
      <c r="BA168" s="173">
        <f t="shared" si="345"/>
        <v>8.0788570746988277</v>
      </c>
      <c r="BB168" s="173">
        <f t="shared" si="346"/>
        <v>8.7169945561401825</v>
      </c>
      <c r="BC168" s="173">
        <f t="shared" si="347"/>
        <v>0.21467735612768765</v>
      </c>
      <c r="BD168" s="173"/>
      <c r="BE168" s="528">
        <f t="shared" si="348"/>
        <v>1.3053586326682258</v>
      </c>
      <c r="BF168" s="528">
        <f t="shared" si="464"/>
        <v>0.45757370410624193</v>
      </c>
      <c r="BG168" s="528">
        <f t="shared" si="465"/>
        <v>1.5848103361571081E-2</v>
      </c>
      <c r="BH168" s="528">
        <f t="shared" si="351"/>
        <v>4.0813191308037419E-3</v>
      </c>
      <c r="BI168">
        <f t="shared" si="352"/>
        <v>8.2842379282159345E-3</v>
      </c>
      <c r="BJ168" s="460">
        <f t="shared" si="436"/>
        <v>24.132341289787014</v>
      </c>
      <c r="BK168">
        <f t="shared" si="466"/>
        <v>3.072364068219835</v>
      </c>
      <c r="BL168" s="460">
        <f t="shared" si="437"/>
        <v>1791.1459971950587</v>
      </c>
      <c r="BM168" s="173">
        <f t="shared" si="467"/>
        <v>3.6032499999999996</v>
      </c>
      <c r="BN168" s="173">
        <f t="shared" si="468"/>
        <v>9.0081249999999988E-2</v>
      </c>
      <c r="BO168" s="528"/>
      <c r="BQ168" s="460">
        <f t="shared" si="356"/>
        <v>3693.3312499999997</v>
      </c>
      <c r="BR168" s="528">
        <f t="shared" si="357"/>
        <v>1.9580379490023387</v>
      </c>
      <c r="BS168" s="528">
        <f t="shared" si="358"/>
        <v>2.2795798227533268</v>
      </c>
      <c r="BT168" s="528">
        <f t="shared" si="359"/>
        <v>2.3043183616987015E-4</v>
      </c>
      <c r="BU168" s="528">
        <f t="shared" si="360"/>
        <v>0.66890635533885878</v>
      </c>
      <c r="BV168" s="528"/>
      <c r="BW168" s="625">
        <f t="shared" si="469"/>
        <v>1.4592141010916031E-2</v>
      </c>
      <c r="BX168" s="460">
        <f t="shared" si="362"/>
        <v>4921.3466999416105</v>
      </c>
      <c r="BY168" s="173">
        <f t="shared" si="363"/>
        <v>10.405823947136669</v>
      </c>
      <c r="BZ168" s="5">
        <f t="shared" si="364"/>
        <v>88.16</v>
      </c>
      <c r="CA168" s="173">
        <f t="shared" si="365"/>
        <v>0.89442766741626822</v>
      </c>
      <c r="CB168" s="5">
        <f t="shared" si="366"/>
        <v>89.442766741626826</v>
      </c>
      <c r="CC168">
        <f t="shared" si="367"/>
        <v>57.999999999999993</v>
      </c>
      <c r="CE168" s="562">
        <f t="shared" si="470"/>
        <v>-50</v>
      </c>
      <c r="CF168">
        <f t="shared" si="471"/>
        <v>-50</v>
      </c>
      <c r="CG168" s="173">
        <f t="shared" si="370"/>
        <v>0.54755043227665712</v>
      </c>
      <c r="CH168" s="173">
        <f t="shared" si="472"/>
        <v>6.4398811101315859E-2</v>
      </c>
      <c r="CI168" s="170">
        <v>58</v>
      </c>
      <c r="CJ168" s="217">
        <f t="shared" si="438"/>
        <v>5.8</v>
      </c>
      <c r="CK168" s="217">
        <f t="shared" si="372"/>
        <v>0.14499999999999999</v>
      </c>
      <c r="CL168" s="217">
        <f t="shared" si="373"/>
        <v>87</v>
      </c>
      <c r="CM168" s="217">
        <f t="shared" si="374"/>
        <v>1.1599999999999999</v>
      </c>
      <c r="CN168" s="541">
        <f t="shared" si="375"/>
        <v>19</v>
      </c>
      <c r="CO168" s="443">
        <f t="shared" si="473"/>
        <v>15.7</v>
      </c>
      <c r="CP168" s="443">
        <f t="shared" si="474"/>
        <v>34.700000000000003</v>
      </c>
      <c r="CQ168" s="443"/>
      <c r="CR168" s="217">
        <f t="shared" si="378"/>
        <v>0.44767441860465118</v>
      </c>
      <c r="CS168" s="172">
        <f t="shared" si="379"/>
        <v>209.84738372093025</v>
      </c>
      <c r="CT168" s="172">
        <f t="shared" si="380"/>
        <v>2.835271317829458</v>
      </c>
      <c r="CU168" s="217">
        <f t="shared" si="381"/>
        <v>13.989825581395349</v>
      </c>
      <c r="CV168" s="217">
        <f t="shared" si="382"/>
        <v>26.230922965116282</v>
      </c>
      <c r="CW168" s="217">
        <f t="shared" si="383"/>
        <v>15</v>
      </c>
      <c r="CX168" s="217">
        <f t="shared" si="384"/>
        <v>20.729350649350646</v>
      </c>
      <c r="CY168" s="217">
        <f t="shared" si="385"/>
        <v>13.092221462747776</v>
      </c>
      <c r="CZ168" s="217">
        <f t="shared" si="386"/>
        <v>15.844089668293487</v>
      </c>
      <c r="DA168" s="197">
        <f t="shared" si="387"/>
        <v>71.63784822286263</v>
      </c>
      <c r="DB168" s="443">
        <f t="shared" si="388"/>
        <v>34.558655229804174</v>
      </c>
      <c r="DD168" s="217">
        <f t="shared" si="389"/>
        <v>10.000000000000002</v>
      </c>
      <c r="DE168" s="173">
        <f t="shared" si="390"/>
        <v>7.6433121019108299</v>
      </c>
      <c r="DF168" s="173">
        <f t="shared" si="391"/>
        <v>2.7017291066282429</v>
      </c>
      <c r="DG168" s="173"/>
      <c r="DH168" s="173">
        <f t="shared" si="392"/>
        <v>7.6433121019108281</v>
      </c>
      <c r="DI168" s="545">
        <f t="shared" si="393"/>
        <v>151.76666666666668</v>
      </c>
      <c r="DJ168" s="528">
        <f t="shared" si="394"/>
        <v>2.7377521613832849</v>
      </c>
      <c r="DL168" s="173">
        <f t="shared" si="395"/>
        <v>6.4792709760398495</v>
      </c>
      <c r="DM168" s="173">
        <f t="shared" si="396"/>
        <v>20.729350649350646</v>
      </c>
      <c r="DN168" s="173">
        <f t="shared" si="397"/>
        <v>9.1476671476671463</v>
      </c>
      <c r="DP168" s="545">
        <f t="shared" si="398"/>
        <v>5800</v>
      </c>
      <c r="DQ168" s="460">
        <f t="shared" si="399"/>
        <v>34.558655229804174</v>
      </c>
      <c r="DS168">
        <f t="shared" si="400"/>
        <v>5800</v>
      </c>
      <c r="DT168">
        <f t="shared" si="401"/>
        <v>34.558655229804174</v>
      </c>
      <c r="DV168" s="5">
        <f t="shared" si="402"/>
        <v>28.936311131041268</v>
      </c>
      <c r="DW168" s="5">
        <f t="shared" si="403"/>
        <v>13.092221462747776</v>
      </c>
      <c r="DX168" s="5">
        <f t="shared" si="404"/>
        <v>15.844089668293492</v>
      </c>
      <c r="DY168" s="173">
        <f t="shared" si="405"/>
        <v>0.45244956772334288</v>
      </c>
      <c r="EA168" s="5">
        <f t="shared" si="406"/>
        <v>506.23256322624735</v>
      </c>
      <c r="EB168" s="5">
        <f t="shared" si="407"/>
        <v>23.729651401230342</v>
      </c>
      <c r="EC168" s="5">
        <f t="shared" si="408"/>
        <v>20.152570192127683</v>
      </c>
      <c r="ED168" s="5"/>
      <c r="EE168" s="173">
        <f t="shared" si="409"/>
        <v>8.0502646778384168</v>
      </c>
      <c r="EF168" s="173">
        <f t="shared" si="410"/>
        <v>8.855990330354091</v>
      </c>
      <c r="EG168" s="173">
        <f t="shared" si="411"/>
        <v>0.21810046774362232</v>
      </c>
      <c r="EH168" s="173"/>
      <c r="EI168" s="528">
        <f t="shared" si="412"/>
        <v>1.2961352276650573</v>
      </c>
      <c r="EJ168" s="528">
        <f t="shared" si="413"/>
        <v>0.49716666666666665</v>
      </c>
      <c r="EK168" s="528">
        <f t="shared" si="414"/>
        <v>4.319831903725522E-3</v>
      </c>
      <c r="EL168" s="528">
        <f t="shared" si="415"/>
        <v>4.1611731175654918E-3</v>
      </c>
      <c r="EM168">
        <f t="shared" si="416"/>
        <v>8.5500000000000003E-3</v>
      </c>
      <c r="EN168" s="460">
        <f t="shared" si="417"/>
        <v>12.869831903725522</v>
      </c>
      <c r="EP168" s="460">
        <f t="shared" si="439"/>
        <v>1810.3328993530147</v>
      </c>
      <c r="EQ168" s="173">
        <f t="shared" si="418"/>
        <v>4.0599999999999996</v>
      </c>
      <c r="ER168" s="173">
        <f t="shared" si="475"/>
        <v>6.4343749999999991E-2</v>
      </c>
      <c r="ES168" s="528"/>
      <c r="EU168" s="460">
        <f t="shared" si="420"/>
        <v>4124.3437499999991</v>
      </c>
      <c r="EV168" s="528">
        <f t="shared" si="421"/>
        <v>1.9442028414975858</v>
      </c>
      <c r="EW168" s="528">
        <f t="shared" si="422"/>
        <v>2.3528569419397551</v>
      </c>
      <c r="EX168" s="528">
        <f t="shared" si="423"/>
        <v>2.378390701499342E-4</v>
      </c>
      <c r="EY168" s="528">
        <f t="shared" si="424"/>
        <v>0.68679375210278804</v>
      </c>
      <c r="EZ168" s="528"/>
      <c r="FA168" s="625">
        <f t="shared" si="425"/>
        <v>1.4850060755766805E-2</v>
      </c>
      <c r="FB168" s="460">
        <f t="shared" si="426"/>
        <v>4998.941435366045</v>
      </c>
      <c r="FC168" s="173">
        <f t="shared" si="427"/>
        <v>10.933618084719063</v>
      </c>
      <c r="FD168" s="5">
        <f t="shared" si="428"/>
        <v>88.16</v>
      </c>
      <c r="FE168" s="173">
        <f t="shared" si="429"/>
        <v>0.88966375134903763</v>
      </c>
      <c r="FF168" s="5">
        <f t="shared" si="430"/>
        <v>88.966375134903757</v>
      </c>
      <c r="FG168">
        <f t="shared" si="431"/>
        <v>57.999999999999993</v>
      </c>
      <c r="FI168" s="562">
        <f t="shared" si="432"/>
        <v>-50</v>
      </c>
      <c r="FJ168">
        <f t="shared" si="433"/>
        <v>-50</v>
      </c>
    </row>
    <row r="169" spans="5:166">
      <c r="E169" s="170">
        <v>59</v>
      </c>
      <c r="F169" s="217">
        <f t="shared" si="476"/>
        <v>5.8999999999999995</v>
      </c>
      <c r="G169" s="217">
        <f t="shared" si="444"/>
        <v>0.14749999999999999</v>
      </c>
      <c r="H169" s="217">
        <f t="shared" si="445"/>
        <v>88.499999999999986</v>
      </c>
      <c r="I169" s="217">
        <f t="shared" si="446"/>
        <v>1.18</v>
      </c>
      <c r="J169" s="541">
        <f t="shared" si="447"/>
        <v>18.399235163400004</v>
      </c>
      <c r="K169" s="443">
        <f t="shared" si="448"/>
        <v>16.02325789473684</v>
      </c>
      <c r="L169" s="172">
        <f t="shared" si="449"/>
        <v>34.422493058136844</v>
      </c>
      <c r="M169" s="443"/>
      <c r="N169" s="217">
        <f t="shared" si="450"/>
        <v>0.46548801295928321</v>
      </c>
      <c r="O169" s="172">
        <f t="shared" si="451"/>
        <v>211.29827507027076</v>
      </c>
      <c r="P169" s="172">
        <f t="shared" si="452"/>
        <v>2.8548744720605472</v>
      </c>
      <c r="Q169" s="217">
        <f t="shared" si="322"/>
        <v>14.086551671351383</v>
      </c>
      <c r="R169" s="217">
        <f t="shared" si="453"/>
        <v>26.412284383783845</v>
      </c>
      <c r="S169" s="217">
        <f t="shared" si="454"/>
        <v>15</v>
      </c>
      <c r="T169" s="217">
        <f t="shared" si="455"/>
        <v>20.941959883621351</v>
      </c>
      <c r="U169" s="217">
        <f t="shared" si="326"/>
        <v>13.65836766429033</v>
      </c>
      <c r="V169" s="217">
        <f t="shared" si="327"/>
        <v>15.68367183842194</v>
      </c>
      <c r="W169" s="197">
        <f t="shared" si="328"/>
        <v>71.371861801513674</v>
      </c>
      <c r="X169" s="443">
        <f t="shared" si="435"/>
        <v>33.850066442033885</v>
      </c>
      <c r="Z169" s="217">
        <f t="shared" si="329"/>
        <v>10</v>
      </c>
      <c r="AA169" s="173">
        <f t="shared" si="330"/>
        <v>7.4891136863881096</v>
      </c>
      <c r="AB169" s="173">
        <f t="shared" si="456"/>
        <v>2.6373946728982736</v>
      </c>
      <c r="AC169" s="173"/>
      <c r="AD169" s="173">
        <f t="shared" si="332"/>
        <v>7.4891136863881096</v>
      </c>
      <c r="AE169" s="545">
        <f t="shared" si="457"/>
        <v>157.56203596491227</v>
      </c>
      <c r="AF169" s="528">
        <f t="shared" si="458"/>
        <v>2.672559935203584</v>
      </c>
      <c r="AH169" s="173">
        <f t="shared" si="459"/>
        <v>6.5348880560237523</v>
      </c>
      <c r="AI169" s="173">
        <f t="shared" si="460"/>
        <v>20.941959883621351</v>
      </c>
      <c r="AJ169" s="173">
        <f t="shared" si="461"/>
        <v>9.3051554693491472</v>
      </c>
      <c r="AL169" s="545">
        <f t="shared" si="462"/>
        <v>5899.9999999999991</v>
      </c>
      <c r="AM169" s="460">
        <f t="shared" si="463"/>
        <v>33.850066442033885</v>
      </c>
      <c r="AO169">
        <f t="shared" si="340"/>
        <v>5899.9999999999991</v>
      </c>
      <c r="AP169">
        <f t="shared" si="341"/>
        <v>33.850066442033885</v>
      </c>
      <c r="AR169" s="5">
        <f t="shared" si="443"/>
        <v>29.542039502712271</v>
      </c>
      <c r="AS169" s="5">
        <f t="shared" si="440"/>
        <v>13.65836766429033</v>
      </c>
      <c r="AT169" s="5">
        <f t="shared" si="441"/>
        <v>15.883671838421941</v>
      </c>
      <c r="AU169" s="173">
        <f t="shared" si="442"/>
        <v>0.46233665292595483</v>
      </c>
      <c r="AW169" s="5">
        <f t="shared" si="342"/>
        <v>537.2291281287529</v>
      </c>
      <c r="AX169" s="5">
        <f t="shared" si="343"/>
        <v>25.182615381035294</v>
      </c>
      <c r="AY169" s="5">
        <f t="shared" si="344"/>
        <v>21.222273420252876</v>
      </c>
      <c r="AZ169" s="5"/>
      <c r="BA169" s="173">
        <f t="shared" si="345"/>
        <v>8.2212122042334848</v>
      </c>
      <c r="BB169" s="173">
        <f t="shared" si="346"/>
        <v>8.8656771398860297</v>
      </c>
      <c r="BC169" s="173">
        <f t="shared" si="347"/>
        <v>0.21833902917052656</v>
      </c>
      <c r="BD169" s="173"/>
      <c r="BE169" s="528">
        <f t="shared" si="348"/>
        <v>1.3517666021407519</v>
      </c>
      <c r="BF169" s="528">
        <f t="shared" si="464"/>
        <v>0.45753091242114835</v>
      </c>
      <c r="BG169" s="528">
        <f t="shared" si="465"/>
        <v>1.5570383319092409E-2</v>
      </c>
      <c r="BH169" s="528">
        <f t="shared" si="351"/>
        <v>4.010921548692304E-3</v>
      </c>
      <c r="BI169">
        <f t="shared" si="352"/>
        <v>8.2796558235300015E-3</v>
      </c>
      <c r="BJ169" s="460">
        <f t="shared" si="436"/>
        <v>23.850039142622411</v>
      </c>
      <c r="BK169">
        <f t="shared" si="466"/>
        <v>3.2089281390480808</v>
      </c>
      <c r="BL169" s="460">
        <f t="shared" si="437"/>
        <v>1837.1584752532151</v>
      </c>
      <c r="BM169" s="173">
        <f t="shared" si="467"/>
        <v>3.6653749999999987</v>
      </c>
      <c r="BN169" s="173">
        <f t="shared" si="468"/>
        <v>9.163437499999999E-2</v>
      </c>
      <c r="BO169" s="528"/>
      <c r="BQ169" s="460">
        <f t="shared" si="356"/>
        <v>3757.0093749999987</v>
      </c>
      <c r="BR169" s="528">
        <f t="shared" si="357"/>
        <v>2.0276499032111275</v>
      </c>
      <c r="BS169" s="528">
        <f t="shared" si="358"/>
        <v>2.3580069344609318</v>
      </c>
      <c r="BT169" s="528">
        <f t="shared" si="359"/>
        <v>2.3835965829564022E-4</v>
      </c>
      <c r="BU169" s="528">
        <f t="shared" si="360"/>
        <v>0.66897844750308555</v>
      </c>
      <c r="BV169" s="528"/>
      <c r="BW169" s="625">
        <f t="shared" si="469"/>
        <v>1.4845477534715946E-2</v>
      </c>
      <c r="BX169" s="460">
        <f t="shared" si="362"/>
        <v>5069.7191223681557</v>
      </c>
      <c r="BY169" s="173">
        <f t="shared" si="363"/>
        <v>10.66388697262137</v>
      </c>
      <c r="BZ169" s="5">
        <f t="shared" si="364"/>
        <v>89.679999999999993</v>
      </c>
      <c r="CA169" s="173">
        <f t="shared" si="365"/>
        <v>0.89372659068378535</v>
      </c>
      <c r="CB169" s="5">
        <f t="shared" si="366"/>
        <v>89.372659068378539</v>
      </c>
      <c r="CC169">
        <f t="shared" si="367"/>
        <v>59</v>
      </c>
      <c r="CE169" s="562">
        <f t="shared" si="470"/>
        <v>-50</v>
      </c>
      <c r="CF169">
        <f t="shared" si="471"/>
        <v>-50</v>
      </c>
      <c r="CG169" s="173">
        <f t="shared" si="370"/>
        <v>0.54755043227665712</v>
      </c>
      <c r="CH169" s="173">
        <f t="shared" si="472"/>
        <v>6.4398811101315845E-2</v>
      </c>
      <c r="CI169" s="170">
        <v>59</v>
      </c>
      <c r="CJ169" s="217">
        <f t="shared" si="438"/>
        <v>5.8999999999999995</v>
      </c>
      <c r="CK169" s="217">
        <f t="shared" si="372"/>
        <v>0.14749999999999999</v>
      </c>
      <c r="CL169" s="217">
        <f t="shared" si="373"/>
        <v>88.499999999999986</v>
      </c>
      <c r="CM169" s="217">
        <f t="shared" si="374"/>
        <v>1.18</v>
      </c>
      <c r="CN169" s="541">
        <f t="shared" si="375"/>
        <v>19</v>
      </c>
      <c r="CO169" s="443">
        <f t="shared" si="473"/>
        <v>15.7</v>
      </c>
      <c r="CP169" s="443">
        <f t="shared" si="474"/>
        <v>34.700000000000003</v>
      </c>
      <c r="CQ169" s="443"/>
      <c r="CR169" s="217">
        <f t="shared" si="378"/>
        <v>0.44767441860465118</v>
      </c>
      <c r="CS169" s="172">
        <f t="shared" si="379"/>
        <v>209.84738372093025</v>
      </c>
      <c r="CT169" s="172">
        <f t="shared" si="380"/>
        <v>2.835271317829458</v>
      </c>
      <c r="CU169" s="217">
        <f t="shared" si="381"/>
        <v>13.989825581395349</v>
      </c>
      <c r="CV169" s="217">
        <f t="shared" si="382"/>
        <v>26.230922965116282</v>
      </c>
      <c r="CW169" s="217">
        <f t="shared" si="383"/>
        <v>15</v>
      </c>
      <c r="CX169" s="217">
        <f t="shared" si="384"/>
        <v>21.086753246753243</v>
      </c>
      <c r="CY169" s="217">
        <f t="shared" si="385"/>
        <v>13.31794941900205</v>
      </c>
      <c r="CZ169" s="217">
        <f t="shared" si="386"/>
        <v>16.117263628091653</v>
      </c>
      <c r="DA169" s="197">
        <f t="shared" si="387"/>
        <v>71.63784822286263</v>
      </c>
      <c r="DB169" s="443">
        <f t="shared" si="388"/>
        <v>33.972915310654948</v>
      </c>
      <c r="DD169" s="217">
        <f t="shared" si="389"/>
        <v>10.000000000000002</v>
      </c>
      <c r="DE169" s="173">
        <f t="shared" si="390"/>
        <v>7.6433121019108299</v>
      </c>
      <c r="DF169" s="173">
        <f t="shared" si="391"/>
        <v>2.7017291066282429</v>
      </c>
      <c r="DG169" s="173"/>
      <c r="DH169" s="173">
        <f t="shared" si="392"/>
        <v>7.6433121019108281</v>
      </c>
      <c r="DI169" s="545">
        <f t="shared" si="393"/>
        <v>154.38333333333335</v>
      </c>
      <c r="DJ169" s="528">
        <f t="shared" si="394"/>
        <v>2.7377521613832849</v>
      </c>
      <c r="DL169" s="173">
        <f t="shared" si="395"/>
        <v>6.5348880560237523</v>
      </c>
      <c r="DM169" s="173">
        <f t="shared" si="396"/>
        <v>21.086753246753243</v>
      </c>
      <c r="DN169" s="173">
        <f t="shared" si="397"/>
        <v>9.412409812409809</v>
      </c>
      <c r="DP169" s="545">
        <f t="shared" si="398"/>
        <v>5899.9999999999991</v>
      </c>
      <c r="DQ169" s="460">
        <f t="shared" si="399"/>
        <v>33.972915310654948</v>
      </c>
      <c r="DS169">
        <f t="shared" si="400"/>
        <v>5899.9999999999991</v>
      </c>
      <c r="DT169">
        <f t="shared" si="401"/>
        <v>33.972915310654948</v>
      </c>
      <c r="DV169" s="5">
        <f t="shared" si="402"/>
        <v>29.435213047093704</v>
      </c>
      <c r="DW169" s="5">
        <f t="shared" si="403"/>
        <v>13.31794941900205</v>
      </c>
      <c r="DX169" s="5">
        <f t="shared" si="404"/>
        <v>16.117263628091656</v>
      </c>
      <c r="DY169" s="173">
        <f t="shared" si="405"/>
        <v>0.45244956772334288</v>
      </c>
      <c r="EA169" s="5">
        <f t="shared" si="406"/>
        <v>523.83934381408062</v>
      </c>
      <c r="EB169" s="5">
        <f t="shared" si="407"/>
        <v>24.554969241285026</v>
      </c>
      <c r="EC169" s="5">
        <f t="shared" si="408"/>
        <v>20.853477062662446</v>
      </c>
      <c r="ED169" s="5"/>
      <c r="EE169" s="173">
        <f t="shared" si="409"/>
        <v>8.1890623446976996</v>
      </c>
      <c r="EF169" s="173">
        <f t="shared" si="410"/>
        <v>9.0086798188084707</v>
      </c>
      <c r="EG169" s="173">
        <f t="shared" si="411"/>
        <v>0.22186082063575377</v>
      </c>
      <c r="EH169" s="173"/>
      <c r="EI169" s="528">
        <f t="shared" si="412"/>
        <v>1.3412148417069156</v>
      </c>
      <c r="EJ169" s="528">
        <f t="shared" si="413"/>
        <v>0.49716666666666659</v>
      </c>
      <c r="EK169" s="528">
        <f t="shared" si="414"/>
        <v>4.2466144138318682E-3</v>
      </c>
      <c r="EL169" s="528">
        <f t="shared" si="415"/>
        <v>4.0906447596406525E-3</v>
      </c>
      <c r="EM169">
        <f t="shared" si="416"/>
        <v>8.5500000000000003E-3</v>
      </c>
      <c r="EN169" s="460">
        <f t="shared" si="417"/>
        <v>12.79661441383187</v>
      </c>
      <c r="EP169" s="460">
        <f t="shared" si="439"/>
        <v>1855.2687675470547</v>
      </c>
      <c r="EQ169" s="173">
        <f t="shared" si="418"/>
        <v>4.129999999999999</v>
      </c>
      <c r="ER169" s="173">
        <f t="shared" si="475"/>
        <v>6.5453124999999987E-2</v>
      </c>
      <c r="ES169" s="528"/>
      <c r="EU169" s="460">
        <f t="shared" si="420"/>
        <v>4195.4531249999991</v>
      </c>
      <c r="EV169" s="528">
        <f t="shared" si="421"/>
        <v>2.0118222625603734</v>
      </c>
      <c r="EW169" s="528">
        <f t="shared" si="422"/>
        <v>2.4346893623342103</v>
      </c>
      <c r="EX169" s="528">
        <f t="shared" si="423"/>
        <v>2.461111186658505E-4</v>
      </c>
      <c r="EY169" s="528">
        <f t="shared" si="424"/>
        <v>0.6867937521027887</v>
      </c>
      <c r="EZ169" s="528"/>
      <c r="FA169" s="625">
        <f t="shared" si="425"/>
        <v>1.5106096286038644E-2</v>
      </c>
      <c r="FB169" s="460">
        <f t="shared" si="426"/>
        <v>5148.6575844020772</v>
      </c>
      <c r="FC169" s="173">
        <f t="shared" si="427"/>
        <v>11.199379476949131</v>
      </c>
      <c r="FD169" s="5">
        <f t="shared" si="428"/>
        <v>89.679999999999993</v>
      </c>
      <c r="FE169" s="173">
        <f t="shared" si="429"/>
        <v>0.88898247059986935</v>
      </c>
      <c r="FF169" s="5">
        <f t="shared" si="430"/>
        <v>88.898247059986929</v>
      </c>
      <c r="FG169">
        <f t="shared" si="431"/>
        <v>59</v>
      </c>
      <c r="FI169" s="562">
        <f t="shared" si="432"/>
        <v>-50</v>
      </c>
      <c r="FJ169">
        <f t="shared" si="433"/>
        <v>-50</v>
      </c>
    </row>
    <row r="170" spans="5:166">
      <c r="E170" s="170">
        <v>60</v>
      </c>
      <c r="F170" s="217">
        <f t="shared" si="476"/>
        <v>6</v>
      </c>
      <c r="G170" s="217">
        <f t="shared" si="444"/>
        <v>0.15</v>
      </c>
      <c r="H170" s="217">
        <f t="shared" si="445"/>
        <v>90</v>
      </c>
      <c r="I170" s="217">
        <f t="shared" si="446"/>
        <v>1.2</v>
      </c>
      <c r="J170" s="541">
        <f t="shared" si="447"/>
        <v>18.389052708542376</v>
      </c>
      <c r="K170" s="443">
        <f t="shared" si="448"/>
        <v>16.028736842105264</v>
      </c>
      <c r="L170" s="172">
        <f t="shared" si="449"/>
        <v>34.41778955064764</v>
      </c>
      <c r="M170" s="443"/>
      <c r="N170" s="217">
        <f t="shared" si="450"/>
        <v>0.46571081558035882</v>
      </c>
      <c r="O170" s="172">
        <f t="shared" si="451"/>
        <v>211.28241944026666</v>
      </c>
      <c r="P170" s="172">
        <f t="shared" si="452"/>
        <v>2.8546602448818255</v>
      </c>
      <c r="Q170" s="217">
        <f t="shared" si="322"/>
        <v>14.085494629351111</v>
      </c>
      <c r="R170" s="217">
        <f t="shared" si="453"/>
        <v>26.410302430033333</v>
      </c>
      <c r="S170" s="217">
        <f t="shared" si="454"/>
        <v>15</v>
      </c>
      <c r="T170" s="217">
        <f t="shared" si="455"/>
        <v>21.298506576749187</v>
      </c>
      <c r="U170" s="217">
        <f t="shared" si="326"/>
        <v>13.898599507644198</v>
      </c>
      <c r="V170" s="217">
        <f t="shared" si="327"/>
        <v>15.945241439712932</v>
      </c>
      <c r="W170" s="197">
        <f t="shared" si="328"/>
        <v>71.366506122045635</v>
      </c>
      <c r="X170" s="443">
        <f t="shared" si="435"/>
        <v>33.284692251972764</v>
      </c>
      <c r="Z170" s="217">
        <f t="shared" si="329"/>
        <v>10</v>
      </c>
      <c r="AA170" s="173">
        <f t="shared" si="330"/>
        <v>7.4865537554261099</v>
      </c>
      <c r="AB170" s="173">
        <f t="shared" si="456"/>
        <v>2.6362953178600712</v>
      </c>
      <c r="AC170" s="173"/>
      <c r="AD170" s="173">
        <f t="shared" si="332"/>
        <v>7.4865537554261099</v>
      </c>
      <c r="AE170" s="545">
        <f t="shared" si="457"/>
        <v>160.28736842105263</v>
      </c>
      <c r="AF170" s="528">
        <f t="shared" si="458"/>
        <v>2.6714459220982061</v>
      </c>
      <c r="AH170" s="173">
        <f t="shared" si="459"/>
        <v>6.590035768383312</v>
      </c>
      <c r="AI170" s="173">
        <f t="shared" si="460"/>
        <v>21.298506576749187</v>
      </c>
      <c r="AJ170" s="173">
        <f t="shared" si="461"/>
        <v>9.5692641309253226</v>
      </c>
      <c r="AL170" s="545">
        <f t="shared" si="462"/>
        <v>6000</v>
      </c>
      <c r="AM170" s="460">
        <f t="shared" si="463"/>
        <v>33.284692251972764</v>
      </c>
      <c r="AO170">
        <f t="shared" si="340"/>
        <v>6000</v>
      </c>
      <c r="AP170">
        <f t="shared" si="341"/>
        <v>33.284692251972764</v>
      </c>
      <c r="AR170" s="5">
        <f t="shared" si="443"/>
        <v>30.043840947357133</v>
      </c>
      <c r="AS170" s="5">
        <f t="shared" si="440"/>
        <v>13.898599507644198</v>
      </c>
      <c r="AT170" s="5">
        <f t="shared" si="441"/>
        <v>16.145241439712933</v>
      </c>
      <c r="AU170" s="173">
        <f t="shared" si="442"/>
        <v>0.46261060734535731</v>
      </c>
      <c r="AW170" s="5">
        <f t="shared" ref="AW170:AW210" si="477">F170*AS170/Vout_ripple*1000</f>
        <v>555.94398030576781</v>
      </c>
      <c r="AX170" s="5">
        <f t="shared" ref="AX170:AX210" si="478">G170*AS170/Vout_ripple2*1000</f>
        <v>26.059874076832866</v>
      </c>
      <c r="AY170" s="5">
        <f t="shared" ref="AY170:AY210" si="479">H170/Efficiency/J170*AT170/Vinripple1</f>
        <v>21.949528471649991</v>
      </c>
      <c r="AZ170" s="5"/>
      <c r="BA170" s="173">
        <f t="shared" ref="BA170:BA209" si="480">AI170*SQRT(AU170/3)</f>
        <v>8.3636590132521516</v>
      </c>
      <c r="BB170" s="173">
        <f t="shared" ref="BB170:BB210" si="481">AI170*Npri_sec1*SQRT((1-AU170)/3)*(Pout/Pout_total)</f>
        <v>9.0143220512317033</v>
      </c>
      <c r="BC170" s="173">
        <f t="shared" ref="BC170:BC210" si="482">AI170*Npri_sec2*SQRT((1-AU170)/3)*(Pout2/Pout_total)</f>
        <v>0.22199977443817689</v>
      </c>
      <c r="BD170" s="173"/>
      <c r="BE170" s="528">
        <f t="shared" ref="BE170:BE210" si="483">Rdson*BA170^2</f>
        <v>1.399015841799079</v>
      </c>
      <c r="BF170" s="528">
        <f t="shared" si="464"/>
        <v>0.45748614399001436</v>
      </c>
      <c r="BG170" s="528">
        <f t="shared" si="465"/>
        <v>1.530184900522848E-2</v>
      </c>
      <c r="BH170" s="528">
        <f t="shared" ref="BH170:BH210" si="484">0.5*(Coss+Csw)*L170^2*AM170*1000</f>
        <v>3.9428521793478423E-3</v>
      </c>
      <c r="BI170">
        <f t="shared" ref="BI170:BI210" si="485">J170*IQ</f>
        <v>8.2750737188440684E-3</v>
      </c>
      <c r="BJ170" s="460">
        <f t="shared" si="436"/>
        <v>23.576922724072549</v>
      </c>
      <c r="BK170">
        <f t="shared" si="466"/>
        <v>3.3526060227024281</v>
      </c>
      <c r="BL170" s="460">
        <f t="shared" si="437"/>
        <v>1884.0217606925141</v>
      </c>
      <c r="BM170" s="173">
        <f t="shared" si="467"/>
        <v>3.7274999999999991</v>
      </c>
      <c r="BN170" s="173">
        <f t="shared" si="468"/>
        <v>9.3187499999999993E-2</v>
      </c>
      <c r="BO170" s="528"/>
      <c r="BQ170" s="460">
        <f t="shared" ref="BQ170:BQ210" si="486">SUM(BM170:BP170)*1000</f>
        <v>3820.6874999999991</v>
      </c>
      <c r="BR170" s="528">
        <f t="shared" ref="BR170:BR210" si="487">Rdcr_pri*BA170^2</f>
        <v>2.0985237626986186</v>
      </c>
      <c r="BS170" s="528">
        <f t="shared" ref="BS170:BS210" si="488">Rdcr_sec*BB170^2</f>
        <v>2.4377400612996638</v>
      </c>
      <c r="BT170" s="528">
        <f t="shared" ref="BT170:BT210" si="489">Rdcr_sec2*BC170^2</f>
        <v>2.464194992530071E-4</v>
      </c>
      <c r="BU170" s="528">
        <f t="shared" ref="BU170:BU210" si="490">AI170^2.5*AM170^2.5*k_core</f>
        <v>0.66904333685957051</v>
      </c>
      <c r="BV170" s="528"/>
      <c r="BW170" s="625">
        <f t="shared" si="469"/>
        <v>1.5098814535554001E-2</v>
      </c>
      <c r="BX170" s="460">
        <f t="shared" ref="BX170:BX192" si="491">SUM(BR170:BW170)*1000</f>
        <v>5220.6523948926606</v>
      </c>
      <c r="BY170" s="173">
        <f t="shared" ref="BY170:BY192" si="492">SUM(BE170:BI170,BM170:BP170,BR170:BW170)</f>
        <v>10.925361655585172</v>
      </c>
      <c r="BZ170" s="5">
        <f t="shared" ref="BZ170:BZ192" si="493">MIN(H170+I170,O170+P170)</f>
        <v>91.2</v>
      </c>
      <c r="CA170" s="173">
        <f t="shared" ref="CA170:CA192" si="494">BZ170/(BZ170+BY170)</f>
        <v>0.89302009335907528</v>
      </c>
      <c r="CB170" s="5">
        <f t="shared" ref="CB170:CB192" si="495">CA170*100</f>
        <v>89.302009335907528</v>
      </c>
      <c r="CC170">
        <f t="shared" ref="CC170:CC192" si="496">F170/Iout*100</f>
        <v>60</v>
      </c>
      <c r="CE170" s="562">
        <f t="shared" si="470"/>
        <v>-50</v>
      </c>
      <c r="CF170">
        <f t="shared" si="471"/>
        <v>-50</v>
      </c>
      <c r="CG170" s="173">
        <f t="shared" si="370"/>
        <v>0.54755043227665701</v>
      </c>
      <c r="CH170" s="173">
        <f t="shared" si="472"/>
        <v>6.4398811101315845E-2</v>
      </c>
      <c r="CI170" s="170">
        <v>60</v>
      </c>
      <c r="CJ170" s="217">
        <f t="shared" si="438"/>
        <v>6</v>
      </c>
      <c r="CK170" s="217">
        <f t="shared" si="372"/>
        <v>0.15</v>
      </c>
      <c r="CL170" s="217">
        <f t="shared" si="373"/>
        <v>90</v>
      </c>
      <c r="CM170" s="217">
        <f t="shared" si="374"/>
        <v>1.2</v>
      </c>
      <c r="CN170" s="541">
        <f t="shared" si="375"/>
        <v>19</v>
      </c>
      <c r="CO170" s="443">
        <f t="shared" si="473"/>
        <v>15.7</v>
      </c>
      <c r="CP170" s="443">
        <f t="shared" si="474"/>
        <v>34.700000000000003</v>
      </c>
      <c r="CQ170" s="443"/>
      <c r="CR170" s="217">
        <f t="shared" si="378"/>
        <v>0.44767441860465118</v>
      </c>
      <c r="CS170" s="172">
        <f t="shared" si="379"/>
        <v>209.84738372093025</v>
      </c>
      <c r="CT170" s="172">
        <f t="shared" si="380"/>
        <v>2.835271317829458</v>
      </c>
      <c r="CU170" s="217">
        <f t="shared" si="381"/>
        <v>13.989825581395349</v>
      </c>
      <c r="CV170" s="217">
        <f t="shared" si="382"/>
        <v>26.230922965116282</v>
      </c>
      <c r="CW170" s="217">
        <f t="shared" si="383"/>
        <v>15</v>
      </c>
      <c r="CX170" s="217">
        <f t="shared" si="384"/>
        <v>21.444155844155844</v>
      </c>
      <c r="CY170" s="217">
        <f t="shared" si="385"/>
        <v>13.543677375256324</v>
      </c>
      <c r="CZ170" s="217">
        <f t="shared" si="386"/>
        <v>16.390437587889821</v>
      </c>
      <c r="DA170" s="197">
        <f t="shared" si="387"/>
        <v>71.63784822286263</v>
      </c>
      <c r="DB170" s="443">
        <f t="shared" si="388"/>
        <v>33.406700055477366</v>
      </c>
      <c r="DD170" s="217">
        <f t="shared" si="389"/>
        <v>10.000000000000002</v>
      </c>
      <c r="DE170" s="173">
        <f t="shared" si="390"/>
        <v>7.6433121019108299</v>
      </c>
      <c r="DF170" s="173">
        <f t="shared" si="391"/>
        <v>2.7017291066282429</v>
      </c>
      <c r="DG170" s="173"/>
      <c r="DH170" s="173">
        <f t="shared" si="392"/>
        <v>7.6433121019108281</v>
      </c>
      <c r="DI170" s="545">
        <f t="shared" si="393"/>
        <v>157.00000000000003</v>
      </c>
      <c r="DJ170" s="528">
        <f t="shared" si="394"/>
        <v>2.7377521613832849</v>
      </c>
      <c r="DL170" s="173">
        <f t="shared" si="395"/>
        <v>6.590035768383312</v>
      </c>
      <c r="DM170" s="173">
        <f t="shared" si="396"/>
        <v>21.444155844155844</v>
      </c>
      <c r="DN170" s="173">
        <f t="shared" si="397"/>
        <v>9.6771524771524771</v>
      </c>
      <c r="DP170" s="545">
        <f t="shared" si="398"/>
        <v>6000</v>
      </c>
      <c r="DQ170" s="460">
        <f t="shared" si="399"/>
        <v>33.406700055477366</v>
      </c>
      <c r="DS170">
        <f t="shared" si="400"/>
        <v>6000</v>
      </c>
      <c r="DT170">
        <f t="shared" si="401"/>
        <v>33.406700055477366</v>
      </c>
      <c r="DV170" s="5">
        <f t="shared" si="402"/>
        <v>29.93411496314614</v>
      </c>
      <c r="DW170" s="5">
        <f t="shared" si="403"/>
        <v>13.543677375256324</v>
      </c>
      <c r="DX170" s="5">
        <f t="shared" si="404"/>
        <v>16.390437587889814</v>
      </c>
      <c r="DY170" s="173">
        <f t="shared" si="405"/>
        <v>0.45244956772334299</v>
      </c>
      <c r="EA170" s="5">
        <f t="shared" si="406"/>
        <v>541.74709501025302</v>
      </c>
      <c r="EB170" s="5">
        <f t="shared" si="407"/>
        <v>25.394395078605609</v>
      </c>
      <c r="EC170" s="5">
        <f t="shared" si="408"/>
        <v>21.566365247223438</v>
      </c>
      <c r="ED170" s="5"/>
      <c r="EE170" s="173">
        <f t="shared" si="409"/>
        <v>8.3278600115569859</v>
      </c>
      <c r="EF170" s="173">
        <f t="shared" si="410"/>
        <v>9.1613693072628521</v>
      </c>
      <c r="EG170" s="173">
        <f t="shared" si="411"/>
        <v>0.22562117352788522</v>
      </c>
      <c r="EH170" s="173"/>
      <c r="EI170" s="528">
        <f t="shared" si="412"/>
        <v>1.3870650474417985</v>
      </c>
      <c r="EJ170" s="528">
        <f t="shared" si="413"/>
        <v>0.4971666666666667</v>
      </c>
      <c r="EK170" s="528">
        <f t="shared" si="414"/>
        <v>4.1758375069346704E-3</v>
      </c>
      <c r="EL170" s="528">
        <f t="shared" si="415"/>
        <v>4.0224673469799743E-3</v>
      </c>
      <c r="EM170">
        <f t="shared" si="416"/>
        <v>8.5500000000000003E-3</v>
      </c>
      <c r="EN170" s="460">
        <f t="shared" si="417"/>
        <v>12.725837506934672</v>
      </c>
      <c r="EP170" s="460">
        <f t="shared" si="439"/>
        <v>1900.98001896238</v>
      </c>
      <c r="EQ170" s="173">
        <f t="shared" si="418"/>
        <v>4.1999999999999993</v>
      </c>
      <c r="ER170" s="173">
        <f t="shared" si="475"/>
        <v>6.6562499999999997E-2</v>
      </c>
      <c r="ES170" s="528"/>
      <c r="EU170" s="460">
        <f t="shared" ref="EU170:EU210" si="497">SUM(EQ170:ET170)*1000</f>
        <v>4266.5624999999991</v>
      </c>
      <c r="EV170" s="528">
        <f t="shared" si="421"/>
        <v>2.0805975711626976</v>
      </c>
      <c r="EW170" s="528">
        <f t="shared" si="422"/>
        <v>2.5179206275217352</v>
      </c>
      <c r="EX170" s="528">
        <f t="shared" si="423"/>
        <v>2.5452456972050049E-4</v>
      </c>
      <c r="EY170" s="528">
        <f t="shared" si="424"/>
        <v>0.68679375210278859</v>
      </c>
      <c r="EZ170" s="528"/>
      <c r="FA170" s="625">
        <f t="shared" si="425"/>
        <v>1.5362131816310491E-2</v>
      </c>
      <c r="FB170" s="460">
        <f t="shared" ref="FB170:FB192" si="498">SUM(EV170:FA170)*1000</f>
        <v>5300.9286071732522</v>
      </c>
      <c r="FC170" s="173">
        <f t="shared" si="427"/>
        <v>11.468471126135633</v>
      </c>
      <c r="FD170" s="5">
        <f t="shared" si="428"/>
        <v>91.2</v>
      </c>
      <c r="FE170" s="173">
        <f t="shared" si="429"/>
        <v>0.88829607570521052</v>
      </c>
      <c r="FF170" s="5">
        <f t="shared" si="430"/>
        <v>88.829607570521048</v>
      </c>
      <c r="FG170">
        <f t="shared" si="431"/>
        <v>60</v>
      </c>
      <c r="FI170" s="562">
        <f t="shared" si="432"/>
        <v>-50</v>
      </c>
      <c r="FJ170">
        <f t="shared" si="433"/>
        <v>-50</v>
      </c>
    </row>
    <row r="171" spans="5:166">
      <c r="E171" s="170">
        <v>61</v>
      </c>
      <c r="F171" s="217">
        <f t="shared" si="476"/>
        <v>6.1</v>
      </c>
      <c r="G171" s="217">
        <f t="shared" si="444"/>
        <v>0.1525</v>
      </c>
      <c r="H171" s="217">
        <f t="shared" si="445"/>
        <v>91.5</v>
      </c>
      <c r="I171" s="217">
        <f t="shared" si="446"/>
        <v>1.22</v>
      </c>
      <c r="J171" s="541">
        <f t="shared" si="447"/>
        <v>18.378870253684749</v>
      </c>
      <c r="K171" s="443">
        <f t="shared" si="448"/>
        <v>16.034215789473684</v>
      </c>
      <c r="L171" s="172">
        <f t="shared" si="449"/>
        <v>34.41308604315843</v>
      </c>
      <c r="M171" s="443"/>
      <c r="N171" s="217">
        <f t="shared" si="450"/>
        <v>0.46593367910581218</v>
      </c>
      <c r="O171" s="172">
        <f t="shared" si="451"/>
        <v>211.26647948456511</v>
      </c>
      <c r="P171" s="172">
        <f t="shared" si="452"/>
        <v>2.8544448783692355</v>
      </c>
      <c r="Q171" s="217">
        <f t="shared" si="322"/>
        <v>14.084431965637673</v>
      </c>
      <c r="R171" s="217">
        <f t="shared" si="453"/>
        <v>26.408309935570639</v>
      </c>
      <c r="S171" s="217">
        <f t="shared" si="454"/>
        <v>15</v>
      </c>
      <c r="T171" s="217">
        <f t="shared" si="455"/>
        <v>21.655115431287545</v>
      </c>
      <c r="U171" s="217">
        <f t="shared" si="326"/>
        <v>14.139138129197649</v>
      </c>
      <c r="V171" s="217">
        <f t="shared" si="327"/>
        <v>16.206678804088888</v>
      </c>
      <c r="W171" s="197">
        <f t="shared" si="328"/>
        <v>71.361121959230886</v>
      </c>
      <c r="X171" s="443">
        <f t="shared" si="435"/>
        <v>32.737706841628949</v>
      </c>
      <c r="Z171" s="217">
        <f t="shared" si="329"/>
        <v>9.9999999999999982</v>
      </c>
      <c r="AA171" s="173">
        <f t="shared" si="330"/>
        <v>7.4839955739387563</v>
      </c>
      <c r="AB171" s="173">
        <f t="shared" si="456"/>
        <v>2.6351956623068467</v>
      </c>
      <c r="AC171" s="173"/>
      <c r="AD171" s="173">
        <f t="shared" si="332"/>
        <v>7.483995573938758</v>
      </c>
      <c r="AE171" s="545">
        <f t="shared" si="457"/>
        <v>163.01452719298243</v>
      </c>
      <c r="AF171" s="528">
        <f t="shared" si="458"/>
        <v>2.6703316044709391</v>
      </c>
      <c r="AH171" s="173">
        <f t="shared" si="459"/>
        <v>6.6447257996384588</v>
      </c>
      <c r="AI171" s="173">
        <f t="shared" si="460"/>
        <v>21.655115431287545</v>
      </c>
      <c r="AJ171" s="173">
        <f t="shared" si="461"/>
        <v>9.8334188379907719</v>
      </c>
      <c r="AL171" s="545">
        <f t="shared" si="462"/>
        <v>6100</v>
      </c>
      <c r="AM171" s="460">
        <f t="shared" si="463"/>
        <v>32.737706841628949</v>
      </c>
      <c r="AO171">
        <f t="shared" si="340"/>
        <v>6100</v>
      </c>
      <c r="AP171">
        <f t="shared" si="341"/>
        <v>32.737706841628949</v>
      </c>
      <c r="AR171" s="5">
        <f t="shared" si="443"/>
        <v>30.545816933286535</v>
      </c>
      <c r="AS171" s="5">
        <f t="shared" si="440"/>
        <v>14.139138129197649</v>
      </c>
      <c r="AT171" s="5">
        <f t="shared" si="441"/>
        <v>16.406678804088884</v>
      </c>
      <c r="AU171" s="173">
        <f t="shared" si="442"/>
        <v>0.46288295906697063</v>
      </c>
      <c r="AW171" s="5">
        <f t="shared" si="477"/>
        <v>574.99161725403769</v>
      </c>
      <c r="AX171" s="5">
        <f t="shared" si="478"/>
        <v>26.95273205878302</v>
      </c>
      <c r="AY171" s="5">
        <f t="shared" si="479"/>
        <v>22.689266560711925</v>
      </c>
      <c r="AZ171" s="5"/>
      <c r="BA171" s="173">
        <f t="shared" si="480"/>
        <v>8.5061976939244719</v>
      </c>
      <c r="BB171" s="173">
        <f t="shared" si="481"/>
        <v>9.1629294209150149</v>
      </c>
      <c r="BC171" s="173">
        <f t="shared" si="482"/>
        <v>0.22565959515037762</v>
      </c>
      <c r="BD171" s="173"/>
      <c r="BE171" s="528">
        <f t="shared" si="483"/>
        <v>1.4471079841625201</v>
      </c>
      <c r="BF171" s="528">
        <f t="shared" si="464"/>
        <v>0.45743948686923686</v>
      </c>
      <c r="BG171" s="528">
        <f t="shared" si="465"/>
        <v>1.504205166113665E-2</v>
      </c>
      <c r="BH171" s="528">
        <f t="shared" si="484"/>
        <v>3.8769972778934171E-3</v>
      </c>
      <c r="BI171">
        <f t="shared" si="485"/>
        <v>8.2704916141581371E-3</v>
      </c>
      <c r="BJ171" s="460">
        <f t="shared" si="436"/>
        <v>23.312543275294786</v>
      </c>
      <c r="BK171">
        <f t="shared" si="466"/>
        <v>3.5038993474307913</v>
      </c>
      <c r="BL171" s="460">
        <f t="shared" si="437"/>
        <v>1931.7370115849451</v>
      </c>
      <c r="BM171" s="173">
        <f t="shared" si="467"/>
        <v>3.7896249999999996</v>
      </c>
      <c r="BN171" s="173">
        <f t="shared" si="468"/>
        <v>9.4740624999999995E-2</v>
      </c>
      <c r="BO171" s="528"/>
      <c r="BQ171" s="460">
        <f t="shared" si="486"/>
        <v>3884.3656249999995</v>
      </c>
      <c r="BR171" s="528">
        <f t="shared" si="487"/>
        <v>2.17066197624378</v>
      </c>
      <c r="BS171" s="528">
        <f t="shared" si="488"/>
        <v>2.5187782671800991</v>
      </c>
      <c r="BT171" s="528">
        <f t="shared" si="489"/>
        <v>2.5461126441716163E-4</v>
      </c>
      <c r="BU171" s="528">
        <f t="shared" si="490"/>
        <v>0.66910134119704545</v>
      </c>
      <c r="BV171" s="528"/>
      <c r="BW171" s="625">
        <f t="shared" si="469"/>
        <v>1.5352151994054809E-2</v>
      </c>
      <c r="BX171" s="460">
        <f t="shared" si="491"/>
        <v>5374.1483478793962</v>
      </c>
      <c r="BY171" s="173">
        <f t="shared" si="492"/>
        <v>11.19025098446434</v>
      </c>
      <c r="BZ171" s="5">
        <f t="shared" si="493"/>
        <v>92.72</v>
      </c>
      <c r="CA171" s="173">
        <f t="shared" si="494"/>
        <v>0.89230849816600477</v>
      </c>
      <c r="CB171" s="5">
        <f t="shared" si="495"/>
        <v>89.230849816600482</v>
      </c>
      <c r="CC171">
        <f t="shared" si="496"/>
        <v>61</v>
      </c>
      <c r="CE171" s="562">
        <f t="shared" si="470"/>
        <v>-50</v>
      </c>
      <c r="CF171">
        <f t="shared" si="471"/>
        <v>-50</v>
      </c>
      <c r="CG171" s="173">
        <f t="shared" si="370"/>
        <v>0.54755043227665712</v>
      </c>
      <c r="CH171" s="173">
        <f t="shared" si="472"/>
        <v>6.4398811101315845E-2</v>
      </c>
      <c r="CI171" s="170">
        <v>61</v>
      </c>
      <c r="CJ171" s="217">
        <f t="shared" si="438"/>
        <v>6.1</v>
      </c>
      <c r="CK171" s="217">
        <f t="shared" si="372"/>
        <v>0.1525</v>
      </c>
      <c r="CL171" s="217">
        <f t="shared" si="373"/>
        <v>91.5</v>
      </c>
      <c r="CM171" s="217">
        <f t="shared" si="374"/>
        <v>1.22</v>
      </c>
      <c r="CN171" s="541">
        <f t="shared" si="375"/>
        <v>19</v>
      </c>
      <c r="CO171" s="443">
        <f t="shared" si="473"/>
        <v>15.7</v>
      </c>
      <c r="CP171" s="443">
        <f t="shared" si="474"/>
        <v>34.700000000000003</v>
      </c>
      <c r="CQ171" s="443"/>
      <c r="CR171" s="217">
        <f t="shared" si="378"/>
        <v>0.44767441860465118</v>
      </c>
      <c r="CS171" s="172">
        <f t="shared" si="379"/>
        <v>209.84738372093025</v>
      </c>
      <c r="CT171" s="172">
        <f t="shared" si="380"/>
        <v>2.835271317829458</v>
      </c>
      <c r="CU171" s="217">
        <f t="shared" si="381"/>
        <v>13.989825581395349</v>
      </c>
      <c r="CV171" s="217">
        <f t="shared" si="382"/>
        <v>26.230922965116282</v>
      </c>
      <c r="CW171" s="217">
        <f t="shared" si="383"/>
        <v>15</v>
      </c>
      <c r="CX171" s="217">
        <f t="shared" si="384"/>
        <v>21.801558441558441</v>
      </c>
      <c r="CY171" s="217">
        <f t="shared" si="385"/>
        <v>13.769405331510596</v>
      </c>
      <c r="CZ171" s="217">
        <f t="shared" si="386"/>
        <v>16.663611547687985</v>
      </c>
      <c r="DA171" s="197">
        <f t="shared" si="387"/>
        <v>71.63784822286263</v>
      </c>
      <c r="DB171" s="443">
        <f t="shared" si="388"/>
        <v>32.859049234895764</v>
      </c>
      <c r="DD171" s="217">
        <f t="shared" si="389"/>
        <v>10.000000000000002</v>
      </c>
      <c r="DE171" s="173">
        <f t="shared" si="390"/>
        <v>7.6433121019108299</v>
      </c>
      <c r="DF171" s="173">
        <f t="shared" si="391"/>
        <v>2.7017291066282429</v>
      </c>
      <c r="DG171" s="173"/>
      <c r="DH171" s="173">
        <f t="shared" si="392"/>
        <v>7.6433121019108281</v>
      </c>
      <c r="DI171" s="545">
        <f t="shared" si="393"/>
        <v>159.61666666666667</v>
      </c>
      <c r="DJ171" s="528">
        <f t="shared" si="394"/>
        <v>2.7377521613832849</v>
      </c>
      <c r="DL171" s="173">
        <f t="shared" si="395"/>
        <v>6.6447257996384588</v>
      </c>
      <c r="DM171" s="173">
        <f t="shared" si="396"/>
        <v>21.801558441558441</v>
      </c>
      <c r="DN171" s="173">
        <f t="shared" si="397"/>
        <v>9.9418951418951398</v>
      </c>
      <c r="DP171" s="545">
        <f t="shared" si="398"/>
        <v>6100</v>
      </c>
      <c r="DQ171" s="460">
        <f t="shared" si="399"/>
        <v>32.859049234895764</v>
      </c>
      <c r="DS171">
        <f t="shared" si="400"/>
        <v>6100</v>
      </c>
      <c r="DT171">
        <f t="shared" si="401"/>
        <v>32.859049234895764</v>
      </c>
      <c r="DV171" s="5">
        <f t="shared" si="402"/>
        <v>30.433016879198583</v>
      </c>
      <c r="DW171" s="5">
        <f t="shared" si="403"/>
        <v>13.769405331510596</v>
      </c>
      <c r="DX171" s="5">
        <f t="shared" si="404"/>
        <v>16.663611547687985</v>
      </c>
      <c r="DY171" s="173">
        <f t="shared" si="405"/>
        <v>0.45244956772334288</v>
      </c>
      <c r="EA171" s="5">
        <f t="shared" si="406"/>
        <v>559.95581681476415</v>
      </c>
      <c r="EB171" s="5">
        <f t="shared" si="407"/>
        <v>26.247928913192069</v>
      </c>
      <c r="EC171" s="5">
        <f t="shared" si="408"/>
        <v>22.291234745810684</v>
      </c>
      <c r="ED171" s="5"/>
      <c r="EE171" s="173">
        <f t="shared" si="409"/>
        <v>8.4666576784162668</v>
      </c>
      <c r="EF171" s="173">
        <f t="shared" si="410"/>
        <v>9.3140587957172354</v>
      </c>
      <c r="EG171" s="173">
        <f t="shared" si="411"/>
        <v>0.22938152642001661</v>
      </c>
      <c r="EH171" s="173"/>
      <c r="EI171" s="528">
        <f t="shared" si="412"/>
        <v>1.4336858448697027</v>
      </c>
      <c r="EJ171" s="528">
        <f t="shared" si="413"/>
        <v>0.49716666666666659</v>
      </c>
      <c r="EK171" s="528">
        <f t="shared" si="414"/>
        <v>4.1073811543619705E-3</v>
      </c>
      <c r="EL171" s="528">
        <f t="shared" si="415"/>
        <v>3.9565252593245651E-3</v>
      </c>
      <c r="EM171">
        <f t="shared" si="416"/>
        <v>8.5500000000000003E-3</v>
      </c>
      <c r="EN171" s="460">
        <f t="shared" si="417"/>
        <v>12.657381154361969</v>
      </c>
      <c r="EP171" s="460">
        <f t="shared" si="439"/>
        <v>1947.4664179500558</v>
      </c>
      <c r="EQ171" s="173">
        <f t="shared" si="418"/>
        <v>4.2699999999999996</v>
      </c>
      <c r="ER171" s="173">
        <f t="shared" si="475"/>
        <v>6.7671874999999992E-2</v>
      </c>
      <c r="ES171" s="528"/>
      <c r="EU171" s="460">
        <f t="shared" si="497"/>
        <v>4337.671875</v>
      </c>
      <c r="EV171" s="528">
        <f t="shared" si="421"/>
        <v>2.1505287673045537</v>
      </c>
      <c r="EW171" s="528">
        <f t="shared" si="422"/>
        <v>2.602550737502328</v>
      </c>
      <c r="EX171" s="528">
        <f t="shared" si="423"/>
        <v>2.6307942331388388E-4</v>
      </c>
      <c r="EY171" s="528">
        <f t="shared" si="424"/>
        <v>0.68679375210278748</v>
      </c>
      <c r="EZ171" s="528"/>
      <c r="FA171" s="625">
        <f t="shared" si="425"/>
        <v>1.5618167346582329E-2</v>
      </c>
      <c r="FB171" s="460">
        <f t="shared" si="498"/>
        <v>5455.7545036795664</v>
      </c>
      <c r="FC171" s="173">
        <f t="shared" si="427"/>
        <v>11.740892796629621</v>
      </c>
      <c r="FD171" s="5">
        <f t="shared" si="428"/>
        <v>92.72</v>
      </c>
      <c r="FE171" s="173">
        <f t="shared" si="429"/>
        <v>0.88760489708347168</v>
      </c>
      <c r="FF171" s="5">
        <f t="shared" si="430"/>
        <v>88.760489708347166</v>
      </c>
      <c r="FG171">
        <f t="shared" si="431"/>
        <v>61</v>
      </c>
      <c r="FI171" s="562">
        <f t="shared" si="432"/>
        <v>-50</v>
      </c>
      <c r="FJ171">
        <f t="shared" si="433"/>
        <v>-50</v>
      </c>
    </row>
    <row r="172" spans="5:166">
      <c r="E172" s="170">
        <v>62</v>
      </c>
      <c r="F172" s="217">
        <f t="shared" si="476"/>
        <v>6.2</v>
      </c>
      <c r="G172" s="217">
        <f t="shared" si="444"/>
        <v>0.155</v>
      </c>
      <c r="H172" s="217">
        <f t="shared" si="445"/>
        <v>93</v>
      </c>
      <c r="I172" s="217">
        <f t="shared" si="446"/>
        <v>1.24</v>
      </c>
      <c r="J172" s="541">
        <f t="shared" si="447"/>
        <v>18.368687798827121</v>
      </c>
      <c r="K172" s="443">
        <f t="shared" si="448"/>
        <v>16.039694736842105</v>
      </c>
      <c r="L172" s="172">
        <f t="shared" si="449"/>
        <v>34.408382535669226</v>
      </c>
      <c r="M172" s="443"/>
      <c r="N172" s="217">
        <f t="shared" si="450"/>
        <v>0.46615660356061955</v>
      </c>
      <c r="O172" s="172">
        <f t="shared" si="451"/>
        <v>211.25045516858498</v>
      </c>
      <c r="P172" s="172">
        <f t="shared" si="452"/>
        <v>2.8542283720555486</v>
      </c>
      <c r="Q172" s="217">
        <f t="shared" si="322"/>
        <v>14.083363677905664</v>
      </c>
      <c r="R172" s="217">
        <f t="shared" si="453"/>
        <v>26.406306896073122</v>
      </c>
      <c r="S172" s="217">
        <f t="shared" si="454"/>
        <v>15</v>
      </c>
      <c r="T172" s="217">
        <f t="shared" si="455"/>
        <v>22.011786891957904</v>
      </c>
      <c r="U172" s="217">
        <f t="shared" si="326"/>
        <v>14.379984329656951</v>
      </c>
      <c r="V172" s="217">
        <f t="shared" si="327"/>
        <v>16.467984399776615</v>
      </c>
      <c r="W172" s="197">
        <f t="shared" si="328"/>
        <v>71.3557093013887</v>
      </c>
      <c r="X172" s="443">
        <f t="shared" si="435"/>
        <v>32.20822620360336</v>
      </c>
      <c r="Z172" s="217">
        <f t="shared" si="329"/>
        <v>9.9999999999999982</v>
      </c>
      <c r="AA172" s="173">
        <f t="shared" si="330"/>
        <v>7.4814391401332605</v>
      </c>
      <c r="AB172" s="173">
        <f t="shared" si="456"/>
        <v>2.6340957061153629</v>
      </c>
      <c r="AC172" s="173"/>
      <c r="AD172" s="173">
        <f t="shared" si="332"/>
        <v>7.4814391401332623</v>
      </c>
      <c r="AE172" s="545">
        <f t="shared" si="457"/>
        <v>165.74351228070171</v>
      </c>
      <c r="AF172" s="528">
        <f t="shared" si="458"/>
        <v>2.6692169821969025</v>
      </c>
      <c r="AH172" s="173">
        <f t="shared" si="459"/>
        <v>6.6989693592515014</v>
      </c>
      <c r="AI172" s="173">
        <f t="shared" si="460"/>
        <v>22.011786891957904</v>
      </c>
      <c r="AJ172" s="173">
        <f t="shared" si="461"/>
        <v>10.097619919968816</v>
      </c>
      <c r="AL172" s="545">
        <f t="shared" si="462"/>
        <v>6200</v>
      </c>
      <c r="AM172" s="460">
        <f t="shared" si="463"/>
        <v>32.20822620360336</v>
      </c>
      <c r="AO172">
        <f t="shared" si="340"/>
        <v>6200</v>
      </c>
      <c r="AP172">
        <f t="shared" si="341"/>
        <v>32.20822620360336</v>
      </c>
      <c r="AR172" s="5">
        <f t="shared" si="443"/>
        <v>31.047968729433567</v>
      </c>
      <c r="AS172" s="5">
        <f t="shared" si="440"/>
        <v>14.379984329656951</v>
      </c>
      <c r="AT172" s="5">
        <f t="shared" si="441"/>
        <v>16.667984399776614</v>
      </c>
      <c r="AU172" s="173">
        <f t="shared" si="442"/>
        <v>0.46315378809386276</v>
      </c>
      <c r="AW172" s="5">
        <f t="shared" si="477"/>
        <v>594.37268562582062</v>
      </c>
      <c r="AX172" s="5">
        <f t="shared" si="478"/>
        <v>27.861219638710345</v>
      </c>
      <c r="AY172" s="5">
        <f t="shared" si="479"/>
        <v>23.441500106595708</v>
      </c>
      <c r="AZ172" s="5"/>
      <c r="BA172" s="173">
        <f t="shared" si="480"/>
        <v>8.6488284390587253</v>
      </c>
      <c r="BB172" s="173">
        <f t="shared" si="481"/>
        <v>9.3114993793007876</v>
      </c>
      <c r="BC172" s="173">
        <f t="shared" si="482"/>
        <v>0.22931849451768216</v>
      </c>
      <c r="BD172" s="173"/>
      <c r="BE172" s="528">
        <f t="shared" si="483"/>
        <v>1.4960446673654197</v>
      </c>
      <c r="BF172" s="528">
        <f t="shared" si="464"/>
        <v>0.45739102347103133</v>
      </c>
      <c r="BG172" s="528">
        <f t="shared" si="465"/>
        <v>1.4790571292199824E-2</v>
      </c>
      <c r="BH172" s="528">
        <f t="shared" si="484"/>
        <v>3.8132503901892019E-3</v>
      </c>
      <c r="BI172">
        <f t="shared" si="485"/>
        <v>8.2659095094722041E-3</v>
      </c>
      <c r="BJ172" s="460">
        <f t="shared" si="436"/>
        <v>23.056480801672027</v>
      </c>
      <c r="BK172">
        <f t="shared" si="466"/>
        <v>3.6633595767313527</v>
      </c>
      <c r="BL172" s="460">
        <f t="shared" si="437"/>
        <v>1980.305422028312</v>
      </c>
      <c r="BM172" s="173">
        <f t="shared" si="467"/>
        <v>3.8517499999999996</v>
      </c>
      <c r="BN172" s="173">
        <f t="shared" si="468"/>
        <v>9.6293749999999997E-2</v>
      </c>
      <c r="BO172" s="528"/>
      <c r="BQ172" s="460">
        <f t="shared" si="486"/>
        <v>3948.0437499999998</v>
      </c>
      <c r="BR172" s="528">
        <f t="shared" si="487"/>
        <v>2.2440670010481294</v>
      </c>
      <c r="BS172" s="528">
        <f t="shared" si="488"/>
        <v>2.6011206207215682</v>
      </c>
      <c r="BT172" s="528">
        <f t="shared" si="489"/>
        <v>2.6293485963928113E-4</v>
      </c>
      <c r="BU172" s="528">
        <f t="shared" si="490"/>
        <v>0.66915275803345564</v>
      </c>
      <c r="BV172" s="528"/>
      <c r="BW172" s="625">
        <f t="shared" si="469"/>
        <v>1.5605489892085744E-2</v>
      </c>
      <c r="BX172" s="460">
        <f t="shared" si="491"/>
        <v>5530.2088045548799</v>
      </c>
      <c r="BY172" s="173">
        <f t="shared" si="492"/>
        <v>11.458557976583188</v>
      </c>
      <c r="BZ172" s="5">
        <f t="shared" si="493"/>
        <v>94.24</v>
      </c>
      <c r="CA172" s="173">
        <f t="shared" si="494"/>
        <v>0.89159210687508372</v>
      </c>
      <c r="CB172" s="5">
        <f t="shared" si="495"/>
        <v>89.159210687508377</v>
      </c>
      <c r="CC172">
        <f t="shared" si="496"/>
        <v>62</v>
      </c>
      <c r="CE172" s="562">
        <f t="shared" si="470"/>
        <v>-50</v>
      </c>
      <c r="CF172">
        <f t="shared" si="471"/>
        <v>-50</v>
      </c>
      <c r="CG172" s="173">
        <f t="shared" si="370"/>
        <v>0.54755043227665712</v>
      </c>
      <c r="CH172" s="173">
        <f t="shared" si="472"/>
        <v>6.4398811101315859E-2</v>
      </c>
      <c r="CI172" s="170">
        <v>62</v>
      </c>
      <c r="CJ172" s="217">
        <f t="shared" si="438"/>
        <v>6.2</v>
      </c>
      <c r="CK172" s="217">
        <f t="shared" si="372"/>
        <v>0.155</v>
      </c>
      <c r="CL172" s="217">
        <f t="shared" si="373"/>
        <v>93</v>
      </c>
      <c r="CM172" s="217">
        <f t="shared" si="374"/>
        <v>1.24</v>
      </c>
      <c r="CN172" s="541">
        <f t="shared" si="375"/>
        <v>19</v>
      </c>
      <c r="CO172" s="443">
        <f t="shared" si="473"/>
        <v>15.7</v>
      </c>
      <c r="CP172" s="443">
        <f t="shared" si="474"/>
        <v>34.700000000000003</v>
      </c>
      <c r="CQ172" s="443"/>
      <c r="CR172" s="217">
        <f t="shared" si="378"/>
        <v>0.44767441860465118</v>
      </c>
      <c r="CS172" s="172">
        <f t="shared" si="379"/>
        <v>209.84738372093025</v>
      </c>
      <c r="CT172" s="172">
        <f t="shared" si="380"/>
        <v>2.835271317829458</v>
      </c>
      <c r="CU172" s="217">
        <f t="shared" si="381"/>
        <v>13.989825581395349</v>
      </c>
      <c r="CV172" s="217">
        <f t="shared" si="382"/>
        <v>26.230922965116282</v>
      </c>
      <c r="CW172" s="217">
        <f t="shared" si="383"/>
        <v>15</v>
      </c>
      <c r="CX172" s="217">
        <f t="shared" si="384"/>
        <v>22.158961038961035</v>
      </c>
      <c r="CY172" s="217">
        <f t="shared" si="385"/>
        <v>13.995133287764864</v>
      </c>
      <c r="CZ172" s="217">
        <f t="shared" si="386"/>
        <v>16.936785507486142</v>
      </c>
      <c r="DA172" s="197">
        <f t="shared" si="387"/>
        <v>71.63784822286263</v>
      </c>
      <c r="DB172" s="443">
        <f t="shared" si="388"/>
        <v>32.329064569816808</v>
      </c>
      <c r="DD172" s="217">
        <f t="shared" si="389"/>
        <v>10.000000000000002</v>
      </c>
      <c r="DE172" s="173">
        <f t="shared" si="390"/>
        <v>7.6433121019108299</v>
      </c>
      <c r="DF172" s="173">
        <f t="shared" si="391"/>
        <v>2.7017291066282429</v>
      </c>
      <c r="DG172" s="173"/>
      <c r="DH172" s="173">
        <f t="shared" si="392"/>
        <v>7.6433121019108281</v>
      </c>
      <c r="DI172" s="545">
        <f t="shared" si="393"/>
        <v>162.23333333333335</v>
      </c>
      <c r="DJ172" s="528">
        <f t="shared" si="394"/>
        <v>2.7377521613832849</v>
      </c>
      <c r="DL172" s="173">
        <f t="shared" si="395"/>
        <v>6.6989693592515014</v>
      </c>
      <c r="DM172" s="173">
        <f t="shared" si="396"/>
        <v>22.158961038961035</v>
      </c>
      <c r="DN172" s="173">
        <f t="shared" si="397"/>
        <v>10.206637806637803</v>
      </c>
      <c r="DP172" s="545">
        <f t="shared" si="398"/>
        <v>6200</v>
      </c>
      <c r="DQ172" s="460">
        <f t="shared" si="399"/>
        <v>32.329064569816808</v>
      </c>
      <c r="DS172">
        <f t="shared" si="400"/>
        <v>6200</v>
      </c>
      <c r="DT172">
        <f t="shared" si="401"/>
        <v>32.329064569816808</v>
      </c>
      <c r="DV172" s="5">
        <f t="shared" si="402"/>
        <v>30.931918795251011</v>
      </c>
      <c r="DW172" s="5">
        <f t="shared" si="403"/>
        <v>13.995133287764864</v>
      </c>
      <c r="DX172" s="5">
        <f t="shared" si="404"/>
        <v>16.93678550748615</v>
      </c>
      <c r="DY172" s="173">
        <f t="shared" si="405"/>
        <v>0.45244956772334283</v>
      </c>
      <c r="EA172" s="5">
        <f t="shared" si="406"/>
        <v>578.46550922761446</v>
      </c>
      <c r="EB172" s="5">
        <f t="shared" si="407"/>
        <v>27.115570745044419</v>
      </c>
      <c r="EC172" s="5">
        <f t="shared" si="408"/>
        <v>23.028085558424149</v>
      </c>
      <c r="ED172" s="5"/>
      <c r="EE172" s="173">
        <f t="shared" si="409"/>
        <v>8.6054553452755496</v>
      </c>
      <c r="EF172" s="173">
        <f t="shared" si="410"/>
        <v>9.4667482841716133</v>
      </c>
      <c r="EG172" s="173">
        <f t="shared" si="411"/>
        <v>0.233141879312148</v>
      </c>
      <c r="EH172" s="173"/>
      <c r="EI172" s="528">
        <f t="shared" si="412"/>
        <v>1.4810772339906304</v>
      </c>
      <c r="EJ172" s="528">
        <f t="shared" si="413"/>
        <v>0.49716666666666665</v>
      </c>
      <c r="EK172" s="528">
        <f t="shared" si="414"/>
        <v>4.0411330712271012E-3</v>
      </c>
      <c r="EL172" s="528">
        <f t="shared" si="415"/>
        <v>3.8927103357870732E-3</v>
      </c>
      <c r="EM172">
        <f t="shared" si="416"/>
        <v>8.5500000000000003E-3</v>
      </c>
      <c r="EN172" s="460">
        <f t="shared" si="417"/>
        <v>12.591133071227102</v>
      </c>
      <c r="EP172" s="460">
        <f t="shared" si="439"/>
        <v>1994.7277440643113</v>
      </c>
      <c r="EQ172" s="173">
        <f t="shared" si="418"/>
        <v>4.34</v>
      </c>
      <c r="ER172" s="173">
        <f t="shared" si="475"/>
        <v>6.8781250000000002E-2</v>
      </c>
      <c r="ES172" s="528"/>
      <c r="EU172" s="460">
        <f t="shared" si="497"/>
        <v>4408.78125</v>
      </c>
      <c r="EV172" s="528">
        <f t="shared" si="421"/>
        <v>2.2216158509859456</v>
      </c>
      <c r="EW172" s="528">
        <f t="shared" si="422"/>
        <v>2.6885796922759857</v>
      </c>
      <c r="EX172" s="528">
        <f t="shared" si="423"/>
        <v>2.7177567944600091E-4</v>
      </c>
      <c r="EY172" s="528">
        <f t="shared" si="424"/>
        <v>0.68679375210278804</v>
      </c>
      <c r="EZ172" s="528"/>
      <c r="FA172" s="625">
        <f t="shared" si="425"/>
        <v>1.5874202876854173E-2</v>
      </c>
      <c r="FB172" s="460">
        <f t="shared" si="498"/>
        <v>5613.1352739210188</v>
      </c>
      <c r="FC172" s="173">
        <f t="shared" si="427"/>
        <v>12.016644267985331</v>
      </c>
      <c r="FD172" s="5">
        <f t="shared" si="428"/>
        <v>94.24</v>
      </c>
      <c r="FE172" s="173">
        <f t="shared" si="429"/>
        <v>0.88690924364523815</v>
      </c>
      <c r="FF172" s="5">
        <f t="shared" si="430"/>
        <v>88.690924364523809</v>
      </c>
      <c r="FG172">
        <f t="shared" si="431"/>
        <v>62</v>
      </c>
      <c r="FI172" s="562">
        <f t="shared" si="432"/>
        <v>-50</v>
      </c>
      <c r="FJ172">
        <f t="shared" si="433"/>
        <v>-50</v>
      </c>
    </row>
    <row r="173" spans="5:166">
      <c r="E173" s="170">
        <v>63</v>
      </c>
      <c r="F173" s="217">
        <f t="shared" si="476"/>
        <v>6.3</v>
      </c>
      <c r="G173" s="217">
        <f t="shared" si="444"/>
        <v>0.1575</v>
      </c>
      <c r="H173" s="217">
        <f t="shared" si="445"/>
        <v>94.5</v>
      </c>
      <c r="I173" s="217">
        <f t="shared" si="446"/>
        <v>1.26</v>
      </c>
      <c r="J173" s="541">
        <f t="shared" si="447"/>
        <v>18.358505343969497</v>
      </c>
      <c r="K173" s="443">
        <f t="shared" si="448"/>
        <v>16.045173684210525</v>
      </c>
      <c r="L173" s="172">
        <f t="shared" si="449"/>
        <v>34.403679028180022</v>
      </c>
      <c r="M173" s="443"/>
      <c r="N173" s="217">
        <f t="shared" si="450"/>
        <v>0.46637958896977089</v>
      </c>
      <c r="O173" s="172">
        <f t="shared" si="451"/>
        <v>211.23434645772625</v>
      </c>
      <c r="P173" s="172">
        <f t="shared" si="452"/>
        <v>2.8540107254732794</v>
      </c>
      <c r="Q173" s="217">
        <f t="shared" si="322"/>
        <v>14.082289763848417</v>
      </c>
      <c r="R173" s="217">
        <f t="shared" si="453"/>
        <v>26.404293307215781</v>
      </c>
      <c r="S173" s="217">
        <f t="shared" si="454"/>
        <v>15</v>
      </c>
      <c r="T173" s="217">
        <f t="shared" si="455"/>
        <v>22.368521404001889</v>
      </c>
      <c r="U173" s="217">
        <f t="shared" si="326"/>
        <v>14.621138911844774</v>
      </c>
      <c r="V173" s="217">
        <f t="shared" si="327"/>
        <v>16.729158694752385</v>
      </c>
      <c r="W173" s="197">
        <f t="shared" si="328"/>
        <v>71.350268136831971</v>
      </c>
      <c r="X173" s="443">
        <f t="shared" si="435"/>
        <v>31.695422099311678</v>
      </c>
      <c r="Z173" s="217">
        <f t="shared" si="329"/>
        <v>9.9999999999999982</v>
      </c>
      <c r="AA173" s="173">
        <f t="shared" si="330"/>
        <v>7.4788844522192761</v>
      </c>
      <c r="AB173" s="173">
        <f t="shared" si="456"/>
        <v>2.6329954491623138</v>
      </c>
      <c r="AC173" s="173"/>
      <c r="AD173" s="173">
        <f t="shared" si="332"/>
        <v>7.4788844522192779</v>
      </c>
      <c r="AE173" s="545">
        <f t="shared" si="457"/>
        <v>168.47432368421047</v>
      </c>
      <c r="AF173" s="528">
        <f t="shared" si="458"/>
        <v>2.6681020551511461</v>
      </c>
      <c r="AH173" s="173">
        <f t="shared" si="459"/>
        <v>6.7527772064536533</v>
      </c>
      <c r="AI173" s="173">
        <f t="shared" si="460"/>
        <v>22.368521404001889</v>
      </c>
      <c r="AJ173" s="173">
        <f t="shared" si="461"/>
        <v>10.361867706668066</v>
      </c>
      <c r="AL173" s="545">
        <f t="shared" si="462"/>
        <v>6300</v>
      </c>
      <c r="AM173" s="460">
        <f t="shared" si="463"/>
        <v>31.695422099311678</v>
      </c>
      <c r="AO173">
        <f t="shared" si="340"/>
        <v>6300</v>
      </c>
      <c r="AP173">
        <f t="shared" si="341"/>
        <v>31.695422099311678</v>
      </c>
      <c r="AR173" s="5">
        <f t="shared" si="443"/>
        <v>31.550297606597159</v>
      </c>
      <c r="AS173" s="5">
        <f t="shared" si="440"/>
        <v>14.621138911844774</v>
      </c>
      <c r="AT173" s="5">
        <f t="shared" si="441"/>
        <v>16.929158694752385</v>
      </c>
      <c r="AU173" s="173">
        <f t="shared" si="442"/>
        <v>0.46342316938359079</v>
      </c>
      <c r="AW173" s="5">
        <f t="shared" si="477"/>
        <v>614.08783429748053</v>
      </c>
      <c r="AX173" s="5">
        <f t="shared" si="478"/>
        <v>28.785367232694398</v>
      </c>
      <c r="AY173" s="5">
        <f t="shared" si="479"/>
        <v>24.206241598160702</v>
      </c>
      <c r="AZ173" s="5"/>
      <c r="BA173" s="173">
        <f t="shared" si="480"/>
        <v>8.7915514420829073</v>
      </c>
      <c r="BB173" s="173">
        <f t="shared" si="481"/>
        <v>9.4600320564101068</v>
      </c>
      <c r="BC173" s="173">
        <f t="shared" si="482"/>
        <v>0.23297647574217831</v>
      </c>
      <c r="BD173" s="173"/>
      <c r="BE173" s="528">
        <f t="shared" si="483"/>
        <v>1.5458275351758011</v>
      </c>
      <c r="BF173" s="528">
        <f t="shared" si="464"/>
        <v>0.45734083100852091</v>
      </c>
      <c r="BG173" s="528">
        <f t="shared" si="465"/>
        <v>1.454701439973956E-2</v>
      </c>
      <c r="BH173" s="528">
        <f t="shared" si="484"/>
        <v>3.7515117779001262E-3</v>
      </c>
      <c r="BI173">
        <f t="shared" si="485"/>
        <v>8.2613274047862728E-3</v>
      </c>
      <c r="BJ173" s="460">
        <f t="shared" si="436"/>
        <v>22.808341804525831</v>
      </c>
      <c r="BK173">
        <f t="shared" si="466"/>
        <v>3.831594306860274</v>
      </c>
      <c r="BL173" s="460">
        <f t="shared" si="437"/>
        <v>2029.7282197667482</v>
      </c>
      <c r="BM173" s="173">
        <f t="shared" si="467"/>
        <v>3.9138749999999991</v>
      </c>
      <c r="BN173" s="173">
        <f t="shared" si="468"/>
        <v>9.7846874999999986E-2</v>
      </c>
      <c r="BO173" s="528"/>
      <c r="BQ173" s="460">
        <f t="shared" si="486"/>
        <v>4011.7218749999993</v>
      </c>
      <c r="BR173" s="528">
        <f t="shared" si="487"/>
        <v>2.3187413027637014</v>
      </c>
      <c r="BS173" s="528">
        <f t="shared" si="488"/>
        <v>2.684766195249205</v>
      </c>
      <c r="BT173" s="528">
        <f t="shared" si="489"/>
        <v>2.7139019124622902E-4</v>
      </c>
      <c r="BU173" s="528">
        <f t="shared" si="490"/>
        <v>0.66919786620676813</v>
      </c>
      <c r="BV173" s="528"/>
      <c r="BW173" s="625">
        <f t="shared" si="469"/>
        <v>1.5858828212658996E-2</v>
      </c>
      <c r="BX173" s="460">
        <f t="shared" si="491"/>
        <v>5688.8355826235793</v>
      </c>
      <c r="BY173" s="173">
        <f t="shared" si="492"/>
        <v>11.730285677390329</v>
      </c>
      <c r="BZ173" s="5">
        <f t="shared" si="493"/>
        <v>95.76</v>
      </c>
      <c r="CA173" s="173">
        <f t="shared" si="494"/>
        <v>0.89087120195590197</v>
      </c>
      <c r="CB173" s="5">
        <f t="shared" si="495"/>
        <v>89.087120195590202</v>
      </c>
      <c r="CC173">
        <f t="shared" si="496"/>
        <v>63</v>
      </c>
      <c r="CE173" s="562">
        <f t="shared" si="470"/>
        <v>-50</v>
      </c>
      <c r="CF173">
        <f t="shared" si="471"/>
        <v>-50</v>
      </c>
      <c r="CG173" s="173">
        <f t="shared" si="370"/>
        <v>0.54755043227665712</v>
      </c>
      <c r="CH173" s="173">
        <f t="shared" si="472"/>
        <v>6.4398811101315845E-2</v>
      </c>
      <c r="CI173" s="170">
        <v>63</v>
      </c>
      <c r="CJ173" s="217">
        <f t="shared" si="438"/>
        <v>6.3</v>
      </c>
      <c r="CK173" s="217">
        <f t="shared" si="372"/>
        <v>0.1575</v>
      </c>
      <c r="CL173" s="217">
        <f t="shared" si="373"/>
        <v>94.5</v>
      </c>
      <c r="CM173" s="217">
        <f t="shared" si="374"/>
        <v>1.26</v>
      </c>
      <c r="CN173" s="541">
        <f t="shared" si="375"/>
        <v>19</v>
      </c>
      <c r="CO173" s="443">
        <f t="shared" si="473"/>
        <v>15.7</v>
      </c>
      <c r="CP173" s="443">
        <f t="shared" si="474"/>
        <v>34.700000000000003</v>
      </c>
      <c r="CQ173" s="443"/>
      <c r="CR173" s="217">
        <f t="shared" si="378"/>
        <v>0.44767441860465118</v>
      </c>
      <c r="CS173" s="172">
        <f t="shared" si="379"/>
        <v>209.84738372093025</v>
      </c>
      <c r="CT173" s="172">
        <f t="shared" si="380"/>
        <v>2.835271317829458</v>
      </c>
      <c r="CU173" s="217">
        <f t="shared" si="381"/>
        <v>13.989825581395349</v>
      </c>
      <c r="CV173" s="217">
        <f t="shared" si="382"/>
        <v>26.230922965116282</v>
      </c>
      <c r="CW173" s="217">
        <f t="shared" si="383"/>
        <v>15</v>
      </c>
      <c r="CX173" s="217">
        <f t="shared" si="384"/>
        <v>22.516363636363636</v>
      </c>
      <c r="CY173" s="217">
        <f t="shared" si="385"/>
        <v>14.22086124401914</v>
      </c>
      <c r="CZ173" s="217">
        <f t="shared" si="386"/>
        <v>17.20995946728431</v>
      </c>
      <c r="DA173" s="197">
        <f t="shared" si="387"/>
        <v>71.63784822286263</v>
      </c>
      <c r="DB173" s="443">
        <f t="shared" si="388"/>
        <v>31.815904814740342</v>
      </c>
      <c r="DD173" s="217">
        <f t="shared" si="389"/>
        <v>10.000000000000002</v>
      </c>
      <c r="DE173" s="173">
        <f t="shared" si="390"/>
        <v>7.6433121019108299</v>
      </c>
      <c r="DF173" s="173">
        <f t="shared" si="391"/>
        <v>2.7017291066282429</v>
      </c>
      <c r="DG173" s="173"/>
      <c r="DH173" s="173">
        <f t="shared" si="392"/>
        <v>7.6433121019108281</v>
      </c>
      <c r="DI173" s="545">
        <f t="shared" si="393"/>
        <v>164.85</v>
      </c>
      <c r="DJ173" s="528">
        <f t="shared" si="394"/>
        <v>2.7377521613832849</v>
      </c>
      <c r="DL173" s="173">
        <f t="shared" si="395"/>
        <v>6.7527772064536533</v>
      </c>
      <c r="DM173" s="173">
        <f t="shared" si="396"/>
        <v>22.516363636363636</v>
      </c>
      <c r="DN173" s="173">
        <f t="shared" si="397"/>
        <v>10.471380471380471</v>
      </c>
      <c r="DP173" s="545">
        <f t="shared" si="398"/>
        <v>6300</v>
      </c>
      <c r="DQ173" s="460">
        <f t="shared" si="399"/>
        <v>31.815904814740342</v>
      </c>
      <c r="DS173">
        <f t="shared" si="400"/>
        <v>6300</v>
      </c>
      <c r="DT173">
        <f t="shared" si="401"/>
        <v>31.815904814740342</v>
      </c>
      <c r="DV173" s="5">
        <f t="shared" si="402"/>
        <v>31.430820711303451</v>
      </c>
      <c r="DW173" s="5">
        <f t="shared" si="403"/>
        <v>14.22086124401914</v>
      </c>
      <c r="DX173" s="5">
        <f t="shared" si="404"/>
        <v>17.20995946728431</v>
      </c>
      <c r="DY173" s="173">
        <f t="shared" si="405"/>
        <v>0.45244956772334294</v>
      </c>
      <c r="EA173" s="5">
        <f t="shared" si="406"/>
        <v>597.27617224880396</v>
      </c>
      <c r="EB173" s="5">
        <f t="shared" si="407"/>
        <v>27.997320574162682</v>
      </c>
      <c r="EC173" s="5">
        <f t="shared" si="408"/>
        <v>23.77691768506385</v>
      </c>
      <c r="ED173" s="5"/>
      <c r="EE173" s="173">
        <f t="shared" si="409"/>
        <v>8.7442530121348341</v>
      </c>
      <c r="EF173" s="173">
        <f t="shared" si="410"/>
        <v>9.6194377726259965</v>
      </c>
      <c r="EG173" s="173">
        <f t="shared" si="411"/>
        <v>0.2369022322042795</v>
      </c>
      <c r="EH173" s="173"/>
      <c r="EI173" s="528">
        <f t="shared" si="412"/>
        <v>1.5292392148045824</v>
      </c>
      <c r="EJ173" s="528">
        <f t="shared" si="413"/>
        <v>0.49716666666666659</v>
      </c>
      <c r="EK173" s="528">
        <f t="shared" si="414"/>
        <v>3.976988101842543E-3</v>
      </c>
      <c r="EL173" s="528">
        <f t="shared" si="415"/>
        <v>3.8309212828380704E-3</v>
      </c>
      <c r="EM173">
        <f t="shared" si="416"/>
        <v>8.5500000000000003E-3</v>
      </c>
      <c r="EN173" s="460">
        <f t="shared" si="417"/>
        <v>12.526988101842544</v>
      </c>
      <c r="EP173" s="460">
        <f t="shared" si="439"/>
        <v>2042.7637908559295</v>
      </c>
      <c r="EQ173" s="173">
        <f t="shared" si="418"/>
        <v>4.4099999999999993</v>
      </c>
      <c r="ER173" s="173">
        <f t="shared" si="475"/>
        <v>6.9890624999999998E-2</v>
      </c>
      <c r="ES173" s="528"/>
      <c r="EU173" s="460">
        <f t="shared" si="497"/>
        <v>4479.8906249999991</v>
      </c>
      <c r="EV173" s="528">
        <f t="shared" si="421"/>
        <v>2.2938588222068734</v>
      </c>
      <c r="EW173" s="528">
        <f t="shared" si="422"/>
        <v>2.776007491842714</v>
      </c>
      <c r="EX173" s="528">
        <f t="shared" si="423"/>
        <v>2.8061333811685182E-4</v>
      </c>
      <c r="EY173" s="528">
        <f t="shared" si="424"/>
        <v>0.68679375210278859</v>
      </c>
      <c r="EZ173" s="528"/>
      <c r="FA173" s="625">
        <f t="shared" si="425"/>
        <v>1.6130238407126015E-2</v>
      </c>
      <c r="FB173" s="460">
        <f t="shared" si="498"/>
        <v>5773.0709178976185</v>
      </c>
      <c r="FC173" s="173">
        <f t="shared" si="427"/>
        <v>12.295725333753548</v>
      </c>
      <c r="FD173" s="5">
        <f t="shared" si="428"/>
        <v>95.76</v>
      </c>
      <c r="FE173" s="173">
        <f t="shared" si="429"/>
        <v>0.88620940449221419</v>
      </c>
      <c r="FF173" s="5">
        <f t="shared" si="430"/>
        <v>88.620940449221422</v>
      </c>
      <c r="FG173">
        <f t="shared" si="431"/>
        <v>63</v>
      </c>
      <c r="FI173" s="562">
        <f t="shared" si="432"/>
        <v>-50</v>
      </c>
      <c r="FJ173">
        <f t="shared" si="433"/>
        <v>-50</v>
      </c>
    </row>
    <row r="174" spans="5:166">
      <c r="E174" s="170">
        <v>64</v>
      </c>
      <c r="F174" s="217">
        <f t="shared" si="476"/>
        <v>6.4</v>
      </c>
      <c r="G174" s="217">
        <f t="shared" ref="G174:G210" si="499">IF(PLOT_TYPE=1, E174/100*Iout2, min_I*EXP(Q174*rr/100))</f>
        <v>0.16</v>
      </c>
      <c r="H174" s="217">
        <f t="shared" ref="H174:H210" si="500">F174*Vout</f>
        <v>96</v>
      </c>
      <c r="I174" s="217">
        <f t="shared" ref="I174:I210" si="501">Vout2*G174</f>
        <v>1.28</v>
      </c>
      <c r="J174" s="541">
        <f t="shared" ref="J174:J210" si="502">VIN_min-(F174/CG174/Nps+G174/CH174/(Nps/Nsec1sec2))*(Rdcr_pri+RON/1000)</f>
        <v>18.34832288911187</v>
      </c>
      <c r="K174" s="443">
        <f t="shared" ref="K174:K210" si="503">MAX((S174+Vfwd2+Rdcr_sec*F174/CG174)*Nps,(Vout2+Vfwd22+Rdcr_sec2*G174/CH174)*Nps/Nsec1sec2)</f>
        <v>16.050652631578945</v>
      </c>
      <c r="L174" s="172">
        <f t="shared" ref="L174:L210" si="504">MAX((Vout+Vfwd2+F174/CG174*Rdcr_sec)*Nps+J174, (Vout2+Vfwd22+G174/CH174*Rdcr_sec2)*Nps/Nsec1sec2+J174)</f>
        <v>34.398975520690811</v>
      </c>
      <c r="M174" s="443"/>
      <c r="N174" s="217">
        <f t="shared" ref="N174:N210" si="505">MAX((Vout+Vfwd2+F174/CG174*Rdcr_sec)*Nps/((Vout+Vfwd2+F174/CG174*Rdcr_sec)*Nps+J174), (Vout2+Vfwd22+G174/CH174*Rdcr_sec2)*Nps/Nsec1sec2/((Vout2+Vfwd22+G174/CH174*Rdcr_sec2)*Nps/Nsec1sec2+J174))</f>
        <v>0.46660263535826985</v>
      </c>
      <c r="O174" s="172">
        <f t="shared" ref="O174:O205" si="506">N174*J174*Isw_max*0.5*Efficiency*Pout/(Pout+Pout2)</f>
        <v>211.21815331736997</v>
      </c>
      <c r="P174" s="172">
        <f t="shared" ref="P174:P210" si="507">N174*J174*Isw_max*0.5*Efficiency*(Pout2/Pout_total)</f>
        <v>2.8537919381546875</v>
      </c>
      <c r="Q174" s="217">
        <f t="shared" ref="Q174:Q210" si="508">O174/Vout</f>
        <v>14.081210221157997</v>
      </c>
      <c r="R174" s="217">
        <f t="shared" ref="R174:R210" si="509">O174/Vout2</f>
        <v>26.402269164671246</v>
      </c>
      <c r="S174" s="217">
        <f t="shared" ref="S174:S210" si="510">MIN(Vout,O174/F174)</f>
        <v>15</v>
      </c>
      <c r="T174" s="217">
        <f t="shared" ref="T174:T210" si="511">MIN(2*(Vout*F174+Vout2*G174)/(Efficiency*J174*N174), Isw_max)</f>
        <v>22.725319413183517</v>
      </c>
      <c r="U174" s="217">
        <f t="shared" ref="U174:U210" si="512">L*T174/J174*1000000</f>
        <v>14.862602680707573</v>
      </c>
      <c r="V174" s="217">
        <f t="shared" ref="V174:V210" si="513">L*T174/K174*1000000</f>
        <v>16.990202156744054</v>
      </c>
      <c r="W174" s="197">
        <f t="shared" ref="W174:W210" si="514">IF(1/((350000*L)*(1/J174+1/K174))&gt;Isw_min, 350, 0.001/((Isw_min*L)*(1/J174+1/K174)))</f>
        <v>71.34479845386717</v>
      </c>
      <c r="X174" s="443">
        <f t="shared" si="435"/>
        <v>31.198517729455133</v>
      </c>
      <c r="Z174" s="217">
        <f t="shared" ref="Z174:Z210" si="515">1/((W174*1000*L)*(1/J174+1/K174))</f>
        <v>10</v>
      </c>
      <c r="AA174" s="173">
        <f t="shared" ref="AA174:AA210" si="516">L*Z174/K174*1000000</f>
        <v>7.476331508408907</v>
      </c>
      <c r="AB174" s="173">
        <f t="shared" ref="AB174:AB205" si="517">0.5*AA174*Z174*Nps*W174/1000*(Pout/(Pout+Pout2))</f>
        <v>2.6318948913243267</v>
      </c>
      <c r="AC174" s="173"/>
      <c r="AD174" s="173">
        <f t="shared" ref="AD174:AD210" si="518">L*Isw_min/K174*1000000</f>
        <v>7.476331508408907</v>
      </c>
      <c r="AE174" s="545">
        <f t="shared" ref="AE174:AE205" si="519">MAX(10, F174/(0.5*AD174/1000000*Isw_min*Nps)/1000*Pout_total/Pout)</f>
        <v>171.20696140350876</v>
      </c>
      <c r="AF174" s="528">
        <f t="shared" ref="AF174:AF210" si="520">0.5*AD174/1000000*Isw_min*Nps*W174*1000*(Pout/Pout_total)</f>
        <v>2.6669868232086511</v>
      </c>
      <c r="AH174" s="173">
        <f t="shared" ref="AH174:AH210" si="521">SQRT((H174+I174)/(0.5*L*Fsw_DCM))</f>
        <v>6.8061596751626041</v>
      </c>
      <c r="AI174" s="173">
        <f t="shared" ref="AI174:AI205" si="522">MAX(IF(F174&gt;AB174,T174,AH174),Isw_min)</f>
        <v>22.725319413183517</v>
      </c>
      <c r="AJ174" s="173">
        <f t="shared" ref="AJ174:AJ205" si="523">IF(F174&gt;AF174, (AI174-Isw_min)/1.08*0.8+1.2, AE174*0.2/350+1)</f>
        <v>10.626162528284086</v>
      </c>
      <c r="AL174" s="545">
        <f t="shared" ref="AL174:AL210" si="524">F174*1000</f>
        <v>6400</v>
      </c>
      <c r="AM174" s="460">
        <f t="shared" ref="AM174:AM210" si="525">IF(F174&gt;AF174, X174, AE174)</f>
        <v>31.198517729455133</v>
      </c>
      <c r="AO174">
        <f t="shared" ref="AO174:AO210" si="526">IF(H174&gt;O174, "",AL174)</f>
        <v>6400</v>
      </c>
      <c r="AP174">
        <f t="shared" ref="AP174:AP210" si="527">IF(H174&gt;O174, "",AM174)</f>
        <v>31.198517729455133</v>
      </c>
      <c r="AR174" s="5">
        <f t="shared" si="443"/>
        <v>32.052804837451632</v>
      </c>
      <c r="AS174" s="5">
        <f t="shared" si="440"/>
        <v>14.862602680707573</v>
      </c>
      <c r="AT174" s="5">
        <f t="shared" si="441"/>
        <v>17.190202156744057</v>
      </c>
      <c r="AU174" s="173">
        <f t="shared" si="442"/>
        <v>0.46369117323990261</v>
      </c>
      <c r="AW174" s="5">
        <f t="shared" si="477"/>
        <v>634.13771437685637</v>
      </c>
      <c r="AX174" s="5">
        <f t="shared" si="478"/>
        <v>29.725205361415146</v>
      </c>
      <c r="AY174" s="5">
        <f t="shared" si="479"/>
        <v>24.98350359413676</v>
      </c>
      <c r="AZ174" s="5"/>
      <c r="BA174" s="173">
        <f t="shared" si="480"/>
        <v>8.9343668970276937</v>
      </c>
      <c r="BB174" s="173">
        <f t="shared" si="481"/>
        <v>9.6085275819468965</v>
      </c>
      <c r="BC174" s="173">
        <f t="shared" si="482"/>
        <v>0.23663354201814327</v>
      </c>
      <c r="BD174" s="173"/>
      <c r="BE174" s="528">
        <f t="shared" si="483"/>
        <v>1.5964582370140852</v>
      </c>
      <c r="BF174" s="528">
        <f t="shared" ref="BF174:BF210" si="528">0.5*L174*AI174*AM174*1000*Tfall</f>
        <v>0.45728898189935924</v>
      </c>
      <c r="BG174" s="528">
        <f t="shared" ref="BG174:BG210" si="529">Qg*Vdd*AM174*1000*0+Qg*J174*AM174*1000</f>
        <v>1.4311011924043101E-2</v>
      </c>
      <c r="BH174" s="528">
        <f t="shared" si="484"/>
        <v>3.6916878971243361E-3</v>
      </c>
      <c r="BI174">
        <f t="shared" si="485"/>
        <v>8.2567453001003415E-3</v>
      </c>
      <c r="BJ174" s="460">
        <f t="shared" si="436"/>
        <v>22.567757224143442</v>
      </c>
      <c r="BK174">
        <f t="shared" ref="BK174:BK210" si="530">(BF174+BG174*0+BH174+BI174*0+BE174*(1+RdsonTC*(Ta-25)))/(1-BE174*RdsonTC*ThetaJA)</f>
        <v>4.0092745458827208</v>
      </c>
      <c r="BL174" s="460">
        <f t="shared" si="437"/>
        <v>2080.0066640347122</v>
      </c>
      <c r="BM174" s="173">
        <f t="shared" ref="BM174:BM210" si="531">Vfwd2*F174*(1+Diode_TC/1000*(Ta-25))</f>
        <v>3.9759999999999995</v>
      </c>
      <c r="BN174" s="173">
        <f t="shared" ref="BN174:BN210" si="532">Vfwd2*G174*(1+Diode_TC/1000*(Ta-25))</f>
        <v>9.9399999999999988E-2</v>
      </c>
      <c r="BO174" s="528"/>
      <c r="BQ174" s="460">
        <f t="shared" si="486"/>
        <v>4075.3999999999992</v>
      </c>
      <c r="BR174" s="528">
        <f t="shared" si="487"/>
        <v>2.3946873555211279</v>
      </c>
      <c r="BS174" s="528">
        <f t="shared" si="488"/>
        <v>2.769714068791028</v>
      </c>
      <c r="BT174" s="528">
        <f t="shared" si="489"/>
        <v>2.7997716604026188E-4</v>
      </c>
      <c r="BU174" s="528">
        <f t="shared" si="490"/>
        <v>0.66923692731827322</v>
      </c>
      <c r="BV174" s="528"/>
      <c r="BW174" s="625">
        <f t="shared" ref="BW174:BW210" si="533">0.5*Lleak*0.000000001*AI174^2*AM174*1000</f>
        <v>1.6112166939842618E-2</v>
      </c>
      <c r="BX174" s="460">
        <f t="shared" si="491"/>
        <v>5850.0304957363123</v>
      </c>
      <c r="BY174" s="173">
        <f t="shared" si="492"/>
        <v>12.005437159771024</v>
      </c>
      <c r="BZ174" s="5">
        <f t="shared" si="493"/>
        <v>97.28</v>
      </c>
      <c r="CA174" s="173">
        <f t="shared" si="494"/>
        <v>0.89014604807574182</v>
      </c>
      <c r="CB174" s="5">
        <f t="shared" si="495"/>
        <v>89.014604807574187</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0.54755043227665712</v>
      </c>
      <c r="CH174" s="173">
        <f t="shared" ref="CH174:CH210" si="537">MIN(SQRT(2*DT174*1000*Ls2_*(CM174+CK174*Vfwd22))/(Vout2+Vfwd22), 1-DY174)</f>
        <v>6.4398811101315859E-2</v>
      </c>
      <c r="CI174" s="170">
        <v>64</v>
      </c>
      <c r="CJ174" s="217">
        <f t="shared" si="438"/>
        <v>6.4</v>
      </c>
      <c r="CK174" s="217">
        <f t="shared" ref="CK174:CK210" si="538">IF(PLOT_TYPE=1, CI174/100*Iout2, min_I*EXP(CU174*rr/100))</f>
        <v>0.16</v>
      </c>
      <c r="CL174" s="217">
        <f t="shared" ref="CL174:CL210" si="539">CJ174*Vout</f>
        <v>96</v>
      </c>
      <c r="CM174" s="217">
        <f t="shared" ref="CM174:CM210" si="540">Vout2*CK174</f>
        <v>1.28</v>
      </c>
      <c r="CN174" s="541">
        <f t="shared" ref="CN174:CN212" si="541">VIN_min</f>
        <v>19</v>
      </c>
      <c r="CO174" s="443">
        <f t="shared" ref="CO174:CO210" si="542">(CW174+Vfwd2)*Nps</f>
        <v>15.7</v>
      </c>
      <c r="CP174" s="443">
        <f t="shared" ref="CP174:CP210" si="543">(Vout+Vfwd2)*Nps+CN174</f>
        <v>34.700000000000003</v>
      </c>
      <c r="CQ174" s="443"/>
      <c r="CR174" s="217">
        <f t="shared" ref="CR174:CR210" si="544">(Vout+Vfwd1)*Nps/((Vout+Vfwd1)*Nps+CN174)</f>
        <v>0.44767441860465118</v>
      </c>
      <c r="CS174" s="172">
        <f t="shared" ref="CS174:CS210" si="545">CR174*CN174*Isw_max*0.5*Efficiency*Pout/(Pout+Pout2)</f>
        <v>209.84738372093025</v>
      </c>
      <c r="CT174" s="172">
        <f t="shared" ref="CT174:CT210" si="546">CR174*CN174*Isw_max*0.5*Efficiency*(Pout2/Pout_total)</f>
        <v>2.835271317829458</v>
      </c>
      <c r="CU174" s="217">
        <f t="shared" ref="CU174:CU210" si="547">CS174/Vout</f>
        <v>13.989825581395349</v>
      </c>
      <c r="CV174" s="217">
        <f t="shared" ref="CV174:CV210" si="548">CS174/Vout2</f>
        <v>26.230922965116282</v>
      </c>
      <c r="CW174" s="217">
        <f t="shared" ref="CW174:CW210" si="549">MIN(Vout,CS174/CJ174)</f>
        <v>15</v>
      </c>
      <c r="CX174" s="217">
        <f t="shared" ref="CX174:CX210" si="550">MIN(2*(Vout*CJ174+Vout2*CK174)/(Efficiency*CN174*CR174), Isw_max)</f>
        <v>22.873766233766233</v>
      </c>
      <c r="CY174" s="217">
        <f t="shared" ref="CY174:CY210" si="551">L*CX174/CN174*1000000</f>
        <v>14.44658920027341</v>
      </c>
      <c r="CZ174" s="217">
        <f t="shared" ref="CZ174:CZ210" si="552">L*CX174/CO174*1000000</f>
        <v>17.483133427082471</v>
      </c>
      <c r="DA174" s="197">
        <f t="shared" ref="DA174:DA210" si="553">IF(1/((350000*L)*(1/CN174+1/CO174))&gt;Isw_min, 350, 0.001/((Isw_min*L)*(1/CN174+1/CO174)))</f>
        <v>71.63784822286263</v>
      </c>
      <c r="DB174" s="443">
        <f t="shared" ref="DB174:DB210" si="554">MIN(1/(CY174+CZ174)*1000, 350)</f>
        <v>31.318781302010031</v>
      </c>
      <c r="DD174" s="217">
        <f t="shared" ref="DD174:DD210" si="555">1/((DA174*1000*L)*(1/CN174+1/CO174))</f>
        <v>10.000000000000002</v>
      </c>
      <c r="DE174" s="173">
        <f t="shared" ref="DE174:DE210" si="556">L*DD174/CO174*1000000</f>
        <v>7.6433121019108299</v>
      </c>
      <c r="DF174" s="173">
        <f t="shared" ref="DF174:DF210" si="557">0.5*DE174*DD174*Nps*DA174/1000*(Pout/(Pout+Pout2))</f>
        <v>2.7017291066282429</v>
      </c>
      <c r="DG174" s="173"/>
      <c r="DH174" s="173">
        <f t="shared" ref="DH174:DH210" si="558">L*Isw_min/CO174*1000000</f>
        <v>7.6433121019108281</v>
      </c>
      <c r="DI174" s="545">
        <f t="shared" ref="DI174:DI210" si="559">MAX(10, CJ174/(0.5*DH174/1000000*Isw_min*Nps)/1000*Pout_total/Pout)</f>
        <v>167.4666666666667</v>
      </c>
      <c r="DJ174" s="528">
        <f t="shared" ref="DJ174:DJ210" si="560">0.5*DH174/1000000*Isw_min*Nps*DA174*1000*(Pout/Pout_total)</f>
        <v>2.7377521613832849</v>
      </c>
      <c r="DL174" s="173">
        <f t="shared" ref="DL174:DL210" si="561">SQRT((CL174+CM174)/(0.5*L*Fsw_DCM))</f>
        <v>6.8061596751626041</v>
      </c>
      <c r="DM174" s="173">
        <f t="shared" ref="DM174:DM210" si="562">MAX(IF(CJ174&gt;DF174,CX174,DL174),Isw_min)</f>
        <v>22.873766233766233</v>
      </c>
      <c r="DN174" s="173">
        <f t="shared" ref="DN174:DN210" si="563">IF(CJ174&gt;DJ174, (DM174-Isw_min)/1.08*0.8+1.2, DI174*0.2/350+1)</f>
        <v>10.736123136123135</v>
      </c>
      <c r="DP174" s="545">
        <f t="shared" ref="DP174:DP210" si="564">CJ174*1000</f>
        <v>6400</v>
      </c>
      <c r="DQ174" s="460">
        <f t="shared" ref="DQ174:DQ210" si="565">IF(CJ174&gt;DJ174, DB174, DI174)</f>
        <v>31.318781302010031</v>
      </c>
      <c r="DS174">
        <f t="shared" ref="DS174:DS192" si="566">IF(CL174&gt;CS174, "",DP174)</f>
        <v>6400</v>
      </c>
      <c r="DT174">
        <f t="shared" ref="DT174:DT193" si="567">IF(CL174&gt;CS174, "",DQ174)</f>
        <v>31.318781302010031</v>
      </c>
      <c r="DV174" s="5">
        <f t="shared" ref="DV174:DV210" si="568">1/DQ174*1000</f>
        <v>31.929722627355883</v>
      </c>
      <c r="DW174" s="5">
        <f t="shared" ref="DW174:DW210" si="569">L*DM174/CN174*1000000</f>
        <v>14.44658920027341</v>
      </c>
      <c r="DX174" s="5">
        <f t="shared" ref="DX174:DX210" si="570">DV174-DW174</f>
        <v>17.483133427082471</v>
      </c>
      <c r="DY174" s="173">
        <f t="shared" ref="DY174:DY210" si="571">DW174/DV174</f>
        <v>0.45244956772334288</v>
      </c>
      <c r="EA174" s="5">
        <f t="shared" ref="EA174:EA210" si="572">CJ174*DW174/Vout_ripple*1000</f>
        <v>616.38780587833219</v>
      </c>
      <c r="EB174" s="5">
        <f t="shared" ref="EB174:EB210" si="573">CK174*DW174/Vout_ripple2*1000</f>
        <v>28.89317840054682</v>
      </c>
      <c r="EC174" s="5">
        <f t="shared" ref="EC174:EC210" si="574">CL174/Efficiency/CN174*DX174/Vinripple1</f>
        <v>24.537731125729781</v>
      </c>
      <c r="ED174" s="5"/>
      <c r="EE174" s="173">
        <f t="shared" ref="EE174:EE210" si="575">DM174*SQRT(DY174/3)</f>
        <v>8.8830506789941168</v>
      </c>
      <c r="EF174" s="173">
        <f t="shared" ref="EF174:EF210" si="576">DM174*Npri_sec1*SQRT((1-DY174)/3)*(Pout/Pout_total)</f>
        <v>9.7721272610803762</v>
      </c>
      <c r="EG174" s="173">
        <f t="shared" ref="EG174:EG210" si="577">DM174*Npri_sec2*SQRT((1-DY174)/3)*(Pout2/Pout_total)</f>
        <v>0.24066258509641084</v>
      </c>
      <c r="EH174" s="173"/>
      <c r="EI174" s="528">
        <f t="shared" ref="EI174:EI210" si="578">Rdson*EE174^2</f>
        <v>1.5781717873115568</v>
      </c>
      <c r="EJ174" s="528">
        <f t="shared" ref="EJ174:EJ210" si="579">0.5*CP174*DM174*DQ174*1000*Trise</f>
        <v>0.4971666666666667</v>
      </c>
      <c r="EK174" s="528">
        <f t="shared" ref="EK174:EK210" si="580">Qg*Vdd*DQ174*1000</f>
        <v>3.9148476627512531E-3</v>
      </c>
      <c r="EL174" s="528">
        <f t="shared" ref="EL174:EL210" si="581">0.5*(Coss+Csw)*CP174^2*DQ174*1000</f>
        <v>3.7710631377937268E-3</v>
      </c>
      <c r="EM174">
        <f t="shared" ref="EM174:EM210" si="582">CN174*IQ</f>
        <v>8.5500000000000003E-3</v>
      </c>
      <c r="EN174" s="460">
        <f t="shared" ref="EN174:EN210" si="583">(EK174+EM174)*1000</f>
        <v>12.464847662751254</v>
      </c>
      <c r="EP174" s="460">
        <f t="shared" si="439"/>
        <v>2091.5743647787681</v>
      </c>
      <c r="EQ174" s="173">
        <f t="shared" ref="EQ174:EQ210" si="584">Vfwd2*CJ174</f>
        <v>4.4799999999999995</v>
      </c>
      <c r="ER174" s="173">
        <f t="shared" ref="ER174:ER210" si="585">Vfwd22*CK174*(1+Diode_TC/1000*(Ta-25))</f>
        <v>7.0999999999999994E-2</v>
      </c>
      <c r="ES174" s="528"/>
      <c r="EU174" s="460">
        <f t="shared" si="497"/>
        <v>4550.9999999999991</v>
      </c>
      <c r="EV174" s="528">
        <f t="shared" ref="EV174:EV210" si="586">Rdcr_pri*EE174^2</f>
        <v>2.3672576809673349</v>
      </c>
      <c r="EW174" s="528">
        <f t="shared" ref="EW174:EW210" si="587">Rdcr_sec*EF174^2</f>
        <v>2.8648341362025076</v>
      </c>
      <c r="EX174" s="528">
        <f t="shared" ref="EX174:EX210" si="588">Rdcr_sec2*EG174^2</f>
        <v>2.8959239932643593E-4</v>
      </c>
      <c r="EY174" s="528">
        <f t="shared" ref="EY174:EY210" si="589">DM174^2.5*DQ174^2.5*k_core</f>
        <v>0.6867937521027887</v>
      </c>
      <c r="EZ174" s="528"/>
      <c r="FA174" s="625">
        <f t="shared" ref="FA174:FA210" si="590">0.5*Lleak*0.000000001*DM174^2*DQ174*1000</f>
        <v>1.6386273937397861E-2</v>
      </c>
      <c r="FB174" s="460">
        <f t="shared" si="498"/>
        <v>5935.5614356093556</v>
      </c>
      <c r="FC174" s="173">
        <f t="shared" ref="FC174:FC210" si="591">SUM(EI174:EM174,EQ174:ET174,EV174:FA174)</f>
        <v>12.578135800388122</v>
      </c>
      <c r="FD174" s="5">
        <f t="shared" ref="FD174:FD210" si="592">MIN(CL174+CM174,CS174+CT174)</f>
        <v>97.28</v>
      </c>
      <c r="FE174" s="173">
        <f t="shared" ref="FE174:FE210" si="593">FD174/(FD174+FC174)</f>
        <v>0.88550565045776353</v>
      </c>
      <c r="FF174" s="5">
        <f t="shared" ref="FF174:FF210" si="594">FE174*100</f>
        <v>88.550565045776352</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6.5</v>
      </c>
      <c r="G175" s="217">
        <f t="shared" si="499"/>
        <v>0.16250000000000001</v>
      </c>
      <c r="H175" s="217">
        <f t="shared" si="500"/>
        <v>97.5</v>
      </c>
      <c r="I175" s="217">
        <f t="shared" si="501"/>
        <v>1.3</v>
      </c>
      <c r="J175" s="541">
        <f t="shared" si="502"/>
        <v>18.338140434254242</v>
      </c>
      <c r="K175" s="443">
        <f t="shared" si="503"/>
        <v>16.056131578947369</v>
      </c>
      <c r="L175" s="172">
        <f t="shared" si="504"/>
        <v>34.394272013201615</v>
      </c>
      <c r="M175" s="443"/>
      <c r="N175" s="217">
        <f t="shared" si="505"/>
        <v>0.46682574275113353</v>
      </c>
      <c r="O175" s="172">
        <f t="shared" si="506"/>
        <v>211.20187571287826</v>
      </c>
      <c r="P175" s="172">
        <f t="shared" si="507"/>
        <v>2.8535720096317774</v>
      </c>
      <c r="Q175" s="217">
        <f t="shared" si="508"/>
        <v>14.080125047525218</v>
      </c>
      <c r="R175" s="217">
        <f t="shared" si="509"/>
        <v>26.400234464109783</v>
      </c>
      <c r="S175" s="217">
        <f t="shared" si="510"/>
        <v>15</v>
      </c>
      <c r="T175" s="217">
        <f t="shared" si="511"/>
        <v>23.082181365791449</v>
      </c>
      <c r="U175" s="217">
        <f t="shared" si="512"/>
        <v>15.104376443322925</v>
      </c>
      <c r="V175" s="217">
        <f t="shared" si="513"/>
        <v>17.251115253233149</v>
      </c>
      <c r="W175" s="197">
        <f t="shared" si="514"/>
        <v>71.339300240794429</v>
      </c>
      <c r="X175" s="443">
        <f t="shared" ref="X175:X210" si="599">MIN(1/(U175+V175+0.2)*1000, 350)</f>
        <v>30.716783801664601</v>
      </c>
      <c r="Z175" s="217">
        <f t="shared" si="515"/>
        <v>10</v>
      </c>
      <c r="AA175" s="173">
        <f t="shared" si="516"/>
        <v>7.4737803069166882</v>
      </c>
      <c r="AB175" s="173">
        <f t="shared" si="517"/>
        <v>2.6307940324779593</v>
      </c>
      <c r="AC175" s="173"/>
      <c r="AD175" s="173">
        <f t="shared" si="518"/>
        <v>7.4737803069166882</v>
      </c>
      <c r="AE175" s="545">
        <f t="shared" si="519"/>
        <v>173.9414254385965</v>
      </c>
      <c r="AF175" s="528">
        <f t="shared" si="520"/>
        <v>2.6658712862443319</v>
      </c>
      <c r="AH175" s="173">
        <f t="shared" si="521"/>
        <v>6.859126697154605</v>
      </c>
      <c r="AI175" s="173">
        <f t="shared" si="522"/>
        <v>23.082181365791449</v>
      </c>
      <c r="AJ175" s="173">
        <f t="shared" si="523"/>
        <v>10.890504715401073</v>
      </c>
      <c r="AL175" s="545">
        <f t="shared" si="524"/>
        <v>6500</v>
      </c>
      <c r="AM175" s="460">
        <f t="shared" si="525"/>
        <v>30.716783801664601</v>
      </c>
      <c r="AO175">
        <f t="shared" si="526"/>
        <v>6500</v>
      </c>
      <c r="AP175">
        <f t="shared" si="527"/>
        <v>30.716783801664601</v>
      </c>
      <c r="AR175" s="5">
        <f t="shared" si="443"/>
        <v>32.555491696556075</v>
      </c>
      <c r="AS175" s="5">
        <f t="shared" si="440"/>
        <v>15.104376443322925</v>
      </c>
      <c r="AT175" s="5">
        <f t="shared" si="441"/>
        <v>17.451115253233148</v>
      </c>
      <c r="AU175" s="173">
        <f t="shared" si="442"/>
        <v>0.463957865668506</v>
      </c>
      <c r="AW175" s="5">
        <f t="shared" si="477"/>
        <v>654.52297921066008</v>
      </c>
      <c r="AX175" s="5">
        <f t="shared" si="478"/>
        <v>30.680764650499693</v>
      </c>
      <c r="AY175" s="5">
        <f t="shared" si="479"/>
        <v>25.773298723292918</v>
      </c>
      <c r="AZ175" s="5"/>
      <c r="BA175" s="173">
        <f t="shared" si="480"/>
        <v>9.0772749985110721</v>
      </c>
      <c r="BB175" s="173">
        <f t="shared" si="481"/>
        <v>9.7569860853221044</v>
      </c>
      <c r="BC175" s="173">
        <f t="shared" si="482"/>
        <v>0.24028969653263849</v>
      </c>
      <c r="BD175" s="173"/>
      <c r="BE175" s="528">
        <f t="shared" si="483"/>
        <v>1.6479384279718838</v>
      </c>
      <c r="BF175" s="528">
        <f t="shared" si="528"/>
        <v>0.45723554413232909</v>
      </c>
      <c r="BG175" s="528">
        <f t="shared" si="529"/>
        <v>1.4082217376088783E-2</v>
      </c>
      <c r="BH175" s="528">
        <f t="shared" si="484"/>
        <v>3.6336909248501554E-3</v>
      </c>
      <c r="BI175">
        <f t="shared" si="485"/>
        <v>8.2521631954144085E-3</v>
      </c>
      <c r="BJ175" s="460">
        <f t="shared" ref="BJ175:BJ210" si="600">(BG175+BI175)*1000</f>
        <v>22.334380571503193</v>
      </c>
      <c r="BK175">
        <f t="shared" si="530"/>
        <v>4.1971431574264475</v>
      </c>
      <c r="BL175" s="460">
        <f t="shared" ref="BL175:BL210" si="601">SUM(BE175:BI175)*1000</f>
        <v>2131.142043600566</v>
      </c>
      <c r="BM175" s="173">
        <f t="shared" si="531"/>
        <v>4.038125</v>
      </c>
      <c r="BN175" s="173">
        <f t="shared" si="532"/>
        <v>0.10095312499999999</v>
      </c>
      <c r="BO175" s="528"/>
      <c r="BQ175" s="460">
        <f t="shared" si="486"/>
        <v>4139.078125</v>
      </c>
      <c r="BR175" s="528">
        <f t="shared" si="487"/>
        <v>2.4719076419578254</v>
      </c>
      <c r="BS175" s="528">
        <f t="shared" si="488"/>
        <v>2.8559633240750748</v>
      </c>
      <c r="BT175" s="528">
        <f t="shared" si="489"/>
        <v>2.8869569129873749E-4</v>
      </c>
      <c r="BU175" s="528">
        <f t="shared" si="490"/>
        <v>0.66927018704413754</v>
      </c>
      <c r="BV175" s="528"/>
      <c r="BW175" s="625">
        <f t="shared" si="533"/>
        <v>1.6365506058679855E-2</v>
      </c>
      <c r="BX175" s="460">
        <f t="shared" si="491"/>
        <v>6013.795354827017</v>
      </c>
      <c r="BY175" s="173">
        <f t="shared" si="492"/>
        <v>12.284015523427584</v>
      </c>
      <c r="BZ175" s="5">
        <f t="shared" si="493"/>
        <v>98.8</v>
      </c>
      <c r="CA175" s="173">
        <f t="shared" si="494"/>
        <v>0.88941689346081576</v>
      </c>
      <c r="CB175" s="5">
        <f t="shared" si="495"/>
        <v>88.941689346081574</v>
      </c>
      <c r="CC175">
        <f t="shared" si="496"/>
        <v>65</v>
      </c>
      <c r="CE175" s="562">
        <f t="shared" si="534"/>
        <v>-50</v>
      </c>
      <c r="CF175">
        <f t="shared" si="535"/>
        <v>-50</v>
      </c>
      <c r="CG175" s="173">
        <f t="shared" si="536"/>
        <v>0.54755043227665712</v>
      </c>
      <c r="CH175" s="173">
        <f t="shared" si="537"/>
        <v>6.4398811101315845E-2</v>
      </c>
      <c r="CI175" s="170">
        <v>65</v>
      </c>
      <c r="CJ175" s="217">
        <f t="shared" ref="CJ175:CJ210" si="602">IF(PLOT_TYPE=1, CI175/100*Iout_max, min_I*EXP(CS175*rr/100))</f>
        <v>6.5</v>
      </c>
      <c r="CK175" s="217">
        <f t="shared" si="538"/>
        <v>0.16250000000000001</v>
      </c>
      <c r="CL175" s="217">
        <f t="shared" si="539"/>
        <v>97.5</v>
      </c>
      <c r="CM175" s="217">
        <f t="shared" si="540"/>
        <v>1.3</v>
      </c>
      <c r="CN175" s="541">
        <f t="shared" si="541"/>
        <v>19</v>
      </c>
      <c r="CO175" s="443">
        <f t="shared" si="542"/>
        <v>15.7</v>
      </c>
      <c r="CP175" s="443">
        <f t="shared" si="543"/>
        <v>34.700000000000003</v>
      </c>
      <c r="CQ175" s="443"/>
      <c r="CR175" s="217">
        <f t="shared" si="544"/>
        <v>0.44767441860465118</v>
      </c>
      <c r="CS175" s="172">
        <f t="shared" si="545"/>
        <v>209.84738372093025</v>
      </c>
      <c r="CT175" s="172">
        <f t="shared" si="546"/>
        <v>2.835271317829458</v>
      </c>
      <c r="CU175" s="217">
        <f t="shared" si="547"/>
        <v>13.989825581395349</v>
      </c>
      <c r="CV175" s="217">
        <f t="shared" si="548"/>
        <v>26.230922965116282</v>
      </c>
      <c r="CW175" s="217">
        <f t="shared" si="549"/>
        <v>15</v>
      </c>
      <c r="CX175" s="217">
        <f t="shared" si="550"/>
        <v>23.23116883116883</v>
      </c>
      <c r="CY175" s="217">
        <f t="shared" si="551"/>
        <v>14.672317156527683</v>
      </c>
      <c r="CZ175" s="217">
        <f t="shared" si="552"/>
        <v>17.756307386880636</v>
      </c>
      <c r="DA175" s="197">
        <f t="shared" si="553"/>
        <v>71.63784822286263</v>
      </c>
      <c r="DB175" s="443">
        <f t="shared" si="554"/>
        <v>30.836953897363721</v>
      </c>
      <c r="DD175" s="217">
        <f t="shared" si="555"/>
        <v>10.000000000000002</v>
      </c>
      <c r="DE175" s="173">
        <f t="shared" si="556"/>
        <v>7.6433121019108299</v>
      </c>
      <c r="DF175" s="173">
        <f t="shared" si="557"/>
        <v>2.7017291066282429</v>
      </c>
      <c r="DG175" s="173"/>
      <c r="DH175" s="173">
        <f t="shared" si="558"/>
        <v>7.6433121019108281</v>
      </c>
      <c r="DI175" s="545">
        <f t="shared" si="559"/>
        <v>170.08333333333334</v>
      </c>
      <c r="DJ175" s="528">
        <f t="shared" si="560"/>
        <v>2.7377521613832849</v>
      </c>
      <c r="DL175" s="173">
        <f t="shared" si="561"/>
        <v>6.859126697154605</v>
      </c>
      <c r="DM175" s="173">
        <f t="shared" si="562"/>
        <v>23.23116883116883</v>
      </c>
      <c r="DN175" s="173">
        <f t="shared" si="563"/>
        <v>11.0008658008658</v>
      </c>
      <c r="DP175" s="545">
        <f t="shared" si="564"/>
        <v>6500</v>
      </c>
      <c r="DQ175" s="460">
        <f t="shared" si="565"/>
        <v>30.836953897363721</v>
      </c>
      <c r="DS175">
        <f t="shared" si="566"/>
        <v>6500</v>
      </c>
      <c r="DT175">
        <f t="shared" si="567"/>
        <v>30.836953897363721</v>
      </c>
      <c r="DV175" s="5">
        <f t="shared" si="568"/>
        <v>32.428624543408318</v>
      </c>
      <c r="DW175" s="5">
        <f t="shared" si="569"/>
        <v>14.672317156527683</v>
      </c>
      <c r="DX175" s="5">
        <f t="shared" si="570"/>
        <v>17.756307386880636</v>
      </c>
      <c r="DY175" s="173">
        <f t="shared" si="571"/>
        <v>0.45244956772334294</v>
      </c>
      <c r="EA175" s="5">
        <f t="shared" si="572"/>
        <v>635.8004101161996</v>
      </c>
      <c r="EB175" s="5">
        <f t="shared" si="573"/>
        <v>29.80314422419686</v>
      </c>
      <c r="EC175" s="5">
        <f t="shared" si="574"/>
        <v>25.310525880421956</v>
      </c>
      <c r="ED175" s="5"/>
      <c r="EE175" s="173">
        <f t="shared" si="575"/>
        <v>9.0218483458533996</v>
      </c>
      <c r="EF175" s="173">
        <f t="shared" si="576"/>
        <v>9.9248167495347577</v>
      </c>
      <c r="EG175" s="173">
        <f t="shared" si="577"/>
        <v>0.24442293798854228</v>
      </c>
      <c r="EH175" s="173"/>
      <c r="EI175" s="528">
        <f t="shared" si="578"/>
        <v>1.6278749515115545</v>
      </c>
      <c r="EJ175" s="528">
        <f t="shared" si="579"/>
        <v>0.49716666666666665</v>
      </c>
      <c r="EK175" s="528">
        <f t="shared" si="580"/>
        <v>3.8546192371704652E-3</v>
      </c>
      <c r="EL175" s="528">
        <f t="shared" si="581"/>
        <v>3.7130467818276688E-3</v>
      </c>
      <c r="EM175">
        <f t="shared" si="582"/>
        <v>8.5500000000000003E-3</v>
      </c>
      <c r="EN175" s="460">
        <f t="shared" si="583"/>
        <v>12.404619237170467</v>
      </c>
      <c r="EP175" s="460">
        <f t="shared" ref="EP175:EP210" si="603">SUM(EI175:EM175)*1000</f>
        <v>2141.1592841972192</v>
      </c>
      <c r="EQ175" s="173">
        <f t="shared" si="584"/>
        <v>4.55</v>
      </c>
      <c r="ER175" s="173">
        <f t="shared" si="585"/>
        <v>7.2109375000000003E-2</v>
      </c>
      <c r="ES175" s="528"/>
      <c r="EU175" s="460">
        <f t="shared" si="497"/>
        <v>4622.109375</v>
      </c>
      <c r="EV175" s="528">
        <f t="shared" si="586"/>
        <v>2.4418124272673314</v>
      </c>
      <c r="EW175" s="528">
        <f t="shared" si="587"/>
        <v>2.95505962535537</v>
      </c>
      <c r="EX175" s="528">
        <f t="shared" si="588"/>
        <v>2.9871286307475394E-4</v>
      </c>
      <c r="EY175" s="528">
        <f t="shared" si="589"/>
        <v>0.68679375210278792</v>
      </c>
      <c r="EZ175" s="528"/>
      <c r="FA175" s="625">
        <f t="shared" si="590"/>
        <v>1.6642309467669696E-2</v>
      </c>
      <c r="FB175" s="460">
        <f t="shared" si="498"/>
        <v>6100.6068270562337</v>
      </c>
      <c r="FC175" s="173">
        <f t="shared" si="591"/>
        <v>12.863875486253454</v>
      </c>
      <c r="FD175" s="5">
        <f t="shared" si="592"/>
        <v>98.8</v>
      </c>
      <c r="FE175" s="173">
        <f t="shared" si="593"/>
        <v>0.88479823550601133</v>
      </c>
      <c r="FF175" s="5">
        <f t="shared" si="594"/>
        <v>88.479823550601139</v>
      </c>
      <c r="FG175">
        <f t="shared" si="595"/>
        <v>65</v>
      </c>
      <c r="FI175" s="562">
        <f t="shared" si="596"/>
        <v>-50</v>
      </c>
      <c r="FJ175">
        <f t="shared" si="597"/>
        <v>-50</v>
      </c>
    </row>
    <row r="176" spans="5:166">
      <c r="E176" s="170">
        <v>66</v>
      </c>
      <c r="F176" s="217">
        <f t="shared" si="598"/>
        <v>6.6000000000000005</v>
      </c>
      <c r="G176" s="217">
        <f t="shared" si="499"/>
        <v>0.16500000000000001</v>
      </c>
      <c r="H176" s="217">
        <f t="shared" si="500"/>
        <v>99.000000000000014</v>
      </c>
      <c r="I176" s="217">
        <f t="shared" si="501"/>
        <v>1.32</v>
      </c>
      <c r="J176" s="541">
        <f t="shared" si="502"/>
        <v>18.327957979396615</v>
      </c>
      <c r="K176" s="443">
        <f t="shared" si="503"/>
        <v>16.061610526315789</v>
      </c>
      <c r="L176" s="172">
        <f t="shared" si="504"/>
        <v>34.389568505712404</v>
      </c>
      <c r="M176" s="443"/>
      <c r="N176" s="217">
        <f t="shared" si="505"/>
        <v>0.46704891117339309</v>
      </c>
      <c r="O176" s="172">
        <f t="shared" si="506"/>
        <v>211.18551360959438</v>
      </c>
      <c r="P176" s="172">
        <f t="shared" si="507"/>
        <v>2.8533509394362975</v>
      </c>
      <c r="Q176" s="217">
        <f t="shared" si="508"/>
        <v>14.079034240639626</v>
      </c>
      <c r="R176" s="217">
        <f t="shared" si="509"/>
        <v>26.398189201199298</v>
      </c>
      <c r="S176" s="217">
        <f t="shared" si="510"/>
        <v>15</v>
      </c>
      <c r="T176" s="217">
        <f t="shared" si="511"/>
        <v>23.439107708641227</v>
      </c>
      <c r="U176" s="217">
        <f t="shared" si="512"/>
        <v>15.346461008906926</v>
      </c>
      <c r="V176" s="217">
        <f t="shared" si="513"/>
        <v>17.51189845145699</v>
      </c>
      <c r="W176" s="197">
        <f t="shared" si="514"/>
        <v>71.333773485907429</v>
      </c>
      <c r="X176" s="443">
        <f t="shared" si="599"/>
        <v>30.249534953450219</v>
      </c>
      <c r="Z176" s="217">
        <f t="shared" si="515"/>
        <v>10</v>
      </c>
      <c r="AA176" s="173">
        <f t="shared" si="516"/>
        <v>7.471230845959604</v>
      </c>
      <c r="AB176" s="173">
        <f t="shared" si="517"/>
        <v>2.6296928724997053</v>
      </c>
      <c r="AC176" s="173"/>
      <c r="AD176" s="173">
        <f t="shared" si="518"/>
        <v>7.471230845959604</v>
      </c>
      <c r="AE176" s="545">
        <f t="shared" si="519"/>
        <v>176.67771578947369</v>
      </c>
      <c r="AF176" s="528">
        <f t="shared" si="520"/>
        <v>2.6647554441330348</v>
      </c>
      <c r="AH176" s="173">
        <f t="shared" si="521"/>
        <v>6.9116878236382009</v>
      </c>
      <c r="AI176" s="173">
        <f t="shared" si="522"/>
        <v>23.439107708641227</v>
      </c>
      <c r="AJ176" s="173">
        <f t="shared" si="523"/>
        <v>11.154894598993501</v>
      </c>
      <c r="AL176" s="545">
        <f t="shared" si="524"/>
        <v>6600.0000000000009</v>
      </c>
      <c r="AM176" s="460">
        <f t="shared" si="525"/>
        <v>30.249534953450219</v>
      </c>
      <c r="AO176">
        <f t="shared" si="526"/>
        <v>6600.0000000000009</v>
      </c>
      <c r="AP176">
        <f t="shared" si="527"/>
        <v>30.249534953450219</v>
      </c>
      <c r="AR176" s="5">
        <f t="shared" si="443"/>
        <v>33.058359460363917</v>
      </c>
      <c r="AS176" s="5">
        <f t="shared" si="440"/>
        <v>15.346461008906926</v>
      </c>
      <c r="AT176" s="5">
        <f t="shared" si="441"/>
        <v>17.711898451456989</v>
      </c>
      <c r="AU176" s="173">
        <f t="shared" si="442"/>
        <v>0.46422330870069095</v>
      </c>
      <c r="AW176" s="5">
        <f t="shared" si="477"/>
        <v>675.2442843919049</v>
      </c>
      <c r="AX176" s="5">
        <f t="shared" si="478"/>
        <v>31.652075830870533</v>
      </c>
      <c r="AY176" s="5">
        <f t="shared" si="479"/>
        <v>26.575639684607278</v>
      </c>
      <c r="AZ176" s="5"/>
      <c r="BA176" s="173">
        <f t="shared" si="480"/>
        <v>9.2202759417244611</v>
      </c>
      <c r="BB176" s="173">
        <f t="shared" si="481"/>
        <v>9.9054076956757307</v>
      </c>
      <c r="BC176" s="173">
        <f t="shared" si="482"/>
        <v>0.24394494246605336</v>
      </c>
      <c r="BD176" s="173"/>
      <c r="BE176" s="528">
        <f t="shared" si="483"/>
        <v>1.7002697688308581</v>
      </c>
      <c r="BF176" s="528">
        <f t="shared" si="528"/>
        <v>0.45718058160081326</v>
      </c>
      <c r="BG176" s="528">
        <f t="shared" si="529"/>
        <v>1.386030513807812E-2</v>
      </c>
      <c r="BH176" s="528">
        <f t="shared" si="484"/>
        <v>3.5774383281996884E-3</v>
      </c>
      <c r="BI176">
        <f t="shared" si="485"/>
        <v>8.2475810907284772E-3</v>
      </c>
      <c r="BJ176" s="460">
        <f t="shared" si="600"/>
        <v>22.107886228806599</v>
      </c>
      <c r="BK176">
        <f t="shared" si="530"/>
        <v>4.3960246924324764</v>
      </c>
      <c r="BL176" s="460">
        <f t="shared" si="601"/>
        <v>2183.1356749886777</v>
      </c>
      <c r="BM176" s="173">
        <f t="shared" si="531"/>
        <v>4.10025</v>
      </c>
      <c r="BN176" s="173">
        <f t="shared" si="532"/>
        <v>0.10250624999999999</v>
      </c>
      <c r="BO176" s="528"/>
      <c r="BQ176" s="460">
        <f t="shared" si="486"/>
        <v>4202.7562500000004</v>
      </c>
      <c r="BR176" s="528">
        <f t="shared" si="487"/>
        <v>2.5504046532462872</v>
      </c>
      <c r="BS176" s="528">
        <f t="shared" si="488"/>
        <v>2.9435130485265599</v>
      </c>
      <c r="BT176" s="528">
        <f t="shared" si="489"/>
        <v>2.9754567477383042E-4</v>
      </c>
      <c r="BU176" s="528">
        <f t="shared" si="490"/>
        <v>0.66929787632899151</v>
      </c>
      <c r="BV176" s="528"/>
      <c r="BW176" s="625">
        <f t="shared" si="533"/>
        <v>1.6618845555115658E-2</v>
      </c>
      <c r="BX176" s="460">
        <f t="shared" si="491"/>
        <v>6180.1319693317291</v>
      </c>
      <c r="BY176" s="173">
        <f t="shared" si="492"/>
        <v>12.566023894320406</v>
      </c>
      <c r="BZ176" s="5">
        <f t="shared" si="493"/>
        <v>100.32000000000001</v>
      </c>
      <c r="CA176" s="173">
        <f t="shared" si="494"/>
        <v>0.88868397113459996</v>
      </c>
      <c r="CB176" s="5">
        <f t="shared" si="495"/>
        <v>88.868397113459991</v>
      </c>
      <c r="CC176">
        <f t="shared" si="496"/>
        <v>66</v>
      </c>
      <c r="CE176" s="562">
        <f t="shared" si="534"/>
        <v>-50</v>
      </c>
      <c r="CF176">
        <f t="shared" si="535"/>
        <v>-50</v>
      </c>
      <c r="CG176" s="173">
        <f t="shared" si="536"/>
        <v>0.54755043227665712</v>
      </c>
      <c r="CH176" s="173">
        <f t="shared" si="537"/>
        <v>6.4398811101315845E-2</v>
      </c>
      <c r="CI176" s="170">
        <v>66</v>
      </c>
      <c r="CJ176" s="217">
        <f t="shared" si="602"/>
        <v>6.6000000000000005</v>
      </c>
      <c r="CK176" s="217">
        <f t="shared" si="538"/>
        <v>0.16500000000000001</v>
      </c>
      <c r="CL176" s="217">
        <f t="shared" si="539"/>
        <v>99.000000000000014</v>
      </c>
      <c r="CM176" s="217">
        <f t="shared" si="540"/>
        <v>1.32</v>
      </c>
      <c r="CN176" s="541">
        <f t="shared" si="541"/>
        <v>19</v>
      </c>
      <c r="CO176" s="443">
        <f t="shared" si="542"/>
        <v>15.7</v>
      </c>
      <c r="CP176" s="443">
        <f t="shared" si="543"/>
        <v>34.700000000000003</v>
      </c>
      <c r="CQ176" s="443"/>
      <c r="CR176" s="217">
        <f t="shared" si="544"/>
        <v>0.44767441860465118</v>
      </c>
      <c r="CS176" s="172">
        <f t="shared" si="545"/>
        <v>209.84738372093025</v>
      </c>
      <c r="CT176" s="172">
        <f t="shared" si="546"/>
        <v>2.835271317829458</v>
      </c>
      <c r="CU176" s="217">
        <f t="shared" si="547"/>
        <v>13.989825581395349</v>
      </c>
      <c r="CV176" s="217">
        <f t="shared" si="548"/>
        <v>26.230922965116282</v>
      </c>
      <c r="CW176" s="217">
        <f t="shared" si="549"/>
        <v>15</v>
      </c>
      <c r="CX176" s="217">
        <f t="shared" si="550"/>
        <v>23.588571428571431</v>
      </c>
      <c r="CY176" s="217">
        <f t="shared" si="551"/>
        <v>14.898045112781956</v>
      </c>
      <c r="CZ176" s="217">
        <f t="shared" si="552"/>
        <v>18.0294813466788</v>
      </c>
      <c r="DA176" s="197">
        <f t="shared" si="553"/>
        <v>71.63784822286263</v>
      </c>
      <c r="DB176" s="443">
        <f t="shared" si="554"/>
        <v>30.369727323161236</v>
      </c>
      <c r="DD176" s="217">
        <f t="shared" si="555"/>
        <v>10.000000000000002</v>
      </c>
      <c r="DE176" s="173">
        <f t="shared" si="556"/>
        <v>7.6433121019108299</v>
      </c>
      <c r="DF176" s="173">
        <f t="shared" si="557"/>
        <v>2.7017291066282429</v>
      </c>
      <c r="DG176" s="173"/>
      <c r="DH176" s="173">
        <f t="shared" si="558"/>
        <v>7.6433121019108281</v>
      </c>
      <c r="DI176" s="545">
        <f t="shared" si="559"/>
        <v>172.70000000000002</v>
      </c>
      <c r="DJ176" s="528">
        <f t="shared" si="560"/>
        <v>2.7377521613832849</v>
      </c>
      <c r="DL176" s="173">
        <f t="shared" si="561"/>
        <v>6.9116878236382009</v>
      </c>
      <c r="DM176" s="173">
        <f t="shared" si="562"/>
        <v>23.588571428571431</v>
      </c>
      <c r="DN176" s="173">
        <f t="shared" si="563"/>
        <v>11.265608465608466</v>
      </c>
      <c r="DP176" s="545">
        <f t="shared" si="564"/>
        <v>6600.0000000000009</v>
      </c>
      <c r="DQ176" s="460">
        <f t="shared" si="565"/>
        <v>30.369727323161236</v>
      </c>
      <c r="DS176">
        <f t="shared" si="566"/>
        <v>6600.0000000000009</v>
      </c>
      <c r="DT176">
        <f t="shared" si="567"/>
        <v>30.369727323161236</v>
      </c>
      <c r="DV176" s="5">
        <f t="shared" si="568"/>
        <v>32.927526459460758</v>
      </c>
      <c r="DW176" s="5">
        <f t="shared" si="569"/>
        <v>14.898045112781956</v>
      </c>
      <c r="DX176" s="5">
        <f t="shared" si="570"/>
        <v>18.0294813466788</v>
      </c>
      <c r="DY176" s="173">
        <f t="shared" si="571"/>
        <v>0.45244956772334294</v>
      </c>
      <c r="EA176" s="5">
        <f t="shared" si="572"/>
        <v>655.51398496240608</v>
      </c>
      <c r="EB176" s="5">
        <f t="shared" si="573"/>
        <v>30.727218045112785</v>
      </c>
      <c r="EC176" s="5">
        <f t="shared" si="574"/>
        <v>26.095301949140371</v>
      </c>
      <c r="ED176" s="5"/>
      <c r="EE176" s="173">
        <f t="shared" si="575"/>
        <v>9.1606460127126841</v>
      </c>
      <c r="EF176" s="173">
        <f t="shared" si="576"/>
        <v>10.077506237989141</v>
      </c>
      <c r="EG176" s="173">
        <f t="shared" si="577"/>
        <v>0.24818329088067378</v>
      </c>
      <c r="EH176" s="173"/>
      <c r="EI176" s="528">
        <f t="shared" si="578"/>
        <v>1.678348707404576</v>
      </c>
      <c r="EJ176" s="528">
        <f t="shared" si="579"/>
        <v>0.49716666666666665</v>
      </c>
      <c r="EK176" s="528">
        <f t="shared" si="580"/>
        <v>3.7962159153951546E-3</v>
      </c>
      <c r="EL176" s="528">
        <f t="shared" si="581"/>
        <v>3.6567884972545221E-3</v>
      </c>
      <c r="EM176">
        <f t="shared" si="582"/>
        <v>8.5500000000000003E-3</v>
      </c>
      <c r="EN176" s="460">
        <f t="shared" si="583"/>
        <v>12.346215915395154</v>
      </c>
      <c r="EP176" s="460">
        <f t="shared" si="603"/>
        <v>2191.5183784838923</v>
      </c>
      <c r="EQ176" s="173">
        <f t="shared" si="584"/>
        <v>4.62</v>
      </c>
      <c r="ER176" s="173">
        <f t="shared" si="585"/>
        <v>7.3218749999999999E-2</v>
      </c>
      <c r="ES176" s="528"/>
      <c r="EU176" s="460">
        <f t="shared" si="497"/>
        <v>4693.21875</v>
      </c>
      <c r="EV176" s="528">
        <f t="shared" si="586"/>
        <v>2.5175230611068637</v>
      </c>
      <c r="EW176" s="528">
        <f t="shared" si="587"/>
        <v>3.0466839593013013</v>
      </c>
      <c r="EX176" s="528">
        <f t="shared" si="588"/>
        <v>3.0797472936180568E-4</v>
      </c>
      <c r="EY176" s="528">
        <f t="shared" si="589"/>
        <v>0.68679375210278926</v>
      </c>
      <c r="EZ176" s="528"/>
      <c r="FA176" s="625">
        <f t="shared" si="590"/>
        <v>1.6898344997941538E-2</v>
      </c>
      <c r="FB176" s="460">
        <f t="shared" si="498"/>
        <v>6268.2070922382582</v>
      </c>
      <c r="FC176" s="173">
        <f t="shared" si="591"/>
        <v>13.152944220722148</v>
      </c>
      <c r="FD176" s="5">
        <f t="shared" si="592"/>
        <v>100.32000000000001</v>
      </c>
      <c r="FE176" s="173">
        <f t="shared" si="593"/>
        <v>0.88408739800442937</v>
      </c>
      <c r="FF176" s="5">
        <f t="shared" si="594"/>
        <v>88.40873980044293</v>
      </c>
      <c r="FG176">
        <f t="shared" si="595"/>
        <v>66</v>
      </c>
      <c r="FI176" s="562">
        <f t="shared" si="596"/>
        <v>-50</v>
      </c>
      <c r="FJ176">
        <f t="shared" si="597"/>
        <v>-50</v>
      </c>
    </row>
    <row r="177" spans="5:166">
      <c r="E177" s="170">
        <v>67</v>
      </c>
      <c r="F177" s="217">
        <f t="shared" si="598"/>
        <v>6.7</v>
      </c>
      <c r="G177" s="217">
        <f t="shared" si="499"/>
        <v>0.16750000000000001</v>
      </c>
      <c r="H177" s="217">
        <f t="shared" si="500"/>
        <v>100.5</v>
      </c>
      <c r="I177" s="217">
        <f t="shared" si="501"/>
        <v>1.34</v>
      </c>
      <c r="J177" s="541">
        <f t="shared" si="502"/>
        <v>18.317775524538987</v>
      </c>
      <c r="K177" s="443">
        <f t="shared" si="503"/>
        <v>16.067089473684209</v>
      </c>
      <c r="L177" s="172">
        <f t="shared" si="504"/>
        <v>34.384864998223193</v>
      </c>
      <c r="M177" s="443"/>
      <c r="N177" s="217">
        <f t="shared" si="505"/>
        <v>0.46727214065009304</v>
      </c>
      <c r="O177" s="172">
        <f t="shared" si="506"/>
        <v>211.16906697284244</v>
      </c>
      <c r="P177" s="172">
        <f t="shared" si="507"/>
        <v>2.8531287270997381</v>
      </c>
      <c r="Q177" s="217">
        <f t="shared" si="508"/>
        <v>14.077937798189497</v>
      </c>
      <c r="R177" s="217">
        <f t="shared" si="509"/>
        <v>26.396133371605305</v>
      </c>
      <c r="S177" s="217">
        <f t="shared" si="510"/>
        <v>15</v>
      </c>
      <c r="T177" s="217">
        <f t="shared" si="511"/>
        <v>23.796098889077555</v>
      </c>
      <c r="U177" s="217">
        <f t="shared" si="512"/>
        <v>15.58885718882164</v>
      </c>
      <c r="V177" s="217">
        <f t="shared" si="513"/>
        <v>17.77255221841077</v>
      </c>
      <c r="W177" s="197">
        <f t="shared" si="514"/>
        <v>71.32821817749344</v>
      </c>
      <c r="X177" s="443">
        <f t="shared" si="599"/>
        <v>29.796126493558468</v>
      </c>
      <c r="Z177" s="217">
        <f t="shared" si="515"/>
        <v>10</v>
      </c>
      <c r="AA177" s="173">
        <f t="shared" si="516"/>
        <v>7.4686831237570628</v>
      </c>
      <c r="AB177" s="173">
        <f t="shared" si="517"/>
        <v>2.6285914112659889</v>
      </c>
      <c r="AC177" s="173"/>
      <c r="AD177" s="173">
        <f t="shared" si="518"/>
        <v>7.4686831237570628</v>
      </c>
      <c r="AE177" s="545">
        <f t="shared" si="519"/>
        <v>179.41583245614032</v>
      </c>
      <c r="AF177" s="528">
        <f t="shared" si="520"/>
        <v>2.6636392967495355</v>
      </c>
      <c r="AH177" s="173">
        <f t="shared" si="521"/>
        <v>6.9638522453623395</v>
      </c>
      <c r="AI177" s="173">
        <f t="shared" si="522"/>
        <v>23.796098889077555</v>
      </c>
      <c r="AJ177" s="173">
        <f t="shared" si="523"/>
        <v>11.419332510427818</v>
      </c>
      <c r="AL177" s="545">
        <f t="shared" si="524"/>
        <v>6700</v>
      </c>
      <c r="AM177" s="460">
        <f t="shared" si="525"/>
        <v>29.796126493558468</v>
      </c>
      <c r="AO177">
        <f t="shared" si="526"/>
        <v>6700</v>
      </c>
      <c r="AP177">
        <f t="shared" si="527"/>
        <v>29.796126493558468</v>
      </c>
      <c r="AR177" s="5">
        <f t="shared" si="443"/>
        <v>33.561409407232411</v>
      </c>
      <c r="AS177" s="5">
        <f t="shared" si="440"/>
        <v>15.58885718882164</v>
      </c>
      <c r="AT177" s="5">
        <f t="shared" si="441"/>
        <v>17.972552218410769</v>
      </c>
      <c r="AU177" s="173">
        <f t="shared" si="442"/>
        <v>0.46448756068814784</v>
      </c>
      <c r="AW177" s="5">
        <f t="shared" si="477"/>
        <v>696.30228776736658</v>
      </c>
      <c r="AX177" s="5">
        <f t="shared" si="478"/>
        <v>32.639169739095308</v>
      </c>
      <c r="AY177" s="5">
        <f t="shared" si="479"/>
        <v>27.390539247437435</v>
      </c>
      <c r="AZ177" s="5"/>
      <c r="BA177" s="173">
        <f t="shared" si="480"/>
        <v>9.3633699224202012</v>
      </c>
      <c r="BB177" s="173">
        <f t="shared" si="481"/>
        <v>10.05379254189695</v>
      </c>
      <c r="BC177" s="173">
        <f t="shared" si="482"/>
        <v>0.24759928299259942</v>
      </c>
      <c r="BD177" s="173"/>
      <c r="BE177" s="528">
        <f t="shared" si="483"/>
        <v>1.7534539260816657</v>
      </c>
      <c r="BF177" s="528">
        <f t="shared" si="528"/>
        <v>0.45712415440658688</v>
      </c>
      <c r="BG177" s="528">
        <f t="shared" si="529"/>
        <v>1.3644968915244323E-2</v>
      </c>
      <c r="BH177" s="528">
        <f t="shared" si="484"/>
        <v>3.5228524720158131E-3</v>
      </c>
      <c r="BI177">
        <f t="shared" si="485"/>
        <v>8.2429989860425441E-3</v>
      </c>
      <c r="BJ177" s="460">
        <f t="shared" si="600"/>
        <v>21.887967901286867</v>
      </c>
      <c r="BK177">
        <f t="shared" si="530"/>
        <v>4.6068368825052373</v>
      </c>
      <c r="BL177" s="460">
        <f t="shared" si="601"/>
        <v>2235.9889008615551</v>
      </c>
      <c r="BM177" s="173">
        <f t="shared" si="531"/>
        <v>4.162374999999999</v>
      </c>
      <c r="BN177" s="173">
        <f t="shared" si="532"/>
        <v>0.10405937499999998</v>
      </c>
      <c r="BO177" s="528"/>
      <c r="BQ177" s="460">
        <f t="shared" si="486"/>
        <v>4266.4343749999989</v>
      </c>
      <c r="BR177" s="528">
        <f t="shared" si="487"/>
        <v>2.6301808891224985</v>
      </c>
      <c r="BS177" s="528">
        <f t="shared" si="488"/>
        <v>3.0323623342650818</v>
      </c>
      <c r="BT177" s="528">
        <f t="shared" si="489"/>
        <v>3.0652702469224669E-4</v>
      </c>
      <c r="BU177" s="528">
        <f t="shared" si="490"/>
        <v>0.66932021247376661</v>
      </c>
      <c r="BV177" s="528"/>
      <c r="BW177" s="625">
        <f t="shared" si="533"/>
        <v>1.6872185415929865E-2</v>
      </c>
      <c r="BX177" s="460">
        <f t="shared" si="491"/>
        <v>6349.0421483019691</v>
      </c>
      <c r="BY177" s="173">
        <f t="shared" si="492"/>
        <v>12.851465424163523</v>
      </c>
      <c r="BZ177" s="5">
        <f t="shared" si="493"/>
        <v>101.84</v>
      </c>
      <c r="CA177" s="173">
        <f t="shared" si="494"/>
        <v>0.8879475000460153</v>
      </c>
      <c r="CB177" s="5">
        <f t="shared" si="495"/>
        <v>88.794750004601525</v>
      </c>
      <c r="CC177">
        <f t="shared" si="496"/>
        <v>67</v>
      </c>
      <c r="CE177" s="562">
        <f t="shared" si="534"/>
        <v>-50</v>
      </c>
      <c r="CF177">
        <f t="shared" si="535"/>
        <v>-50</v>
      </c>
      <c r="CG177" s="173">
        <f t="shared" si="536"/>
        <v>0.54755043227665712</v>
      </c>
      <c r="CH177" s="173">
        <f t="shared" si="537"/>
        <v>6.4398811101315859E-2</v>
      </c>
      <c r="CI177" s="170">
        <v>67</v>
      </c>
      <c r="CJ177" s="217">
        <f t="shared" si="602"/>
        <v>6.7</v>
      </c>
      <c r="CK177" s="217">
        <f t="shared" si="538"/>
        <v>0.16750000000000001</v>
      </c>
      <c r="CL177" s="217">
        <f t="shared" si="539"/>
        <v>100.5</v>
      </c>
      <c r="CM177" s="217">
        <f t="shared" si="540"/>
        <v>1.34</v>
      </c>
      <c r="CN177" s="541">
        <f t="shared" si="541"/>
        <v>19</v>
      </c>
      <c r="CO177" s="443">
        <f t="shared" si="542"/>
        <v>15.7</v>
      </c>
      <c r="CP177" s="443">
        <f t="shared" si="543"/>
        <v>34.700000000000003</v>
      </c>
      <c r="CQ177" s="443"/>
      <c r="CR177" s="217">
        <f t="shared" si="544"/>
        <v>0.44767441860465118</v>
      </c>
      <c r="CS177" s="172">
        <f t="shared" si="545"/>
        <v>209.84738372093025</v>
      </c>
      <c r="CT177" s="172">
        <f t="shared" si="546"/>
        <v>2.835271317829458</v>
      </c>
      <c r="CU177" s="217">
        <f t="shared" si="547"/>
        <v>13.989825581395349</v>
      </c>
      <c r="CV177" s="217">
        <f t="shared" si="548"/>
        <v>26.230922965116282</v>
      </c>
      <c r="CW177" s="217">
        <f t="shared" si="549"/>
        <v>15</v>
      </c>
      <c r="CX177" s="217">
        <f t="shared" si="550"/>
        <v>23.945974025974024</v>
      </c>
      <c r="CY177" s="217">
        <f t="shared" si="551"/>
        <v>15.123773069036224</v>
      </c>
      <c r="CZ177" s="217">
        <f t="shared" si="552"/>
        <v>18.302655306476961</v>
      </c>
      <c r="DA177" s="197">
        <f t="shared" si="553"/>
        <v>71.63784822286263</v>
      </c>
      <c r="DB177" s="443">
        <f t="shared" si="554"/>
        <v>29.916447810875258</v>
      </c>
      <c r="DD177" s="217">
        <f t="shared" si="555"/>
        <v>10.000000000000002</v>
      </c>
      <c r="DE177" s="173">
        <f t="shared" si="556"/>
        <v>7.6433121019108299</v>
      </c>
      <c r="DF177" s="173">
        <f t="shared" si="557"/>
        <v>2.7017291066282429</v>
      </c>
      <c r="DG177" s="173"/>
      <c r="DH177" s="173">
        <f t="shared" si="558"/>
        <v>7.6433121019108281</v>
      </c>
      <c r="DI177" s="545">
        <f t="shared" si="559"/>
        <v>175.31666666666669</v>
      </c>
      <c r="DJ177" s="528">
        <f t="shared" si="560"/>
        <v>2.7377521613832849</v>
      </c>
      <c r="DL177" s="173">
        <f t="shared" si="561"/>
        <v>6.9638522453623395</v>
      </c>
      <c r="DM177" s="173">
        <f t="shared" si="562"/>
        <v>23.945974025974024</v>
      </c>
      <c r="DN177" s="173">
        <f t="shared" si="563"/>
        <v>11.530351130351129</v>
      </c>
      <c r="DP177" s="545">
        <f t="shared" si="564"/>
        <v>6700</v>
      </c>
      <c r="DQ177" s="460">
        <f t="shared" si="565"/>
        <v>29.916447810875258</v>
      </c>
      <c r="DS177">
        <f t="shared" si="566"/>
        <v>6700</v>
      </c>
      <c r="DT177">
        <f t="shared" si="567"/>
        <v>29.916447810875258</v>
      </c>
      <c r="DV177" s="5">
        <f t="shared" si="568"/>
        <v>33.426428375513183</v>
      </c>
      <c r="DW177" s="5">
        <f t="shared" si="569"/>
        <v>15.123773069036224</v>
      </c>
      <c r="DX177" s="5">
        <f t="shared" si="570"/>
        <v>18.302655306476957</v>
      </c>
      <c r="DY177" s="173">
        <f t="shared" si="571"/>
        <v>0.45244956772334294</v>
      </c>
      <c r="EA177" s="5">
        <f t="shared" si="572"/>
        <v>675.52853041695141</v>
      </c>
      <c r="EB177" s="5">
        <f t="shared" si="573"/>
        <v>31.665399863294599</v>
      </c>
      <c r="EC177" s="5">
        <f t="shared" si="574"/>
        <v>26.892059331885005</v>
      </c>
      <c r="ED177" s="5"/>
      <c r="EE177" s="173">
        <f t="shared" si="575"/>
        <v>9.299443679571965</v>
      </c>
      <c r="EF177" s="173">
        <f t="shared" si="576"/>
        <v>10.230195726443519</v>
      </c>
      <c r="EG177" s="173">
        <f t="shared" si="577"/>
        <v>0.25194364377280515</v>
      </c>
      <c r="EH177" s="173"/>
      <c r="EI177" s="528">
        <f t="shared" si="578"/>
        <v>1.7295930549906195</v>
      </c>
      <c r="EJ177" s="528">
        <f t="shared" si="579"/>
        <v>0.49716666666666681</v>
      </c>
      <c r="EK177" s="528">
        <f t="shared" si="580"/>
        <v>3.7395559763594073E-3</v>
      </c>
      <c r="EL177" s="528">
        <f t="shared" si="581"/>
        <v>3.6022095644596798E-3</v>
      </c>
      <c r="EM177">
        <f t="shared" si="582"/>
        <v>8.5500000000000003E-3</v>
      </c>
      <c r="EN177" s="460">
        <f t="shared" si="583"/>
        <v>12.289555976359408</v>
      </c>
      <c r="EP177" s="460">
        <f t="shared" si="603"/>
        <v>2242.6514871981058</v>
      </c>
      <c r="EQ177" s="173">
        <f t="shared" si="584"/>
        <v>4.6899999999999995</v>
      </c>
      <c r="ER177" s="173">
        <f t="shared" si="585"/>
        <v>7.4328124999999995E-2</v>
      </c>
      <c r="ES177" s="528"/>
      <c r="EU177" s="460">
        <f t="shared" si="497"/>
        <v>4764.328125</v>
      </c>
      <c r="EV177" s="528">
        <f t="shared" si="586"/>
        <v>2.5943895824859289</v>
      </c>
      <c r="EW177" s="528">
        <f t="shared" si="587"/>
        <v>3.139707138040297</v>
      </c>
      <c r="EX177" s="528">
        <f t="shared" si="588"/>
        <v>3.1737799818759072E-4</v>
      </c>
      <c r="EY177" s="528">
        <f t="shared" si="589"/>
        <v>0.68679375210278804</v>
      </c>
      <c r="EZ177" s="528"/>
      <c r="FA177" s="625">
        <f t="shared" si="590"/>
        <v>1.715438052821338E-2</v>
      </c>
      <c r="FB177" s="460">
        <f t="shared" si="498"/>
        <v>6438.3622311554145</v>
      </c>
      <c r="FC177" s="173">
        <f t="shared" si="591"/>
        <v>13.445341843353521</v>
      </c>
      <c r="FD177" s="5">
        <f t="shared" si="592"/>
        <v>101.84</v>
      </c>
      <c r="FE177" s="173">
        <f t="shared" si="593"/>
        <v>0.88337336188305127</v>
      </c>
      <c r="FF177" s="5">
        <f t="shared" si="594"/>
        <v>88.33733618830513</v>
      </c>
      <c r="FG177">
        <f t="shared" si="595"/>
        <v>67</v>
      </c>
      <c r="FI177" s="562">
        <f t="shared" si="596"/>
        <v>-50</v>
      </c>
      <c r="FJ177">
        <f t="shared" si="597"/>
        <v>-50</v>
      </c>
    </row>
    <row r="178" spans="5:166">
      <c r="E178" s="170">
        <v>68</v>
      </c>
      <c r="F178" s="217">
        <f t="shared" si="598"/>
        <v>6.8000000000000007</v>
      </c>
      <c r="G178" s="217">
        <f t="shared" si="499"/>
        <v>0.17</v>
      </c>
      <c r="H178" s="217">
        <f t="shared" si="500"/>
        <v>102.00000000000001</v>
      </c>
      <c r="I178" s="217">
        <f t="shared" si="501"/>
        <v>1.36</v>
      </c>
      <c r="J178" s="541">
        <f t="shared" si="502"/>
        <v>18.30759306968136</v>
      </c>
      <c r="K178" s="443">
        <f t="shared" si="503"/>
        <v>16.07256842105263</v>
      </c>
      <c r="L178" s="172">
        <f t="shared" si="504"/>
        <v>34.38016149073399</v>
      </c>
      <c r="M178" s="443"/>
      <c r="N178" s="217">
        <f t="shared" si="505"/>
        <v>0.46749543120629167</v>
      </c>
      <c r="O178" s="172">
        <f t="shared" si="506"/>
        <v>211.15253576792773</v>
      </c>
      <c r="P178" s="172">
        <f t="shared" si="507"/>
        <v>2.8529053721533351</v>
      </c>
      <c r="Q178" s="217">
        <f t="shared" si="508"/>
        <v>14.076835717861849</v>
      </c>
      <c r="R178" s="217">
        <f t="shared" si="509"/>
        <v>26.394066970990966</v>
      </c>
      <c r="S178" s="217">
        <f t="shared" si="510"/>
        <v>15</v>
      </c>
      <c r="T178" s="217">
        <f t="shared" si="511"/>
        <v>24.153155354976544</v>
      </c>
      <c r="U178" s="217">
        <f t="shared" si="512"/>
        <v>15.831565796582517</v>
      </c>
      <c r="V178" s="217">
        <f t="shared" si="513"/>
        <v>18.033077020849689</v>
      </c>
      <c r="W178" s="197">
        <f t="shared" si="514"/>
        <v>71.322634303833368</v>
      </c>
      <c r="X178" s="443">
        <f t="shared" si="599"/>
        <v>29.355951429153425</v>
      </c>
      <c r="Z178" s="217">
        <f t="shared" si="515"/>
        <v>10</v>
      </c>
      <c r="AA178" s="173">
        <f t="shared" si="516"/>
        <v>7.4661371385309012</v>
      </c>
      <c r="AB178" s="173">
        <f t="shared" si="517"/>
        <v>2.627489648653166</v>
      </c>
      <c r="AC178" s="173"/>
      <c r="AD178" s="173">
        <f t="shared" si="518"/>
        <v>7.4661371385309012</v>
      </c>
      <c r="AE178" s="545">
        <f t="shared" si="519"/>
        <v>182.15577543859646</v>
      </c>
      <c r="AF178" s="528">
        <f t="shared" si="520"/>
        <v>2.6625228439685418</v>
      </c>
      <c r="AH178" s="173">
        <f t="shared" si="521"/>
        <v>7.0156288113787504</v>
      </c>
      <c r="AI178" s="173">
        <f t="shared" si="522"/>
        <v>24.153155354976544</v>
      </c>
      <c r="AJ178" s="173">
        <f t="shared" si="523"/>
        <v>11.683818781464106</v>
      </c>
      <c r="AL178" s="545">
        <f t="shared" si="524"/>
        <v>6800.0000000000009</v>
      </c>
      <c r="AM178" s="460">
        <f t="shared" si="525"/>
        <v>29.355951429153425</v>
      </c>
      <c r="AO178">
        <f t="shared" si="526"/>
        <v>6800.0000000000009</v>
      </c>
      <c r="AP178">
        <f t="shared" si="527"/>
        <v>29.355951429153425</v>
      </c>
      <c r="AR178" s="5">
        <f t="shared" si="443"/>
        <v>34.064642817432208</v>
      </c>
      <c r="AS178" s="5">
        <f t="shared" si="440"/>
        <v>15.831565796582517</v>
      </c>
      <c r="AT178" s="5">
        <f t="shared" si="441"/>
        <v>18.233077020849692</v>
      </c>
      <c r="AU178" s="173">
        <f t="shared" si="442"/>
        <v>0.46475067657192304</v>
      </c>
      <c r="AW178" s="5">
        <f t="shared" si="477"/>
        <v>717.69764944507415</v>
      </c>
      <c r="AX178" s="5">
        <f t="shared" si="478"/>
        <v>33.642077317737851</v>
      </c>
      <c r="AY178" s="5">
        <f t="shared" si="479"/>
        <v>28.218010251692036</v>
      </c>
      <c r="AZ178" s="5"/>
      <c r="BA178" s="173">
        <f t="shared" si="480"/>
        <v>9.5065571369002217</v>
      </c>
      <c r="BB178" s="173">
        <f t="shared" si="481"/>
        <v>10.202140752642498</v>
      </c>
      <c r="BC178" s="173">
        <f t="shared" si="482"/>
        <v>0.25125272128076426</v>
      </c>
      <c r="BD178" s="173"/>
      <c r="BE178" s="528">
        <f t="shared" si="483"/>
        <v>1.8074925719429709</v>
      </c>
      <c r="BF178" s="528">
        <f t="shared" si="528"/>
        <v>0.45706631913695933</v>
      </c>
      <c r="BG178" s="528">
        <f t="shared" si="529"/>
        <v>1.3435920323456797E-2</v>
      </c>
      <c r="BH178" s="528">
        <f t="shared" si="484"/>
        <v>3.4698602608687124E-3</v>
      </c>
      <c r="BI178">
        <f t="shared" si="485"/>
        <v>8.2384168813566111E-3</v>
      </c>
      <c r="BJ178" s="460">
        <f t="shared" si="600"/>
        <v>21.674337204813408</v>
      </c>
      <c r="BK178">
        <f t="shared" si="530"/>
        <v>4.8306041318921675</v>
      </c>
      <c r="BL178" s="460">
        <f t="shared" si="601"/>
        <v>2289.7030885456124</v>
      </c>
      <c r="BM178" s="173">
        <f t="shared" si="531"/>
        <v>4.2244999999999999</v>
      </c>
      <c r="BN178" s="173">
        <f t="shared" si="532"/>
        <v>0.10561249999999998</v>
      </c>
      <c r="BO178" s="528"/>
      <c r="BQ178" s="460">
        <f t="shared" si="486"/>
        <v>4330.1125000000002</v>
      </c>
      <c r="BR178" s="528">
        <f t="shared" si="487"/>
        <v>2.7112388579144562</v>
      </c>
      <c r="BS178" s="528">
        <f t="shared" si="488"/>
        <v>3.1225102781018648</v>
      </c>
      <c r="BT178" s="528">
        <f t="shared" si="489"/>
        <v>3.1563964975494705E-4</v>
      </c>
      <c r="BU178" s="528">
        <f t="shared" si="490"/>
        <v>0.66933740012854326</v>
      </c>
      <c r="BV178" s="528"/>
      <c r="BW178" s="625">
        <f t="shared" si="533"/>
        <v>1.7125525628676089E-2</v>
      </c>
      <c r="BX178" s="460">
        <f t="shared" si="491"/>
        <v>6520.5277014232952</v>
      </c>
      <c r="BY178" s="173">
        <f t="shared" si="492"/>
        <v>13.140343289968909</v>
      </c>
      <c r="BZ178" s="5">
        <f t="shared" si="493"/>
        <v>103.36000000000001</v>
      </c>
      <c r="CA178" s="173">
        <f t="shared" si="494"/>
        <v>0.88720768609872125</v>
      </c>
      <c r="CB178" s="5">
        <f t="shared" si="495"/>
        <v>88.720768609872124</v>
      </c>
      <c r="CC178">
        <f t="shared" si="496"/>
        <v>68</v>
      </c>
      <c r="CE178" s="562">
        <f t="shared" si="534"/>
        <v>-50</v>
      </c>
      <c r="CF178">
        <f t="shared" si="535"/>
        <v>-50</v>
      </c>
      <c r="CG178" s="173">
        <f t="shared" si="536"/>
        <v>0.54755043227665712</v>
      </c>
      <c r="CH178" s="173">
        <f t="shared" si="537"/>
        <v>6.4398811101315845E-2</v>
      </c>
      <c r="CI178" s="170">
        <v>68</v>
      </c>
      <c r="CJ178" s="217">
        <f t="shared" si="602"/>
        <v>6.8000000000000007</v>
      </c>
      <c r="CK178" s="217">
        <f t="shared" si="538"/>
        <v>0.17</v>
      </c>
      <c r="CL178" s="217">
        <f t="shared" si="539"/>
        <v>102.00000000000001</v>
      </c>
      <c r="CM178" s="217">
        <f t="shared" si="540"/>
        <v>1.36</v>
      </c>
      <c r="CN178" s="541">
        <f t="shared" si="541"/>
        <v>19</v>
      </c>
      <c r="CO178" s="443">
        <f t="shared" si="542"/>
        <v>15.7</v>
      </c>
      <c r="CP178" s="443">
        <f t="shared" si="543"/>
        <v>34.700000000000003</v>
      </c>
      <c r="CQ178" s="443"/>
      <c r="CR178" s="217">
        <f t="shared" si="544"/>
        <v>0.44767441860465118</v>
      </c>
      <c r="CS178" s="172">
        <f t="shared" si="545"/>
        <v>209.84738372093025</v>
      </c>
      <c r="CT178" s="172">
        <f t="shared" si="546"/>
        <v>2.835271317829458</v>
      </c>
      <c r="CU178" s="217">
        <f t="shared" si="547"/>
        <v>13.989825581395349</v>
      </c>
      <c r="CV178" s="217">
        <f t="shared" si="548"/>
        <v>26.230922965116282</v>
      </c>
      <c r="CW178" s="217">
        <f t="shared" si="549"/>
        <v>15</v>
      </c>
      <c r="CX178" s="217">
        <f t="shared" si="550"/>
        <v>24.303376623376625</v>
      </c>
      <c r="CY178" s="217">
        <f t="shared" si="551"/>
        <v>15.349501025290499</v>
      </c>
      <c r="CZ178" s="217">
        <f t="shared" si="552"/>
        <v>18.575829266275129</v>
      </c>
      <c r="DA178" s="197">
        <f t="shared" si="553"/>
        <v>71.63784822286263</v>
      </c>
      <c r="DB178" s="443">
        <f t="shared" si="554"/>
        <v>29.476500048950612</v>
      </c>
      <c r="DD178" s="217">
        <f t="shared" si="555"/>
        <v>10.000000000000002</v>
      </c>
      <c r="DE178" s="173">
        <f t="shared" si="556"/>
        <v>7.6433121019108299</v>
      </c>
      <c r="DF178" s="173">
        <f t="shared" si="557"/>
        <v>2.7017291066282429</v>
      </c>
      <c r="DG178" s="173"/>
      <c r="DH178" s="173">
        <f t="shared" si="558"/>
        <v>7.6433121019108281</v>
      </c>
      <c r="DI178" s="545">
        <f t="shared" si="559"/>
        <v>177.93333333333337</v>
      </c>
      <c r="DJ178" s="528">
        <f t="shared" si="560"/>
        <v>2.7377521613832849</v>
      </c>
      <c r="DL178" s="173">
        <f t="shared" si="561"/>
        <v>7.0156288113787504</v>
      </c>
      <c r="DM178" s="173">
        <f t="shared" si="562"/>
        <v>24.303376623376625</v>
      </c>
      <c r="DN178" s="173">
        <f t="shared" si="563"/>
        <v>11.795093795093795</v>
      </c>
      <c r="DP178" s="545">
        <f t="shared" si="564"/>
        <v>6800.0000000000009</v>
      </c>
      <c r="DQ178" s="460">
        <f t="shared" si="565"/>
        <v>29.476500048950612</v>
      </c>
      <c r="DS178">
        <f t="shared" si="566"/>
        <v>6800.0000000000009</v>
      </c>
      <c r="DT178">
        <f t="shared" si="567"/>
        <v>29.476500048950612</v>
      </c>
      <c r="DV178" s="5">
        <f t="shared" si="568"/>
        <v>33.925330291565629</v>
      </c>
      <c r="DW178" s="5">
        <f t="shared" si="569"/>
        <v>15.349501025290499</v>
      </c>
      <c r="DX178" s="5">
        <f t="shared" si="570"/>
        <v>18.575829266275129</v>
      </c>
      <c r="DY178" s="173">
        <f t="shared" si="571"/>
        <v>0.45244956772334288</v>
      </c>
      <c r="EA178" s="5">
        <f t="shared" si="572"/>
        <v>695.84404647983604</v>
      </c>
      <c r="EB178" s="5">
        <f t="shared" si="573"/>
        <v>32.617689678742309</v>
      </c>
      <c r="EC178" s="5">
        <f t="shared" si="574"/>
        <v>27.700798028655896</v>
      </c>
      <c r="ED178" s="5"/>
      <c r="EE178" s="173">
        <f t="shared" si="575"/>
        <v>9.4382413464312496</v>
      </c>
      <c r="EF178" s="173">
        <f t="shared" si="576"/>
        <v>10.382885214897902</v>
      </c>
      <c r="EG178" s="173">
        <f t="shared" si="577"/>
        <v>0.25570399666493659</v>
      </c>
      <c r="EH178" s="173"/>
      <c r="EI178" s="528">
        <f t="shared" si="578"/>
        <v>1.7816079942696874</v>
      </c>
      <c r="EJ178" s="528">
        <f t="shared" si="579"/>
        <v>0.49716666666666665</v>
      </c>
      <c r="EK178" s="528">
        <f t="shared" si="580"/>
        <v>3.6845625061188263E-3</v>
      </c>
      <c r="EL178" s="528">
        <f t="shared" si="581"/>
        <v>3.5492358943940952E-3</v>
      </c>
      <c r="EM178">
        <f t="shared" si="582"/>
        <v>8.5500000000000003E-3</v>
      </c>
      <c r="EN178" s="460">
        <f t="shared" si="583"/>
        <v>12.234562506118827</v>
      </c>
      <c r="EP178" s="460">
        <f t="shared" si="603"/>
        <v>2294.5584593368671</v>
      </c>
      <c r="EQ178" s="173">
        <f t="shared" si="584"/>
        <v>4.76</v>
      </c>
      <c r="ER178" s="173">
        <f t="shared" si="585"/>
        <v>7.5437500000000005E-2</v>
      </c>
      <c r="ES178" s="528"/>
      <c r="EU178" s="460">
        <f t="shared" si="497"/>
        <v>4835.4374999999991</v>
      </c>
      <c r="EV178" s="528">
        <f t="shared" si="586"/>
        <v>2.6724119914045308</v>
      </c>
      <c r="EW178" s="528">
        <f t="shared" si="587"/>
        <v>3.2341291615723633</v>
      </c>
      <c r="EX178" s="528">
        <f t="shared" si="588"/>
        <v>3.269226695521095E-4</v>
      </c>
      <c r="EY178" s="528">
        <f t="shared" si="589"/>
        <v>0.68679375210278859</v>
      </c>
      <c r="EZ178" s="528"/>
      <c r="FA178" s="625">
        <f t="shared" si="590"/>
        <v>1.7410416058485222E-2</v>
      </c>
      <c r="FB178" s="460">
        <f t="shared" si="498"/>
        <v>6611.07224380772</v>
      </c>
      <c r="FC178" s="173">
        <f t="shared" si="591"/>
        <v>13.741068203144588</v>
      </c>
      <c r="FD178" s="5">
        <f t="shared" si="592"/>
        <v>103.36000000000001</v>
      </c>
      <c r="FE178" s="173">
        <f t="shared" si="593"/>
        <v>0.88265633769192553</v>
      </c>
      <c r="FF178" s="5">
        <f t="shared" si="594"/>
        <v>88.265633769192547</v>
      </c>
      <c r="FG178">
        <f t="shared" si="595"/>
        <v>68</v>
      </c>
      <c r="FI178" s="562">
        <f t="shared" si="596"/>
        <v>-50</v>
      </c>
      <c r="FJ178">
        <f t="shared" si="597"/>
        <v>-50</v>
      </c>
    </row>
    <row r="179" spans="5:166">
      <c r="E179" s="170">
        <v>69</v>
      </c>
      <c r="F179" s="217">
        <f t="shared" si="598"/>
        <v>6.8999999999999995</v>
      </c>
      <c r="G179" s="217">
        <f t="shared" si="499"/>
        <v>0.17249999999999999</v>
      </c>
      <c r="H179" s="217">
        <f t="shared" si="500"/>
        <v>103.49999999999999</v>
      </c>
      <c r="I179" s="217">
        <f t="shared" si="501"/>
        <v>1.38</v>
      </c>
      <c r="J179" s="541">
        <f t="shared" si="502"/>
        <v>18.297410614823733</v>
      </c>
      <c r="K179" s="443">
        <f t="shared" si="503"/>
        <v>16.078047368421053</v>
      </c>
      <c r="L179" s="172">
        <f t="shared" si="504"/>
        <v>34.375457983244786</v>
      </c>
      <c r="M179" s="443"/>
      <c r="N179" s="217">
        <f t="shared" si="505"/>
        <v>0.4677187828670612</v>
      </c>
      <c r="O179" s="172">
        <f t="shared" si="506"/>
        <v>211.13591996013656</v>
      </c>
      <c r="P179" s="172">
        <f t="shared" si="507"/>
        <v>2.8526808741280676</v>
      </c>
      <c r="Q179" s="217">
        <f t="shared" si="508"/>
        <v>14.075727997342437</v>
      </c>
      <c r="R179" s="217">
        <f t="shared" si="509"/>
        <v>26.39198999501707</v>
      </c>
      <c r="S179" s="217">
        <f t="shared" si="510"/>
        <v>15</v>
      </c>
      <c r="T179" s="217">
        <f t="shared" si="511"/>
        <v>24.510277554747972</v>
      </c>
      <c r="U179" s="217">
        <f t="shared" si="512"/>
        <v>16.074587647865883</v>
      </c>
      <c r="V179" s="217">
        <f t="shared" si="513"/>
        <v>18.293473325291</v>
      </c>
      <c r="W179" s="197">
        <f t="shared" si="514"/>
        <v>71.317021853201695</v>
      </c>
      <c r="X179" s="443">
        <f t="shared" si="599"/>
        <v>28.928437749994981</v>
      </c>
      <c r="Z179" s="217">
        <f t="shared" si="515"/>
        <v>10</v>
      </c>
      <c r="AA179" s="173">
        <f t="shared" si="516"/>
        <v>7.4635928885053797</v>
      </c>
      <c r="AB179" s="173">
        <f t="shared" si="517"/>
        <v>2.6263875845375275</v>
      </c>
      <c r="AC179" s="173"/>
      <c r="AD179" s="173">
        <f t="shared" si="518"/>
        <v>7.4635928885053797</v>
      </c>
      <c r="AE179" s="545">
        <f t="shared" si="519"/>
        <v>184.89754473684206</v>
      </c>
      <c r="AF179" s="528">
        <f t="shared" si="520"/>
        <v>2.6614060856646948</v>
      </c>
      <c r="AH179" s="173">
        <f t="shared" si="521"/>
        <v>7.0670260465670518</v>
      </c>
      <c r="AI179" s="173">
        <f t="shared" si="522"/>
        <v>24.510277554747972</v>
      </c>
      <c r="AJ179" s="173">
        <f t="shared" si="523"/>
        <v>11.948353744257757</v>
      </c>
      <c r="AL179" s="545">
        <f t="shared" si="524"/>
        <v>6899.9999999999991</v>
      </c>
      <c r="AM179" s="460">
        <f t="shared" si="525"/>
        <v>28.928437749994981</v>
      </c>
      <c r="AO179">
        <f t="shared" si="526"/>
        <v>6899.9999999999991</v>
      </c>
      <c r="AP179">
        <f t="shared" si="527"/>
        <v>28.928437749994981</v>
      </c>
      <c r="AR179" s="5">
        <f t="shared" si="443"/>
        <v>34.568060973156896</v>
      </c>
      <c r="AS179" s="5">
        <f t="shared" ref="AS179:AS242" si="604">L*AI179/J179*1000000</f>
        <v>16.074587647865883</v>
      </c>
      <c r="AT179" s="5">
        <f t="shared" ref="AT179:AT242" si="605">AR179-AS179</f>
        <v>18.493473325291014</v>
      </c>
      <c r="AU179" s="173">
        <f t="shared" ref="AU179:AU242" si="606">AS179/AR179</f>
        <v>0.46501270812812634</v>
      </c>
      <c r="AW179" s="5">
        <f t="shared" si="477"/>
        <v>739.43103180183061</v>
      </c>
      <c r="AX179" s="5">
        <f t="shared" si="478"/>
        <v>34.660829615710803</v>
      </c>
      <c r="AY179" s="5">
        <f t="shared" si="479"/>
        <v>29.058065608002892</v>
      </c>
      <c r="AZ179" s="5"/>
      <c r="BA179" s="173">
        <f t="shared" si="480"/>
        <v>9.649837782005795</v>
      </c>
      <c r="BB179" s="173">
        <f t="shared" si="481"/>
        <v>10.350452456353501</v>
      </c>
      <c r="BC179" s="173">
        <f t="shared" si="482"/>
        <v>0.25490526049372547</v>
      </c>
      <c r="BD179" s="173"/>
      <c r="BE179" s="528">
        <f t="shared" si="483"/>
        <v>1.8623873843805305</v>
      </c>
      <c r="BF179" s="528">
        <f t="shared" si="528"/>
        <v>0.45700712911795927</v>
      </c>
      <c r="BG179" s="528">
        <f t="shared" si="529"/>
        <v>1.3232887598925642E-2</v>
      </c>
      <c r="BH179" s="528">
        <f t="shared" si="484"/>
        <v>3.4183928120105748E-3</v>
      </c>
      <c r="BI179">
        <f t="shared" si="485"/>
        <v>8.2338347766706798E-3</v>
      </c>
      <c r="BJ179" s="460">
        <f t="shared" si="600"/>
        <v>21.466722375596323</v>
      </c>
      <c r="BK179">
        <f t="shared" si="530"/>
        <v>5.0684734255863129</v>
      </c>
      <c r="BL179" s="460">
        <f t="shared" si="601"/>
        <v>2344.2796286860967</v>
      </c>
      <c r="BM179" s="173">
        <f t="shared" si="531"/>
        <v>4.286624999999999</v>
      </c>
      <c r="BN179" s="173">
        <f t="shared" si="532"/>
        <v>0.10716562499999997</v>
      </c>
      <c r="BO179" s="528"/>
      <c r="BQ179" s="460">
        <f t="shared" si="486"/>
        <v>4393.7906249999996</v>
      </c>
      <c r="BR179" s="528">
        <f t="shared" si="487"/>
        <v>2.7935810765707956</v>
      </c>
      <c r="BS179" s="528">
        <f t="shared" si="488"/>
        <v>3.2139559815370267</v>
      </c>
      <c r="BT179" s="528">
        <f t="shared" si="489"/>
        <v>3.2488345913687017E-4</v>
      </c>
      <c r="BU179" s="528">
        <f t="shared" si="490"/>
        <v>0.66934963219995602</v>
      </c>
      <c r="BV179" s="528"/>
      <c r="BW179" s="625">
        <f t="shared" si="533"/>
        <v>1.7378866181626013E-2</v>
      </c>
      <c r="BX179" s="460">
        <f t="shared" si="491"/>
        <v>6694.5904399485407</v>
      </c>
      <c r="BY179" s="173">
        <f t="shared" si="492"/>
        <v>13.432660693634638</v>
      </c>
      <c r="BZ179" s="5">
        <f t="shared" si="493"/>
        <v>104.87999999999998</v>
      </c>
      <c r="CA179" s="173">
        <f t="shared" si="494"/>
        <v>0.88646472309148783</v>
      </c>
      <c r="CB179" s="5">
        <f t="shared" si="495"/>
        <v>88.646472309148777</v>
      </c>
      <c r="CC179">
        <f t="shared" si="496"/>
        <v>69</v>
      </c>
      <c r="CE179" s="562">
        <f t="shared" si="534"/>
        <v>-50</v>
      </c>
      <c r="CF179">
        <f t="shared" si="535"/>
        <v>-50</v>
      </c>
      <c r="CG179" s="173">
        <f t="shared" si="536"/>
        <v>0.54755043227665712</v>
      </c>
      <c r="CH179" s="173">
        <f t="shared" si="537"/>
        <v>6.4398811101315859E-2</v>
      </c>
      <c r="CI179" s="170">
        <v>69</v>
      </c>
      <c r="CJ179" s="217">
        <f t="shared" si="602"/>
        <v>6.8999999999999995</v>
      </c>
      <c r="CK179" s="217">
        <f t="shared" si="538"/>
        <v>0.17249999999999999</v>
      </c>
      <c r="CL179" s="217">
        <f t="shared" si="539"/>
        <v>103.49999999999999</v>
      </c>
      <c r="CM179" s="217">
        <f t="shared" si="540"/>
        <v>1.38</v>
      </c>
      <c r="CN179" s="541">
        <f t="shared" si="541"/>
        <v>19</v>
      </c>
      <c r="CO179" s="443">
        <f t="shared" si="542"/>
        <v>15.7</v>
      </c>
      <c r="CP179" s="443">
        <f t="shared" si="543"/>
        <v>34.700000000000003</v>
      </c>
      <c r="CQ179" s="443"/>
      <c r="CR179" s="217">
        <f t="shared" si="544"/>
        <v>0.44767441860465118</v>
      </c>
      <c r="CS179" s="172">
        <f t="shared" si="545"/>
        <v>209.84738372093025</v>
      </c>
      <c r="CT179" s="172">
        <f t="shared" si="546"/>
        <v>2.835271317829458</v>
      </c>
      <c r="CU179" s="217">
        <f t="shared" si="547"/>
        <v>13.989825581395349</v>
      </c>
      <c r="CV179" s="217">
        <f t="shared" si="548"/>
        <v>26.230922965116282</v>
      </c>
      <c r="CW179" s="217">
        <f t="shared" si="549"/>
        <v>15</v>
      </c>
      <c r="CX179" s="217">
        <f t="shared" si="550"/>
        <v>24.660779220779215</v>
      </c>
      <c r="CY179" s="217">
        <f t="shared" si="551"/>
        <v>15.575228981544766</v>
      </c>
      <c r="CZ179" s="217">
        <f t="shared" si="552"/>
        <v>18.849003226073286</v>
      </c>
      <c r="DA179" s="197">
        <f t="shared" si="553"/>
        <v>71.63784822286263</v>
      </c>
      <c r="DB179" s="443">
        <f t="shared" si="554"/>
        <v>29.049304396067281</v>
      </c>
      <c r="DD179" s="217">
        <f t="shared" si="555"/>
        <v>10.000000000000002</v>
      </c>
      <c r="DE179" s="173">
        <f t="shared" si="556"/>
        <v>7.6433121019108299</v>
      </c>
      <c r="DF179" s="173">
        <f t="shared" si="557"/>
        <v>2.7017291066282429</v>
      </c>
      <c r="DG179" s="173"/>
      <c r="DH179" s="173">
        <f t="shared" si="558"/>
        <v>7.6433121019108281</v>
      </c>
      <c r="DI179" s="545">
        <f t="shared" si="559"/>
        <v>180.55</v>
      </c>
      <c r="DJ179" s="528">
        <f t="shared" si="560"/>
        <v>2.7377521613832849</v>
      </c>
      <c r="DL179" s="173">
        <f t="shared" si="561"/>
        <v>7.0670260465670518</v>
      </c>
      <c r="DM179" s="173">
        <f t="shared" si="562"/>
        <v>24.660779220779215</v>
      </c>
      <c r="DN179" s="173">
        <f t="shared" si="563"/>
        <v>12.059836459836456</v>
      </c>
      <c r="DP179" s="545">
        <f t="shared" si="564"/>
        <v>6899.9999999999991</v>
      </c>
      <c r="DQ179" s="460">
        <f t="shared" si="565"/>
        <v>29.049304396067281</v>
      </c>
      <c r="DS179">
        <f t="shared" si="566"/>
        <v>6899.9999999999991</v>
      </c>
      <c r="DT179">
        <f t="shared" si="567"/>
        <v>29.049304396067281</v>
      </c>
      <c r="DV179" s="5">
        <f t="shared" si="568"/>
        <v>34.424232207618054</v>
      </c>
      <c r="DW179" s="5">
        <f t="shared" si="569"/>
        <v>15.575228981544766</v>
      </c>
      <c r="DX179" s="5">
        <f t="shared" si="570"/>
        <v>18.849003226073286</v>
      </c>
      <c r="DY179" s="173">
        <f t="shared" si="571"/>
        <v>0.45244956772334288</v>
      </c>
      <c r="EA179" s="5">
        <f t="shared" si="572"/>
        <v>716.46053315105917</v>
      </c>
      <c r="EB179" s="5">
        <f t="shared" si="573"/>
        <v>33.584087491455904</v>
      </c>
      <c r="EC179" s="5">
        <f t="shared" si="574"/>
        <v>28.521518039452992</v>
      </c>
      <c r="ED179" s="5"/>
      <c r="EE179" s="173">
        <f t="shared" si="575"/>
        <v>9.5770390132905305</v>
      </c>
      <c r="EF179" s="173">
        <f t="shared" si="576"/>
        <v>10.53557470335228</v>
      </c>
      <c r="EG179" s="173">
        <f t="shared" si="577"/>
        <v>0.25946434955706793</v>
      </c>
      <c r="EH179" s="173"/>
      <c r="EI179" s="528">
        <f t="shared" si="578"/>
        <v>1.8343935252417771</v>
      </c>
      <c r="EJ179" s="528">
        <f t="shared" si="579"/>
        <v>0.49716666666666665</v>
      </c>
      <c r="EK179" s="528">
        <f t="shared" si="580"/>
        <v>3.6311630495084101E-3</v>
      </c>
      <c r="EL179" s="528">
        <f t="shared" si="581"/>
        <v>3.4977976930260658E-3</v>
      </c>
      <c r="EM179">
        <f t="shared" si="582"/>
        <v>8.5500000000000003E-3</v>
      </c>
      <c r="EN179" s="460">
        <f t="shared" si="583"/>
        <v>12.18116304950841</v>
      </c>
      <c r="EP179" s="460">
        <f t="shared" si="603"/>
        <v>2347.2391526509787</v>
      </c>
      <c r="EQ179" s="173">
        <f t="shared" si="584"/>
        <v>4.8299999999999992</v>
      </c>
      <c r="ER179" s="173">
        <f t="shared" si="585"/>
        <v>7.6546874999999986E-2</v>
      </c>
      <c r="ES179" s="528"/>
      <c r="EU179" s="460">
        <f t="shared" si="497"/>
        <v>4906.5468749999991</v>
      </c>
      <c r="EV179" s="528">
        <f t="shared" si="586"/>
        <v>2.7515902878626655</v>
      </c>
      <c r="EW179" s="528">
        <f t="shared" si="587"/>
        <v>3.3299500298974944</v>
      </c>
      <c r="EX179" s="528">
        <f t="shared" si="588"/>
        <v>3.3660874345536169E-4</v>
      </c>
      <c r="EY179" s="528">
        <f t="shared" si="589"/>
        <v>0.68679375210278804</v>
      </c>
      <c r="EZ179" s="528"/>
      <c r="FA179" s="625">
        <f t="shared" si="590"/>
        <v>1.766645158875706E-2</v>
      </c>
      <c r="FB179" s="460">
        <f t="shared" si="498"/>
        <v>6786.3371301951602</v>
      </c>
      <c r="FC179" s="173">
        <f t="shared" si="591"/>
        <v>14.040123157846139</v>
      </c>
      <c r="FD179" s="5">
        <f t="shared" si="592"/>
        <v>104.87999999999998</v>
      </c>
      <c r="FE179" s="173">
        <f t="shared" si="593"/>
        <v>0.88193652356708141</v>
      </c>
      <c r="FF179" s="5">
        <f t="shared" si="594"/>
        <v>88.193652356708142</v>
      </c>
      <c r="FG179">
        <f t="shared" si="595"/>
        <v>69</v>
      </c>
      <c r="FI179" s="562">
        <f t="shared" si="596"/>
        <v>-50</v>
      </c>
      <c r="FJ179">
        <f t="shared" si="597"/>
        <v>-50</v>
      </c>
    </row>
    <row r="180" spans="5:166">
      <c r="E180" s="170">
        <v>70</v>
      </c>
      <c r="F180" s="217">
        <f t="shared" si="598"/>
        <v>7</v>
      </c>
      <c r="G180" s="217">
        <f t="shared" si="499"/>
        <v>0.17499999999999999</v>
      </c>
      <c r="H180" s="217">
        <f t="shared" si="500"/>
        <v>105</v>
      </c>
      <c r="I180" s="217">
        <f t="shared" si="501"/>
        <v>1.4</v>
      </c>
      <c r="J180" s="541">
        <f t="shared" si="502"/>
        <v>18.287228159966105</v>
      </c>
      <c r="K180" s="443">
        <f t="shared" si="503"/>
        <v>16.083526315789474</v>
      </c>
      <c r="L180" s="172">
        <f t="shared" si="504"/>
        <v>34.370754475755575</v>
      </c>
      <c r="M180" s="443"/>
      <c r="N180" s="217">
        <f t="shared" si="505"/>
        <v>0.46794219565748735</v>
      </c>
      <c r="O180" s="172">
        <f t="shared" si="506"/>
        <v>211.11921951473616</v>
      </c>
      <c r="P180" s="172">
        <f t="shared" si="507"/>
        <v>2.8524552325546577</v>
      </c>
      <c r="Q180" s="217">
        <f t="shared" si="508"/>
        <v>14.074614634315743</v>
      </c>
      <c r="R180" s="217">
        <f t="shared" si="509"/>
        <v>26.38990243934202</v>
      </c>
      <c r="S180" s="217">
        <f t="shared" si="510"/>
        <v>15</v>
      </c>
      <c r="T180" s="217">
        <f t="shared" si="511"/>
        <v>24.867465937337599</v>
      </c>
      <c r="U180" s="217">
        <f t="shared" si="512"/>
        <v>16.317923560516473</v>
      </c>
      <c r="V180" s="217">
        <f t="shared" si="513"/>
        <v>18.553741598016188</v>
      </c>
      <c r="W180" s="197">
        <f t="shared" si="514"/>
        <v>71.311380813866421</v>
      </c>
      <c r="X180" s="443">
        <f t="shared" si="599"/>
        <v>28.513045944061989</v>
      </c>
      <c r="Z180" s="217">
        <f t="shared" si="515"/>
        <v>10</v>
      </c>
      <c r="AA180" s="173">
        <f t="shared" si="516"/>
        <v>7.4610503719071817</v>
      </c>
      <c r="AB180" s="173">
        <f t="shared" si="517"/>
        <v>2.6252852187952933</v>
      </c>
      <c r="AC180" s="173"/>
      <c r="AD180" s="173">
        <f t="shared" si="518"/>
        <v>7.4610503719071817</v>
      </c>
      <c r="AE180" s="545">
        <f t="shared" si="519"/>
        <v>187.64114035087718</v>
      </c>
      <c r="AF180" s="528">
        <f t="shared" si="520"/>
        <v>2.6602890217125639</v>
      </c>
      <c r="AH180" s="173">
        <f t="shared" si="521"/>
        <v>7.1180521680208741</v>
      </c>
      <c r="AI180" s="173">
        <f t="shared" si="522"/>
        <v>24.867465937337599</v>
      </c>
      <c r="AJ180" s="173">
        <f t="shared" si="523"/>
        <v>12.212937731361183</v>
      </c>
      <c r="AL180" s="545">
        <f t="shared" si="524"/>
        <v>7000</v>
      </c>
      <c r="AM180" s="460">
        <f t="shared" si="525"/>
        <v>28.513045944061989</v>
      </c>
      <c r="AO180">
        <f t="shared" si="526"/>
        <v>7000</v>
      </c>
      <c r="AP180">
        <f t="shared" si="527"/>
        <v>28.513045944061989</v>
      </c>
      <c r="AR180" s="5">
        <f t="shared" si="443"/>
        <v>35.071665158532667</v>
      </c>
      <c r="AS180" s="5">
        <f t="shared" si="604"/>
        <v>16.317923560516473</v>
      </c>
      <c r="AT180" s="5">
        <f t="shared" si="605"/>
        <v>18.753741598016195</v>
      </c>
      <c r="AU180" s="173">
        <f t="shared" si="606"/>
        <v>0.46527370419269776</v>
      </c>
      <c r="AW180" s="5">
        <f t="shared" si="477"/>
        <v>761.5030994907687</v>
      </c>
      <c r="AX180" s="5">
        <f t="shared" si="478"/>
        <v>35.695457788629781</v>
      </c>
      <c r="AY180" s="5">
        <f t="shared" si="479"/>
        <v>29.910718297898288</v>
      </c>
      <c r="AZ180" s="5"/>
      <c r="BA180" s="173">
        <f t="shared" si="480"/>
        <v>9.7932120551082935</v>
      </c>
      <c r="BB180" s="173">
        <f t="shared" si="481"/>
        <v>10.498727781270937</v>
      </c>
      <c r="BC180" s="173">
        <f t="shared" si="482"/>
        <v>0.25855690378973134</v>
      </c>
      <c r="BD180" s="173"/>
      <c r="BE180" s="528">
        <f t="shared" si="483"/>
        <v>1.9181400471263681</v>
      </c>
      <c r="BF180" s="528">
        <f t="shared" si="528"/>
        <v>0.45694663464594243</v>
      </c>
      <c r="BG180" s="528">
        <f t="shared" si="529"/>
        <v>1.3035614417866445E-2</v>
      </c>
      <c r="BH180" s="528">
        <f t="shared" si="484"/>
        <v>3.3683851562013984E-3</v>
      </c>
      <c r="BI180">
        <f t="shared" si="485"/>
        <v>8.2292526719847468E-3</v>
      </c>
      <c r="BJ180" s="460">
        <f t="shared" si="600"/>
        <v>21.264867089851194</v>
      </c>
      <c r="BK180">
        <f t="shared" si="530"/>
        <v>5.3217331737844704</v>
      </c>
      <c r="BL180" s="460">
        <f t="shared" si="601"/>
        <v>2399.7199340183629</v>
      </c>
      <c r="BM180" s="173">
        <f t="shared" si="531"/>
        <v>4.348749999999999</v>
      </c>
      <c r="BN180" s="173">
        <f t="shared" si="532"/>
        <v>0.10871874999999998</v>
      </c>
      <c r="BO180" s="528"/>
      <c r="BQ180" s="460">
        <f t="shared" si="486"/>
        <v>4457.4687499999982</v>
      </c>
      <c r="BR180" s="528">
        <f t="shared" si="487"/>
        <v>2.8772100706895518</v>
      </c>
      <c r="BS180" s="528">
        <f t="shared" si="488"/>
        <v>3.3066985507569049</v>
      </c>
      <c r="BT180" s="528">
        <f t="shared" si="489"/>
        <v>3.3425836248666193E-4</v>
      </c>
      <c r="BU180" s="528">
        <f t="shared" si="490"/>
        <v>0.66935709068161275</v>
      </c>
      <c r="BV180" s="528"/>
      <c r="BW180" s="625">
        <f t="shared" si="533"/>
        <v>1.7632207063718389E-2</v>
      </c>
      <c r="BX180" s="460">
        <f t="shared" si="491"/>
        <v>6871.2321775542741</v>
      </c>
      <c r="BY180" s="173">
        <f t="shared" si="492"/>
        <v>13.728420861572635</v>
      </c>
      <c r="BZ180" s="5">
        <f t="shared" si="493"/>
        <v>106.4</v>
      </c>
      <c r="CA180" s="173">
        <f t="shared" si="494"/>
        <v>0.88571879357847982</v>
      </c>
      <c r="CB180" s="5">
        <f t="shared" si="495"/>
        <v>88.571879357847976</v>
      </c>
      <c r="CC180">
        <f t="shared" si="496"/>
        <v>70</v>
      </c>
      <c r="CE180" s="562">
        <f t="shared" si="534"/>
        <v>-50</v>
      </c>
      <c r="CF180">
        <f t="shared" si="535"/>
        <v>-50</v>
      </c>
      <c r="CG180" s="173">
        <f t="shared" si="536"/>
        <v>0.54755043227665712</v>
      </c>
      <c r="CH180" s="173">
        <f t="shared" si="537"/>
        <v>6.4398811101315831E-2</v>
      </c>
      <c r="CI180" s="170">
        <v>70</v>
      </c>
      <c r="CJ180" s="217">
        <f t="shared" si="602"/>
        <v>7</v>
      </c>
      <c r="CK180" s="217">
        <f t="shared" si="538"/>
        <v>0.17499999999999999</v>
      </c>
      <c r="CL180" s="217">
        <f t="shared" si="539"/>
        <v>105</v>
      </c>
      <c r="CM180" s="217">
        <f t="shared" si="540"/>
        <v>1.4</v>
      </c>
      <c r="CN180" s="541">
        <f t="shared" si="541"/>
        <v>19</v>
      </c>
      <c r="CO180" s="443">
        <f t="shared" si="542"/>
        <v>15.7</v>
      </c>
      <c r="CP180" s="443">
        <f t="shared" si="543"/>
        <v>34.700000000000003</v>
      </c>
      <c r="CQ180" s="443"/>
      <c r="CR180" s="217">
        <f t="shared" si="544"/>
        <v>0.44767441860465118</v>
      </c>
      <c r="CS180" s="172">
        <f t="shared" si="545"/>
        <v>209.84738372093025</v>
      </c>
      <c r="CT180" s="172">
        <f t="shared" si="546"/>
        <v>2.835271317829458</v>
      </c>
      <c r="CU180" s="217">
        <f t="shared" si="547"/>
        <v>13.989825581395349</v>
      </c>
      <c r="CV180" s="217">
        <f t="shared" si="548"/>
        <v>26.230922965116282</v>
      </c>
      <c r="CW180" s="217">
        <f t="shared" si="549"/>
        <v>15</v>
      </c>
      <c r="CX180" s="217">
        <f t="shared" si="550"/>
        <v>25.018181818181819</v>
      </c>
      <c r="CY180" s="217">
        <f t="shared" si="551"/>
        <v>15.800956937799047</v>
      </c>
      <c r="CZ180" s="217">
        <f t="shared" si="552"/>
        <v>19.122177185871458</v>
      </c>
      <c r="DA180" s="197">
        <f t="shared" si="553"/>
        <v>71.63784822286263</v>
      </c>
      <c r="DB180" s="443">
        <f t="shared" si="554"/>
        <v>28.634314333266303</v>
      </c>
      <c r="DD180" s="217">
        <f t="shared" si="555"/>
        <v>10.000000000000002</v>
      </c>
      <c r="DE180" s="173">
        <f t="shared" si="556"/>
        <v>7.6433121019108299</v>
      </c>
      <c r="DF180" s="173">
        <f t="shared" si="557"/>
        <v>2.7017291066282429</v>
      </c>
      <c r="DG180" s="173"/>
      <c r="DH180" s="173">
        <f t="shared" si="558"/>
        <v>7.6433121019108281</v>
      </c>
      <c r="DI180" s="545">
        <f t="shared" si="559"/>
        <v>183.16666666666669</v>
      </c>
      <c r="DJ180" s="528">
        <f t="shared" si="560"/>
        <v>2.7377521613832849</v>
      </c>
      <c r="DL180" s="173">
        <f t="shared" si="561"/>
        <v>7.1180521680208741</v>
      </c>
      <c r="DM180" s="173">
        <f t="shared" si="562"/>
        <v>25.018181818181819</v>
      </c>
      <c r="DN180" s="173">
        <f t="shared" si="563"/>
        <v>12.324579124579126</v>
      </c>
      <c r="DP180" s="545">
        <f t="shared" si="564"/>
        <v>7000</v>
      </c>
      <c r="DQ180" s="460">
        <f t="shared" si="565"/>
        <v>28.634314333266303</v>
      </c>
      <c r="DS180">
        <f t="shared" si="566"/>
        <v>7000</v>
      </c>
      <c r="DT180">
        <f t="shared" si="567"/>
        <v>28.634314333266303</v>
      </c>
      <c r="DV180" s="5">
        <f t="shared" si="568"/>
        <v>34.923134123670508</v>
      </c>
      <c r="DW180" s="5">
        <f t="shared" si="569"/>
        <v>15.800956937799047</v>
      </c>
      <c r="DX180" s="5">
        <f t="shared" si="570"/>
        <v>19.122177185871461</v>
      </c>
      <c r="DY180" s="173">
        <f t="shared" si="571"/>
        <v>0.45244956772334288</v>
      </c>
      <c r="EA180" s="5">
        <f t="shared" si="572"/>
        <v>737.37799043062228</v>
      </c>
      <c r="EB180" s="5">
        <f t="shared" si="573"/>
        <v>34.564593301435416</v>
      </c>
      <c r="EC180" s="5">
        <f t="shared" si="574"/>
        <v>29.354219364276361</v>
      </c>
      <c r="ED180" s="5"/>
      <c r="EE180" s="173">
        <f t="shared" si="575"/>
        <v>9.7158366801498151</v>
      </c>
      <c r="EF180" s="173">
        <f t="shared" si="576"/>
        <v>10.688264191806663</v>
      </c>
      <c r="EG180" s="173">
        <f t="shared" si="577"/>
        <v>0.26322470244919943</v>
      </c>
      <c r="EH180" s="173"/>
      <c r="EI180" s="528">
        <f t="shared" si="578"/>
        <v>1.8879496479068916</v>
      </c>
      <c r="EJ180" s="528">
        <f t="shared" si="579"/>
        <v>0.49716666666666659</v>
      </c>
      <c r="EK180" s="528">
        <f t="shared" si="580"/>
        <v>3.5792892916582876E-3</v>
      </c>
      <c r="EL180" s="528">
        <f t="shared" si="581"/>
        <v>3.447829154554263E-3</v>
      </c>
      <c r="EM180">
        <f t="shared" si="582"/>
        <v>8.5500000000000003E-3</v>
      </c>
      <c r="EN180" s="460">
        <f t="shared" si="583"/>
        <v>12.129289291658287</v>
      </c>
      <c r="EP180" s="460">
        <f t="shared" si="603"/>
        <v>2400.693433019771</v>
      </c>
      <c r="EQ180" s="173">
        <f t="shared" si="584"/>
        <v>4.8999999999999995</v>
      </c>
      <c r="ER180" s="173">
        <f t="shared" si="585"/>
        <v>7.7656249999999996E-2</v>
      </c>
      <c r="ES180" s="528"/>
      <c r="EU180" s="460">
        <f t="shared" si="497"/>
        <v>4977.65625</v>
      </c>
      <c r="EV180" s="528">
        <f t="shared" si="586"/>
        <v>2.8319244718603374</v>
      </c>
      <c r="EW180" s="528">
        <f t="shared" si="587"/>
        <v>3.4271697430156962</v>
      </c>
      <c r="EX180" s="528">
        <f t="shared" si="588"/>
        <v>3.4643621989734788E-4</v>
      </c>
      <c r="EY180" s="528">
        <f t="shared" si="589"/>
        <v>0.68679375210278804</v>
      </c>
      <c r="EZ180" s="528"/>
      <c r="FA180" s="625">
        <f t="shared" si="590"/>
        <v>1.7922487119028902E-2</v>
      </c>
      <c r="FB180" s="460">
        <f t="shared" si="498"/>
        <v>6964.1568903177476</v>
      </c>
      <c r="FC180" s="173">
        <f t="shared" si="591"/>
        <v>14.342506573337518</v>
      </c>
      <c r="FD180" s="5">
        <f t="shared" si="592"/>
        <v>106.4</v>
      </c>
      <c r="FE180" s="173">
        <f t="shared" si="593"/>
        <v>0.88121410611410445</v>
      </c>
      <c r="FF180" s="5">
        <f t="shared" si="594"/>
        <v>88.12141061141044</v>
      </c>
      <c r="FG180">
        <f t="shared" si="595"/>
        <v>70</v>
      </c>
      <c r="FI180" s="562">
        <f t="shared" si="596"/>
        <v>-50</v>
      </c>
      <c r="FJ180">
        <f t="shared" si="597"/>
        <v>-50</v>
      </c>
    </row>
    <row r="181" spans="5:166">
      <c r="E181" s="170">
        <v>71</v>
      </c>
      <c r="F181" s="217">
        <f t="shared" si="598"/>
        <v>7.1</v>
      </c>
      <c r="G181" s="217">
        <f t="shared" si="499"/>
        <v>0.17749999999999999</v>
      </c>
      <c r="H181" s="217">
        <f t="shared" si="500"/>
        <v>106.5</v>
      </c>
      <c r="I181" s="217">
        <f t="shared" si="501"/>
        <v>1.42</v>
      </c>
      <c r="J181" s="541">
        <f t="shared" si="502"/>
        <v>18.277045705108478</v>
      </c>
      <c r="K181" s="443">
        <f t="shared" si="503"/>
        <v>16.089005263157894</v>
      </c>
      <c r="L181" s="172">
        <f t="shared" si="504"/>
        <v>34.366050968266372</v>
      </c>
      <c r="M181" s="443"/>
      <c r="N181" s="217">
        <f t="shared" si="505"/>
        <v>0.46816566960266948</v>
      </c>
      <c r="O181" s="172">
        <f t="shared" si="506"/>
        <v>211.10243439697459</v>
      </c>
      <c r="P181" s="172">
        <f t="shared" si="507"/>
        <v>2.8522284469635681</v>
      </c>
      <c r="Q181" s="217">
        <f t="shared" si="508"/>
        <v>14.073495626464972</v>
      </c>
      <c r="R181" s="217">
        <f t="shared" si="509"/>
        <v>26.387804299621823</v>
      </c>
      <c r="S181" s="217">
        <f t="shared" si="510"/>
        <v>15</v>
      </c>
      <c r="T181" s="217">
        <f t="shared" si="511"/>
        <v>25.224720952229411</v>
      </c>
      <c r="U181" s="217">
        <f t="shared" si="512"/>
        <v>16.561574354554935</v>
      </c>
      <c r="V181" s="217">
        <f t="shared" si="513"/>
        <v>18.813882305073019</v>
      </c>
      <c r="W181" s="197">
        <f t="shared" si="514"/>
        <v>71.305711174089211</v>
      </c>
      <c r="X181" s="443">
        <f t="shared" si="599"/>
        <v>28.109266721931593</v>
      </c>
      <c r="Z181" s="217">
        <f t="shared" si="515"/>
        <v>9.9999999999999982</v>
      </c>
      <c r="AA181" s="173">
        <f t="shared" si="516"/>
        <v>7.4585095869654028</v>
      </c>
      <c r="AB181" s="173">
        <f t="shared" si="517"/>
        <v>2.6241825513026171</v>
      </c>
      <c r="AC181" s="173"/>
      <c r="AD181" s="173">
        <f t="shared" si="518"/>
        <v>7.4585095869654046</v>
      </c>
      <c r="AE181" s="545">
        <f t="shared" si="519"/>
        <v>190.38656228070172</v>
      </c>
      <c r="AF181" s="528">
        <f t="shared" si="520"/>
        <v>2.6591716519866528</v>
      </c>
      <c r="AH181" s="173">
        <f t="shared" si="521"/>
        <v>7.1687151003841816</v>
      </c>
      <c r="AI181" s="173">
        <f t="shared" si="522"/>
        <v>25.224720952229411</v>
      </c>
      <c r="AJ181" s="173">
        <f t="shared" si="523"/>
        <v>12.477571075725489</v>
      </c>
      <c r="AL181" s="545">
        <f t="shared" si="524"/>
        <v>7100</v>
      </c>
      <c r="AM181" s="460">
        <f t="shared" si="525"/>
        <v>28.109266721931593</v>
      </c>
      <c r="AO181">
        <f t="shared" si="526"/>
        <v>7100</v>
      </c>
      <c r="AP181">
        <f t="shared" si="527"/>
        <v>28.109266721931593</v>
      </c>
      <c r="AR181" s="5">
        <f t="shared" si="443"/>
        <v>35.57545665962796</v>
      </c>
      <c r="AS181" s="5">
        <f t="shared" si="604"/>
        <v>16.561574354554935</v>
      </c>
      <c r="AT181" s="5">
        <f t="shared" si="605"/>
        <v>19.013882305073025</v>
      </c>
      <c r="AU181" s="173">
        <f t="shared" si="606"/>
        <v>0.46553371086728679</v>
      </c>
      <c r="AW181" s="5">
        <f t="shared" si="477"/>
        <v>783.91451944893356</v>
      </c>
      <c r="AX181" s="5">
        <f t="shared" si="478"/>
        <v>36.745993099168764</v>
      </c>
      <c r="AY181" s="5">
        <f t="shared" si="479"/>
        <v>30.775981373976936</v>
      </c>
      <c r="AZ181" s="5"/>
      <c r="BA181" s="173">
        <f t="shared" si="480"/>
        <v>9.9366801541007899</v>
      </c>
      <c r="BB181" s="173">
        <f t="shared" si="481"/>
        <v>10.646966855449802</v>
      </c>
      <c r="BC181" s="173">
        <f t="shared" si="482"/>
        <v>0.26220765432245002</v>
      </c>
      <c r="BD181" s="173"/>
      <c r="BE181" s="528">
        <f t="shared" si="483"/>
        <v>1.9747522496980099</v>
      </c>
      <c r="BF181" s="528">
        <f t="shared" si="528"/>
        <v>0.45688488319973858</v>
      </c>
      <c r="BG181" s="528">
        <f t="shared" si="529"/>
        <v>1.2843858815345711E-2</v>
      </c>
      <c r="BH181" s="528">
        <f t="shared" si="484"/>
        <v>3.3197759636736956E-3</v>
      </c>
      <c r="BI181">
        <f t="shared" si="485"/>
        <v>8.2246705672988155E-3</v>
      </c>
      <c r="BJ181" s="460">
        <f t="shared" si="600"/>
        <v>21.068529382644527</v>
      </c>
      <c r="BK181">
        <f t="shared" si="530"/>
        <v>5.5918356450176665</v>
      </c>
      <c r="BL181" s="460">
        <f t="shared" si="601"/>
        <v>2456.0254382440667</v>
      </c>
      <c r="BM181" s="173">
        <f t="shared" si="531"/>
        <v>4.4108749999999999</v>
      </c>
      <c r="BN181" s="173">
        <f t="shared" si="532"/>
        <v>0.11027187499999998</v>
      </c>
      <c r="BO181" s="528"/>
      <c r="BQ181" s="460">
        <f t="shared" si="486"/>
        <v>4521.1468749999995</v>
      </c>
      <c r="BR181" s="528">
        <f t="shared" si="487"/>
        <v>2.9621283745470146</v>
      </c>
      <c r="BS181" s="528">
        <f t="shared" si="488"/>
        <v>3.4007370966313997</v>
      </c>
      <c r="BT181" s="528">
        <f t="shared" si="489"/>
        <v>3.4376426992640722E-4</v>
      </c>
      <c r="BU181" s="528">
        <f t="shared" si="490"/>
        <v>0.66935994741502935</v>
      </c>
      <c r="BV181" s="528"/>
      <c r="BW181" s="625">
        <f t="shared" si="533"/>
        <v>1.7885548264512302E-2</v>
      </c>
      <c r="BX181" s="460">
        <f t="shared" si="491"/>
        <v>7050.454731127883</v>
      </c>
      <c r="BY181" s="173">
        <f t="shared" si="492"/>
        <v>14.027627044371949</v>
      </c>
      <c r="BZ181" s="5">
        <f t="shared" si="493"/>
        <v>107.92</v>
      </c>
      <c r="CA181" s="173">
        <f t="shared" si="494"/>
        <v>0.88497006965729763</v>
      </c>
      <c r="CB181" s="5">
        <f t="shared" si="495"/>
        <v>88.497006965729767</v>
      </c>
      <c r="CC181">
        <f t="shared" si="496"/>
        <v>71</v>
      </c>
      <c r="CE181" s="562">
        <f t="shared" si="534"/>
        <v>-50</v>
      </c>
      <c r="CF181">
        <f t="shared" si="535"/>
        <v>-50</v>
      </c>
      <c r="CG181" s="173">
        <f t="shared" si="536"/>
        <v>0.54755043227665701</v>
      </c>
      <c r="CH181" s="173">
        <f t="shared" si="537"/>
        <v>6.4398811101315859E-2</v>
      </c>
      <c r="CI181" s="170">
        <v>71</v>
      </c>
      <c r="CJ181" s="217">
        <f t="shared" si="602"/>
        <v>7.1</v>
      </c>
      <c r="CK181" s="217">
        <f t="shared" si="538"/>
        <v>0.17749999999999999</v>
      </c>
      <c r="CL181" s="217">
        <f t="shared" si="539"/>
        <v>106.5</v>
      </c>
      <c r="CM181" s="217">
        <f t="shared" si="540"/>
        <v>1.42</v>
      </c>
      <c r="CN181" s="541">
        <f t="shared" si="541"/>
        <v>19</v>
      </c>
      <c r="CO181" s="443">
        <f t="shared" si="542"/>
        <v>15.7</v>
      </c>
      <c r="CP181" s="443">
        <f t="shared" si="543"/>
        <v>34.700000000000003</v>
      </c>
      <c r="CQ181" s="443"/>
      <c r="CR181" s="217">
        <f t="shared" si="544"/>
        <v>0.44767441860465118</v>
      </c>
      <c r="CS181" s="172">
        <f t="shared" si="545"/>
        <v>209.84738372093025</v>
      </c>
      <c r="CT181" s="172">
        <f t="shared" si="546"/>
        <v>2.835271317829458</v>
      </c>
      <c r="CU181" s="217">
        <f t="shared" si="547"/>
        <v>13.989825581395349</v>
      </c>
      <c r="CV181" s="217">
        <f t="shared" si="548"/>
        <v>26.230922965116282</v>
      </c>
      <c r="CW181" s="217">
        <f t="shared" si="549"/>
        <v>15</v>
      </c>
      <c r="CX181" s="217">
        <f t="shared" si="550"/>
        <v>25.375584415584413</v>
      </c>
      <c r="CY181" s="217">
        <f t="shared" si="551"/>
        <v>16.026684894053314</v>
      </c>
      <c r="CZ181" s="217">
        <f t="shared" si="552"/>
        <v>19.395351145669615</v>
      </c>
      <c r="DA181" s="197">
        <f t="shared" si="553"/>
        <v>71.63784822286263</v>
      </c>
      <c r="DB181" s="443">
        <f t="shared" si="554"/>
        <v>28.23101413138933</v>
      </c>
      <c r="DD181" s="217">
        <f t="shared" si="555"/>
        <v>10.000000000000002</v>
      </c>
      <c r="DE181" s="173">
        <f t="shared" si="556"/>
        <v>7.6433121019108299</v>
      </c>
      <c r="DF181" s="173">
        <f t="shared" si="557"/>
        <v>2.7017291066282429</v>
      </c>
      <c r="DG181" s="173"/>
      <c r="DH181" s="173">
        <f t="shared" si="558"/>
        <v>7.6433121019108281</v>
      </c>
      <c r="DI181" s="545">
        <f t="shared" si="559"/>
        <v>185.78333333333333</v>
      </c>
      <c r="DJ181" s="528">
        <f t="shared" si="560"/>
        <v>2.7377521613832849</v>
      </c>
      <c r="DL181" s="173">
        <f t="shared" si="561"/>
        <v>7.1687151003841816</v>
      </c>
      <c r="DM181" s="173">
        <f t="shared" si="562"/>
        <v>25.375584415584413</v>
      </c>
      <c r="DN181" s="173">
        <f t="shared" si="563"/>
        <v>12.589321789321787</v>
      </c>
      <c r="DP181" s="545">
        <f t="shared" si="564"/>
        <v>7100</v>
      </c>
      <c r="DQ181" s="460">
        <f t="shared" si="565"/>
        <v>28.23101413138933</v>
      </c>
      <c r="DS181">
        <f t="shared" si="566"/>
        <v>7100</v>
      </c>
      <c r="DT181">
        <f t="shared" si="567"/>
        <v>28.23101413138933</v>
      </c>
      <c r="DV181" s="5">
        <f t="shared" si="568"/>
        <v>35.422036039722926</v>
      </c>
      <c r="DW181" s="5">
        <f t="shared" si="569"/>
        <v>16.026684894053314</v>
      </c>
      <c r="DX181" s="5">
        <f t="shared" si="570"/>
        <v>19.395351145669611</v>
      </c>
      <c r="DY181" s="173">
        <f t="shared" si="571"/>
        <v>0.45244956772334299</v>
      </c>
      <c r="EA181" s="5">
        <f t="shared" si="572"/>
        <v>758.59641831852355</v>
      </c>
      <c r="EB181" s="5">
        <f t="shared" si="573"/>
        <v>35.559207108680788</v>
      </c>
      <c r="EC181" s="5">
        <f t="shared" si="574"/>
        <v>30.19890200312593</v>
      </c>
      <c r="ED181" s="5"/>
      <c r="EE181" s="173">
        <f t="shared" si="575"/>
        <v>9.8546343470090978</v>
      </c>
      <c r="EF181" s="173">
        <f t="shared" si="576"/>
        <v>10.840953680261041</v>
      </c>
      <c r="EG181" s="173">
        <f t="shared" si="577"/>
        <v>0.26698505534133077</v>
      </c>
      <c r="EH181" s="173"/>
      <c r="EI181" s="528">
        <f t="shared" si="578"/>
        <v>1.9422763622650285</v>
      </c>
      <c r="EJ181" s="528">
        <f t="shared" si="579"/>
        <v>0.4971666666666667</v>
      </c>
      <c r="EK181" s="528">
        <f t="shared" si="580"/>
        <v>3.5288767664236661E-3</v>
      </c>
      <c r="EL181" s="528">
        <f t="shared" si="581"/>
        <v>3.3992681805464584E-3</v>
      </c>
      <c r="EM181">
        <f t="shared" si="582"/>
        <v>8.5500000000000003E-3</v>
      </c>
      <c r="EN181" s="460">
        <f t="shared" si="583"/>
        <v>12.078876766423667</v>
      </c>
      <c r="EP181" s="460">
        <f t="shared" si="603"/>
        <v>2454.9211738786653</v>
      </c>
      <c r="EQ181" s="173">
        <f t="shared" si="584"/>
        <v>4.97</v>
      </c>
      <c r="ER181" s="173">
        <f t="shared" si="585"/>
        <v>7.8765624999999992E-2</v>
      </c>
      <c r="ES181" s="528"/>
      <c r="EU181" s="460">
        <f t="shared" si="497"/>
        <v>5048.765625</v>
      </c>
      <c r="EV181" s="528">
        <f t="shared" si="586"/>
        <v>2.9134145433975425</v>
      </c>
      <c r="EW181" s="528">
        <f t="shared" si="587"/>
        <v>3.5257883009269619</v>
      </c>
      <c r="EX181" s="528">
        <f t="shared" si="588"/>
        <v>3.5640509887806726E-4</v>
      </c>
      <c r="EY181" s="528">
        <f t="shared" si="589"/>
        <v>0.68679375210278804</v>
      </c>
      <c r="EZ181" s="528"/>
      <c r="FA181" s="625">
        <f t="shared" si="590"/>
        <v>1.8178522649300751E-2</v>
      </c>
      <c r="FB181" s="460">
        <f t="shared" si="498"/>
        <v>7144.5315241754706</v>
      </c>
      <c r="FC181" s="173">
        <f t="shared" si="591"/>
        <v>14.648218323054138</v>
      </c>
      <c r="FD181" s="5">
        <f t="shared" si="592"/>
        <v>107.92</v>
      </c>
      <c r="FE181" s="173">
        <f t="shared" si="593"/>
        <v>0.88048926121740878</v>
      </c>
      <c r="FF181" s="5">
        <f t="shared" si="594"/>
        <v>88.048926121740877</v>
      </c>
      <c r="FG181">
        <f t="shared" si="595"/>
        <v>71</v>
      </c>
      <c r="FI181" s="562">
        <f t="shared" si="596"/>
        <v>-50</v>
      </c>
      <c r="FJ181">
        <f t="shared" si="597"/>
        <v>-50</v>
      </c>
    </row>
    <row r="182" spans="5:166">
      <c r="E182" s="170">
        <v>72</v>
      </c>
      <c r="F182" s="217">
        <f t="shared" si="598"/>
        <v>7.1999999999999993</v>
      </c>
      <c r="G182" s="217">
        <f t="shared" si="499"/>
        <v>0.18</v>
      </c>
      <c r="H182" s="217">
        <f t="shared" si="500"/>
        <v>107.99999999999999</v>
      </c>
      <c r="I182" s="217">
        <f t="shared" si="501"/>
        <v>1.44</v>
      </c>
      <c r="J182" s="541">
        <f t="shared" si="502"/>
        <v>18.266863250250854</v>
      </c>
      <c r="K182" s="443">
        <f t="shared" si="503"/>
        <v>16.094484210526314</v>
      </c>
      <c r="L182" s="172">
        <f t="shared" si="504"/>
        <v>34.361347460777168</v>
      </c>
      <c r="M182" s="443"/>
      <c r="N182" s="217">
        <f t="shared" si="505"/>
        <v>0.46838920472772105</v>
      </c>
      <c r="O182" s="172">
        <f t="shared" si="506"/>
        <v>211.08556457208135</v>
      </c>
      <c r="P182" s="172">
        <f t="shared" si="507"/>
        <v>2.8520005168850107</v>
      </c>
      <c r="Q182" s="217">
        <f t="shared" si="508"/>
        <v>14.07237097147209</v>
      </c>
      <c r="R182" s="217">
        <f t="shared" si="509"/>
        <v>26.385695571510169</v>
      </c>
      <c r="S182" s="217">
        <f t="shared" si="510"/>
        <v>15</v>
      </c>
      <c r="T182" s="217">
        <f t="shared" si="511"/>
        <v>25.582043049447897</v>
      </c>
      <c r="U182" s="217">
        <f t="shared" si="512"/>
        <v>16.805540852185395</v>
      </c>
      <c r="V182" s="217">
        <f t="shared" si="513"/>
        <v>19.073895912277635</v>
      </c>
      <c r="W182" s="197">
        <f t="shared" si="514"/>
        <v>71.300012922125262</v>
      </c>
      <c r="X182" s="443">
        <f t="shared" si="599"/>
        <v>27.716618929732423</v>
      </c>
      <c r="Z182" s="217">
        <f t="shared" si="515"/>
        <v>10</v>
      </c>
      <c r="AA182" s="173">
        <f t="shared" si="516"/>
        <v>7.4559705319115555</v>
      </c>
      <c r="AB182" s="173">
        <f t="shared" si="517"/>
        <v>2.623079581935587</v>
      </c>
      <c r="AC182" s="173"/>
      <c r="AD182" s="173">
        <f t="shared" si="518"/>
        <v>7.4559705319115555</v>
      </c>
      <c r="AE182" s="545">
        <f t="shared" si="519"/>
        <v>193.13381052631576</v>
      </c>
      <c r="AF182" s="528">
        <f t="shared" si="520"/>
        <v>2.6580539763613951</v>
      </c>
      <c r="AH182" s="173">
        <f t="shared" si="521"/>
        <v>7.21902249021886</v>
      </c>
      <c r="AI182" s="173">
        <f t="shared" si="522"/>
        <v>25.582043049447897</v>
      </c>
      <c r="AJ182" s="173">
        <f t="shared" si="523"/>
        <v>12.742254110702145</v>
      </c>
      <c r="AL182" s="545">
        <f t="shared" si="524"/>
        <v>7199.9999999999991</v>
      </c>
      <c r="AM182" s="460">
        <f t="shared" si="525"/>
        <v>27.716618929732423</v>
      </c>
      <c r="AO182">
        <f t="shared" si="526"/>
        <v>7199.9999999999991</v>
      </c>
      <c r="AP182">
        <f t="shared" si="527"/>
        <v>27.716618929732423</v>
      </c>
      <c r="AR182" s="5">
        <f t="shared" si="443"/>
        <v>36.079436764463033</v>
      </c>
      <c r="AS182" s="5">
        <f t="shared" si="604"/>
        <v>16.805540852185395</v>
      </c>
      <c r="AT182" s="5">
        <f t="shared" si="605"/>
        <v>19.273895912277638</v>
      </c>
      <c r="AU182" s="173">
        <f t="shared" si="606"/>
        <v>0.46579277170807326</v>
      </c>
      <c r="AW182" s="5">
        <f t="shared" si="477"/>
        <v>806.66596090489895</v>
      </c>
      <c r="AX182" s="5">
        <f t="shared" si="478"/>
        <v>37.81246691741714</v>
      </c>
      <c r="AY182" s="5">
        <f t="shared" si="479"/>
        <v>31.653867960082778</v>
      </c>
      <c r="AZ182" s="5"/>
      <c r="BA182" s="173">
        <f t="shared" si="480"/>
        <v>10.080242277390466</v>
      </c>
      <c r="BB182" s="173">
        <f t="shared" si="481"/>
        <v>10.795169806772149</v>
      </c>
      <c r="BC182" s="173">
        <f t="shared" si="482"/>
        <v>0.26585751524129059</v>
      </c>
      <c r="BD182" s="173"/>
      <c r="BE182" s="528">
        <f t="shared" si="483"/>
        <v>2.0322256874178026</v>
      </c>
      <c r="BF182" s="528">
        <f t="shared" si="528"/>
        <v>0.4568219196352184</v>
      </c>
      <c r="BG182" s="528">
        <f t="shared" si="529"/>
        <v>1.2657392193718409E-2</v>
      </c>
      <c r="BH182" s="528">
        <f t="shared" si="484"/>
        <v>3.2725072928056556E-3</v>
      </c>
      <c r="BI182">
        <f t="shared" si="485"/>
        <v>8.2200884626128842E-3</v>
      </c>
      <c r="BJ182" s="460">
        <f t="shared" si="600"/>
        <v>20.87748065633129</v>
      </c>
      <c r="BK182">
        <f t="shared" si="530"/>
        <v>5.8804238113189617</v>
      </c>
      <c r="BL182" s="460">
        <f t="shared" si="601"/>
        <v>2513.1975950021579</v>
      </c>
      <c r="BM182" s="173">
        <f t="shared" si="531"/>
        <v>4.472999999999999</v>
      </c>
      <c r="BN182" s="173">
        <f t="shared" si="532"/>
        <v>0.11182499999999999</v>
      </c>
      <c r="BO182" s="528"/>
      <c r="BQ182" s="460">
        <f t="shared" si="486"/>
        <v>4584.8249999999989</v>
      </c>
      <c r="BR182" s="528">
        <f t="shared" si="487"/>
        <v>3.0483385311267037</v>
      </c>
      <c r="BS182" s="528">
        <f t="shared" si="488"/>
        <v>3.4960707347113509</v>
      </c>
      <c r="BT182" s="528">
        <f t="shared" si="489"/>
        <v>3.5340109205136527E-4</v>
      </c>
      <c r="BU182" s="528">
        <f t="shared" si="490"/>
        <v>0.66935836478778954</v>
      </c>
      <c r="BV182" s="528"/>
      <c r="BW182" s="625">
        <f t="shared" si="533"/>
        <v>1.813888977414433E-2</v>
      </c>
      <c r="BX182" s="460">
        <f t="shared" si="491"/>
        <v>7232.2599214920401</v>
      </c>
      <c r="BY182" s="173">
        <f t="shared" si="492"/>
        <v>14.330282516494195</v>
      </c>
      <c r="BZ182" s="5">
        <f t="shared" si="493"/>
        <v>109.43999999999998</v>
      </c>
      <c r="CA182" s="173">
        <f t="shared" si="494"/>
        <v>0.8842187136917582</v>
      </c>
      <c r="CB182" s="5">
        <f t="shared" si="495"/>
        <v>88.421871369175818</v>
      </c>
      <c r="CC182">
        <f t="shared" si="496"/>
        <v>72</v>
      </c>
      <c r="CE182" s="562">
        <f t="shared" si="534"/>
        <v>-50</v>
      </c>
      <c r="CF182">
        <f t="shared" si="535"/>
        <v>-50</v>
      </c>
      <c r="CG182" s="173">
        <f t="shared" si="536"/>
        <v>0.54755043227665712</v>
      </c>
      <c r="CH182" s="173">
        <f t="shared" si="537"/>
        <v>6.4398811101315859E-2</v>
      </c>
      <c r="CI182" s="170">
        <v>72</v>
      </c>
      <c r="CJ182" s="217">
        <f t="shared" si="602"/>
        <v>7.1999999999999993</v>
      </c>
      <c r="CK182" s="217">
        <f t="shared" si="538"/>
        <v>0.18</v>
      </c>
      <c r="CL182" s="217">
        <f t="shared" si="539"/>
        <v>107.99999999999999</v>
      </c>
      <c r="CM182" s="217">
        <f t="shared" si="540"/>
        <v>1.44</v>
      </c>
      <c r="CN182" s="541">
        <f t="shared" si="541"/>
        <v>19</v>
      </c>
      <c r="CO182" s="443">
        <f t="shared" si="542"/>
        <v>15.7</v>
      </c>
      <c r="CP182" s="443">
        <f t="shared" si="543"/>
        <v>34.700000000000003</v>
      </c>
      <c r="CQ182" s="443"/>
      <c r="CR182" s="217">
        <f t="shared" si="544"/>
        <v>0.44767441860465118</v>
      </c>
      <c r="CS182" s="172">
        <f t="shared" si="545"/>
        <v>209.84738372093025</v>
      </c>
      <c r="CT182" s="172">
        <f t="shared" si="546"/>
        <v>2.835271317829458</v>
      </c>
      <c r="CU182" s="217">
        <f t="shared" si="547"/>
        <v>13.989825581395349</v>
      </c>
      <c r="CV182" s="217">
        <f t="shared" si="548"/>
        <v>26.230922965116282</v>
      </c>
      <c r="CW182" s="217">
        <f t="shared" si="549"/>
        <v>15</v>
      </c>
      <c r="CX182" s="217">
        <f t="shared" si="550"/>
        <v>25.732987012987007</v>
      </c>
      <c r="CY182" s="217">
        <f t="shared" si="551"/>
        <v>16.252412850307582</v>
      </c>
      <c r="CZ182" s="217">
        <f t="shared" si="552"/>
        <v>19.668525105467776</v>
      </c>
      <c r="DA182" s="197">
        <f t="shared" si="553"/>
        <v>71.63784822286263</v>
      </c>
      <c r="DB182" s="443">
        <f t="shared" si="554"/>
        <v>27.838916712897813</v>
      </c>
      <c r="DD182" s="217">
        <f t="shared" si="555"/>
        <v>10.000000000000002</v>
      </c>
      <c r="DE182" s="173">
        <f t="shared" si="556"/>
        <v>7.6433121019108299</v>
      </c>
      <c r="DF182" s="173">
        <f t="shared" si="557"/>
        <v>2.7017291066282429</v>
      </c>
      <c r="DG182" s="173"/>
      <c r="DH182" s="173">
        <f t="shared" si="558"/>
        <v>7.6433121019108281</v>
      </c>
      <c r="DI182" s="545">
        <f t="shared" si="559"/>
        <v>188.4</v>
      </c>
      <c r="DJ182" s="528">
        <f t="shared" si="560"/>
        <v>2.7377521613832849</v>
      </c>
      <c r="DL182" s="173">
        <f t="shared" si="561"/>
        <v>7.21902249021886</v>
      </c>
      <c r="DM182" s="173">
        <f t="shared" si="562"/>
        <v>25.732987012987007</v>
      </c>
      <c r="DN182" s="173">
        <f t="shared" si="563"/>
        <v>12.854064454064448</v>
      </c>
      <c r="DP182" s="545">
        <f t="shared" si="564"/>
        <v>7199.9999999999991</v>
      </c>
      <c r="DQ182" s="460">
        <f t="shared" si="565"/>
        <v>27.838916712897813</v>
      </c>
      <c r="DS182">
        <f t="shared" si="566"/>
        <v>7199.9999999999991</v>
      </c>
      <c r="DT182">
        <f t="shared" si="567"/>
        <v>27.838916712897813</v>
      </c>
      <c r="DV182" s="5">
        <f t="shared" si="568"/>
        <v>35.920937955775358</v>
      </c>
      <c r="DW182" s="5">
        <f t="shared" si="569"/>
        <v>16.252412850307582</v>
      </c>
      <c r="DX182" s="5">
        <f t="shared" si="570"/>
        <v>19.668525105467776</v>
      </c>
      <c r="DY182" s="173">
        <f t="shared" si="571"/>
        <v>0.45244956772334294</v>
      </c>
      <c r="EA182" s="5">
        <f t="shared" si="572"/>
        <v>780.11581681476389</v>
      </c>
      <c r="EB182" s="5">
        <f t="shared" si="573"/>
        <v>36.567928913192063</v>
      </c>
      <c r="EC182" s="5">
        <f t="shared" si="574"/>
        <v>31.055565956001743</v>
      </c>
      <c r="ED182" s="5"/>
      <c r="EE182" s="173">
        <f t="shared" si="575"/>
        <v>9.9934320138683788</v>
      </c>
      <c r="EF182" s="173">
        <f t="shared" si="576"/>
        <v>10.993643168715423</v>
      </c>
      <c r="EG182" s="173">
        <f t="shared" si="577"/>
        <v>0.27074540823346216</v>
      </c>
      <c r="EH182" s="173"/>
      <c r="EI182" s="528">
        <f t="shared" si="578"/>
        <v>1.997373668316188</v>
      </c>
      <c r="EJ182" s="528">
        <f t="shared" si="579"/>
        <v>0.4971666666666667</v>
      </c>
      <c r="EK182" s="528">
        <f t="shared" si="580"/>
        <v>3.4798645891122265E-3</v>
      </c>
      <c r="EL182" s="528">
        <f t="shared" si="581"/>
        <v>3.3520561224833134E-3</v>
      </c>
      <c r="EM182">
        <f t="shared" si="582"/>
        <v>8.5500000000000003E-3</v>
      </c>
      <c r="EN182" s="460">
        <f t="shared" si="583"/>
        <v>12.029864589112227</v>
      </c>
      <c r="EP182" s="460">
        <f t="shared" si="603"/>
        <v>2509.9222556944501</v>
      </c>
      <c r="EQ182" s="173">
        <f t="shared" si="584"/>
        <v>5.0399999999999991</v>
      </c>
      <c r="ER182" s="173">
        <f t="shared" si="585"/>
        <v>7.9874999999999988E-2</v>
      </c>
      <c r="ES182" s="528"/>
      <c r="EU182" s="460">
        <f t="shared" si="497"/>
        <v>5119.8749999999991</v>
      </c>
      <c r="EV182" s="528">
        <f t="shared" si="586"/>
        <v>2.9960605024742817</v>
      </c>
      <c r="EW182" s="528">
        <f t="shared" si="587"/>
        <v>3.6258057036312983</v>
      </c>
      <c r="EX182" s="528">
        <f t="shared" si="588"/>
        <v>3.6651538039752038E-4</v>
      </c>
      <c r="EY182" s="528">
        <f t="shared" si="589"/>
        <v>0.68679375210278926</v>
      </c>
      <c r="EZ182" s="528"/>
      <c r="FA182" s="625">
        <f t="shared" si="590"/>
        <v>1.8434558179572586E-2</v>
      </c>
      <c r="FB182" s="460">
        <f t="shared" si="498"/>
        <v>7327.4610317683391</v>
      </c>
      <c r="FC182" s="173">
        <f t="shared" si="591"/>
        <v>14.957258287462789</v>
      </c>
      <c r="FD182" s="5">
        <f t="shared" si="592"/>
        <v>109.43999999999998</v>
      </c>
      <c r="FE182" s="173">
        <f t="shared" si="593"/>
        <v>0.87976215478239173</v>
      </c>
      <c r="FF182" s="5">
        <f t="shared" si="594"/>
        <v>87.976215478239169</v>
      </c>
      <c r="FG182">
        <f t="shared" si="595"/>
        <v>72</v>
      </c>
      <c r="FI182" s="562">
        <f t="shared" si="596"/>
        <v>-50</v>
      </c>
      <c r="FJ182">
        <f t="shared" si="597"/>
        <v>-50</v>
      </c>
    </row>
    <row r="183" spans="5:166">
      <c r="E183" s="170">
        <v>73</v>
      </c>
      <c r="F183" s="217">
        <f t="shared" si="598"/>
        <v>7.3</v>
      </c>
      <c r="G183" s="217">
        <f t="shared" si="499"/>
        <v>0.1825</v>
      </c>
      <c r="H183" s="217">
        <f t="shared" si="500"/>
        <v>109.5</v>
      </c>
      <c r="I183" s="217">
        <f t="shared" si="501"/>
        <v>1.46</v>
      </c>
      <c r="J183" s="541">
        <f t="shared" si="502"/>
        <v>18.256680795393226</v>
      </c>
      <c r="K183" s="443">
        <f t="shared" si="503"/>
        <v>16.099963157894738</v>
      </c>
      <c r="L183" s="172">
        <f t="shared" si="504"/>
        <v>34.356643953287957</v>
      </c>
      <c r="M183" s="443"/>
      <c r="N183" s="217">
        <f t="shared" si="505"/>
        <v>0.46861280105776909</v>
      </c>
      <c r="O183" s="172">
        <f t="shared" si="506"/>
        <v>211.06861000526644</v>
      </c>
      <c r="P183" s="172">
        <f t="shared" si="507"/>
        <v>2.8517714418489333</v>
      </c>
      <c r="Q183" s="217">
        <f t="shared" si="508"/>
        <v>14.071240667017763</v>
      </c>
      <c r="R183" s="217">
        <f t="shared" si="509"/>
        <v>26.383576250658304</v>
      </c>
      <c r="S183" s="217">
        <f t="shared" si="510"/>
        <v>15</v>
      </c>
      <c r="T183" s="217">
        <f t="shared" si="511"/>
        <v>25.939432679560412</v>
      </c>
      <c r="U183" s="217">
        <f t="shared" si="512"/>
        <v>17.049823877803114</v>
      </c>
      <c r="V183" s="217">
        <f t="shared" si="513"/>
        <v>19.333782885216717</v>
      </c>
      <c r="W183" s="197">
        <f t="shared" si="514"/>
        <v>71.294286046223334</v>
      </c>
      <c r="X183" s="443">
        <f t="shared" si="599"/>
        <v>27.334647632688856</v>
      </c>
      <c r="Z183" s="217">
        <f t="shared" si="515"/>
        <v>10</v>
      </c>
      <c r="AA183" s="173">
        <f t="shared" si="516"/>
        <v>7.4534332049795475</v>
      </c>
      <c r="AB183" s="173">
        <f t="shared" si="517"/>
        <v>2.6219763105702185</v>
      </c>
      <c r="AC183" s="173"/>
      <c r="AD183" s="173">
        <f t="shared" si="518"/>
        <v>7.4534332049795475</v>
      </c>
      <c r="AE183" s="545">
        <f t="shared" si="519"/>
        <v>195.8828850877193</v>
      </c>
      <c r="AF183" s="528">
        <f t="shared" si="520"/>
        <v>2.656935994711155</v>
      </c>
      <c r="AH183" s="173">
        <f t="shared" si="521"/>
        <v>7.2689817194773045</v>
      </c>
      <c r="AI183" s="173">
        <f t="shared" si="522"/>
        <v>25.939432679560412</v>
      </c>
      <c r="AJ183" s="173">
        <f t="shared" si="523"/>
        <v>13.006987170044749</v>
      </c>
      <c r="AL183" s="545">
        <f t="shared" si="524"/>
        <v>7300</v>
      </c>
      <c r="AM183" s="460">
        <f t="shared" si="525"/>
        <v>27.334647632688856</v>
      </c>
      <c r="AO183">
        <f t="shared" si="526"/>
        <v>7300</v>
      </c>
      <c r="AP183">
        <f t="shared" si="527"/>
        <v>27.334647632688856</v>
      </c>
      <c r="AR183" s="5">
        <f t="shared" si="443"/>
        <v>36.583606763019823</v>
      </c>
      <c r="AS183" s="5">
        <f t="shared" si="604"/>
        <v>17.049823877803114</v>
      </c>
      <c r="AT183" s="5">
        <f t="shared" si="605"/>
        <v>19.533782885216709</v>
      </c>
      <c r="AU183" s="173">
        <f t="shared" si="606"/>
        <v>0.46605092789915287</v>
      </c>
      <c r="AW183" s="5">
        <f t="shared" si="477"/>
        <v>829.75809538641818</v>
      </c>
      <c r="AX183" s="5">
        <f t="shared" si="478"/>
        <v>38.894910721238354</v>
      </c>
      <c r="AY183" s="5">
        <f t="shared" si="479"/>
        <v>32.54439125148091</v>
      </c>
      <c r="AZ183" s="5"/>
      <c r="BA183" s="173">
        <f t="shared" si="480"/>
        <v>10.22389862389179</v>
      </c>
      <c r="BB183" s="173">
        <f t="shared" si="481"/>
        <v>10.943336762959113</v>
      </c>
      <c r="BC183" s="173">
        <f t="shared" si="482"/>
        <v>0.26950648969169899</v>
      </c>
      <c r="BD183" s="173"/>
      <c r="BE183" s="528">
        <f t="shared" si="483"/>
        <v>2.0905620614323288</v>
      </c>
      <c r="BF183" s="528">
        <f t="shared" si="528"/>
        <v>0.45675778636395531</v>
      </c>
      <c r="BG183" s="528">
        <f t="shared" si="529"/>
        <v>1.2475998412113788E-2</v>
      </c>
      <c r="BH183" s="528">
        <f t="shared" si="484"/>
        <v>3.2265243593372875E-3</v>
      </c>
      <c r="BI183">
        <f t="shared" si="485"/>
        <v>8.2155063579269511E-3</v>
      </c>
      <c r="BJ183" s="460">
        <f t="shared" si="600"/>
        <v>20.691504770040741</v>
      </c>
      <c r="BK183">
        <f t="shared" si="530"/>
        <v>6.1893636520094315</v>
      </c>
      <c r="BL183" s="460">
        <f t="shared" si="601"/>
        <v>2571.2378769256625</v>
      </c>
      <c r="BM183" s="173">
        <f t="shared" si="531"/>
        <v>4.535124999999999</v>
      </c>
      <c r="BN183" s="173">
        <f t="shared" si="532"/>
        <v>0.113378125</v>
      </c>
      <c r="BO183" s="528"/>
      <c r="BQ183" s="460">
        <f t="shared" si="486"/>
        <v>4648.5031249999984</v>
      </c>
      <c r="BR183" s="528">
        <f t="shared" si="487"/>
        <v>3.1358430921484932</v>
      </c>
      <c r="BS183" s="528">
        <f t="shared" si="488"/>
        <v>3.592698585225973</v>
      </c>
      <c r="BT183" s="528">
        <f t="shared" si="489"/>
        <v>3.6316873992970928E-4</v>
      </c>
      <c r="BU183" s="528">
        <f t="shared" si="490"/>
        <v>0.66935249637486693</v>
      </c>
      <c r="BV183" s="528"/>
      <c r="BW183" s="625">
        <f t="shared" si="533"/>
        <v>1.8392231583289228E-2</v>
      </c>
      <c r="BX183" s="460">
        <f t="shared" si="491"/>
        <v>7416.6495740725513</v>
      </c>
      <c r="BY183" s="173">
        <f t="shared" si="492"/>
        <v>14.636390575998215</v>
      </c>
      <c r="BZ183" s="5">
        <f t="shared" si="493"/>
        <v>110.96</v>
      </c>
      <c r="CA183" s="173">
        <f t="shared" si="494"/>
        <v>0.8834648789756282</v>
      </c>
      <c r="CB183" s="5">
        <f t="shared" si="495"/>
        <v>88.346487897562824</v>
      </c>
      <c r="CC183">
        <f t="shared" si="496"/>
        <v>73</v>
      </c>
      <c r="CE183" s="562">
        <f t="shared" si="534"/>
        <v>-50</v>
      </c>
      <c r="CF183">
        <f t="shared" si="535"/>
        <v>-50</v>
      </c>
      <c r="CG183" s="173">
        <f t="shared" si="536"/>
        <v>0.5475504322766569</v>
      </c>
      <c r="CH183" s="173">
        <f t="shared" si="537"/>
        <v>6.4398811101315859E-2</v>
      </c>
      <c r="CI183" s="170">
        <v>73</v>
      </c>
      <c r="CJ183" s="217">
        <f t="shared" si="602"/>
        <v>7.3</v>
      </c>
      <c r="CK183" s="217">
        <f t="shared" si="538"/>
        <v>0.1825</v>
      </c>
      <c r="CL183" s="217">
        <f t="shared" si="539"/>
        <v>109.5</v>
      </c>
      <c r="CM183" s="217">
        <f t="shared" si="540"/>
        <v>1.46</v>
      </c>
      <c r="CN183" s="541">
        <f t="shared" si="541"/>
        <v>19</v>
      </c>
      <c r="CO183" s="443">
        <f t="shared" si="542"/>
        <v>15.7</v>
      </c>
      <c r="CP183" s="443">
        <f t="shared" si="543"/>
        <v>34.700000000000003</v>
      </c>
      <c r="CQ183" s="443"/>
      <c r="CR183" s="217">
        <f t="shared" si="544"/>
        <v>0.44767441860465118</v>
      </c>
      <c r="CS183" s="172">
        <f t="shared" si="545"/>
        <v>209.84738372093025</v>
      </c>
      <c r="CT183" s="172">
        <f t="shared" si="546"/>
        <v>2.835271317829458</v>
      </c>
      <c r="CU183" s="217">
        <f t="shared" si="547"/>
        <v>13.989825581395349</v>
      </c>
      <c r="CV183" s="217">
        <f t="shared" si="548"/>
        <v>26.230922965116282</v>
      </c>
      <c r="CW183" s="217">
        <f t="shared" si="549"/>
        <v>15</v>
      </c>
      <c r="CX183" s="217">
        <f t="shared" si="550"/>
        <v>26.090389610389607</v>
      </c>
      <c r="CY183" s="217">
        <f t="shared" si="551"/>
        <v>16.478140806561857</v>
      </c>
      <c r="CZ183" s="217">
        <f t="shared" si="552"/>
        <v>19.94169906526594</v>
      </c>
      <c r="DA183" s="197">
        <f t="shared" si="553"/>
        <v>71.63784822286263</v>
      </c>
      <c r="DB183" s="443">
        <f t="shared" si="554"/>
        <v>27.457561689433458</v>
      </c>
      <c r="DD183" s="217">
        <f t="shared" si="555"/>
        <v>10.000000000000002</v>
      </c>
      <c r="DE183" s="173">
        <f t="shared" si="556"/>
        <v>7.6433121019108299</v>
      </c>
      <c r="DF183" s="173">
        <f t="shared" si="557"/>
        <v>2.7017291066282429</v>
      </c>
      <c r="DG183" s="173"/>
      <c r="DH183" s="173">
        <f t="shared" si="558"/>
        <v>7.6433121019108281</v>
      </c>
      <c r="DI183" s="545">
        <f t="shared" si="559"/>
        <v>191.01666666666668</v>
      </c>
      <c r="DJ183" s="528">
        <f t="shared" si="560"/>
        <v>2.7377521613832849</v>
      </c>
      <c r="DL183" s="173">
        <f t="shared" si="561"/>
        <v>7.2689817194773045</v>
      </c>
      <c r="DM183" s="173">
        <f t="shared" si="562"/>
        <v>26.090389610389607</v>
      </c>
      <c r="DN183" s="173">
        <f t="shared" si="563"/>
        <v>13.118807118807116</v>
      </c>
      <c r="DP183" s="545">
        <f t="shared" si="564"/>
        <v>7300</v>
      </c>
      <c r="DQ183" s="460">
        <f t="shared" si="565"/>
        <v>27.457561689433458</v>
      </c>
      <c r="DS183">
        <f t="shared" si="566"/>
        <v>7300</v>
      </c>
      <c r="DT183">
        <f t="shared" si="567"/>
        <v>27.457561689433458</v>
      </c>
      <c r="DV183" s="5">
        <f t="shared" si="568"/>
        <v>36.41983987182779</v>
      </c>
      <c r="DW183" s="5">
        <f t="shared" si="569"/>
        <v>16.478140806561857</v>
      </c>
      <c r="DX183" s="5">
        <f t="shared" si="570"/>
        <v>19.941699065265933</v>
      </c>
      <c r="DY183" s="173">
        <f t="shared" si="571"/>
        <v>0.45244956772334305</v>
      </c>
      <c r="EA183" s="5">
        <f t="shared" si="572"/>
        <v>801.93618591934364</v>
      </c>
      <c r="EB183" s="5">
        <f t="shared" si="573"/>
        <v>37.59075871496924</v>
      </c>
      <c r="EC183" s="5">
        <f t="shared" si="574"/>
        <v>31.9242112229038</v>
      </c>
      <c r="ED183" s="5"/>
      <c r="EE183" s="173">
        <f t="shared" si="575"/>
        <v>10.132229680727665</v>
      </c>
      <c r="EF183" s="173">
        <f t="shared" si="576"/>
        <v>11.1463326571698</v>
      </c>
      <c r="EG183" s="173">
        <f t="shared" si="577"/>
        <v>0.27450576112559361</v>
      </c>
      <c r="EH183" s="173"/>
      <c r="EI183" s="528">
        <f t="shared" si="578"/>
        <v>2.0532415660603731</v>
      </c>
      <c r="EJ183" s="528">
        <f t="shared" si="579"/>
        <v>0.49716666666666681</v>
      </c>
      <c r="EK183" s="528">
        <f t="shared" si="580"/>
        <v>3.4321952111791821E-3</v>
      </c>
      <c r="EL183" s="528">
        <f t="shared" si="581"/>
        <v>3.306137545462994E-3</v>
      </c>
      <c r="EM183">
        <f t="shared" si="582"/>
        <v>8.5500000000000003E-3</v>
      </c>
      <c r="EN183" s="460">
        <f t="shared" si="583"/>
        <v>11.982195211179183</v>
      </c>
      <c r="EP183" s="460">
        <f t="shared" si="603"/>
        <v>2565.6965654836822</v>
      </c>
      <c r="EQ183" s="173">
        <f t="shared" si="584"/>
        <v>5.1099999999999994</v>
      </c>
      <c r="ER183" s="173">
        <f t="shared" si="585"/>
        <v>8.0984374999999997E-2</v>
      </c>
      <c r="ES183" s="528"/>
      <c r="EU183" s="460">
        <f t="shared" si="497"/>
        <v>5190.9843749999991</v>
      </c>
      <c r="EV183" s="528">
        <f t="shared" si="586"/>
        <v>3.0798623490905594</v>
      </c>
      <c r="EW183" s="528">
        <f t="shared" si="587"/>
        <v>3.7272219511286995</v>
      </c>
      <c r="EX183" s="528">
        <f t="shared" si="588"/>
        <v>3.7676706445570734E-4</v>
      </c>
      <c r="EY183" s="528">
        <f t="shared" si="589"/>
        <v>0.68679375210278926</v>
      </c>
      <c r="EZ183" s="528"/>
      <c r="FA183" s="625">
        <f t="shared" si="590"/>
        <v>1.8690593709844432E-2</v>
      </c>
      <c r="FB183" s="460">
        <f t="shared" si="498"/>
        <v>7512.9454130963486</v>
      </c>
      <c r="FC183" s="173">
        <f t="shared" si="591"/>
        <v>15.26962635358003</v>
      </c>
      <c r="FD183" s="5">
        <f t="shared" si="592"/>
        <v>110.96</v>
      </c>
      <c r="FE183" s="173">
        <f t="shared" si="593"/>
        <v>0.87903294341687677</v>
      </c>
      <c r="FF183" s="5">
        <f t="shared" si="594"/>
        <v>87.903294341687683</v>
      </c>
      <c r="FG183">
        <f t="shared" si="595"/>
        <v>73</v>
      </c>
      <c r="FI183" s="562">
        <f t="shared" si="596"/>
        <v>-50</v>
      </c>
      <c r="FJ183">
        <f t="shared" si="597"/>
        <v>-50</v>
      </c>
    </row>
    <row r="184" spans="5:166">
      <c r="E184" s="170">
        <v>74</v>
      </c>
      <c r="F184" s="217">
        <f t="shared" si="598"/>
        <v>7.4</v>
      </c>
      <c r="G184" s="217">
        <f t="shared" si="499"/>
        <v>0.185</v>
      </c>
      <c r="H184" s="217">
        <f t="shared" si="500"/>
        <v>111</v>
      </c>
      <c r="I184" s="217">
        <f t="shared" si="501"/>
        <v>1.48</v>
      </c>
      <c r="J184" s="541">
        <f t="shared" si="502"/>
        <v>18.246498340535599</v>
      </c>
      <c r="K184" s="443">
        <f t="shared" si="503"/>
        <v>16.105442105263158</v>
      </c>
      <c r="L184" s="172">
        <f t="shared" si="504"/>
        <v>34.35194044579876</v>
      </c>
      <c r="M184" s="443"/>
      <c r="N184" s="217">
        <f t="shared" si="505"/>
        <v>0.4688364586179542</v>
      </c>
      <c r="O184" s="172">
        <f t="shared" si="506"/>
        <v>211.05157066172092</v>
      </c>
      <c r="P184" s="172">
        <f t="shared" si="507"/>
        <v>2.8515412213850295</v>
      </c>
      <c r="Q184" s="217">
        <f t="shared" si="508"/>
        <v>14.070104710781395</v>
      </c>
      <c r="R184" s="217">
        <f t="shared" si="509"/>
        <v>26.381446332715115</v>
      </c>
      <c r="S184" s="217">
        <f t="shared" si="510"/>
        <v>15</v>
      </c>
      <c r="T184" s="217">
        <f t="shared" si="511"/>
        <v>26.296890293679397</v>
      </c>
      <c r="U184" s="217">
        <f t="shared" si="512"/>
        <v>17.294424258002039</v>
      </c>
      <c r="V184" s="217">
        <f t="shared" si="513"/>
        <v>19.59354368924954</v>
      </c>
      <c r="W184" s="197">
        <f t="shared" si="514"/>
        <v>71.288530534625735</v>
      </c>
      <c r="X184" s="443">
        <f t="shared" si="599"/>
        <v>26.962922353207688</v>
      </c>
      <c r="Z184" s="217">
        <f t="shared" si="515"/>
        <v>10</v>
      </c>
      <c r="AA184" s="173">
        <f t="shared" si="516"/>
        <v>7.4508976044057027</v>
      </c>
      <c r="AB184" s="173">
        <f t="shared" si="517"/>
        <v>2.6208727370824616</v>
      </c>
      <c r="AC184" s="173"/>
      <c r="AD184" s="173">
        <f t="shared" si="518"/>
        <v>7.4508976044057027</v>
      </c>
      <c r="AE184" s="545">
        <f t="shared" si="519"/>
        <v>198.63378596491228</v>
      </c>
      <c r="AF184" s="528">
        <f t="shared" si="520"/>
        <v>2.6558177069102289</v>
      </c>
      <c r="AH184" s="173">
        <f t="shared" si="521"/>
        <v>7.3185999181472381</v>
      </c>
      <c r="AI184" s="173">
        <f t="shared" si="522"/>
        <v>26.296890293679397</v>
      </c>
      <c r="AJ184" s="173">
        <f t="shared" si="523"/>
        <v>13.271770587910662</v>
      </c>
      <c r="AL184" s="545">
        <f t="shared" si="524"/>
        <v>7400</v>
      </c>
      <c r="AM184" s="460">
        <f t="shared" si="525"/>
        <v>26.962922353207688</v>
      </c>
      <c r="AO184">
        <f t="shared" si="526"/>
        <v>7400</v>
      </c>
      <c r="AP184">
        <f t="shared" si="527"/>
        <v>26.962922353207688</v>
      </c>
      <c r="AR184" s="5">
        <f t="shared" si="443"/>
        <v>37.087967947251585</v>
      </c>
      <c r="AS184" s="5">
        <f t="shared" si="604"/>
        <v>17.294424258002039</v>
      </c>
      <c r="AT184" s="5">
        <f t="shared" si="605"/>
        <v>19.793543689249546</v>
      </c>
      <c r="AU184" s="173">
        <f t="shared" si="606"/>
        <v>0.46630821841194042</v>
      </c>
      <c r="AW184" s="5">
        <f t="shared" si="477"/>
        <v>853.19159672810065</v>
      </c>
      <c r="AX184" s="5">
        <f t="shared" si="478"/>
        <v>39.993356096629711</v>
      </c>
      <c r="AY184" s="5">
        <f t="shared" si="479"/>
        <v>33.447564515034131</v>
      </c>
      <c r="AZ184" s="5"/>
      <c r="BA184" s="173">
        <f t="shared" si="480"/>
        <v>10.367649393020242</v>
      </c>
      <c r="BB184" s="173">
        <f t="shared" si="481"/>
        <v>11.091467851581992</v>
      </c>
      <c r="BC184" s="173">
        <f t="shared" si="482"/>
        <v>0.27315458081543104</v>
      </c>
      <c r="BD184" s="173"/>
      <c r="BE184" s="528">
        <f t="shared" si="483"/>
        <v>2.1497630787318598</v>
      </c>
      <c r="BF184" s="528">
        <f t="shared" si="528"/>
        <v>0.45669252351748274</v>
      </c>
      <c r="BG184" s="528">
        <f t="shared" si="529"/>
        <v>1.2299472949344855E-2</v>
      </c>
      <c r="BH184" s="528">
        <f t="shared" si="484"/>
        <v>3.181775324196895E-3</v>
      </c>
      <c r="BI184">
        <f t="shared" si="485"/>
        <v>8.2109242532410198E-3</v>
      </c>
      <c r="BJ184" s="460">
        <f t="shared" si="600"/>
        <v>20.510397202585875</v>
      </c>
      <c r="BK184">
        <f t="shared" si="530"/>
        <v>6.5207832563645942</v>
      </c>
      <c r="BL184" s="460">
        <f t="shared" si="601"/>
        <v>2630.1477747761251</v>
      </c>
      <c r="BM184" s="173">
        <f t="shared" si="531"/>
        <v>4.5972499999999998</v>
      </c>
      <c r="BN184" s="173">
        <f t="shared" si="532"/>
        <v>0.11493125</v>
      </c>
      <c r="BO184" s="528"/>
      <c r="BQ184" s="460">
        <f t="shared" si="486"/>
        <v>4712.1812499999996</v>
      </c>
      <c r="BR184" s="528">
        <f t="shared" si="487"/>
        <v>3.2246446180977899</v>
      </c>
      <c r="BS184" s="528">
        <f t="shared" si="488"/>
        <v>3.6906197730803054</v>
      </c>
      <c r="BT184" s="528">
        <f t="shared" si="489"/>
        <v>3.7306712510226924E-4</v>
      </c>
      <c r="BU184" s="528">
        <f t="shared" si="490"/>
        <v>0.66934248752845427</v>
      </c>
      <c r="BV184" s="528"/>
      <c r="BW184" s="625">
        <f t="shared" si="533"/>
        <v>1.8645573683123706E-2</v>
      </c>
      <c r="BX184" s="460">
        <f t="shared" si="491"/>
        <v>7603.6255195147751</v>
      </c>
      <c r="BY184" s="173">
        <f t="shared" si="492"/>
        <v>14.945954544290899</v>
      </c>
      <c r="BZ184" s="5">
        <f t="shared" si="493"/>
        <v>112.48</v>
      </c>
      <c r="CA184" s="173">
        <f t="shared" si="494"/>
        <v>0.88270871034286846</v>
      </c>
      <c r="CB184" s="5">
        <f t="shared" si="495"/>
        <v>88.270871034286841</v>
      </c>
      <c r="CC184">
        <f t="shared" si="496"/>
        <v>74</v>
      </c>
      <c r="CE184" s="562">
        <f t="shared" si="534"/>
        <v>-50</v>
      </c>
      <c r="CF184">
        <f t="shared" si="535"/>
        <v>-50</v>
      </c>
      <c r="CG184" s="173">
        <f t="shared" si="536"/>
        <v>0.54755043227665701</v>
      </c>
      <c r="CH184" s="173">
        <f t="shared" si="537"/>
        <v>6.4398811101315859E-2</v>
      </c>
      <c r="CI184" s="170">
        <v>74</v>
      </c>
      <c r="CJ184" s="217">
        <f t="shared" si="602"/>
        <v>7.4</v>
      </c>
      <c r="CK184" s="217">
        <f t="shared" si="538"/>
        <v>0.185</v>
      </c>
      <c r="CL184" s="217">
        <f t="shared" si="539"/>
        <v>111</v>
      </c>
      <c r="CM184" s="217">
        <f t="shared" si="540"/>
        <v>1.48</v>
      </c>
      <c r="CN184" s="541">
        <f t="shared" si="541"/>
        <v>19</v>
      </c>
      <c r="CO184" s="443">
        <f t="shared" si="542"/>
        <v>15.7</v>
      </c>
      <c r="CP184" s="443">
        <f t="shared" si="543"/>
        <v>34.700000000000003</v>
      </c>
      <c r="CQ184" s="443"/>
      <c r="CR184" s="217">
        <f t="shared" si="544"/>
        <v>0.44767441860465118</v>
      </c>
      <c r="CS184" s="172">
        <f t="shared" si="545"/>
        <v>209.84738372093025</v>
      </c>
      <c r="CT184" s="172">
        <f t="shared" si="546"/>
        <v>2.835271317829458</v>
      </c>
      <c r="CU184" s="217">
        <f t="shared" si="547"/>
        <v>13.989825581395349</v>
      </c>
      <c r="CV184" s="217">
        <f t="shared" si="548"/>
        <v>26.230922965116282</v>
      </c>
      <c r="CW184" s="217">
        <f t="shared" si="549"/>
        <v>15</v>
      </c>
      <c r="CX184" s="217">
        <f t="shared" si="550"/>
        <v>26.447792207792208</v>
      </c>
      <c r="CY184" s="217">
        <f t="shared" si="551"/>
        <v>16.703868762816132</v>
      </c>
      <c r="CZ184" s="217">
        <f t="shared" si="552"/>
        <v>20.214873025064108</v>
      </c>
      <c r="DA184" s="197">
        <f t="shared" si="553"/>
        <v>71.63784822286263</v>
      </c>
      <c r="DB184" s="443">
        <f t="shared" si="554"/>
        <v>27.086513558495163</v>
      </c>
      <c r="DD184" s="217">
        <f t="shared" si="555"/>
        <v>10.000000000000002</v>
      </c>
      <c r="DE184" s="173">
        <f t="shared" si="556"/>
        <v>7.6433121019108299</v>
      </c>
      <c r="DF184" s="173">
        <f t="shared" si="557"/>
        <v>2.7017291066282429</v>
      </c>
      <c r="DG184" s="173"/>
      <c r="DH184" s="173">
        <f t="shared" si="558"/>
        <v>7.6433121019108281</v>
      </c>
      <c r="DI184" s="545">
        <f t="shared" si="559"/>
        <v>193.63333333333338</v>
      </c>
      <c r="DJ184" s="528">
        <f t="shared" si="560"/>
        <v>2.7377521613832849</v>
      </c>
      <c r="DL184" s="173">
        <f t="shared" si="561"/>
        <v>7.3185999181472381</v>
      </c>
      <c r="DM184" s="173">
        <f t="shared" si="562"/>
        <v>26.447792207792208</v>
      </c>
      <c r="DN184" s="173">
        <f t="shared" si="563"/>
        <v>13.383549783549784</v>
      </c>
      <c r="DP184" s="545">
        <f t="shared" si="564"/>
        <v>7400</v>
      </c>
      <c r="DQ184" s="460">
        <f t="shared" si="565"/>
        <v>27.086513558495163</v>
      </c>
      <c r="DS184">
        <f t="shared" si="566"/>
        <v>7400</v>
      </c>
      <c r="DT184">
        <f t="shared" si="567"/>
        <v>27.086513558495163</v>
      </c>
      <c r="DV184" s="5">
        <f t="shared" si="568"/>
        <v>36.918741787880236</v>
      </c>
      <c r="DW184" s="5">
        <f t="shared" si="569"/>
        <v>16.703868762816132</v>
      </c>
      <c r="DX184" s="5">
        <f t="shared" si="570"/>
        <v>20.214873025064104</v>
      </c>
      <c r="DY184" s="173">
        <f t="shared" si="571"/>
        <v>0.45244956772334299</v>
      </c>
      <c r="EA184" s="5">
        <f t="shared" si="572"/>
        <v>824.05752563226258</v>
      </c>
      <c r="EB184" s="5">
        <f t="shared" si="573"/>
        <v>38.627696514012307</v>
      </c>
      <c r="EC184" s="5">
        <f t="shared" si="574"/>
        <v>32.8048378038321</v>
      </c>
      <c r="ED184" s="5"/>
      <c r="EE184" s="173">
        <f t="shared" si="575"/>
        <v>10.27102734758695</v>
      </c>
      <c r="EF184" s="173">
        <f t="shared" si="576"/>
        <v>11.299022145624185</v>
      </c>
      <c r="EG184" s="173">
        <f t="shared" si="577"/>
        <v>0.278266114017725</v>
      </c>
      <c r="EH184" s="173"/>
      <c r="EI184" s="528">
        <f t="shared" si="578"/>
        <v>2.1098800554975803</v>
      </c>
      <c r="EJ184" s="528">
        <f t="shared" si="579"/>
        <v>0.49716666666666681</v>
      </c>
      <c r="EK184" s="528">
        <f t="shared" si="580"/>
        <v>3.3858141948118954E-3</v>
      </c>
      <c r="EL184" s="528">
        <f t="shared" si="581"/>
        <v>3.2614600110648451E-3</v>
      </c>
      <c r="EM184">
        <f t="shared" si="582"/>
        <v>8.5500000000000003E-3</v>
      </c>
      <c r="EN184" s="460">
        <f t="shared" si="583"/>
        <v>11.935814194811895</v>
      </c>
      <c r="EP184" s="460">
        <f t="shared" si="603"/>
        <v>2622.243996370124</v>
      </c>
      <c r="EQ184" s="173">
        <f t="shared" si="584"/>
        <v>5.18</v>
      </c>
      <c r="ER184" s="173">
        <f t="shared" si="585"/>
        <v>8.2093749999999993E-2</v>
      </c>
      <c r="ES184" s="528"/>
      <c r="EU184" s="460">
        <f t="shared" si="497"/>
        <v>5262.09375</v>
      </c>
      <c r="EV184" s="528">
        <f t="shared" si="586"/>
        <v>3.16482008324637</v>
      </c>
      <c r="EW184" s="528">
        <f t="shared" si="587"/>
        <v>3.8300370434191731</v>
      </c>
      <c r="EX184" s="528">
        <f t="shared" si="588"/>
        <v>3.8716015105262765E-4</v>
      </c>
      <c r="EY184" s="528">
        <f t="shared" si="589"/>
        <v>0.68679375210278926</v>
      </c>
      <c r="EZ184" s="528"/>
      <c r="FA184" s="625">
        <f t="shared" si="590"/>
        <v>1.8946629240116274E-2</v>
      </c>
      <c r="FB184" s="460">
        <f t="shared" si="498"/>
        <v>7700.9846681595018</v>
      </c>
      <c r="FC184" s="173">
        <f t="shared" si="591"/>
        <v>15.585322414529625</v>
      </c>
      <c r="FD184" s="5">
        <f t="shared" si="592"/>
        <v>112.48</v>
      </c>
      <c r="FE184" s="173">
        <f t="shared" si="593"/>
        <v>0.87830177505755935</v>
      </c>
      <c r="FF184" s="5">
        <f t="shared" si="594"/>
        <v>87.830177505755941</v>
      </c>
      <c r="FG184">
        <f t="shared" si="595"/>
        <v>74</v>
      </c>
      <c r="FI184" s="562">
        <f t="shared" si="596"/>
        <v>-50</v>
      </c>
      <c r="FJ184">
        <f t="shared" si="597"/>
        <v>-50</v>
      </c>
    </row>
    <row r="185" spans="5:166">
      <c r="E185" s="170">
        <v>75</v>
      </c>
      <c r="F185" s="217">
        <f t="shared" si="598"/>
        <v>7.5</v>
      </c>
      <c r="G185" s="217">
        <f t="shared" si="499"/>
        <v>0.1875</v>
      </c>
      <c r="H185" s="217">
        <f t="shared" si="500"/>
        <v>112.5</v>
      </c>
      <c r="I185" s="217">
        <f t="shared" si="501"/>
        <v>1.5</v>
      </c>
      <c r="J185" s="541">
        <f t="shared" si="502"/>
        <v>18.236315885677971</v>
      </c>
      <c r="K185" s="443">
        <f t="shared" si="503"/>
        <v>16.110921052631578</v>
      </c>
      <c r="L185" s="172">
        <f t="shared" si="504"/>
        <v>34.34723693830955</v>
      </c>
      <c r="M185" s="443"/>
      <c r="N185" s="217">
        <f t="shared" si="505"/>
        <v>0.46906017743343115</v>
      </c>
      <c r="O185" s="172">
        <f t="shared" si="506"/>
        <v>211.03444650661694</v>
      </c>
      <c r="P185" s="172">
        <f t="shared" si="507"/>
        <v>2.8513098550227358</v>
      </c>
      <c r="Q185" s="217">
        <f t="shared" si="508"/>
        <v>14.068963100441129</v>
      </c>
      <c r="R185" s="217">
        <f t="shared" si="509"/>
        <v>26.379305813327118</v>
      </c>
      <c r="S185" s="217">
        <f t="shared" si="510"/>
        <v>15</v>
      </c>
      <c r="T185" s="217">
        <f t="shared" si="511"/>
        <v>26.65441634346471</v>
      </c>
      <c r="U185" s="217">
        <f t="shared" si="512"/>
        <v>17.539342821582483</v>
      </c>
      <c r="V185" s="217">
        <f t="shared" si="513"/>
        <v>19.853178789510071</v>
      </c>
      <c r="W185" s="197">
        <f t="shared" si="514"/>
        <v>71.282746375568394</v>
      </c>
      <c r="X185" s="443">
        <f t="shared" si="599"/>
        <v>26.60103544916036</v>
      </c>
      <c r="Z185" s="217">
        <f t="shared" si="515"/>
        <v>10</v>
      </c>
      <c r="AA185" s="173">
        <f t="shared" si="516"/>
        <v>7.4483637284287383</v>
      </c>
      <c r="AB185" s="173">
        <f t="shared" si="517"/>
        <v>2.6197688613482009</v>
      </c>
      <c r="AC185" s="173"/>
      <c r="AD185" s="173">
        <f t="shared" si="518"/>
        <v>7.4483637284287383</v>
      </c>
      <c r="AE185" s="545">
        <f t="shared" si="519"/>
        <v>201.38651315789471</v>
      </c>
      <c r="AF185" s="528">
        <f t="shared" si="520"/>
        <v>2.6546991128328443</v>
      </c>
      <c r="AH185" s="173">
        <f t="shared" si="521"/>
        <v>7.3678839761300727</v>
      </c>
      <c r="AI185" s="173">
        <f t="shared" si="522"/>
        <v>26.65441634346471</v>
      </c>
      <c r="AJ185" s="173">
        <f t="shared" si="523"/>
        <v>13.536604698862748</v>
      </c>
      <c r="AL185" s="545">
        <f t="shared" si="524"/>
        <v>7500</v>
      </c>
      <c r="AM185" s="460">
        <f t="shared" si="525"/>
        <v>26.60103544916036</v>
      </c>
      <c r="AO185">
        <f t="shared" si="526"/>
        <v>7500</v>
      </c>
      <c r="AP185">
        <f t="shared" si="527"/>
        <v>26.60103544916036</v>
      </c>
      <c r="AR185" s="5">
        <f t="shared" si="443"/>
        <v>37.592521611092558</v>
      </c>
      <c r="AS185" s="5">
        <f t="shared" si="604"/>
        <v>17.539342821582483</v>
      </c>
      <c r="AT185" s="5">
        <f t="shared" si="605"/>
        <v>20.053178789510074</v>
      </c>
      <c r="AU185" s="173">
        <f t="shared" si="606"/>
        <v>0.4665646801518919</v>
      </c>
      <c r="AW185" s="5">
        <f t="shared" si="477"/>
        <v>876.96714107912419</v>
      </c>
      <c r="AX185" s="5">
        <f t="shared" si="478"/>
        <v>41.107834738083952</v>
      </c>
      <c r="AY185" s="5">
        <f t="shared" si="479"/>
        <v>34.363401089380304</v>
      </c>
      <c r="AZ185" s="5"/>
      <c r="BA185" s="173">
        <f t="shared" si="480"/>
        <v>10.511494784686747</v>
      </c>
      <c r="BB185" s="173">
        <f t="shared" si="481"/>
        <v>11.239563200072451</v>
      </c>
      <c r="BC185" s="173">
        <f t="shared" si="482"/>
        <v>0.27680179175080394</v>
      </c>
      <c r="BD185" s="173"/>
      <c r="BE185" s="528">
        <f t="shared" si="483"/>
        <v>2.2098304521699332</v>
      </c>
      <c r="BF185" s="528">
        <f t="shared" si="528"/>
        <v>0.45662616909847936</v>
      </c>
      <c r="BG185" s="528">
        <f t="shared" si="529"/>
        <v>1.2127622133425147E-2</v>
      </c>
      <c r="BH185" s="528">
        <f t="shared" si="484"/>
        <v>3.1382110982102044E-3</v>
      </c>
      <c r="BI185">
        <f t="shared" si="485"/>
        <v>8.2063421485550868E-3</v>
      </c>
      <c r="BJ185" s="460">
        <f t="shared" si="600"/>
        <v>20.333964281980233</v>
      </c>
      <c r="BK185">
        <f t="shared" si="530"/>
        <v>6.8771204551877378</v>
      </c>
      <c r="BL185" s="460">
        <f t="shared" si="601"/>
        <v>2689.9287966486031</v>
      </c>
      <c r="BM185" s="173">
        <f t="shared" si="531"/>
        <v>4.6593749999999998</v>
      </c>
      <c r="BN185" s="173">
        <f t="shared" si="532"/>
        <v>0.11648437499999997</v>
      </c>
      <c r="BO185" s="528"/>
      <c r="BQ185" s="460">
        <f t="shared" si="486"/>
        <v>4775.859375</v>
      </c>
      <c r="BR185" s="528">
        <f t="shared" si="487"/>
        <v>3.3147456782549001</v>
      </c>
      <c r="BS185" s="528">
        <f t="shared" si="488"/>
        <v>3.7898334278526864</v>
      </c>
      <c r="BT185" s="528">
        <f t="shared" si="489"/>
        <v>3.8309615958227717E-4</v>
      </c>
      <c r="BU185" s="528">
        <f t="shared" si="490"/>
        <v>0.66932847592106159</v>
      </c>
      <c r="BV185" s="528"/>
      <c r="BW185" s="625">
        <f t="shared" si="533"/>
        <v>1.8898916065293193E-2</v>
      </c>
      <c r="BX185" s="460">
        <f t="shared" si="491"/>
        <v>7793.189594253523</v>
      </c>
      <c r="BY185" s="173">
        <f t="shared" si="492"/>
        <v>15.258977765902126</v>
      </c>
      <c r="BZ185" s="5">
        <f t="shared" si="493"/>
        <v>114</v>
      </c>
      <c r="CA185" s="173">
        <f t="shared" si="494"/>
        <v>0.88195034472934408</v>
      </c>
      <c r="CB185" s="5">
        <f t="shared" si="495"/>
        <v>88.19503447293441</v>
      </c>
      <c r="CC185">
        <f t="shared" si="496"/>
        <v>75</v>
      </c>
      <c r="CE185" s="562">
        <f t="shared" si="534"/>
        <v>-50</v>
      </c>
      <c r="CF185">
        <f t="shared" si="535"/>
        <v>-50</v>
      </c>
      <c r="CG185" s="173">
        <f t="shared" si="536"/>
        <v>0.54755043227665712</v>
      </c>
      <c r="CH185" s="173">
        <f t="shared" si="537"/>
        <v>6.4398811101315845E-2</v>
      </c>
      <c r="CI185" s="170">
        <v>75</v>
      </c>
      <c r="CJ185" s="217">
        <f t="shared" si="602"/>
        <v>7.5</v>
      </c>
      <c r="CK185" s="217">
        <f t="shared" si="538"/>
        <v>0.1875</v>
      </c>
      <c r="CL185" s="217">
        <f t="shared" si="539"/>
        <v>112.5</v>
      </c>
      <c r="CM185" s="217">
        <f t="shared" si="540"/>
        <v>1.5</v>
      </c>
      <c r="CN185" s="541">
        <f t="shared" si="541"/>
        <v>19</v>
      </c>
      <c r="CO185" s="443">
        <f t="shared" si="542"/>
        <v>15.7</v>
      </c>
      <c r="CP185" s="443">
        <f t="shared" si="543"/>
        <v>34.700000000000003</v>
      </c>
      <c r="CQ185" s="443"/>
      <c r="CR185" s="217">
        <f t="shared" si="544"/>
        <v>0.44767441860465118</v>
      </c>
      <c r="CS185" s="172">
        <f t="shared" si="545"/>
        <v>209.84738372093025</v>
      </c>
      <c r="CT185" s="172">
        <f t="shared" si="546"/>
        <v>2.835271317829458</v>
      </c>
      <c r="CU185" s="217">
        <f t="shared" si="547"/>
        <v>13.989825581395349</v>
      </c>
      <c r="CV185" s="217">
        <f t="shared" si="548"/>
        <v>26.230922965116282</v>
      </c>
      <c r="CW185" s="217">
        <f t="shared" si="549"/>
        <v>15</v>
      </c>
      <c r="CX185" s="217">
        <f t="shared" si="550"/>
        <v>26.805194805194805</v>
      </c>
      <c r="CY185" s="217">
        <f t="shared" si="551"/>
        <v>16.929596719070403</v>
      </c>
      <c r="CZ185" s="217">
        <f t="shared" si="552"/>
        <v>20.488046984862272</v>
      </c>
      <c r="DA185" s="197">
        <f t="shared" si="553"/>
        <v>71.63784822286263</v>
      </c>
      <c r="DB185" s="443">
        <f t="shared" si="554"/>
        <v>26.72536004438189</v>
      </c>
      <c r="DD185" s="217">
        <f t="shared" si="555"/>
        <v>10.000000000000002</v>
      </c>
      <c r="DE185" s="173">
        <f t="shared" si="556"/>
        <v>7.6433121019108299</v>
      </c>
      <c r="DF185" s="173">
        <f t="shared" si="557"/>
        <v>2.7017291066282429</v>
      </c>
      <c r="DG185" s="173"/>
      <c r="DH185" s="173">
        <f t="shared" si="558"/>
        <v>7.6433121019108281</v>
      </c>
      <c r="DI185" s="545">
        <f t="shared" si="559"/>
        <v>196.25000000000003</v>
      </c>
      <c r="DJ185" s="528">
        <f t="shared" si="560"/>
        <v>2.7377521613832849</v>
      </c>
      <c r="DL185" s="173">
        <f t="shared" si="561"/>
        <v>7.3678839761300727</v>
      </c>
      <c r="DM185" s="173">
        <f t="shared" si="562"/>
        <v>26.805194805194805</v>
      </c>
      <c r="DN185" s="173">
        <f t="shared" si="563"/>
        <v>13.648292448292448</v>
      </c>
      <c r="DP185" s="545">
        <f t="shared" si="564"/>
        <v>7500</v>
      </c>
      <c r="DQ185" s="460">
        <f t="shared" si="565"/>
        <v>26.72536004438189</v>
      </c>
      <c r="DS185">
        <f t="shared" si="566"/>
        <v>7500</v>
      </c>
      <c r="DT185">
        <f t="shared" si="567"/>
        <v>26.72536004438189</v>
      </c>
      <c r="DV185" s="5">
        <f t="shared" si="568"/>
        <v>37.417643703932676</v>
      </c>
      <c r="DW185" s="5">
        <f t="shared" si="569"/>
        <v>16.929596719070403</v>
      </c>
      <c r="DX185" s="5">
        <f t="shared" si="570"/>
        <v>20.488046984862272</v>
      </c>
      <c r="DY185" s="173">
        <f t="shared" si="571"/>
        <v>0.45244956772334294</v>
      </c>
      <c r="EA185" s="5">
        <f t="shared" si="572"/>
        <v>846.47983595352014</v>
      </c>
      <c r="EB185" s="5">
        <f t="shared" si="573"/>
        <v>39.678742310321255</v>
      </c>
      <c r="EC185" s="5">
        <f t="shared" si="574"/>
        <v>33.697445698786638</v>
      </c>
      <c r="ED185" s="5"/>
      <c r="EE185" s="173">
        <f t="shared" si="575"/>
        <v>10.409825014446231</v>
      </c>
      <c r="EF185" s="173">
        <f t="shared" si="576"/>
        <v>11.451711634078567</v>
      </c>
      <c r="EG185" s="173">
        <f t="shared" si="577"/>
        <v>0.2820264669098565</v>
      </c>
      <c r="EH185" s="173"/>
      <c r="EI185" s="528">
        <f t="shared" si="578"/>
        <v>2.1672891366278093</v>
      </c>
      <c r="EJ185" s="528">
        <f t="shared" si="579"/>
        <v>0.49716666666666665</v>
      </c>
      <c r="EK185" s="528">
        <f t="shared" si="580"/>
        <v>3.3406700055477359E-3</v>
      </c>
      <c r="EL185" s="528">
        <f t="shared" si="581"/>
        <v>3.2179738775839802E-3</v>
      </c>
      <c r="EM185">
        <f t="shared" si="582"/>
        <v>8.5500000000000003E-3</v>
      </c>
      <c r="EN185" s="460">
        <f t="shared" si="583"/>
        <v>11.890670005547737</v>
      </c>
      <c r="EP185" s="460">
        <f t="shared" si="603"/>
        <v>2679.5644471776077</v>
      </c>
      <c r="EQ185" s="173">
        <f t="shared" si="584"/>
        <v>5.25</v>
      </c>
      <c r="ER185" s="173">
        <f t="shared" si="585"/>
        <v>8.3203124999999989E-2</v>
      </c>
      <c r="ES185" s="528"/>
      <c r="EU185" s="460">
        <f t="shared" si="497"/>
        <v>5333.203125</v>
      </c>
      <c r="EV185" s="528">
        <f t="shared" si="586"/>
        <v>3.2509337049417142</v>
      </c>
      <c r="EW185" s="528">
        <f t="shared" si="587"/>
        <v>3.9342509805027115</v>
      </c>
      <c r="EX185" s="528">
        <f t="shared" si="588"/>
        <v>3.9769464018828192E-4</v>
      </c>
      <c r="EY185" s="528">
        <f t="shared" si="589"/>
        <v>0.68679375210278926</v>
      </c>
      <c r="EZ185" s="528"/>
      <c r="FA185" s="625">
        <f t="shared" si="590"/>
        <v>1.9202664770388112E-2</v>
      </c>
      <c r="FB185" s="460">
        <f t="shared" si="498"/>
        <v>7891.5787969577923</v>
      </c>
      <c r="FC185" s="173">
        <f t="shared" si="591"/>
        <v>15.9043463691354</v>
      </c>
      <c r="FD185" s="5">
        <f t="shared" si="592"/>
        <v>114</v>
      </c>
      <c r="FE185" s="173">
        <f t="shared" si="593"/>
        <v>0.87756878954656603</v>
      </c>
      <c r="FF185" s="5">
        <f t="shared" si="594"/>
        <v>87.756878954656599</v>
      </c>
      <c r="FG185">
        <f t="shared" si="595"/>
        <v>75</v>
      </c>
      <c r="FI185" s="562">
        <f t="shared" si="596"/>
        <v>-50</v>
      </c>
      <c r="FJ185">
        <f t="shared" si="597"/>
        <v>-50</v>
      </c>
    </row>
    <row r="186" spans="5:166">
      <c r="E186" s="170">
        <v>76</v>
      </c>
      <c r="F186" s="217">
        <f t="shared" si="598"/>
        <v>7.6</v>
      </c>
      <c r="G186" s="217">
        <f t="shared" si="499"/>
        <v>0.19</v>
      </c>
      <c r="H186" s="217">
        <f t="shared" si="500"/>
        <v>114</v>
      </c>
      <c r="I186" s="217">
        <f t="shared" si="501"/>
        <v>1.52</v>
      </c>
      <c r="J186" s="541">
        <f t="shared" si="502"/>
        <v>18.226133430820344</v>
      </c>
      <c r="K186" s="443">
        <f t="shared" si="503"/>
        <v>16.116399999999999</v>
      </c>
      <c r="L186" s="172">
        <f t="shared" si="504"/>
        <v>34.342533430820339</v>
      </c>
      <c r="M186" s="443"/>
      <c r="N186" s="217">
        <f t="shared" si="505"/>
        <v>0.46928395752936819</v>
      </c>
      <c r="O186" s="172">
        <f t="shared" si="506"/>
        <v>211.01723750510754</v>
      </c>
      <c r="P186" s="172">
        <f t="shared" si="507"/>
        <v>2.851077342291231</v>
      </c>
      <c r="Q186" s="217">
        <f t="shared" si="508"/>
        <v>14.067815833673837</v>
      </c>
      <c r="R186" s="217">
        <f t="shared" si="509"/>
        <v>26.377154688138443</v>
      </c>
      <c r="S186" s="217">
        <f t="shared" si="510"/>
        <v>15</v>
      </c>
      <c r="T186" s="217">
        <f t="shared" si="511"/>
        <v>27.012011281125954</v>
      </c>
      <c r="U186" s="217">
        <f t="shared" si="512"/>
        <v>17.784580399558831</v>
      </c>
      <c r="V186" s="217">
        <f t="shared" si="513"/>
        <v>20.112688650909103</v>
      </c>
      <c r="W186" s="197">
        <f t="shared" si="514"/>
        <v>71.276933557280756</v>
      </c>
      <c r="X186" s="443">
        <f t="shared" si="599"/>
        <v>26.248600619516516</v>
      </c>
      <c r="Z186" s="217">
        <f t="shared" si="515"/>
        <v>10</v>
      </c>
      <c r="AA186" s="173">
        <f t="shared" si="516"/>
        <v>7.4458315752897679</v>
      </c>
      <c r="AB186" s="173">
        <f t="shared" si="517"/>
        <v>2.6186646832432494</v>
      </c>
      <c r="AC186" s="173"/>
      <c r="AD186" s="173">
        <f t="shared" si="518"/>
        <v>7.4458315752897679</v>
      </c>
      <c r="AE186" s="545">
        <f t="shared" si="519"/>
        <v>204.14106666666666</v>
      </c>
      <c r="AF186" s="528">
        <f t="shared" si="520"/>
        <v>2.6535802123531593</v>
      </c>
      <c r="AH186" s="173">
        <f t="shared" si="521"/>
        <v>7.4168405544088518</v>
      </c>
      <c r="AI186" s="173">
        <f t="shared" si="522"/>
        <v>27.012011281125954</v>
      </c>
      <c r="AJ186" s="173">
        <f t="shared" si="523"/>
        <v>13.801489837871076</v>
      </c>
      <c r="AL186" s="545">
        <f t="shared" si="524"/>
        <v>7600</v>
      </c>
      <c r="AM186" s="460">
        <f t="shared" si="525"/>
        <v>26.248600619516516</v>
      </c>
      <c r="AO186">
        <f t="shared" si="526"/>
        <v>7600</v>
      </c>
      <c r="AP186">
        <f t="shared" si="527"/>
        <v>26.248600619516516</v>
      </c>
      <c r="AR186" s="5">
        <f t="shared" si="443"/>
        <v>38.097269050467929</v>
      </c>
      <c r="AS186" s="5">
        <f t="shared" si="604"/>
        <v>17.784580399558831</v>
      </c>
      <c r="AT186" s="5">
        <f t="shared" si="605"/>
        <v>20.312688650909099</v>
      </c>
      <c r="AU186" s="173">
        <f t="shared" si="606"/>
        <v>0.46682034809370127</v>
      </c>
      <c r="AW186" s="5">
        <f t="shared" si="477"/>
        <v>901.08540691098074</v>
      </c>
      <c r="AX186" s="5">
        <f t="shared" si="478"/>
        <v>42.238378448952226</v>
      </c>
      <c r="AY186" s="5">
        <f t="shared" si="479"/>
        <v>35.291914385111021</v>
      </c>
      <c r="AZ186" s="5"/>
      <c r="BA186" s="173">
        <f t="shared" si="480"/>
        <v>10.655434999292559</v>
      </c>
      <c r="BB186" s="173">
        <f t="shared" si="481"/>
        <v>11.387622935732013</v>
      </c>
      <c r="BC186" s="173">
        <f t="shared" si="482"/>
        <v>0.28044812563292959</v>
      </c>
      <c r="BD186" s="173"/>
      <c r="BE186" s="528">
        <f t="shared" si="483"/>
        <v>2.2707659004829766</v>
      </c>
      <c r="BF186" s="528">
        <f t="shared" si="528"/>
        <v>0.45655875912008292</v>
      </c>
      <c r="BG186" s="528">
        <f t="shared" si="529"/>
        <v>1.1960262431590539E-2</v>
      </c>
      <c r="BH186" s="528">
        <f t="shared" si="484"/>
        <v>3.0957851621454379E-3</v>
      </c>
      <c r="BI186">
        <f t="shared" si="485"/>
        <v>8.2017600438691537E-3</v>
      </c>
      <c r="BJ186" s="460">
        <f t="shared" si="600"/>
        <v>20.162022475459693</v>
      </c>
      <c r="BK186">
        <f t="shared" si="530"/>
        <v>7.2611812334050505</v>
      </c>
      <c r="BL186" s="460">
        <f t="shared" si="601"/>
        <v>2750.5824672406648</v>
      </c>
      <c r="BM186" s="173">
        <f t="shared" si="531"/>
        <v>4.7214999999999989</v>
      </c>
      <c r="BN186" s="173">
        <f t="shared" si="532"/>
        <v>0.11803749999999998</v>
      </c>
      <c r="BO186" s="528"/>
      <c r="BQ186" s="460">
        <f t="shared" si="486"/>
        <v>4839.5374999999985</v>
      </c>
      <c r="BR186" s="528">
        <f t="shared" si="487"/>
        <v>3.4061488507244646</v>
      </c>
      <c r="BS186" s="528">
        <f t="shared" si="488"/>
        <v>3.8903386837922933</v>
      </c>
      <c r="BT186" s="528">
        <f t="shared" si="489"/>
        <v>3.9325575585511733E-4</v>
      </c>
      <c r="BU186" s="528">
        <f t="shared" si="490"/>
        <v>0.66931059204611532</v>
      </c>
      <c r="BV186" s="528"/>
      <c r="BW186" s="625">
        <f t="shared" si="533"/>
        <v>1.9152258721881112E-2</v>
      </c>
      <c r="BX186" s="460">
        <f t="shared" si="491"/>
        <v>7985.3436410406102</v>
      </c>
      <c r="BY186" s="173">
        <f t="shared" si="492"/>
        <v>15.575463608281273</v>
      </c>
      <c r="BZ186" s="5">
        <f t="shared" si="493"/>
        <v>115.52</v>
      </c>
      <c r="CA186" s="173">
        <f t="shared" si="494"/>
        <v>0.88118991169045013</v>
      </c>
      <c r="CB186" s="5">
        <f t="shared" si="495"/>
        <v>88.118991169045017</v>
      </c>
      <c r="CC186">
        <f t="shared" si="496"/>
        <v>76</v>
      </c>
      <c r="CE186" s="562">
        <f t="shared" si="534"/>
        <v>-50</v>
      </c>
      <c r="CF186">
        <f t="shared" si="535"/>
        <v>-50</v>
      </c>
      <c r="CG186" s="173">
        <f t="shared" si="536"/>
        <v>0.54755043227665712</v>
      </c>
      <c r="CH186" s="173">
        <f t="shared" si="537"/>
        <v>6.4398811101315859E-2</v>
      </c>
      <c r="CI186" s="170">
        <v>76</v>
      </c>
      <c r="CJ186" s="217">
        <f t="shared" si="602"/>
        <v>7.6</v>
      </c>
      <c r="CK186" s="217">
        <f t="shared" si="538"/>
        <v>0.19</v>
      </c>
      <c r="CL186" s="217">
        <f t="shared" si="539"/>
        <v>114</v>
      </c>
      <c r="CM186" s="217">
        <f t="shared" si="540"/>
        <v>1.52</v>
      </c>
      <c r="CN186" s="541">
        <f t="shared" si="541"/>
        <v>19</v>
      </c>
      <c r="CO186" s="443">
        <f t="shared" si="542"/>
        <v>15.7</v>
      </c>
      <c r="CP186" s="443">
        <f t="shared" si="543"/>
        <v>34.700000000000003</v>
      </c>
      <c r="CQ186" s="443"/>
      <c r="CR186" s="217">
        <f t="shared" si="544"/>
        <v>0.44767441860465118</v>
      </c>
      <c r="CS186" s="172">
        <f t="shared" si="545"/>
        <v>209.84738372093025</v>
      </c>
      <c r="CT186" s="172">
        <f t="shared" si="546"/>
        <v>2.835271317829458</v>
      </c>
      <c r="CU186" s="217">
        <f t="shared" si="547"/>
        <v>13.989825581395349</v>
      </c>
      <c r="CV186" s="217">
        <f t="shared" si="548"/>
        <v>26.230922965116282</v>
      </c>
      <c r="CW186" s="217">
        <f t="shared" si="549"/>
        <v>15</v>
      </c>
      <c r="CX186" s="217">
        <f t="shared" si="550"/>
        <v>27.162597402597399</v>
      </c>
      <c r="CY186" s="217">
        <f t="shared" si="551"/>
        <v>17.155324675324671</v>
      </c>
      <c r="CZ186" s="217">
        <f t="shared" si="552"/>
        <v>20.761220944660433</v>
      </c>
      <c r="DA186" s="197">
        <f t="shared" si="553"/>
        <v>71.63784822286263</v>
      </c>
      <c r="DB186" s="443">
        <f t="shared" si="554"/>
        <v>26.373710570113719</v>
      </c>
      <c r="DD186" s="217">
        <f t="shared" si="555"/>
        <v>10.000000000000002</v>
      </c>
      <c r="DE186" s="173">
        <f t="shared" si="556"/>
        <v>7.6433121019108299</v>
      </c>
      <c r="DF186" s="173">
        <f t="shared" si="557"/>
        <v>2.7017291066282429</v>
      </c>
      <c r="DG186" s="173"/>
      <c r="DH186" s="173">
        <f t="shared" si="558"/>
        <v>7.6433121019108281</v>
      </c>
      <c r="DI186" s="545">
        <f t="shared" si="559"/>
        <v>198.86666666666667</v>
      </c>
      <c r="DJ186" s="528">
        <f t="shared" si="560"/>
        <v>2.7377521613832849</v>
      </c>
      <c r="DL186" s="173">
        <f t="shared" si="561"/>
        <v>7.4168405544088518</v>
      </c>
      <c r="DM186" s="173">
        <f t="shared" si="562"/>
        <v>27.162597402597399</v>
      </c>
      <c r="DN186" s="173">
        <f t="shared" si="563"/>
        <v>13.913035113035109</v>
      </c>
      <c r="DP186" s="545">
        <f t="shared" si="564"/>
        <v>7600</v>
      </c>
      <c r="DQ186" s="460">
        <f t="shared" si="565"/>
        <v>26.373710570113719</v>
      </c>
      <c r="DS186">
        <f t="shared" si="566"/>
        <v>7600</v>
      </c>
      <c r="DT186">
        <f t="shared" si="567"/>
        <v>26.373710570113719</v>
      </c>
      <c r="DV186" s="5">
        <f t="shared" si="568"/>
        <v>37.916545619985101</v>
      </c>
      <c r="DW186" s="5">
        <f t="shared" si="569"/>
        <v>17.155324675324671</v>
      </c>
      <c r="DX186" s="5">
        <f t="shared" si="570"/>
        <v>20.76122094466043</v>
      </c>
      <c r="DY186" s="173">
        <f t="shared" si="571"/>
        <v>0.45244956772334294</v>
      </c>
      <c r="EA186" s="5">
        <f t="shared" si="572"/>
        <v>869.20311688311654</v>
      </c>
      <c r="EB186" s="5">
        <f t="shared" si="573"/>
        <v>40.743896103896098</v>
      </c>
      <c r="EC186" s="5">
        <f t="shared" si="574"/>
        <v>34.602034907767383</v>
      </c>
      <c r="ED186" s="5"/>
      <c r="EE186" s="173">
        <f t="shared" si="575"/>
        <v>10.548622681305512</v>
      </c>
      <c r="EF186" s="173">
        <f t="shared" si="576"/>
        <v>11.604401122532947</v>
      </c>
      <c r="EG186" s="173">
        <f t="shared" si="577"/>
        <v>0.28578681980198789</v>
      </c>
      <c r="EH186" s="173"/>
      <c r="EI186" s="528">
        <f t="shared" si="578"/>
        <v>2.2254688094510615</v>
      </c>
      <c r="EJ186" s="528">
        <f t="shared" si="579"/>
        <v>0.49716666666666681</v>
      </c>
      <c r="EK186" s="528">
        <f t="shared" si="580"/>
        <v>3.2967138212642148E-3</v>
      </c>
      <c r="EL186" s="528">
        <f t="shared" si="581"/>
        <v>3.1756321160368237E-3</v>
      </c>
      <c r="EM186">
        <f t="shared" si="582"/>
        <v>8.5500000000000003E-3</v>
      </c>
      <c r="EN186" s="460">
        <f t="shared" si="583"/>
        <v>11.846713821264215</v>
      </c>
      <c r="EP186" s="460">
        <f t="shared" si="603"/>
        <v>2737.6578220550296</v>
      </c>
      <c r="EQ186" s="173">
        <f t="shared" si="584"/>
        <v>5.3199999999999994</v>
      </c>
      <c r="ER186" s="173">
        <f t="shared" si="585"/>
        <v>8.4312499999999999E-2</v>
      </c>
      <c r="ES186" s="528"/>
      <c r="EU186" s="460">
        <f t="shared" si="497"/>
        <v>5404.3125</v>
      </c>
      <c r="EV186" s="528">
        <f t="shared" si="586"/>
        <v>3.338203214176592</v>
      </c>
      <c r="EW186" s="528">
        <f t="shared" si="587"/>
        <v>4.0398637623793174</v>
      </c>
      <c r="EX186" s="528">
        <f t="shared" si="588"/>
        <v>4.0837053186266954E-4</v>
      </c>
      <c r="EY186" s="528">
        <f t="shared" si="589"/>
        <v>0.68679375210278926</v>
      </c>
      <c r="EZ186" s="528"/>
      <c r="FA186" s="625">
        <f t="shared" si="590"/>
        <v>1.9458700300659958E-2</v>
      </c>
      <c r="FB186" s="460">
        <f t="shared" si="498"/>
        <v>8084.727799491221</v>
      </c>
      <c r="FC186" s="173">
        <f t="shared" si="591"/>
        <v>16.226698121546253</v>
      </c>
      <c r="FD186" s="5">
        <f t="shared" si="592"/>
        <v>115.52</v>
      </c>
      <c r="FE186" s="173">
        <f t="shared" si="593"/>
        <v>0.87683411916269882</v>
      </c>
      <c r="FF186" s="5">
        <f t="shared" si="594"/>
        <v>87.683411916269876</v>
      </c>
      <c r="FG186">
        <f t="shared" si="595"/>
        <v>76</v>
      </c>
      <c r="FI186" s="562">
        <f t="shared" si="596"/>
        <v>-50</v>
      </c>
      <c r="FJ186">
        <f t="shared" si="597"/>
        <v>-50</v>
      </c>
    </row>
    <row r="187" spans="5:166">
      <c r="E187" s="170">
        <v>77</v>
      </c>
      <c r="F187" s="217">
        <f t="shared" si="598"/>
        <v>7.7</v>
      </c>
      <c r="G187" s="217">
        <f t="shared" si="499"/>
        <v>0.1925</v>
      </c>
      <c r="H187" s="217">
        <f t="shared" si="500"/>
        <v>115.5</v>
      </c>
      <c r="I187" s="217">
        <f t="shared" si="501"/>
        <v>1.54</v>
      </c>
      <c r="J187" s="541">
        <f t="shared" si="502"/>
        <v>18.215950975962716</v>
      </c>
      <c r="K187" s="443">
        <f t="shared" si="503"/>
        <v>16.121878947368419</v>
      </c>
      <c r="L187" s="172">
        <f t="shared" si="504"/>
        <v>34.337829923331135</v>
      </c>
      <c r="M187" s="443"/>
      <c r="N187" s="217">
        <f t="shared" si="505"/>
        <v>0.46950779893094724</v>
      </c>
      <c r="O187" s="172">
        <f t="shared" si="506"/>
        <v>210.99994362232636</v>
      </c>
      <c r="P187" s="172">
        <f t="shared" si="507"/>
        <v>2.8508436827194319</v>
      </c>
      <c r="Q187" s="217">
        <f t="shared" si="508"/>
        <v>14.06666290815509</v>
      </c>
      <c r="R187" s="217">
        <f t="shared" si="509"/>
        <v>26.374992952790794</v>
      </c>
      <c r="S187" s="217">
        <f t="shared" si="510"/>
        <v>15</v>
      </c>
      <c r="T187" s="217">
        <f t="shared" si="511"/>
        <v>27.369675559424817</v>
      </c>
      <c r="U187" s="217">
        <f t="shared" si="512"/>
        <v>18.030137825167259</v>
      </c>
      <c r="V187" s="217">
        <f t="shared" si="513"/>
        <v>20.372073738136372</v>
      </c>
      <c r="W187" s="197">
        <f t="shared" si="514"/>
        <v>71.271092067985791</v>
      </c>
      <c r="X187" s="443">
        <f t="shared" si="599"/>
        <v>25.905251525812282</v>
      </c>
      <c r="Z187" s="217">
        <f t="shared" si="515"/>
        <v>10</v>
      </c>
      <c r="AA187" s="173">
        <f t="shared" si="516"/>
        <v>7.4433011432322935</v>
      </c>
      <c r="AB187" s="173">
        <f t="shared" si="517"/>
        <v>2.6175602026433515</v>
      </c>
      <c r="AC187" s="173"/>
      <c r="AD187" s="173">
        <f t="shared" si="518"/>
        <v>7.4433011432322935</v>
      </c>
      <c r="AE187" s="545">
        <f t="shared" si="519"/>
        <v>206.89744649122804</v>
      </c>
      <c r="AF187" s="528">
        <f t="shared" si="520"/>
        <v>2.652461005345264</v>
      </c>
      <c r="AH187" s="173">
        <f t="shared" si="521"/>
        <v>7.4654760955570234</v>
      </c>
      <c r="AI187" s="173">
        <f t="shared" si="522"/>
        <v>27.369675559424817</v>
      </c>
      <c r="AJ187" s="173">
        <f t="shared" si="523"/>
        <v>14.066426340314678</v>
      </c>
      <c r="AL187" s="545">
        <f t="shared" si="524"/>
        <v>7700</v>
      </c>
      <c r="AM187" s="460">
        <f t="shared" si="525"/>
        <v>25.905251525812282</v>
      </c>
      <c r="AO187">
        <f t="shared" si="526"/>
        <v>7700</v>
      </c>
      <c r="AP187">
        <f t="shared" si="527"/>
        <v>25.905251525812282</v>
      </c>
      <c r="AR187" s="5">
        <f t="shared" si="443"/>
        <v>38.602211563303641</v>
      </c>
      <c r="AS187" s="5">
        <f t="shared" si="604"/>
        <v>18.030137825167259</v>
      </c>
      <c r="AT187" s="5">
        <f t="shared" si="605"/>
        <v>20.572073738136382</v>
      </c>
      <c r="AU187" s="173">
        <f t="shared" si="606"/>
        <v>0.4670752554060198</v>
      </c>
      <c r="AW187" s="5">
        <f t="shared" si="477"/>
        <v>925.54707502525252</v>
      </c>
      <c r="AX187" s="5">
        <f t="shared" si="478"/>
        <v>43.385019141808712</v>
      </c>
      <c r="AY187" s="5">
        <f t="shared" si="479"/>
        <v>36.233117884950829</v>
      </c>
      <c r="AZ187" s="5"/>
      <c r="BA187" s="173">
        <f t="shared" si="480"/>
        <v>10.799470237724707</v>
      </c>
      <c r="BB187" s="173">
        <f t="shared" si="481"/>
        <v>11.535647185740828</v>
      </c>
      <c r="BC187" s="173">
        <f t="shared" si="482"/>
        <v>0.28409358559393105</v>
      </c>
      <c r="BD187" s="173"/>
      <c r="BE187" s="528">
        <f t="shared" si="483"/>
        <v>2.3325711483100346</v>
      </c>
      <c r="BF187" s="528">
        <f t="shared" si="528"/>
        <v>0.45649032773440446</v>
      </c>
      <c r="BG187" s="528">
        <f t="shared" si="529"/>
        <v>1.1797219795354497E-2</v>
      </c>
      <c r="BH187" s="528">
        <f t="shared" si="484"/>
        <v>3.0544534007074572E-3</v>
      </c>
      <c r="BI187">
        <f t="shared" si="485"/>
        <v>8.1971779391832224E-3</v>
      </c>
      <c r="BJ187" s="460">
        <f t="shared" si="600"/>
        <v>19.994397734537721</v>
      </c>
      <c r="BK187">
        <f t="shared" si="530"/>
        <v>7.6762118820872667</v>
      </c>
      <c r="BL187" s="460">
        <f t="shared" si="601"/>
        <v>2812.1103271796842</v>
      </c>
      <c r="BM187" s="173">
        <f t="shared" si="531"/>
        <v>4.7836249999999998</v>
      </c>
      <c r="BN187" s="173">
        <f t="shared" si="532"/>
        <v>0.11959062499999998</v>
      </c>
      <c r="BO187" s="528"/>
      <c r="BQ187" s="460">
        <f t="shared" si="486"/>
        <v>4903.2156249999998</v>
      </c>
      <c r="BR187" s="528">
        <f t="shared" si="487"/>
        <v>3.4988567224650517</v>
      </c>
      <c r="BS187" s="528">
        <f t="shared" si="488"/>
        <v>3.9921346798167079</v>
      </c>
      <c r="BT187" s="528">
        <f t="shared" si="489"/>
        <v>4.0354582687808114E-4</v>
      </c>
      <c r="BU187" s="528">
        <f t="shared" si="490"/>
        <v>0.6692889596799273</v>
      </c>
      <c r="BV187" s="528"/>
      <c r="BW187" s="625">
        <f t="shared" si="533"/>
        <v>1.9405601645380629E-2</v>
      </c>
      <c r="BX187" s="460">
        <f t="shared" si="491"/>
        <v>8180.0895094339467</v>
      </c>
      <c r="BY187" s="173">
        <f t="shared" si="492"/>
        <v>15.895415461613629</v>
      </c>
      <c r="BZ187" s="5">
        <f t="shared" si="493"/>
        <v>117.04</v>
      </c>
      <c r="CA187" s="173">
        <f t="shared" si="494"/>
        <v>0.88042753387863304</v>
      </c>
      <c r="CB187" s="5">
        <f t="shared" si="495"/>
        <v>88.0427533878633</v>
      </c>
      <c r="CC187">
        <f t="shared" si="496"/>
        <v>77</v>
      </c>
      <c r="CE187" s="562">
        <f t="shared" si="534"/>
        <v>-50</v>
      </c>
      <c r="CF187">
        <f t="shared" si="535"/>
        <v>-50</v>
      </c>
      <c r="CG187" s="173">
        <f t="shared" si="536"/>
        <v>0.54755043227665712</v>
      </c>
      <c r="CH187" s="173">
        <f t="shared" si="537"/>
        <v>6.4398811101315859E-2</v>
      </c>
      <c r="CI187" s="170">
        <v>77</v>
      </c>
      <c r="CJ187" s="217">
        <f t="shared" si="602"/>
        <v>7.7</v>
      </c>
      <c r="CK187" s="217">
        <f t="shared" si="538"/>
        <v>0.1925</v>
      </c>
      <c r="CL187" s="217">
        <f t="shared" si="539"/>
        <v>115.5</v>
      </c>
      <c r="CM187" s="217">
        <f t="shared" si="540"/>
        <v>1.54</v>
      </c>
      <c r="CN187" s="541">
        <f t="shared" si="541"/>
        <v>19</v>
      </c>
      <c r="CO187" s="443">
        <f t="shared" si="542"/>
        <v>15.7</v>
      </c>
      <c r="CP187" s="443">
        <f t="shared" si="543"/>
        <v>34.700000000000003</v>
      </c>
      <c r="CQ187" s="443"/>
      <c r="CR187" s="217">
        <f t="shared" si="544"/>
        <v>0.44767441860465118</v>
      </c>
      <c r="CS187" s="172">
        <f t="shared" si="545"/>
        <v>209.84738372093025</v>
      </c>
      <c r="CT187" s="172">
        <f t="shared" si="546"/>
        <v>2.835271317829458</v>
      </c>
      <c r="CU187" s="217">
        <f t="shared" si="547"/>
        <v>13.989825581395349</v>
      </c>
      <c r="CV187" s="217">
        <f t="shared" si="548"/>
        <v>26.230922965116282</v>
      </c>
      <c r="CW187" s="217">
        <f t="shared" si="549"/>
        <v>15</v>
      </c>
      <c r="CX187" s="217">
        <f t="shared" si="550"/>
        <v>27.52</v>
      </c>
      <c r="CY187" s="217">
        <f t="shared" si="551"/>
        <v>17.381052631578946</v>
      </c>
      <c r="CZ187" s="217">
        <f t="shared" si="552"/>
        <v>21.034394904458601</v>
      </c>
      <c r="DA187" s="197">
        <f t="shared" si="553"/>
        <v>71.63784822286263</v>
      </c>
      <c r="DB187" s="443">
        <f t="shared" si="554"/>
        <v>26.031194848423922</v>
      </c>
      <c r="DD187" s="217">
        <f t="shared" si="555"/>
        <v>10.000000000000002</v>
      </c>
      <c r="DE187" s="173">
        <f t="shared" si="556"/>
        <v>7.6433121019108299</v>
      </c>
      <c r="DF187" s="173">
        <f t="shared" si="557"/>
        <v>2.7017291066282429</v>
      </c>
      <c r="DG187" s="173"/>
      <c r="DH187" s="173">
        <f t="shared" si="558"/>
        <v>7.6433121019108281</v>
      </c>
      <c r="DI187" s="545">
        <f t="shared" si="559"/>
        <v>201.48333333333335</v>
      </c>
      <c r="DJ187" s="528">
        <f t="shared" si="560"/>
        <v>2.7377521613832849</v>
      </c>
      <c r="DL187" s="173">
        <f t="shared" si="561"/>
        <v>7.4654760955570234</v>
      </c>
      <c r="DM187" s="173">
        <f t="shared" si="562"/>
        <v>27.52</v>
      </c>
      <c r="DN187" s="173">
        <f t="shared" si="563"/>
        <v>14.177777777777777</v>
      </c>
      <c r="DP187" s="545">
        <f t="shared" si="564"/>
        <v>7700</v>
      </c>
      <c r="DQ187" s="460">
        <f t="shared" si="565"/>
        <v>26.031194848423922</v>
      </c>
      <c r="DS187">
        <f t="shared" si="566"/>
        <v>7700</v>
      </c>
      <c r="DT187">
        <f t="shared" si="567"/>
        <v>26.031194848423922</v>
      </c>
      <c r="DV187" s="5">
        <f t="shared" si="568"/>
        <v>38.415447536037547</v>
      </c>
      <c r="DW187" s="5">
        <f t="shared" si="569"/>
        <v>17.381052631578946</v>
      </c>
      <c r="DX187" s="5">
        <f t="shared" si="570"/>
        <v>21.034394904458601</v>
      </c>
      <c r="DY187" s="173">
        <f t="shared" si="571"/>
        <v>0.45244956772334288</v>
      </c>
      <c r="EA187" s="5">
        <f t="shared" si="572"/>
        <v>892.22736842105257</v>
      </c>
      <c r="EB187" s="5">
        <f t="shared" si="573"/>
        <v>41.823157894736838</v>
      </c>
      <c r="EC187" s="5">
        <f t="shared" si="574"/>
        <v>35.518605430774386</v>
      </c>
      <c r="ED187" s="5"/>
      <c r="EE187" s="173">
        <f t="shared" si="575"/>
        <v>10.687420348164796</v>
      </c>
      <c r="EF187" s="173">
        <f t="shared" si="576"/>
        <v>11.757090610987328</v>
      </c>
      <c r="EG187" s="173">
        <f t="shared" si="577"/>
        <v>0.28954717269411934</v>
      </c>
      <c r="EH187" s="173"/>
      <c r="EI187" s="528">
        <f t="shared" si="578"/>
        <v>2.2844190739673387</v>
      </c>
      <c r="EJ187" s="528">
        <f t="shared" si="579"/>
        <v>0.4971666666666667</v>
      </c>
      <c r="EK187" s="528">
        <f t="shared" si="580"/>
        <v>3.2538993560529902E-3</v>
      </c>
      <c r="EL187" s="528">
        <f t="shared" si="581"/>
        <v>3.1343901405038767E-3</v>
      </c>
      <c r="EM187">
        <f t="shared" si="582"/>
        <v>8.5500000000000003E-3</v>
      </c>
      <c r="EN187" s="460">
        <f t="shared" si="583"/>
        <v>11.803899356052991</v>
      </c>
      <c r="EP187" s="460">
        <f t="shared" si="603"/>
        <v>2796.5240301305626</v>
      </c>
      <c r="EQ187" s="173">
        <f t="shared" si="584"/>
        <v>5.39</v>
      </c>
      <c r="ER187" s="173">
        <f t="shared" si="585"/>
        <v>8.5421874999999994E-2</v>
      </c>
      <c r="ES187" s="528"/>
      <c r="EU187" s="460">
        <f t="shared" si="497"/>
        <v>5475.4218749999991</v>
      </c>
      <c r="EV187" s="528">
        <f t="shared" si="586"/>
        <v>3.4266286109510076</v>
      </c>
      <c r="EW187" s="528">
        <f t="shared" si="587"/>
        <v>4.1468753890489918</v>
      </c>
      <c r="EX187" s="528">
        <f t="shared" si="588"/>
        <v>4.1918782607579084E-4</v>
      </c>
      <c r="EY187" s="528">
        <f t="shared" si="589"/>
        <v>0.68679375210278804</v>
      </c>
      <c r="EZ187" s="528"/>
      <c r="FA187" s="625">
        <f t="shared" si="590"/>
        <v>1.97147358309318E-2</v>
      </c>
      <c r="FB187" s="460">
        <f t="shared" si="498"/>
        <v>8280.4316757597971</v>
      </c>
      <c r="FC187" s="173">
        <f t="shared" si="591"/>
        <v>16.552377580890358</v>
      </c>
      <c r="FD187" s="5">
        <f t="shared" si="592"/>
        <v>117.04</v>
      </c>
      <c r="FE187" s="173">
        <f t="shared" si="593"/>
        <v>0.87609788911146613</v>
      </c>
      <c r="FF187" s="5">
        <f t="shared" si="594"/>
        <v>87.609788911146609</v>
      </c>
      <c r="FG187">
        <f t="shared" si="595"/>
        <v>77</v>
      </c>
      <c r="FI187" s="562">
        <f t="shared" si="596"/>
        <v>-50</v>
      </c>
      <c r="FJ187">
        <f t="shared" si="597"/>
        <v>-50</v>
      </c>
    </row>
    <row r="188" spans="5:166">
      <c r="E188" s="170">
        <v>78</v>
      </c>
      <c r="F188" s="217">
        <f t="shared" si="598"/>
        <v>7.8000000000000007</v>
      </c>
      <c r="G188" s="217">
        <f t="shared" si="499"/>
        <v>0.19500000000000001</v>
      </c>
      <c r="H188" s="217">
        <f t="shared" si="500"/>
        <v>117.00000000000001</v>
      </c>
      <c r="I188" s="217">
        <f t="shared" si="501"/>
        <v>1.56</v>
      </c>
      <c r="J188" s="541">
        <f t="shared" si="502"/>
        <v>18.205768521105089</v>
      </c>
      <c r="K188" s="443">
        <f t="shared" si="503"/>
        <v>16.127357894736843</v>
      </c>
      <c r="L188" s="172">
        <f t="shared" si="504"/>
        <v>34.333126415841932</v>
      </c>
      <c r="M188" s="443"/>
      <c r="N188" s="217">
        <f t="shared" si="505"/>
        <v>0.46973170166336453</v>
      </c>
      <c r="O188" s="172">
        <f t="shared" si="506"/>
        <v>210.98256482338837</v>
      </c>
      <c r="P188" s="172">
        <f t="shared" si="507"/>
        <v>2.8506088758360031</v>
      </c>
      <c r="Q188" s="217">
        <f t="shared" si="508"/>
        <v>14.065504321559224</v>
      </c>
      <c r="R188" s="217">
        <f t="shared" si="509"/>
        <v>26.372820602923547</v>
      </c>
      <c r="S188" s="217">
        <f t="shared" si="510"/>
        <v>15</v>
      </c>
      <c r="T188" s="217">
        <f t="shared" si="511"/>
        <v>27.727409631677311</v>
      </c>
      <c r="U188" s="217">
        <f t="shared" si="512"/>
        <v>18.27601593387342</v>
      </c>
      <c r="V188" s="217">
        <f t="shared" si="513"/>
        <v>20.631334515662587</v>
      </c>
      <c r="W188" s="197">
        <f t="shared" si="514"/>
        <v>71.265221895900069</v>
      </c>
      <c r="X188" s="443">
        <f t="shared" si="599"/>
        <v>25.570640519111528</v>
      </c>
      <c r="Z188" s="217">
        <f t="shared" si="515"/>
        <v>10</v>
      </c>
      <c r="AA188" s="173">
        <f t="shared" si="516"/>
        <v>7.4407724305022063</v>
      </c>
      <c r="AB188" s="173">
        <f t="shared" si="517"/>
        <v>2.6164554194241876</v>
      </c>
      <c r="AC188" s="173"/>
      <c r="AD188" s="173">
        <f t="shared" si="518"/>
        <v>7.4407724305022063</v>
      </c>
      <c r="AE188" s="545">
        <f t="shared" si="519"/>
        <v>209.65565263157899</v>
      </c>
      <c r="AF188" s="528">
        <f t="shared" si="520"/>
        <v>2.6513414916831768</v>
      </c>
      <c r="AH188" s="173">
        <f t="shared" si="521"/>
        <v>7.5137968336349674</v>
      </c>
      <c r="AI188" s="173">
        <f t="shared" si="522"/>
        <v>27.727409631677311</v>
      </c>
      <c r="AJ188" s="173">
        <f t="shared" si="523"/>
        <v>14.331414541983193</v>
      </c>
      <c r="AL188" s="545">
        <f t="shared" si="524"/>
        <v>7800.0000000000009</v>
      </c>
      <c r="AM188" s="460">
        <f t="shared" si="525"/>
        <v>25.570640519111528</v>
      </c>
      <c r="AO188">
        <f t="shared" si="526"/>
        <v>7800.0000000000009</v>
      </c>
      <c r="AP188">
        <f t="shared" si="527"/>
        <v>25.570640519111528</v>
      </c>
      <c r="AR188" s="5">
        <f t="shared" si="443"/>
        <v>39.107350449536014</v>
      </c>
      <c r="AS188" s="5">
        <f t="shared" si="604"/>
        <v>18.27601593387342</v>
      </c>
      <c r="AT188" s="5">
        <f t="shared" si="605"/>
        <v>20.831334515662594</v>
      </c>
      <c r="AU188" s="173">
        <f t="shared" si="606"/>
        <v>0.46732943356663159</v>
      </c>
      <c r="AW188" s="5">
        <f t="shared" si="477"/>
        <v>950.35282856141794</v>
      </c>
      <c r="AX188" s="5">
        <f t="shared" si="478"/>
        <v>44.547788838816466</v>
      </c>
      <c r="AY188" s="5">
        <f t="shared" si="479"/>
        <v>37.187025143937149</v>
      </c>
      <c r="AZ188" s="5"/>
      <c r="BA188" s="173">
        <f t="shared" si="480"/>
        <v>10.94360070135181</v>
      </c>
      <c r="BB188" s="173">
        <f t="shared" si="481"/>
        <v>11.683636077165765</v>
      </c>
      <c r="BC188" s="173">
        <f t="shared" si="482"/>
        <v>0.28773817476314123</v>
      </c>
      <c r="BD188" s="173"/>
      <c r="BE188" s="528">
        <f t="shared" si="483"/>
        <v>2.3952479262125568</v>
      </c>
      <c r="BF188" s="528">
        <f t="shared" si="528"/>
        <v>0.4564209073512091</v>
      </c>
      <c r="BG188" s="528">
        <f t="shared" si="529"/>
        <v>1.1638329055683372E-2</v>
      </c>
      <c r="BH188" s="528">
        <f t="shared" si="484"/>
        <v>3.0141739492355931E-3</v>
      </c>
      <c r="BI188">
        <f t="shared" si="485"/>
        <v>8.1925958344972894E-3</v>
      </c>
      <c r="BJ188" s="460">
        <f t="shared" si="600"/>
        <v>19.830924890180661</v>
      </c>
      <c r="BK188">
        <f t="shared" si="530"/>
        <v>8.1259888139452094</v>
      </c>
      <c r="BL188" s="460">
        <f t="shared" si="601"/>
        <v>2874.513932403182</v>
      </c>
      <c r="BM188" s="173">
        <f t="shared" si="531"/>
        <v>4.8457499999999998</v>
      </c>
      <c r="BN188" s="173">
        <f t="shared" si="532"/>
        <v>0.12114374999999998</v>
      </c>
      <c r="BO188" s="528"/>
      <c r="BQ188" s="460">
        <f t="shared" si="486"/>
        <v>4966.8937499999993</v>
      </c>
      <c r="BR188" s="528">
        <f t="shared" si="487"/>
        <v>3.5928718893188347</v>
      </c>
      <c r="BS188" s="528">
        <f t="shared" si="488"/>
        <v>4.0952205595094835</v>
      </c>
      <c r="BT188" s="528">
        <f t="shared" si="489"/>
        <v>4.1396628608012003E-4</v>
      </c>
      <c r="BU188" s="528">
        <f t="shared" si="490"/>
        <v>0.66926369630845117</v>
      </c>
      <c r="BV188" s="528"/>
      <c r="BW188" s="625">
        <f t="shared" si="533"/>
        <v>1.9658944828668475E-2</v>
      </c>
      <c r="BX188" s="460">
        <f t="shared" si="491"/>
        <v>8377.429056251518</v>
      </c>
      <c r="BY188" s="173">
        <f t="shared" si="492"/>
        <v>16.218836738654701</v>
      </c>
      <c r="BZ188" s="5">
        <f t="shared" si="493"/>
        <v>118.56000000000002</v>
      </c>
      <c r="CA188" s="173">
        <f t="shared" si="494"/>
        <v>0.87966332748438747</v>
      </c>
      <c r="CB188" s="5">
        <f t="shared" si="495"/>
        <v>87.966332748438745</v>
      </c>
      <c r="CC188">
        <f t="shared" si="496"/>
        <v>78</v>
      </c>
      <c r="CE188" s="562">
        <f t="shared" si="534"/>
        <v>-50</v>
      </c>
      <c r="CF188">
        <f t="shared" si="535"/>
        <v>-50</v>
      </c>
      <c r="CG188" s="173">
        <f t="shared" si="536"/>
        <v>0.54755043227665712</v>
      </c>
      <c r="CH188" s="173">
        <f t="shared" si="537"/>
        <v>6.4398811101315845E-2</v>
      </c>
      <c r="CI188" s="170">
        <v>78</v>
      </c>
      <c r="CJ188" s="217">
        <f t="shared" si="602"/>
        <v>7.8000000000000007</v>
      </c>
      <c r="CK188" s="217">
        <f t="shared" si="538"/>
        <v>0.19500000000000001</v>
      </c>
      <c r="CL188" s="217">
        <f t="shared" si="539"/>
        <v>117.00000000000001</v>
      </c>
      <c r="CM188" s="217">
        <f t="shared" si="540"/>
        <v>1.56</v>
      </c>
      <c r="CN188" s="541">
        <f t="shared" si="541"/>
        <v>19</v>
      </c>
      <c r="CO188" s="443">
        <f t="shared" si="542"/>
        <v>15.7</v>
      </c>
      <c r="CP188" s="443">
        <f t="shared" si="543"/>
        <v>34.700000000000003</v>
      </c>
      <c r="CQ188" s="443"/>
      <c r="CR188" s="217">
        <f t="shared" si="544"/>
        <v>0.44767441860465118</v>
      </c>
      <c r="CS188" s="172">
        <f t="shared" si="545"/>
        <v>209.84738372093025</v>
      </c>
      <c r="CT188" s="172">
        <f t="shared" si="546"/>
        <v>2.835271317829458</v>
      </c>
      <c r="CU188" s="217">
        <f t="shared" si="547"/>
        <v>13.989825581395349</v>
      </c>
      <c r="CV188" s="217">
        <f t="shared" si="548"/>
        <v>26.230922965116282</v>
      </c>
      <c r="CW188" s="217">
        <f t="shared" si="549"/>
        <v>15</v>
      </c>
      <c r="CX188" s="217">
        <f t="shared" si="550"/>
        <v>27.8774025974026</v>
      </c>
      <c r="CY188" s="217">
        <f t="shared" si="551"/>
        <v>17.606780587833221</v>
      </c>
      <c r="CZ188" s="217">
        <f t="shared" si="552"/>
        <v>21.307568864256766</v>
      </c>
      <c r="DA188" s="197">
        <f t="shared" si="553"/>
        <v>71.63784822286263</v>
      </c>
      <c r="DB188" s="443">
        <f t="shared" si="554"/>
        <v>25.69746158113643</v>
      </c>
      <c r="DD188" s="217">
        <f t="shared" si="555"/>
        <v>10.000000000000002</v>
      </c>
      <c r="DE188" s="173">
        <f t="shared" si="556"/>
        <v>7.6433121019108299</v>
      </c>
      <c r="DF188" s="173">
        <f t="shared" si="557"/>
        <v>2.7017291066282429</v>
      </c>
      <c r="DG188" s="173"/>
      <c r="DH188" s="173">
        <f t="shared" si="558"/>
        <v>7.6433121019108281</v>
      </c>
      <c r="DI188" s="545">
        <f t="shared" si="559"/>
        <v>204.10000000000002</v>
      </c>
      <c r="DJ188" s="528">
        <f t="shared" si="560"/>
        <v>2.7377521613832849</v>
      </c>
      <c r="DL188" s="173">
        <f t="shared" si="561"/>
        <v>7.5137968336349674</v>
      </c>
      <c r="DM188" s="173">
        <f t="shared" si="562"/>
        <v>27.8774025974026</v>
      </c>
      <c r="DN188" s="173">
        <f t="shared" si="563"/>
        <v>14.442520442520443</v>
      </c>
      <c r="DP188" s="545">
        <f t="shared" si="564"/>
        <v>7800.0000000000009</v>
      </c>
      <c r="DQ188" s="460">
        <f t="shared" si="565"/>
        <v>25.69746158113643</v>
      </c>
      <c r="DS188">
        <f t="shared" si="566"/>
        <v>7800.0000000000009</v>
      </c>
      <c r="DT188">
        <f t="shared" si="567"/>
        <v>25.69746158113643</v>
      </c>
      <c r="DV188" s="5">
        <f t="shared" si="568"/>
        <v>38.914349452089994</v>
      </c>
      <c r="DW188" s="5">
        <f t="shared" si="569"/>
        <v>17.606780587833221</v>
      </c>
      <c r="DX188" s="5">
        <f t="shared" si="570"/>
        <v>21.307568864256773</v>
      </c>
      <c r="DY188" s="173">
        <f t="shared" si="571"/>
        <v>0.45244956772334283</v>
      </c>
      <c r="EA188" s="5">
        <f t="shared" si="572"/>
        <v>915.55259056732768</v>
      </c>
      <c r="EB188" s="5">
        <f t="shared" si="573"/>
        <v>42.916527682843473</v>
      </c>
      <c r="EC188" s="5">
        <f t="shared" si="574"/>
        <v>36.447157267807647</v>
      </c>
      <c r="ED188" s="5"/>
      <c r="EE188" s="173">
        <f t="shared" si="575"/>
        <v>10.826218015024081</v>
      </c>
      <c r="EF188" s="173">
        <f t="shared" si="576"/>
        <v>11.909780099441711</v>
      </c>
      <c r="EG188" s="173">
        <f t="shared" si="577"/>
        <v>0.29330752558625078</v>
      </c>
      <c r="EH188" s="173"/>
      <c r="EI188" s="528">
        <f t="shared" si="578"/>
        <v>2.344139930176639</v>
      </c>
      <c r="EJ188" s="528">
        <f t="shared" si="579"/>
        <v>0.49716666666666665</v>
      </c>
      <c r="EK188" s="528">
        <f t="shared" si="580"/>
        <v>3.2121826976420536E-3</v>
      </c>
      <c r="EL188" s="528">
        <f t="shared" si="581"/>
        <v>3.0942056515230569E-3</v>
      </c>
      <c r="EM188">
        <f t="shared" si="582"/>
        <v>8.5500000000000003E-3</v>
      </c>
      <c r="EN188" s="460">
        <f t="shared" si="583"/>
        <v>11.762182697642055</v>
      </c>
      <c r="EP188" s="460">
        <f t="shared" si="603"/>
        <v>2856.1629851924704</v>
      </c>
      <c r="EQ188" s="173">
        <f t="shared" si="584"/>
        <v>5.46</v>
      </c>
      <c r="ER188" s="173">
        <f t="shared" si="585"/>
        <v>8.6531250000000004E-2</v>
      </c>
      <c r="ES188" s="528"/>
      <c r="EU188" s="460">
        <f t="shared" si="497"/>
        <v>5546.53125</v>
      </c>
      <c r="EV188" s="528">
        <f t="shared" si="586"/>
        <v>3.5162098952649585</v>
      </c>
      <c r="EW188" s="528">
        <f t="shared" si="587"/>
        <v>4.2552858605117345</v>
      </c>
      <c r="EX188" s="528">
        <f t="shared" si="588"/>
        <v>4.3014652282764577E-4</v>
      </c>
      <c r="EY188" s="528">
        <f t="shared" si="589"/>
        <v>0.68679375210278804</v>
      </c>
      <c r="EZ188" s="528"/>
      <c r="FA188" s="625">
        <f t="shared" si="590"/>
        <v>1.9970771361203638E-2</v>
      </c>
      <c r="FB188" s="460">
        <f t="shared" si="498"/>
        <v>8478.6904257635124</v>
      </c>
      <c r="FC188" s="173">
        <f t="shared" si="591"/>
        <v>16.881384660955984</v>
      </c>
      <c r="FD188" s="5">
        <f t="shared" si="592"/>
        <v>118.56000000000002</v>
      </c>
      <c r="FE188" s="173">
        <f t="shared" si="593"/>
        <v>0.87536021797758223</v>
      </c>
      <c r="FF188" s="5">
        <f t="shared" si="594"/>
        <v>87.536021797758224</v>
      </c>
      <c r="FG188">
        <f t="shared" si="595"/>
        <v>78</v>
      </c>
      <c r="FI188" s="562">
        <f t="shared" si="596"/>
        <v>-50</v>
      </c>
      <c r="FJ188">
        <f t="shared" si="597"/>
        <v>-50</v>
      </c>
    </row>
    <row r="189" spans="5:166">
      <c r="E189" s="170">
        <v>79</v>
      </c>
      <c r="F189" s="217">
        <f t="shared" si="598"/>
        <v>7.9</v>
      </c>
      <c r="G189" s="217">
        <f t="shared" si="499"/>
        <v>0.19750000000000001</v>
      </c>
      <c r="H189" s="217">
        <f t="shared" si="500"/>
        <v>118.5</v>
      </c>
      <c r="I189" s="217">
        <f t="shared" si="501"/>
        <v>1.58</v>
      </c>
      <c r="J189" s="541">
        <f t="shared" si="502"/>
        <v>18.195586066247465</v>
      </c>
      <c r="K189" s="443">
        <f t="shared" si="503"/>
        <v>16.132836842105263</v>
      </c>
      <c r="L189" s="172">
        <f t="shared" si="504"/>
        <v>34.328422908352728</v>
      </c>
      <c r="M189" s="443"/>
      <c r="N189" s="217">
        <f t="shared" si="505"/>
        <v>0.46995566575182957</v>
      </c>
      <c r="O189" s="172">
        <f t="shared" si="506"/>
        <v>210.96510107338918</v>
      </c>
      <c r="P189" s="172">
        <f t="shared" si="507"/>
        <v>2.8503729211693472</v>
      </c>
      <c r="Q189" s="217">
        <f t="shared" si="508"/>
        <v>14.064340071559279</v>
      </c>
      <c r="R189" s="217">
        <f t="shared" si="509"/>
        <v>26.370637634173647</v>
      </c>
      <c r="S189" s="217">
        <f t="shared" si="510"/>
        <v>15</v>
      </c>
      <c r="T189" s="217">
        <f t="shared" si="511"/>
        <v>28.085213951756167</v>
      </c>
      <c r="U189" s="217">
        <f t="shared" si="512"/>
        <v>18.522215563380271</v>
      </c>
      <c r="V189" s="217">
        <f t="shared" si="513"/>
        <v>20.890471447741614</v>
      </c>
      <c r="W189" s="197">
        <f t="shared" si="514"/>
        <v>71.25932302923367</v>
      </c>
      <c r="X189" s="443">
        <f t="shared" si="599"/>
        <v>25.244437463160075</v>
      </c>
      <c r="Z189" s="217">
        <f t="shared" si="515"/>
        <v>10.000000000000002</v>
      </c>
      <c r="AA189" s="173">
        <f t="shared" si="516"/>
        <v>7.4382454353477838</v>
      </c>
      <c r="AB189" s="173">
        <f t="shared" si="517"/>
        <v>2.6153503334613686</v>
      </c>
      <c r="AC189" s="173"/>
      <c r="AD189" s="173">
        <f t="shared" si="518"/>
        <v>7.438245435347782</v>
      </c>
      <c r="AE189" s="545">
        <f t="shared" si="519"/>
        <v>212.41568508771928</v>
      </c>
      <c r="AF189" s="528">
        <f t="shared" si="520"/>
        <v>2.6502216712408524</v>
      </c>
      <c r="AH189" s="173">
        <f t="shared" si="521"/>
        <v>7.5618088035173425</v>
      </c>
      <c r="AI189" s="173">
        <f t="shared" si="522"/>
        <v>28.085213951756167</v>
      </c>
      <c r="AJ189" s="173">
        <f t="shared" si="523"/>
        <v>14.596454779078641</v>
      </c>
      <c r="AL189" s="545">
        <f t="shared" si="524"/>
        <v>7900</v>
      </c>
      <c r="AM189" s="460">
        <f t="shared" si="525"/>
        <v>25.244437463160075</v>
      </c>
      <c r="AO189">
        <f t="shared" si="526"/>
        <v>7900</v>
      </c>
      <c r="AP189">
        <f t="shared" si="527"/>
        <v>25.244437463160075</v>
      </c>
      <c r="AR189" s="5">
        <f t="shared" si="443"/>
        <v>39.612687011121892</v>
      </c>
      <c r="AS189" s="5">
        <f t="shared" si="604"/>
        <v>18.522215563380271</v>
      </c>
      <c r="AT189" s="5">
        <f t="shared" si="605"/>
        <v>21.090471447741621</v>
      </c>
      <c r="AU189" s="173">
        <f t="shared" si="606"/>
        <v>0.46758291246892353</v>
      </c>
      <c r="AW189" s="5">
        <f t="shared" si="477"/>
        <v>975.50335300469442</v>
      </c>
      <c r="AX189" s="5">
        <f t="shared" si="478"/>
        <v>45.726719672095044</v>
      </c>
      <c r="AY189" s="5">
        <f t="shared" si="479"/>
        <v>38.153649789601673</v>
      </c>
      <c r="AZ189" s="5"/>
      <c r="BA189" s="173">
        <f t="shared" si="480"/>
        <v>11.08782659202036</v>
      </c>
      <c r="BB189" s="173">
        <f t="shared" si="481"/>
        <v>11.831589736967976</v>
      </c>
      <c r="BC189" s="173">
        <f t="shared" si="482"/>
        <v>0.29138189626728977</v>
      </c>
      <c r="BD189" s="173"/>
      <c r="BE189" s="528">
        <f t="shared" si="483"/>
        <v>2.4587979706942766</v>
      </c>
      <c r="BF189" s="528">
        <f t="shared" si="528"/>
        <v>0.45635052874762777</v>
      </c>
      <c r="BG189" s="528">
        <f t="shared" si="529"/>
        <v>1.1483433363873273E-2</v>
      </c>
      <c r="BH189" s="528">
        <f t="shared" si="484"/>
        <v>2.9749070519852652E-3</v>
      </c>
      <c r="BI189">
        <f t="shared" si="485"/>
        <v>8.1880137298113581E-3</v>
      </c>
      <c r="BJ189" s="460">
        <f t="shared" si="600"/>
        <v>19.67144709368463</v>
      </c>
      <c r="BK189">
        <f t="shared" si="530"/>
        <v>8.6149313016653224</v>
      </c>
      <c r="BL189" s="460">
        <f t="shared" si="601"/>
        <v>2937.7948535875744</v>
      </c>
      <c r="BM189" s="173">
        <f t="shared" si="531"/>
        <v>4.9078749999999998</v>
      </c>
      <c r="BN189" s="173">
        <f t="shared" si="532"/>
        <v>0.12269687499999998</v>
      </c>
      <c r="BO189" s="528"/>
      <c r="BQ189" s="460">
        <f t="shared" si="486"/>
        <v>5030.5718749999996</v>
      </c>
      <c r="BR189" s="528">
        <f t="shared" si="487"/>
        <v>3.6881969560414145</v>
      </c>
      <c r="BS189" s="528">
        <f t="shared" si="488"/>
        <v>4.1995954711177781</v>
      </c>
      <c r="BT189" s="528">
        <f t="shared" si="489"/>
        <v>4.2451704736160814E-4</v>
      </c>
      <c r="BU189" s="528">
        <f t="shared" si="490"/>
        <v>0.66923491352190878</v>
      </c>
      <c r="BV189" s="528"/>
      <c r="BW189" s="625">
        <f t="shared" si="533"/>
        <v>1.9912288264980788E-2</v>
      </c>
      <c r="BX189" s="460">
        <f t="shared" si="491"/>
        <v>8577.3641459934443</v>
      </c>
      <c r="BY189" s="173">
        <f t="shared" si="492"/>
        <v>16.545730874581018</v>
      </c>
      <c r="BZ189" s="5">
        <f t="shared" si="493"/>
        <v>120.08</v>
      </c>
      <c r="CA189" s="173">
        <f t="shared" si="494"/>
        <v>0.87889740264394567</v>
      </c>
      <c r="CB189" s="5">
        <f t="shared" si="495"/>
        <v>87.889740264394561</v>
      </c>
      <c r="CC189">
        <f t="shared" si="496"/>
        <v>79</v>
      </c>
      <c r="CE189" s="562">
        <f t="shared" si="534"/>
        <v>-50</v>
      </c>
      <c r="CF189">
        <f t="shared" si="535"/>
        <v>-50</v>
      </c>
      <c r="CG189" s="173">
        <f t="shared" si="536"/>
        <v>0.54755043227665712</v>
      </c>
      <c r="CH189" s="173">
        <f t="shared" si="537"/>
        <v>6.4398811101315845E-2</v>
      </c>
      <c r="CI189" s="170">
        <v>79</v>
      </c>
      <c r="CJ189" s="217">
        <f t="shared" si="602"/>
        <v>7.9</v>
      </c>
      <c r="CK189" s="217">
        <f t="shared" si="538"/>
        <v>0.19750000000000001</v>
      </c>
      <c r="CL189" s="217">
        <f t="shared" si="539"/>
        <v>118.5</v>
      </c>
      <c r="CM189" s="217">
        <f t="shared" si="540"/>
        <v>1.58</v>
      </c>
      <c r="CN189" s="541">
        <f t="shared" si="541"/>
        <v>19</v>
      </c>
      <c r="CO189" s="443">
        <f t="shared" si="542"/>
        <v>15.7</v>
      </c>
      <c r="CP189" s="443">
        <f t="shared" si="543"/>
        <v>34.700000000000003</v>
      </c>
      <c r="CQ189" s="443"/>
      <c r="CR189" s="217">
        <f t="shared" si="544"/>
        <v>0.44767441860465118</v>
      </c>
      <c r="CS189" s="172">
        <f t="shared" si="545"/>
        <v>209.84738372093025</v>
      </c>
      <c r="CT189" s="172">
        <f t="shared" si="546"/>
        <v>2.835271317829458</v>
      </c>
      <c r="CU189" s="217">
        <f t="shared" si="547"/>
        <v>13.989825581395349</v>
      </c>
      <c r="CV189" s="217">
        <f t="shared" si="548"/>
        <v>26.230922965116282</v>
      </c>
      <c r="CW189" s="217">
        <f t="shared" si="549"/>
        <v>15</v>
      </c>
      <c r="CX189" s="217">
        <f t="shared" si="550"/>
        <v>28.234805194805194</v>
      </c>
      <c r="CY189" s="217">
        <f t="shared" si="551"/>
        <v>17.832508544087492</v>
      </c>
      <c r="CZ189" s="217">
        <f t="shared" si="552"/>
        <v>21.58074282405493</v>
      </c>
      <c r="DA189" s="197">
        <f t="shared" si="553"/>
        <v>71.63784822286263</v>
      </c>
      <c r="DB189" s="443">
        <f t="shared" si="554"/>
        <v>25.372177257324577</v>
      </c>
      <c r="DD189" s="217">
        <f t="shared" si="555"/>
        <v>10.000000000000002</v>
      </c>
      <c r="DE189" s="173">
        <f t="shared" si="556"/>
        <v>7.6433121019108299</v>
      </c>
      <c r="DF189" s="173">
        <f t="shared" si="557"/>
        <v>2.7017291066282429</v>
      </c>
      <c r="DG189" s="173"/>
      <c r="DH189" s="173">
        <f t="shared" si="558"/>
        <v>7.6433121019108281</v>
      </c>
      <c r="DI189" s="545">
        <f t="shared" si="559"/>
        <v>206.7166666666667</v>
      </c>
      <c r="DJ189" s="528">
        <f t="shared" si="560"/>
        <v>2.7377521613832849</v>
      </c>
      <c r="DL189" s="173">
        <f t="shared" si="561"/>
        <v>7.5618088035173425</v>
      </c>
      <c r="DM189" s="173">
        <f t="shared" si="562"/>
        <v>28.234805194805194</v>
      </c>
      <c r="DN189" s="173">
        <f t="shared" si="563"/>
        <v>14.707263107263106</v>
      </c>
      <c r="DP189" s="545">
        <f t="shared" si="564"/>
        <v>7900</v>
      </c>
      <c r="DQ189" s="460">
        <f t="shared" si="565"/>
        <v>25.372177257324577</v>
      </c>
      <c r="DS189">
        <f t="shared" si="566"/>
        <v>7900</v>
      </c>
      <c r="DT189">
        <f t="shared" si="567"/>
        <v>25.372177257324577</v>
      </c>
      <c r="DV189" s="5">
        <f t="shared" si="568"/>
        <v>39.413251368142426</v>
      </c>
      <c r="DW189" s="5">
        <f t="shared" si="569"/>
        <v>17.832508544087492</v>
      </c>
      <c r="DX189" s="5">
        <f t="shared" si="570"/>
        <v>21.580742824054933</v>
      </c>
      <c r="DY189" s="173">
        <f t="shared" si="571"/>
        <v>0.45244956772334288</v>
      </c>
      <c r="EA189" s="5">
        <f t="shared" si="572"/>
        <v>939.1787833219413</v>
      </c>
      <c r="EB189" s="5">
        <f t="shared" si="573"/>
        <v>44.024005468215996</v>
      </c>
      <c r="EC189" s="5">
        <f t="shared" si="574"/>
        <v>37.387690418867102</v>
      </c>
      <c r="ED189" s="5"/>
      <c r="EE189" s="173">
        <f t="shared" si="575"/>
        <v>10.965015681883362</v>
      </c>
      <c r="EF189" s="173">
        <f t="shared" si="576"/>
        <v>12.062469587896091</v>
      </c>
      <c r="EG189" s="173">
        <f t="shared" si="577"/>
        <v>0.29706787847838223</v>
      </c>
      <c r="EH189" s="173"/>
      <c r="EI189" s="528">
        <f t="shared" si="578"/>
        <v>2.4046313780789608</v>
      </c>
      <c r="EJ189" s="528">
        <f t="shared" si="579"/>
        <v>0.49716666666666659</v>
      </c>
      <c r="EK189" s="528">
        <f t="shared" si="580"/>
        <v>3.1715221571655718E-3</v>
      </c>
      <c r="EL189" s="528">
        <f t="shared" si="581"/>
        <v>3.0550384913771954E-3</v>
      </c>
      <c r="EM189">
        <f t="shared" si="582"/>
        <v>8.5500000000000003E-3</v>
      </c>
      <c r="EN189" s="460">
        <f t="shared" si="583"/>
        <v>11.721522157165571</v>
      </c>
      <c r="EP189" s="460">
        <f t="shared" si="603"/>
        <v>2916.5746053941702</v>
      </c>
      <c r="EQ189" s="173">
        <f t="shared" si="584"/>
        <v>5.53</v>
      </c>
      <c r="ER189" s="173">
        <f t="shared" si="585"/>
        <v>8.7640625E-2</v>
      </c>
      <c r="ES189" s="528"/>
      <c r="EU189" s="460">
        <f t="shared" si="497"/>
        <v>5617.640625</v>
      </c>
      <c r="EV189" s="528">
        <f t="shared" si="586"/>
        <v>3.6069470671184414</v>
      </c>
      <c r="EW189" s="528">
        <f t="shared" si="587"/>
        <v>4.365095176767543</v>
      </c>
      <c r="EX189" s="528">
        <f t="shared" si="588"/>
        <v>4.4124662211823438E-4</v>
      </c>
      <c r="EY189" s="528">
        <f t="shared" si="589"/>
        <v>0.68679375210278804</v>
      </c>
      <c r="EZ189" s="528"/>
      <c r="FA189" s="625">
        <f t="shared" si="590"/>
        <v>2.0226806891475477E-2</v>
      </c>
      <c r="FB189" s="460">
        <f t="shared" si="498"/>
        <v>8679.5040495023659</v>
      </c>
      <c r="FC189" s="173">
        <f t="shared" si="591"/>
        <v>17.213719279896534</v>
      </c>
      <c r="FD189" s="5">
        <f t="shared" si="592"/>
        <v>120.08</v>
      </c>
      <c r="FE189" s="173">
        <f t="shared" si="593"/>
        <v>0.87462121814324634</v>
      </c>
      <c r="FF189" s="5">
        <f t="shared" si="594"/>
        <v>87.462121814324632</v>
      </c>
      <c r="FG189">
        <f t="shared" si="595"/>
        <v>79</v>
      </c>
      <c r="FI189" s="562">
        <f t="shared" si="596"/>
        <v>-50</v>
      </c>
      <c r="FJ189">
        <f t="shared" si="597"/>
        <v>-50</v>
      </c>
    </row>
    <row r="190" spans="5:166">
      <c r="E190" s="170">
        <v>80</v>
      </c>
      <c r="F190" s="217">
        <f t="shared" si="598"/>
        <v>8</v>
      </c>
      <c r="G190" s="217">
        <f t="shared" si="499"/>
        <v>0.2</v>
      </c>
      <c r="H190" s="217">
        <f t="shared" si="500"/>
        <v>120</v>
      </c>
      <c r="I190" s="217">
        <f t="shared" si="501"/>
        <v>1.6</v>
      </c>
      <c r="J190" s="541">
        <f t="shared" si="502"/>
        <v>18.185403611389837</v>
      </c>
      <c r="K190" s="443">
        <f t="shared" si="503"/>
        <v>16.138315789473683</v>
      </c>
      <c r="L190" s="172">
        <f t="shared" si="504"/>
        <v>34.323719400863524</v>
      </c>
      <c r="M190" s="443"/>
      <c r="N190" s="217">
        <f t="shared" si="505"/>
        <v>0.47017969122156594</v>
      </c>
      <c r="O190" s="172">
        <f t="shared" si="506"/>
        <v>210.9475523374052</v>
      </c>
      <c r="P190" s="172">
        <f t="shared" si="507"/>
        <v>2.8501358182476082</v>
      </c>
      <c r="Q190" s="217">
        <f t="shared" si="508"/>
        <v>14.063170155827013</v>
      </c>
      <c r="R190" s="217">
        <f t="shared" si="509"/>
        <v>26.36844404217565</v>
      </c>
      <c r="S190" s="217">
        <f t="shared" si="510"/>
        <v>15</v>
      </c>
      <c r="T190" s="217">
        <f t="shared" si="511"/>
        <v>28.443088974093207</v>
      </c>
      <c r="U190" s="217">
        <f t="shared" si="512"/>
        <v>18.768737553635908</v>
      </c>
      <c r="V190" s="217">
        <f t="shared" si="513"/>
        <v>21.149484998412579</v>
      </c>
      <c r="W190" s="197">
        <f t="shared" si="514"/>
        <v>71.253395456190205</v>
      </c>
      <c r="X190" s="443">
        <f t="shared" si="599"/>
        <v>24.926328645358655</v>
      </c>
      <c r="Z190" s="217">
        <f t="shared" si="515"/>
        <v>9.9999999999999982</v>
      </c>
      <c r="AA190" s="173">
        <f t="shared" si="516"/>
        <v>7.4357201560196708</v>
      </c>
      <c r="AB190" s="173">
        <f t="shared" si="517"/>
        <v>2.6142449446304301</v>
      </c>
      <c r="AC190" s="173"/>
      <c r="AD190" s="173">
        <f t="shared" si="518"/>
        <v>7.4357201560196726</v>
      </c>
      <c r="AE190" s="545">
        <f t="shared" si="519"/>
        <v>215.17754385964912</v>
      </c>
      <c r="AF190" s="528">
        <f t="shared" si="520"/>
        <v>2.6491015438921699</v>
      </c>
      <c r="AH190" s="173">
        <f t="shared" si="521"/>
        <v>7.6095178496907341</v>
      </c>
      <c r="AI190" s="173">
        <f t="shared" si="522"/>
        <v>28.443088974093207</v>
      </c>
      <c r="AJ190" s="173">
        <f t="shared" si="523"/>
        <v>14.86154738821719</v>
      </c>
      <c r="AL190" s="545">
        <f t="shared" si="524"/>
        <v>8000</v>
      </c>
      <c r="AM190" s="460">
        <f t="shared" si="525"/>
        <v>24.926328645358655</v>
      </c>
      <c r="AO190">
        <f t="shared" si="526"/>
        <v>8000</v>
      </c>
      <c r="AP190">
        <f t="shared" si="527"/>
        <v>24.926328645358655</v>
      </c>
      <c r="AR190" s="5">
        <f t="shared" si="443"/>
        <v>40.118222552048493</v>
      </c>
      <c r="AS190" s="5">
        <f t="shared" si="604"/>
        <v>18.768737553635908</v>
      </c>
      <c r="AT190" s="5">
        <f t="shared" si="605"/>
        <v>21.349484998412585</v>
      </c>
      <c r="AU190" s="173">
        <f t="shared" si="606"/>
        <v>0.4678357205204135</v>
      </c>
      <c r="AW190" s="5">
        <f t="shared" si="477"/>
        <v>1000.9993361939152</v>
      </c>
      <c r="AX190" s="5">
        <f t="shared" si="478"/>
        <v>46.921843884089782</v>
      </c>
      <c r="AY190" s="5">
        <f t="shared" si="479"/>
        <v>39.13300552215226</v>
      </c>
      <c r="AZ190" s="5"/>
      <c r="BA190" s="173">
        <f t="shared" si="480"/>
        <v>11.23214811205138</v>
      </c>
      <c r="BB190" s="173">
        <f t="shared" si="481"/>
        <v>11.979508292009934</v>
      </c>
      <c r="BC190" s="173">
        <f t="shared" si="482"/>
        <v>0.29502475323067601</v>
      </c>
      <c r="BD190" s="173"/>
      <c r="BE190" s="528">
        <f t="shared" si="483"/>
        <v>2.5232230242211879</v>
      </c>
      <c r="BF190" s="528">
        <f t="shared" si="528"/>
        <v>0.45627922116968295</v>
      </c>
      <c r="BG190" s="528">
        <f t="shared" si="529"/>
        <v>1.1332383674149881E-2</v>
      </c>
      <c r="BH190" s="528">
        <f t="shared" si="484"/>
        <v>2.9366149309849191E-3</v>
      </c>
      <c r="BI190">
        <f t="shared" si="485"/>
        <v>8.1834316251254268E-3</v>
      </c>
      <c r="BJ190" s="460">
        <f t="shared" si="600"/>
        <v>19.515815299275307</v>
      </c>
      <c r="BK190">
        <f t="shared" si="530"/>
        <v>9.1482442676752953</v>
      </c>
      <c r="BL190" s="460">
        <f t="shared" si="601"/>
        <v>3001.9546756211307</v>
      </c>
      <c r="BM190" s="173">
        <f t="shared" si="531"/>
        <v>4.97</v>
      </c>
      <c r="BN190" s="173">
        <f t="shared" si="532"/>
        <v>0.12424999999999999</v>
      </c>
      <c r="BO190" s="528"/>
      <c r="BQ190" s="460">
        <f t="shared" si="486"/>
        <v>5094.25</v>
      </c>
      <c r="BR190" s="528">
        <f t="shared" si="487"/>
        <v>3.7848345363317817</v>
      </c>
      <c r="BS190" s="528">
        <f t="shared" si="488"/>
        <v>4.3052585675500419</v>
      </c>
      <c r="BT190" s="528">
        <f t="shared" si="489"/>
        <v>4.3519802509410635E-4</v>
      </c>
      <c r="BU190" s="528">
        <f t="shared" si="490"/>
        <v>0.66920271738008197</v>
      </c>
      <c r="BV190" s="528"/>
      <c r="BW190" s="625">
        <f t="shared" si="533"/>
        <v>2.0165631947890807E-2</v>
      </c>
      <c r="BX190" s="460">
        <f t="shared" si="491"/>
        <v>8779.8966512348907</v>
      </c>
      <c r="BY190" s="173">
        <f t="shared" si="492"/>
        <v>16.87610132685602</v>
      </c>
      <c r="BZ190" s="5">
        <f t="shared" si="493"/>
        <v>121.6</v>
      </c>
      <c r="CA190" s="173">
        <f t="shared" si="494"/>
        <v>0.87812986381655822</v>
      </c>
      <c r="CB190" s="5">
        <f t="shared" si="495"/>
        <v>87.812986381655818</v>
      </c>
      <c r="CC190">
        <f t="shared" si="496"/>
        <v>80</v>
      </c>
      <c r="CE190" s="562">
        <f t="shared" si="534"/>
        <v>-50</v>
      </c>
      <c r="CF190">
        <f t="shared" si="535"/>
        <v>-50</v>
      </c>
      <c r="CG190" s="173">
        <f t="shared" si="536"/>
        <v>0.54755043227665701</v>
      </c>
      <c r="CH190" s="173">
        <f t="shared" si="537"/>
        <v>6.4398811101315859E-2</v>
      </c>
      <c r="CI190" s="170">
        <v>80</v>
      </c>
      <c r="CJ190" s="217">
        <f t="shared" si="602"/>
        <v>8</v>
      </c>
      <c r="CK190" s="217">
        <f t="shared" si="538"/>
        <v>0.2</v>
      </c>
      <c r="CL190" s="217">
        <f t="shared" si="539"/>
        <v>120</v>
      </c>
      <c r="CM190" s="217">
        <f t="shared" si="540"/>
        <v>1.6</v>
      </c>
      <c r="CN190" s="541">
        <f t="shared" si="541"/>
        <v>19</v>
      </c>
      <c r="CO190" s="443">
        <f t="shared" si="542"/>
        <v>15.7</v>
      </c>
      <c r="CP190" s="443">
        <f t="shared" si="543"/>
        <v>34.700000000000003</v>
      </c>
      <c r="CQ190" s="443"/>
      <c r="CR190" s="217">
        <f t="shared" si="544"/>
        <v>0.44767441860465118</v>
      </c>
      <c r="CS190" s="172">
        <f t="shared" si="545"/>
        <v>209.84738372093025</v>
      </c>
      <c r="CT190" s="172">
        <f t="shared" si="546"/>
        <v>2.835271317829458</v>
      </c>
      <c r="CU190" s="217">
        <f t="shared" si="547"/>
        <v>13.989825581395349</v>
      </c>
      <c r="CV190" s="217">
        <f t="shared" si="548"/>
        <v>26.230922965116282</v>
      </c>
      <c r="CW190" s="217">
        <f t="shared" si="549"/>
        <v>15</v>
      </c>
      <c r="CX190" s="217">
        <f t="shared" si="550"/>
        <v>28.592207792207791</v>
      </c>
      <c r="CY190" s="217">
        <f t="shared" si="551"/>
        <v>18.058236500341764</v>
      </c>
      <c r="CZ190" s="217">
        <f t="shared" si="552"/>
        <v>21.853916783853091</v>
      </c>
      <c r="DA190" s="197">
        <f t="shared" si="553"/>
        <v>71.63784822286263</v>
      </c>
      <c r="DB190" s="443">
        <f t="shared" si="554"/>
        <v>25.055025041608022</v>
      </c>
      <c r="DD190" s="217">
        <f t="shared" si="555"/>
        <v>10.000000000000002</v>
      </c>
      <c r="DE190" s="173">
        <f t="shared" si="556"/>
        <v>7.6433121019108299</v>
      </c>
      <c r="DF190" s="173">
        <f t="shared" si="557"/>
        <v>2.7017291066282429</v>
      </c>
      <c r="DG190" s="173"/>
      <c r="DH190" s="173">
        <f t="shared" si="558"/>
        <v>7.6433121019108281</v>
      </c>
      <c r="DI190" s="545">
        <f t="shared" si="559"/>
        <v>209.33333333333334</v>
      </c>
      <c r="DJ190" s="528">
        <f t="shared" si="560"/>
        <v>2.7377521613832849</v>
      </c>
      <c r="DL190" s="173">
        <f t="shared" si="561"/>
        <v>7.6095178496907341</v>
      </c>
      <c r="DM190" s="173">
        <f t="shared" si="562"/>
        <v>28.592207792207791</v>
      </c>
      <c r="DN190" s="173">
        <f t="shared" si="563"/>
        <v>14.972005772005769</v>
      </c>
      <c r="DP190" s="545">
        <f t="shared" si="564"/>
        <v>8000</v>
      </c>
      <c r="DQ190" s="460">
        <f t="shared" si="565"/>
        <v>25.055025041608022</v>
      </c>
      <c r="DS190">
        <f t="shared" si="566"/>
        <v>8000</v>
      </c>
      <c r="DT190">
        <f t="shared" si="567"/>
        <v>25.055025041608022</v>
      </c>
      <c r="DV190" s="5">
        <f t="shared" si="568"/>
        <v>39.912153284194851</v>
      </c>
      <c r="DW190" s="5">
        <f t="shared" si="569"/>
        <v>18.058236500341764</v>
      </c>
      <c r="DX190" s="5">
        <f t="shared" si="570"/>
        <v>21.853916783853087</v>
      </c>
      <c r="DY190" s="173">
        <f t="shared" si="571"/>
        <v>0.45244956772334299</v>
      </c>
      <c r="EA190" s="5">
        <f t="shared" si="572"/>
        <v>963.10594668489398</v>
      </c>
      <c r="EB190" s="5">
        <f t="shared" si="573"/>
        <v>45.145591250854416</v>
      </c>
      <c r="EC190" s="5">
        <f t="shared" si="574"/>
        <v>38.340204883952779</v>
      </c>
      <c r="ED190" s="5"/>
      <c r="EE190" s="173">
        <f t="shared" si="575"/>
        <v>11.103813348742646</v>
      </c>
      <c r="EF190" s="173">
        <f t="shared" si="576"/>
        <v>12.215159076350469</v>
      </c>
      <c r="EG190" s="173">
        <f t="shared" si="577"/>
        <v>0.30082823137051357</v>
      </c>
      <c r="EH190" s="173"/>
      <c r="EI190" s="528">
        <f t="shared" si="578"/>
        <v>2.4658934176743075</v>
      </c>
      <c r="EJ190" s="528">
        <f t="shared" si="579"/>
        <v>0.49716666666666665</v>
      </c>
      <c r="EK190" s="528">
        <f t="shared" si="580"/>
        <v>3.1318781302010026E-3</v>
      </c>
      <c r="EL190" s="528">
        <f t="shared" si="581"/>
        <v>3.0168505102349812E-3</v>
      </c>
      <c r="EM190">
        <f t="shared" si="582"/>
        <v>8.5500000000000003E-3</v>
      </c>
      <c r="EN190" s="460">
        <f t="shared" si="583"/>
        <v>11.681878130201003</v>
      </c>
      <c r="EP190" s="460">
        <f t="shared" si="603"/>
        <v>2977.7588129814103</v>
      </c>
      <c r="EQ190" s="173">
        <f t="shared" si="584"/>
        <v>5.6</v>
      </c>
      <c r="ER190" s="173">
        <f t="shared" si="585"/>
        <v>8.8749999999999996E-2</v>
      </c>
      <c r="ES190" s="528"/>
      <c r="EU190" s="460">
        <f t="shared" si="497"/>
        <v>5688.75</v>
      </c>
      <c r="EV190" s="528">
        <f t="shared" si="586"/>
        <v>3.698840126511461</v>
      </c>
      <c r="EW190" s="528">
        <f t="shared" si="587"/>
        <v>4.4763033378164172</v>
      </c>
      <c r="EX190" s="528">
        <f t="shared" si="588"/>
        <v>4.5248812394755623E-4</v>
      </c>
      <c r="EY190" s="528">
        <f t="shared" si="589"/>
        <v>0.68679375210278915</v>
      </c>
      <c r="EZ190" s="528"/>
      <c r="FA190" s="625">
        <f t="shared" si="590"/>
        <v>2.0482842421747319E-2</v>
      </c>
      <c r="FB190" s="460">
        <f t="shared" si="498"/>
        <v>8882.8725469763613</v>
      </c>
      <c r="FC190" s="173">
        <f t="shared" si="591"/>
        <v>17.549381359957771</v>
      </c>
      <c r="FD190" s="5">
        <f t="shared" si="592"/>
        <v>121.6</v>
      </c>
      <c r="FE190" s="173">
        <f t="shared" si="593"/>
        <v>0.87388099617518056</v>
      </c>
      <c r="FF190" s="5">
        <f t="shared" si="594"/>
        <v>87.388099617518051</v>
      </c>
      <c r="FG190">
        <f t="shared" si="595"/>
        <v>80</v>
      </c>
      <c r="FI190" s="562">
        <f t="shared" si="596"/>
        <v>-50</v>
      </c>
      <c r="FJ190">
        <f t="shared" si="597"/>
        <v>-50</v>
      </c>
    </row>
    <row r="191" spans="5:166">
      <c r="E191" s="170">
        <v>81</v>
      </c>
      <c r="F191" s="217">
        <f t="shared" si="598"/>
        <v>8.1000000000000014</v>
      </c>
      <c r="G191" s="217">
        <f t="shared" si="499"/>
        <v>0.20250000000000001</v>
      </c>
      <c r="H191" s="217">
        <f t="shared" si="500"/>
        <v>121.50000000000003</v>
      </c>
      <c r="I191" s="217">
        <f t="shared" si="501"/>
        <v>1.62</v>
      </c>
      <c r="J191" s="541">
        <f t="shared" si="502"/>
        <v>18.17522115653221</v>
      </c>
      <c r="K191" s="443">
        <f t="shared" si="503"/>
        <v>16.143794736842104</v>
      </c>
      <c r="L191" s="172">
        <f t="shared" si="504"/>
        <v>34.319015893374313</v>
      </c>
      <c r="M191" s="443"/>
      <c r="N191" s="217">
        <f t="shared" si="505"/>
        <v>0.47040377809781114</v>
      </c>
      <c r="O191" s="172">
        <f t="shared" si="506"/>
        <v>210.92991858049393</v>
      </c>
      <c r="P191" s="172">
        <f t="shared" si="507"/>
        <v>2.8498975665986737</v>
      </c>
      <c r="Q191" s="217">
        <f t="shared" si="508"/>
        <v>14.061994572032928</v>
      </c>
      <c r="R191" s="217">
        <f t="shared" si="509"/>
        <v>26.366239822561742</v>
      </c>
      <c r="S191" s="217">
        <f t="shared" si="510"/>
        <v>15</v>
      </c>
      <c r="T191" s="217">
        <f t="shared" si="511"/>
        <v>28.801035153681593</v>
      </c>
      <c r="U191" s="217">
        <f t="shared" si="512"/>
        <v>19.015582746841314</v>
      </c>
      <c r="V191" s="217">
        <f t="shared" si="513"/>
        <v>21.408375631501901</v>
      </c>
      <c r="W191" s="197">
        <f t="shared" si="514"/>
        <v>71.247439164966835</v>
      </c>
      <c r="X191" s="443">
        <f t="shared" si="599"/>
        <v>24.616015768003141</v>
      </c>
      <c r="Z191" s="217">
        <f t="shared" si="515"/>
        <v>9.9999999999999982</v>
      </c>
      <c r="AA191" s="173">
        <f t="shared" si="516"/>
        <v>7.433196590770903</v>
      </c>
      <c r="AB191" s="173">
        <f t="shared" si="517"/>
        <v>2.6131392528068522</v>
      </c>
      <c r="AC191" s="173"/>
      <c r="AD191" s="173">
        <f t="shared" si="518"/>
        <v>7.4331965907709048</v>
      </c>
      <c r="AE191" s="545">
        <f t="shared" si="519"/>
        <v>217.94122894736844</v>
      </c>
      <c r="AF191" s="528">
        <f t="shared" si="520"/>
        <v>2.6479811095109445</v>
      </c>
      <c r="AH191" s="173">
        <f t="shared" si="521"/>
        <v>7.6569296345579305</v>
      </c>
      <c r="AI191" s="173">
        <f t="shared" si="522"/>
        <v>28.801035153681593</v>
      </c>
      <c r="AJ191" s="173">
        <f t="shared" si="523"/>
        <v>15.126692706430807</v>
      </c>
      <c r="AL191" s="545">
        <f t="shared" si="524"/>
        <v>8100.0000000000018</v>
      </c>
      <c r="AM191" s="460">
        <f t="shared" si="525"/>
        <v>24.616015768003141</v>
      </c>
      <c r="AO191">
        <f t="shared" si="526"/>
        <v>8100.0000000000018</v>
      </c>
      <c r="AP191">
        <f t="shared" si="527"/>
        <v>24.616015768003141</v>
      </c>
      <c r="AR191" s="5">
        <f t="shared" si="443"/>
        <v>40.623958378343218</v>
      </c>
      <c r="AS191" s="5">
        <f t="shared" si="604"/>
        <v>19.015582746841314</v>
      </c>
      <c r="AT191" s="5">
        <f t="shared" si="605"/>
        <v>21.608375631501904</v>
      </c>
      <c r="AU191" s="173">
        <f t="shared" si="606"/>
        <v>0.4680878847340143</v>
      </c>
      <c r="AW191" s="5">
        <f t="shared" si="477"/>
        <v>1026.8414683294311</v>
      </c>
      <c r="AX191" s="5">
        <f t="shared" si="478"/>
        <v>48.13319382794208</v>
      </c>
      <c r="AY191" s="5">
        <f t="shared" si="479"/>
        <v>40.125106114655658</v>
      </c>
      <c r="AZ191" s="5"/>
      <c r="BA191" s="173">
        <f t="shared" si="480"/>
        <v>11.37656546423737</v>
      </c>
      <c r="BB191" s="173">
        <f t="shared" si="481"/>
        <v>12.127391869061919</v>
      </c>
      <c r="BC191" s="173">
        <f t="shared" si="482"/>
        <v>0.29866674877532884</v>
      </c>
      <c r="BD191" s="173"/>
      <c r="BE191" s="528">
        <f t="shared" si="483"/>
        <v>2.5885248352415688</v>
      </c>
      <c r="BF191" s="528">
        <f t="shared" si="528"/>
        <v>0.45620701242633099</v>
      </c>
      <c r="BG191" s="528">
        <f t="shared" si="529"/>
        <v>1.1185038264403528E-2</v>
      </c>
      <c r="BH191" s="528">
        <f t="shared" si="484"/>
        <v>2.8992616645589254E-3</v>
      </c>
      <c r="BI191">
        <f t="shared" si="485"/>
        <v>8.1788495204394938E-3</v>
      </c>
      <c r="BJ191" s="460">
        <f t="shared" si="600"/>
        <v>19.363887784843019</v>
      </c>
      <c r="BK191">
        <f t="shared" si="530"/>
        <v>9.7321009052814347</v>
      </c>
      <c r="BL191" s="460">
        <f t="shared" si="601"/>
        <v>3066.9949971173019</v>
      </c>
      <c r="BM191" s="173">
        <f t="shared" si="531"/>
        <v>5.0321250000000006</v>
      </c>
      <c r="BN191" s="173">
        <f t="shared" si="532"/>
        <v>0.12580312499999999</v>
      </c>
      <c r="BO191" s="528"/>
      <c r="BQ191" s="460">
        <f t="shared" si="486"/>
        <v>5157.9281250000004</v>
      </c>
      <c r="BR191" s="528">
        <f t="shared" si="487"/>
        <v>3.8827872528623528</v>
      </c>
      <c r="BS191" s="528">
        <f t="shared" si="488"/>
        <v>4.4122090063736739</v>
      </c>
      <c r="BT191" s="528">
        <f t="shared" si="489"/>
        <v>4.4600913412012693E-4</v>
      </c>
      <c r="BU191" s="528">
        <f t="shared" si="490"/>
        <v>0.66916720875079605</v>
      </c>
      <c r="BV191" s="528"/>
      <c r="BW191" s="625">
        <f t="shared" si="533"/>
        <v>2.0418975871288117E-2</v>
      </c>
      <c r="BX191" s="460">
        <f t="shared" si="491"/>
        <v>8985.0284529922301</v>
      </c>
      <c r="BY191" s="173">
        <f t="shared" si="492"/>
        <v>17.209951575109528</v>
      </c>
      <c r="BZ191" s="5">
        <f t="shared" si="493"/>
        <v>123.12000000000003</v>
      </c>
      <c r="CA191" s="173">
        <f t="shared" si="494"/>
        <v>0.87736081013397804</v>
      </c>
      <c r="CB191" s="5">
        <f t="shared" si="495"/>
        <v>87.736081013397808</v>
      </c>
      <c r="CC191">
        <f t="shared" si="496"/>
        <v>81.000000000000014</v>
      </c>
      <c r="CE191" s="562">
        <f t="shared" si="534"/>
        <v>-50</v>
      </c>
      <c r="CF191">
        <f t="shared" si="535"/>
        <v>-50</v>
      </c>
      <c r="CG191" s="173">
        <f t="shared" si="536"/>
        <v>0.54755043227665712</v>
      </c>
      <c r="CH191" s="173">
        <f t="shared" si="537"/>
        <v>6.4398811101315845E-2</v>
      </c>
      <c r="CI191" s="170">
        <v>81</v>
      </c>
      <c r="CJ191" s="217">
        <f t="shared" si="602"/>
        <v>8.1000000000000014</v>
      </c>
      <c r="CK191" s="217">
        <f t="shared" si="538"/>
        <v>0.20250000000000001</v>
      </c>
      <c r="CL191" s="217">
        <f t="shared" si="539"/>
        <v>121.50000000000003</v>
      </c>
      <c r="CM191" s="217">
        <f t="shared" si="540"/>
        <v>1.62</v>
      </c>
      <c r="CN191" s="541">
        <f t="shared" si="541"/>
        <v>19</v>
      </c>
      <c r="CO191" s="443">
        <f t="shared" si="542"/>
        <v>15.7</v>
      </c>
      <c r="CP191" s="443">
        <f t="shared" si="543"/>
        <v>34.700000000000003</v>
      </c>
      <c r="CQ191" s="443"/>
      <c r="CR191" s="217">
        <f t="shared" si="544"/>
        <v>0.44767441860465118</v>
      </c>
      <c r="CS191" s="172">
        <f t="shared" si="545"/>
        <v>209.84738372093025</v>
      </c>
      <c r="CT191" s="172">
        <f t="shared" si="546"/>
        <v>2.835271317829458</v>
      </c>
      <c r="CU191" s="217">
        <f t="shared" si="547"/>
        <v>13.989825581395349</v>
      </c>
      <c r="CV191" s="217">
        <f t="shared" si="548"/>
        <v>26.230922965116282</v>
      </c>
      <c r="CW191" s="217">
        <f t="shared" si="549"/>
        <v>15</v>
      </c>
      <c r="CX191" s="217">
        <f t="shared" si="550"/>
        <v>28.949610389610395</v>
      </c>
      <c r="CY191" s="217">
        <f t="shared" si="551"/>
        <v>18.283964456596038</v>
      </c>
      <c r="CZ191" s="217">
        <f t="shared" si="552"/>
        <v>22.127090743651259</v>
      </c>
      <c r="DA191" s="197">
        <f t="shared" si="553"/>
        <v>71.63784822286263</v>
      </c>
      <c r="DB191" s="443">
        <f t="shared" si="554"/>
        <v>24.745703744798043</v>
      </c>
      <c r="DD191" s="217">
        <f t="shared" si="555"/>
        <v>10.000000000000002</v>
      </c>
      <c r="DE191" s="173">
        <f t="shared" si="556"/>
        <v>7.6433121019108299</v>
      </c>
      <c r="DF191" s="173">
        <f t="shared" si="557"/>
        <v>2.7017291066282429</v>
      </c>
      <c r="DG191" s="173"/>
      <c r="DH191" s="173">
        <f t="shared" si="558"/>
        <v>7.6433121019108281</v>
      </c>
      <c r="DI191" s="545">
        <f t="shared" si="559"/>
        <v>211.95000000000005</v>
      </c>
      <c r="DJ191" s="528">
        <f t="shared" si="560"/>
        <v>2.7377521613832849</v>
      </c>
      <c r="DL191" s="173">
        <f t="shared" si="561"/>
        <v>7.6569296345579305</v>
      </c>
      <c r="DM191" s="173">
        <f t="shared" si="562"/>
        <v>28.949610389610395</v>
      </c>
      <c r="DN191" s="173">
        <f t="shared" si="563"/>
        <v>15.236748436748439</v>
      </c>
      <c r="DP191" s="545">
        <f t="shared" si="564"/>
        <v>8100.0000000000018</v>
      </c>
      <c r="DQ191" s="460">
        <f t="shared" si="565"/>
        <v>24.745703744798043</v>
      </c>
      <c r="DS191">
        <f t="shared" si="566"/>
        <v>8100.0000000000018</v>
      </c>
      <c r="DT191">
        <f t="shared" si="567"/>
        <v>24.745703744798043</v>
      </c>
      <c r="DV191" s="5">
        <f t="shared" si="568"/>
        <v>40.411055200247297</v>
      </c>
      <c r="DW191" s="5">
        <f t="shared" si="569"/>
        <v>18.283964456596038</v>
      </c>
      <c r="DX191" s="5">
        <f t="shared" si="570"/>
        <v>22.127090743651259</v>
      </c>
      <c r="DY191" s="173">
        <f t="shared" si="571"/>
        <v>0.45244956772334294</v>
      </c>
      <c r="EA191" s="5">
        <f t="shared" si="572"/>
        <v>987.33408065618619</v>
      </c>
      <c r="EB191" s="5">
        <f t="shared" si="573"/>
        <v>46.281285030758717</v>
      </c>
      <c r="EC191" s="5">
        <f t="shared" si="574"/>
        <v>39.30470066306475</v>
      </c>
      <c r="ED191" s="5"/>
      <c r="EE191" s="173">
        <f t="shared" si="575"/>
        <v>11.242611015601931</v>
      </c>
      <c r="EF191" s="173">
        <f t="shared" si="576"/>
        <v>12.367848564804856</v>
      </c>
      <c r="EG191" s="173">
        <f t="shared" si="577"/>
        <v>0.30458858426264512</v>
      </c>
      <c r="EH191" s="173"/>
      <c r="EI191" s="528">
        <f t="shared" si="578"/>
        <v>2.5279260489626774</v>
      </c>
      <c r="EJ191" s="528">
        <f t="shared" si="579"/>
        <v>0.4971666666666667</v>
      </c>
      <c r="EK191" s="528">
        <f t="shared" si="580"/>
        <v>3.093212968099755E-3</v>
      </c>
      <c r="EL191" s="528">
        <f t="shared" si="581"/>
        <v>2.9796054422073881E-3</v>
      </c>
      <c r="EM191">
        <f t="shared" si="582"/>
        <v>8.5500000000000003E-3</v>
      </c>
      <c r="EN191" s="460">
        <f t="shared" si="583"/>
        <v>11.643212968099755</v>
      </c>
      <c r="EP191" s="460">
        <f t="shared" si="603"/>
        <v>3039.7155340396512</v>
      </c>
      <c r="EQ191" s="173">
        <f t="shared" si="584"/>
        <v>5.6700000000000008</v>
      </c>
      <c r="ER191" s="173">
        <f t="shared" si="585"/>
        <v>8.9859375000000005E-2</v>
      </c>
      <c r="ES191" s="528"/>
      <c r="EU191" s="460">
        <f t="shared" si="497"/>
        <v>5759.859375</v>
      </c>
      <c r="EV191" s="528">
        <f t="shared" si="586"/>
        <v>3.791889073444016</v>
      </c>
      <c r="EW191" s="528">
        <f t="shared" si="587"/>
        <v>4.5889103436583651</v>
      </c>
      <c r="EX191" s="528">
        <f t="shared" si="588"/>
        <v>4.6387102831561236E-4</v>
      </c>
      <c r="EY191" s="528">
        <f t="shared" si="589"/>
        <v>0.68679375210278804</v>
      </c>
      <c r="EZ191" s="528"/>
      <c r="FA191" s="625">
        <f t="shared" si="590"/>
        <v>2.0738877952019168E-2</v>
      </c>
      <c r="FB191" s="460">
        <f t="shared" si="498"/>
        <v>9088.795918185504</v>
      </c>
      <c r="FC191" s="173">
        <f t="shared" si="591"/>
        <v>17.888370827225156</v>
      </c>
      <c r="FD191" s="5">
        <f t="shared" si="592"/>
        <v>123.12000000000003</v>
      </c>
      <c r="FE191" s="173">
        <f t="shared" si="593"/>
        <v>0.87313965318311904</v>
      </c>
      <c r="FF191" s="5">
        <f t="shared" si="594"/>
        <v>87.313965318311901</v>
      </c>
      <c r="FG191">
        <f t="shared" si="595"/>
        <v>81.000000000000014</v>
      </c>
      <c r="FI191" s="562">
        <f t="shared" si="596"/>
        <v>-50</v>
      </c>
      <c r="FJ191">
        <f t="shared" si="597"/>
        <v>-50</v>
      </c>
    </row>
    <row r="192" spans="5:166">
      <c r="E192" s="170">
        <v>82</v>
      </c>
      <c r="F192" s="217">
        <f t="shared" si="598"/>
        <v>8.1999999999999993</v>
      </c>
      <c r="G192" s="217">
        <f t="shared" si="499"/>
        <v>0.20499999999999999</v>
      </c>
      <c r="H192" s="217">
        <f t="shared" si="500"/>
        <v>122.99999999999999</v>
      </c>
      <c r="I192" s="217">
        <f t="shared" si="501"/>
        <v>1.64</v>
      </c>
      <c r="J192" s="541">
        <f t="shared" si="502"/>
        <v>18.165038701674582</v>
      </c>
      <c r="K192" s="443">
        <f t="shared" si="503"/>
        <v>16.149273684210524</v>
      </c>
      <c r="L192" s="172">
        <f t="shared" si="504"/>
        <v>34.314312385885103</v>
      </c>
      <c r="M192" s="443"/>
      <c r="N192" s="217">
        <f t="shared" si="505"/>
        <v>0.47062792640581624</v>
      </c>
      <c r="O192" s="172">
        <f t="shared" si="506"/>
        <v>210.91219976769347</v>
      </c>
      <c r="P192" s="172">
        <f t="shared" si="507"/>
        <v>2.8496581657501694</v>
      </c>
      <c r="Q192" s="217">
        <f t="shared" si="508"/>
        <v>14.060813317846231</v>
      </c>
      <c r="R192" s="217">
        <f t="shared" si="509"/>
        <v>26.364024970961683</v>
      </c>
      <c r="S192" s="217">
        <f t="shared" si="510"/>
        <v>15</v>
      </c>
      <c r="T192" s="217">
        <f t="shared" si="511"/>
        <v>29.159052946078216</v>
      </c>
      <c r="U192" s="217">
        <f t="shared" si="512"/>
        <v>19.262751987458277</v>
      </c>
      <c r="V192" s="217">
        <f t="shared" si="513"/>
        <v>21.667143810625458</v>
      </c>
      <c r="W192" s="197">
        <f t="shared" si="514"/>
        <v>71.24145414375424</v>
      </c>
      <c r="X192" s="443">
        <f t="shared" si="599"/>
        <v>24.313215012973377</v>
      </c>
      <c r="Z192" s="217">
        <f t="shared" si="515"/>
        <v>10</v>
      </c>
      <c r="AA192" s="173">
        <f t="shared" si="516"/>
        <v>7.4306747378568776</v>
      </c>
      <c r="AB192" s="173">
        <f t="shared" si="517"/>
        <v>2.6120332578660381</v>
      </c>
      <c r="AC192" s="173"/>
      <c r="AD192" s="173">
        <f t="shared" si="518"/>
        <v>7.4306747378568776</v>
      </c>
      <c r="AE192" s="545">
        <f t="shared" si="519"/>
        <v>220.70674035087714</v>
      </c>
      <c r="AF192" s="528">
        <f t="shared" si="520"/>
        <v>2.6468603679709193</v>
      </c>
      <c r="AH192" s="173">
        <f t="shared" si="521"/>
        <v>7.7040496462822032</v>
      </c>
      <c r="AI192" s="173">
        <f t="shared" si="522"/>
        <v>29.159052946078216</v>
      </c>
      <c r="AJ192" s="173">
        <f t="shared" si="523"/>
        <v>15.391891071169047</v>
      </c>
      <c r="AL192" s="545">
        <f t="shared" si="524"/>
        <v>8200</v>
      </c>
      <c r="AM192" s="460">
        <f t="shared" si="525"/>
        <v>24.313215012973377</v>
      </c>
      <c r="AO192">
        <f t="shared" si="526"/>
        <v>8200</v>
      </c>
      <c r="AP192">
        <f t="shared" si="527"/>
        <v>24.313215012973377</v>
      </c>
      <c r="AR192" s="5">
        <f t="shared" si="443"/>
        <v>41.12989579808373</v>
      </c>
      <c r="AS192" s="5">
        <f t="shared" si="604"/>
        <v>19.262751987458277</v>
      </c>
      <c r="AT192" s="5">
        <f t="shared" si="605"/>
        <v>21.867143810625453</v>
      </c>
      <c r="AU192" s="173">
        <f t="shared" si="606"/>
        <v>0.46833943081265333</v>
      </c>
      <c r="AW192" s="5">
        <f t="shared" si="477"/>
        <v>1053.0304419810525</v>
      </c>
      <c r="AX192" s="5">
        <f t="shared" si="478"/>
        <v>49.360801967861832</v>
      </c>
      <c r="AY192" s="5">
        <f t="shared" si="479"/>
        <v>41.129965413221349</v>
      </c>
      <c r="AZ192" s="5"/>
      <c r="BA192" s="173">
        <f t="shared" si="480"/>
        <v>11.521078851839599</v>
      </c>
      <c r="BB192" s="173">
        <f t="shared" si="481"/>
        <v>12.275240594808121</v>
      </c>
      <c r="BC192" s="173">
        <f t="shared" si="482"/>
        <v>0.30230788602115688</v>
      </c>
      <c r="BD192" s="173"/>
      <c r="BE192" s="528">
        <f t="shared" si="483"/>
        <v>2.654705158206113</v>
      </c>
      <c r="BF192" s="528">
        <f t="shared" si="528"/>
        <v>0.45613392897665778</v>
      </c>
      <c r="BG192" s="528">
        <f t="shared" si="529"/>
        <v>1.1041262291819922E-2</v>
      </c>
      <c r="BH192" s="528">
        <f t="shared" si="484"/>
        <v>2.8628130746953333E-3</v>
      </c>
      <c r="BI192">
        <f t="shared" si="485"/>
        <v>8.1742674157535625E-3</v>
      </c>
      <c r="BJ192" s="460">
        <f t="shared" si="600"/>
        <v>19.215529707573484</v>
      </c>
      <c r="BK192">
        <f t="shared" si="530"/>
        <v>10.373878725952123</v>
      </c>
      <c r="BL192" s="460">
        <f t="shared" si="601"/>
        <v>3132.9174299650394</v>
      </c>
      <c r="BM192" s="173">
        <f t="shared" si="531"/>
        <v>5.0942499999999988</v>
      </c>
      <c r="BN192" s="173">
        <f t="shared" si="532"/>
        <v>0.12735624999999998</v>
      </c>
      <c r="BO192" s="528"/>
      <c r="BQ192" s="460">
        <f t="shared" si="486"/>
        <v>5221.6062499999989</v>
      </c>
      <c r="BR192" s="528">
        <f t="shared" si="487"/>
        <v>3.9820577373091695</v>
      </c>
      <c r="BS192" s="528">
        <f t="shared" si="488"/>
        <v>4.5204459498127569</v>
      </c>
      <c r="BT192" s="528">
        <f t="shared" si="489"/>
        <v>4.5695028975290387E-4</v>
      </c>
      <c r="BU192" s="528">
        <f t="shared" si="490"/>
        <v>0.66912848362383426</v>
      </c>
      <c r="BV192" s="528"/>
      <c r="BW192" s="625">
        <f t="shared" si="533"/>
        <v>2.0672320029359433E-2</v>
      </c>
      <c r="BX192" s="460">
        <f t="shared" si="491"/>
        <v>9192.761441064873</v>
      </c>
      <c r="BY192" s="173">
        <f t="shared" si="492"/>
        <v>17.547285121029908</v>
      </c>
      <c r="BZ192" s="5">
        <f t="shared" si="493"/>
        <v>124.63999999999999</v>
      </c>
      <c r="CA192" s="173">
        <f t="shared" si="494"/>
        <v>0.87659033572450828</v>
      </c>
      <c r="CB192" s="5">
        <f t="shared" si="495"/>
        <v>87.659033572450824</v>
      </c>
      <c r="CC192">
        <f t="shared" si="496"/>
        <v>82</v>
      </c>
      <c r="CE192" s="562">
        <f t="shared" si="534"/>
        <v>-50</v>
      </c>
      <c r="CF192">
        <f t="shared" si="535"/>
        <v>-50</v>
      </c>
      <c r="CG192" s="173">
        <f t="shared" si="536"/>
        <v>0.54755043227665712</v>
      </c>
      <c r="CH192" s="173">
        <f t="shared" si="537"/>
        <v>6.4398811101315859E-2</v>
      </c>
      <c r="CI192" s="170">
        <v>82</v>
      </c>
      <c r="CJ192" s="217">
        <f t="shared" si="602"/>
        <v>8.1999999999999993</v>
      </c>
      <c r="CK192" s="217">
        <f t="shared" si="538"/>
        <v>0.20499999999999999</v>
      </c>
      <c r="CL192" s="217">
        <f t="shared" si="539"/>
        <v>122.99999999999999</v>
      </c>
      <c r="CM192" s="217">
        <f t="shared" si="540"/>
        <v>1.64</v>
      </c>
      <c r="CN192" s="541">
        <f t="shared" si="541"/>
        <v>19</v>
      </c>
      <c r="CO192" s="443">
        <f t="shared" si="542"/>
        <v>15.7</v>
      </c>
      <c r="CP192" s="443">
        <f t="shared" si="543"/>
        <v>34.700000000000003</v>
      </c>
      <c r="CQ192" s="443"/>
      <c r="CR192" s="217">
        <f t="shared" si="544"/>
        <v>0.44767441860465118</v>
      </c>
      <c r="CS192" s="172">
        <f t="shared" si="545"/>
        <v>209.84738372093025</v>
      </c>
      <c r="CT192" s="172">
        <f t="shared" si="546"/>
        <v>2.835271317829458</v>
      </c>
      <c r="CU192" s="217">
        <f t="shared" si="547"/>
        <v>13.989825581395349</v>
      </c>
      <c r="CV192" s="217">
        <f t="shared" si="548"/>
        <v>26.230922965116282</v>
      </c>
      <c r="CW192" s="217">
        <f t="shared" si="549"/>
        <v>15</v>
      </c>
      <c r="CX192" s="217">
        <f t="shared" si="550"/>
        <v>29.307012987012982</v>
      </c>
      <c r="CY192" s="217">
        <f t="shared" si="551"/>
        <v>18.509692412850303</v>
      </c>
      <c r="CZ192" s="217">
        <f t="shared" si="552"/>
        <v>22.400264703449416</v>
      </c>
      <c r="DA192" s="197">
        <f t="shared" si="553"/>
        <v>71.63784822286263</v>
      </c>
      <c r="DB192" s="443">
        <f t="shared" si="554"/>
        <v>24.443926869861489</v>
      </c>
      <c r="DD192" s="217">
        <f t="shared" si="555"/>
        <v>10.000000000000002</v>
      </c>
      <c r="DE192" s="173">
        <f t="shared" si="556"/>
        <v>7.6433121019108299</v>
      </c>
      <c r="DF192" s="173">
        <f t="shared" si="557"/>
        <v>2.7017291066282429</v>
      </c>
      <c r="DG192" s="173"/>
      <c r="DH192" s="173">
        <f t="shared" si="558"/>
        <v>7.6433121019108281</v>
      </c>
      <c r="DI192" s="545">
        <f t="shared" si="559"/>
        <v>214.56666666666666</v>
      </c>
      <c r="DJ192" s="528">
        <f t="shared" si="560"/>
        <v>2.7377521613832849</v>
      </c>
      <c r="DL192" s="173">
        <f t="shared" si="561"/>
        <v>7.7040496462822032</v>
      </c>
      <c r="DM192" s="173">
        <f t="shared" si="562"/>
        <v>29.307012987012982</v>
      </c>
      <c r="DN192" s="173">
        <f t="shared" si="563"/>
        <v>15.501491101491098</v>
      </c>
      <c r="DP192" s="545">
        <f t="shared" si="564"/>
        <v>8200</v>
      </c>
      <c r="DQ192" s="460">
        <f t="shared" si="565"/>
        <v>24.443926869861489</v>
      </c>
      <c r="DS192">
        <f t="shared" si="566"/>
        <v>8200</v>
      </c>
      <c r="DT192">
        <f t="shared" si="567"/>
        <v>24.443926869861489</v>
      </c>
      <c r="DV192" s="5">
        <f t="shared" si="568"/>
        <v>40.909957116299722</v>
      </c>
      <c r="DW192" s="5">
        <f t="shared" si="569"/>
        <v>18.509692412850303</v>
      </c>
      <c r="DX192" s="5">
        <f t="shared" si="570"/>
        <v>22.40026470344942</v>
      </c>
      <c r="DY192" s="173">
        <f t="shared" si="571"/>
        <v>0.45244956772334283</v>
      </c>
      <c r="EA192" s="5">
        <f t="shared" si="572"/>
        <v>1011.8631852358164</v>
      </c>
      <c r="EB192" s="5">
        <f t="shared" si="573"/>
        <v>47.431086807928892</v>
      </c>
      <c r="EC192" s="5">
        <f t="shared" si="574"/>
        <v>40.281177756202894</v>
      </c>
      <c r="ED192" s="5"/>
      <c r="EE192" s="173">
        <f t="shared" si="575"/>
        <v>11.38140868246121</v>
      </c>
      <c r="EF192" s="173">
        <f t="shared" si="576"/>
        <v>12.520538053259232</v>
      </c>
      <c r="EG192" s="173">
        <f t="shared" si="577"/>
        <v>0.3083489371547764</v>
      </c>
      <c r="EH192" s="173"/>
      <c r="EI192" s="528">
        <f t="shared" si="578"/>
        <v>2.5907292719440682</v>
      </c>
      <c r="EJ192" s="528">
        <f t="shared" si="579"/>
        <v>0.49716666666666665</v>
      </c>
      <c r="EK192" s="528">
        <f t="shared" si="580"/>
        <v>3.0554908587326858E-3</v>
      </c>
      <c r="EL192" s="528">
        <f t="shared" si="581"/>
        <v>2.9432687904731528E-3</v>
      </c>
      <c r="EM192">
        <f t="shared" si="582"/>
        <v>8.5500000000000003E-3</v>
      </c>
      <c r="EN192" s="460">
        <f t="shared" si="583"/>
        <v>11.605490858732685</v>
      </c>
      <c r="EP192" s="460">
        <f t="shared" si="603"/>
        <v>3102.4446982599407</v>
      </c>
      <c r="EQ192" s="173">
        <f t="shared" si="584"/>
        <v>5.7399999999999993</v>
      </c>
      <c r="ER192" s="173">
        <f t="shared" si="585"/>
        <v>9.0968749999999987E-2</v>
      </c>
      <c r="ES192" s="528"/>
      <c r="EU192" s="460">
        <f t="shared" si="497"/>
        <v>5830.9687499999991</v>
      </c>
      <c r="EV192" s="528">
        <f t="shared" si="586"/>
        <v>3.8860939079161021</v>
      </c>
      <c r="EW192" s="528">
        <f t="shared" si="587"/>
        <v>4.7029161942933744</v>
      </c>
      <c r="EX192" s="528">
        <f t="shared" si="588"/>
        <v>4.753953352224012E-4</v>
      </c>
      <c r="EY192" s="528">
        <f t="shared" si="589"/>
        <v>0.68679375210278792</v>
      </c>
      <c r="EZ192" s="528"/>
      <c r="FA192" s="625">
        <f t="shared" si="590"/>
        <v>2.0994913482290999E-2</v>
      </c>
      <c r="FB192" s="460">
        <f t="shared" si="498"/>
        <v>9297.2741631297777</v>
      </c>
      <c r="FC192" s="173">
        <f t="shared" si="591"/>
        <v>18.230687611389715</v>
      </c>
      <c r="FD192" s="5">
        <f t="shared" si="592"/>
        <v>124.63999999999999</v>
      </c>
      <c r="FE192" s="173">
        <f t="shared" si="593"/>
        <v>0.87239728515216886</v>
      </c>
      <c r="FF192" s="5">
        <f t="shared" si="594"/>
        <v>87.239728515216882</v>
      </c>
      <c r="FG192">
        <f t="shared" si="595"/>
        <v>82</v>
      </c>
      <c r="FI192" s="562">
        <f t="shared" si="596"/>
        <v>-50</v>
      </c>
      <c r="FJ192">
        <f t="shared" si="597"/>
        <v>-50</v>
      </c>
    </row>
    <row r="193" spans="5:166">
      <c r="E193" s="170">
        <v>83</v>
      </c>
      <c r="F193" s="217">
        <f t="shared" si="598"/>
        <v>8.2999999999999989</v>
      </c>
      <c r="G193" s="217">
        <f t="shared" si="499"/>
        <v>0.20749999999999999</v>
      </c>
      <c r="H193" s="217">
        <f t="shared" si="500"/>
        <v>124.49999999999999</v>
      </c>
      <c r="I193" s="217">
        <f t="shared" si="501"/>
        <v>1.66</v>
      </c>
      <c r="J193" s="541">
        <f t="shared" si="502"/>
        <v>18.154856246816955</v>
      </c>
      <c r="K193" s="443">
        <f t="shared" si="503"/>
        <v>16.154752631578948</v>
      </c>
      <c r="L193" s="172">
        <f t="shared" si="504"/>
        <v>34.309608878395906</v>
      </c>
      <c r="M193" s="443"/>
      <c r="N193" s="217">
        <f t="shared" si="505"/>
        <v>0.47085213617084631</v>
      </c>
      <c r="O193" s="172">
        <f t="shared" si="506"/>
        <v>210.89439586402295</v>
      </c>
      <c r="P193" s="172">
        <f t="shared" si="507"/>
        <v>2.8494176152294659</v>
      </c>
      <c r="Q193" s="217">
        <f t="shared" si="508"/>
        <v>14.059626390934863</v>
      </c>
      <c r="R193" s="217">
        <f t="shared" si="509"/>
        <v>26.361799483002869</v>
      </c>
      <c r="S193" s="217">
        <f t="shared" si="510"/>
        <v>15</v>
      </c>
      <c r="T193" s="217">
        <f t="shared" si="511"/>
        <v>29.517142807406096</v>
      </c>
      <c r="U193" s="217">
        <f t="shared" si="512"/>
        <v>19.510246122217307</v>
      </c>
      <c r="V193" s="217">
        <f t="shared" si="513"/>
        <v>21.925789999190687</v>
      </c>
      <c r="W193" s="197">
        <f t="shared" si="514"/>
        <v>71.235440380736648</v>
      </c>
      <c r="X193" s="443">
        <f t="shared" si="599"/>
        <v>24.01765617370646</v>
      </c>
      <c r="Z193" s="217">
        <f t="shared" si="515"/>
        <v>10</v>
      </c>
      <c r="AA193" s="173">
        <f t="shared" si="516"/>
        <v>7.4281545955353536</v>
      </c>
      <c r="AB193" s="173">
        <f t="shared" si="517"/>
        <v>2.610926959683324</v>
      </c>
      <c r="AC193" s="173"/>
      <c r="AD193" s="173">
        <f t="shared" si="518"/>
        <v>7.4281545955353536</v>
      </c>
      <c r="AE193" s="545">
        <f t="shared" si="519"/>
        <v>223.47407807017541</v>
      </c>
      <c r="AF193" s="528">
        <f t="shared" si="520"/>
        <v>2.6457393191457683</v>
      </c>
      <c r="AH193" s="173">
        <f t="shared" si="521"/>
        <v>7.7508832062024045</v>
      </c>
      <c r="AI193" s="173">
        <f t="shared" si="522"/>
        <v>29.517142807406096</v>
      </c>
      <c r="AJ193" s="173">
        <f t="shared" si="523"/>
        <v>15.657142820300811</v>
      </c>
      <c r="AL193" s="545">
        <f t="shared" si="524"/>
        <v>8299.9999999999982</v>
      </c>
      <c r="AM193" s="460">
        <f t="shared" si="525"/>
        <v>24.01765617370646</v>
      </c>
      <c r="AO193">
        <f t="shared" si="526"/>
        <v>8299.9999999999982</v>
      </c>
      <c r="AP193">
        <f t="shared" si="527"/>
        <v>24.01765617370646</v>
      </c>
      <c r="AR193" s="5">
        <f t="shared" si="443"/>
        <v>41.636036121408004</v>
      </c>
      <c r="AS193" s="5">
        <f t="shared" si="604"/>
        <v>19.510246122217307</v>
      </c>
      <c r="AT193" s="5">
        <f t="shared" si="605"/>
        <v>22.125789999190697</v>
      </c>
      <c r="AU193" s="173">
        <f t="shared" si="606"/>
        <v>0.46859038322780494</v>
      </c>
      <c r="AW193" s="5">
        <f t="shared" si="477"/>
        <v>1079.5669520960244</v>
      </c>
      <c r="AX193" s="5">
        <f t="shared" si="478"/>
        <v>50.604700879501138</v>
      </c>
      <c r="AY193" s="5">
        <f t="shared" si="479"/>
        <v>42.14759733718644</v>
      </c>
      <c r="AZ193" s="5"/>
      <c r="BA193" s="173">
        <f t="shared" si="480"/>
        <v>11.665688478585704</v>
      </c>
      <c r="BB193" s="173">
        <f t="shared" si="481"/>
        <v>12.423054595852339</v>
      </c>
      <c r="BC193" s="173">
        <f t="shared" si="482"/>
        <v>0.30594816808608899</v>
      </c>
      <c r="BD193" s="173"/>
      <c r="BE193" s="528">
        <f t="shared" si="483"/>
        <v>2.7217657535881448</v>
      </c>
      <c r="BF193" s="528">
        <f t="shared" si="528"/>
        <v>0.45605999601080044</v>
      </c>
      <c r="BG193" s="528">
        <f t="shared" si="529"/>
        <v>1.0900927380477913E-2</v>
      </c>
      <c r="BH193" s="528">
        <f t="shared" si="484"/>
        <v>2.8272366225161583E-3</v>
      </c>
      <c r="BI193">
        <f t="shared" si="485"/>
        <v>8.1696853110676294E-3</v>
      </c>
      <c r="BJ193" s="460">
        <f t="shared" si="600"/>
        <v>19.070612691545545</v>
      </c>
      <c r="BK193">
        <f t="shared" si="530"/>
        <v>11.082468202204875</v>
      </c>
      <c r="BL193" s="460">
        <f t="shared" si="601"/>
        <v>3199.7235989130068</v>
      </c>
      <c r="BM193" s="173">
        <f t="shared" si="531"/>
        <v>5.1563749999999988</v>
      </c>
      <c r="BN193" s="173">
        <f t="shared" si="532"/>
        <v>0.12890937499999999</v>
      </c>
      <c r="BO193" s="528"/>
      <c r="BQ193" s="460">
        <f t="shared" si="486"/>
        <v>5285.2843749999993</v>
      </c>
      <c r="BR193" s="528">
        <f t="shared" si="487"/>
        <v>4.0826486303822174</v>
      </c>
      <c r="BS193" s="528">
        <f t="shared" si="488"/>
        <v>4.6299685647458375</v>
      </c>
      <c r="BT193" s="528">
        <f t="shared" si="489"/>
        <v>4.6802140777616879E-4</v>
      </c>
      <c r="BU193" s="528">
        <f t="shared" si="490"/>
        <v>0.66908663340236763</v>
      </c>
      <c r="BV193" s="528"/>
      <c r="BW193" s="625">
        <f t="shared" si="533"/>
        <v>2.0925664416570837E-2</v>
      </c>
      <c r="BX193" s="460">
        <f t="shared" ref="BX193:BX210" si="607">SUM(BR193:BW193)*1000</f>
        <v>9403.0975143547694</v>
      </c>
      <c r="BY193" s="173">
        <f t="shared" ref="BY193:BY210" si="608">SUM(BE193:BI193,BM193:BP193,BR193:BW193)</f>
        <v>17.888105488267776</v>
      </c>
      <c r="BZ193" s="5">
        <f t="shared" ref="BZ193:BZ210" si="609">MIN(H193+I193,O193+P193)</f>
        <v>126.15999999999998</v>
      </c>
      <c r="CA193" s="173">
        <f t="shared" ref="CA193:CA210" si="610">BZ193/(BZ193+BY193)</f>
        <v>0.87581853001374799</v>
      </c>
      <c r="CB193" s="5">
        <f t="shared" ref="CB193:CB210" si="611">CA193*100</f>
        <v>87.581853001374796</v>
      </c>
      <c r="CC193">
        <f t="shared" ref="CC193:CC210" si="612">F193/Iout*100</f>
        <v>82.999999999999986</v>
      </c>
      <c r="CE193" s="562">
        <f t="shared" si="534"/>
        <v>-50</v>
      </c>
      <c r="CF193">
        <f t="shared" si="535"/>
        <v>-50</v>
      </c>
      <c r="CG193" s="173">
        <f t="shared" si="536"/>
        <v>0.54755043227665712</v>
      </c>
      <c r="CH193" s="173">
        <f t="shared" si="537"/>
        <v>6.4398811101315859E-2</v>
      </c>
      <c r="CI193" s="170">
        <v>83</v>
      </c>
      <c r="CJ193" s="217">
        <f t="shared" si="602"/>
        <v>8.2999999999999989</v>
      </c>
      <c r="CK193" s="217">
        <f t="shared" si="538"/>
        <v>0.20749999999999999</v>
      </c>
      <c r="CL193" s="217">
        <f t="shared" si="539"/>
        <v>124.49999999999999</v>
      </c>
      <c r="CM193" s="217">
        <f t="shared" si="540"/>
        <v>1.66</v>
      </c>
      <c r="CN193" s="541">
        <f t="shared" si="541"/>
        <v>19</v>
      </c>
      <c r="CO193" s="443">
        <f t="shared" si="542"/>
        <v>15.7</v>
      </c>
      <c r="CP193" s="443">
        <f t="shared" si="543"/>
        <v>34.700000000000003</v>
      </c>
      <c r="CQ193" s="443"/>
      <c r="CR193" s="217">
        <f t="shared" si="544"/>
        <v>0.44767441860465118</v>
      </c>
      <c r="CS193" s="172">
        <f t="shared" si="545"/>
        <v>209.84738372093025</v>
      </c>
      <c r="CT193" s="172">
        <f t="shared" si="546"/>
        <v>2.835271317829458</v>
      </c>
      <c r="CU193" s="217">
        <f t="shared" si="547"/>
        <v>13.989825581395349</v>
      </c>
      <c r="CV193" s="217">
        <f t="shared" si="548"/>
        <v>26.230922965116282</v>
      </c>
      <c r="CW193" s="217">
        <f t="shared" si="549"/>
        <v>15</v>
      </c>
      <c r="CX193" s="217">
        <f t="shared" si="550"/>
        <v>29.664415584415579</v>
      </c>
      <c r="CY193" s="217">
        <f t="shared" si="551"/>
        <v>18.735420369104578</v>
      </c>
      <c r="CZ193" s="217">
        <f t="shared" si="552"/>
        <v>22.673438663247577</v>
      </c>
      <c r="DA193" s="197">
        <f t="shared" si="553"/>
        <v>71.63784822286263</v>
      </c>
      <c r="DB193" s="443">
        <f t="shared" si="554"/>
        <v>24.149421726851113</v>
      </c>
      <c r="DD193" s="217">
        <f t="shared" si="555"/>
        <v>10.000000000000002</v>
      </c>
      <c r="DE193" s="173">
        <f t="shared" si="556"/>
        <v>7.6433121019108299</v>
      </c>
      <c r="DF193" s="173">
        <f t="shared" si="557"/>
        <v>2.7017291066282429</v>
      </c>
      <c r="DG193" s="173"/>
      <c r="DH193" s="173">
        <f t="shared" si="558"/>
        <v>7.6433121019108281</v>
      </c>
      <c r="DI193" s="545">
        <f t="shared" si="559"/>
        <v>217.18333333333331</v>
      </c>
      <c r="DJ193" s="528">
        <f t="shared" si="560"/>
        <v>2.7377521613832849</v>
      </c>
      <c r="DL193" s="173">
        <f t="shared" si="561"/>
        <v>7.7508832062024045</v>
      </c>
      <c r="DM193" s="173">
        <f t="shared" si="562"/>
        <v>29.664415584415579</v>
      </c>
      <c r="DN193" s="173">
        <f t="shared" si="563"/>
        <v>15.766233766233762</v>
      </c>
      <c r="DP193" s="545">
        <f t="shared" si="564"/>
        <v>8299.9999999999982</v>
      </c>
      <c r="DQ193" s="460">
        <f t="shared" si="565"/>
        <v>24.149421726851113</v>
      </c>
      <c r="DS193">
        <f>IF(CL193&gt;CS193, "",DP193)</f>
        <v>8299.9999999999982</v>
      </c>
      <c r="DT193">
        <f t="shared" si="567"/>
        <v>24.149421726851113</v>
      </c>
      <c r="DV193" s="5">
        <f t="shared" si="568"/>
        <v>41.408859032352154</v>
      </c>
      <c r="DW193" s="5">
        <f t="shared" si="569"/>
        <v>18.735420369104578</v>
      </c>
      <c r="DX193" s="5">
        <f t="shared" si="570"/>
        <v>22.673438663247577</v>
      </c>
      <c r="DY193" s="173">
        <f t="shared" si="571"/>
        <v>0.45244956772334294</v>
      </c>
      <c r="EA193" s="5">
        <f t="shared" si="572"/>
        <v>1036.6932604237866</v>
      </c>
      <c r="EB193" s="5">
        <f t="shared" si="573"/>
        <v>48.594996582364999</v>
      </c>
      <c r="EC193" s="5">
        <f t="shared" si="574"/>
        <v>41.269636163367295</v>
      </c>
      <c r="ED193" s="5"/>
      <c r="EE193" s="173">
        <f t="shared" si="575"/>
        <v>11.520206349320492</v>
      </c>
      <c r="EF193" s="173">
        <f t="shared" si="576"/>
        <v>12.673227541713612</v>
      </c>
      <c r="EG193" s="173">
        <f t="shared" si="577"/>
        <v>0.31210929004690785</v>
      </c>
      <c r="EH193" s="173"/>
      <c r="EI193" s="528">
        <f t="shared" si="578"/>
        <v>2.6543030866184836</v>
      </c>
      <c r="EJ193" s="528">
        <f t="shared" si="579"/>
        <v>0.4971666666666667</v>
      </c>
      <c r="EK193" s="528">
        <f t="shared" si="580"/>
        <v>3.0186777158563889E-3</v>
      </c>
      <c r="EL193" s="528">
        <f t="shared" si="581"/>
        <v>2.9078077207084162E-3</v>
      </c>
      <c r="EM193">
        <f t="shared" si="582"/>
        <v>8.5500000000000003E-3</v>
      </c>
      <c r="EN193" s="460">
        <f t="shared" si="583"/>
        <v>11.568677715856388</v>
      </c>
      <c r="EP193" s="460">
        <f t="shared" si="603"/>
        <v>3165.9462387217154</v>
      </c>
      <c r="EQ193" s="173">
        <f t="shared" si="584"/>
        <v>5.8099999999999987</v>
      </c>
      <c r="ER193" s="173">
        <f t="shared" si="585"/>
        <v>9.2078124999999997E-2</v>
      </c>
      <c r="ES193" s="528"/>
      <c r="EU193" s="460">
        <f t="shared" si="497"/>
        <v>5902.0781249999982</v>
      </c>
      <c r="EV193" s="528">
        <f t="shared" si="586"/>
        <v>3.9814546299277254</v>
      </c>
      <c r="EW193" s="528">
        <f t="shared" si="587"/>
        <v>4.8183208897214529</v>
      </c>
      <c r="EX193" s="528">
        <f t="shared" si="588"/>
        <v>4.8706104466792426E-4</v>
      </c>
      <c r="EY193" s="528">
        <f t="shared" si="589"/>
        <v>0.68679375210278859</v>
      </c>
      <c r="EZ193" s="528"/>
      <c r="FA193" s="625">
        <f t="shared" si="590"/>
        <v>2.1250949012562845E-2</v>
      </c>
      <c r="FB193" s="460">
        <f t="shared" ref="FB193:FB210" si="613">SUM(EV193:FA193)*1000</f>
        <v>9508.3072818091969</v>
      </c>
      <c r="FC193" s="173">
        <f t="shared" si="591"/>
        <v>18.57633164553091</v>
      </c>
      <c r="FD193" s="5">
        <f t="shared" si="592"/>
        <v>126.15999999999998</v>
      </c>
      <c r="FE193" s="173">
        <f t="shared" si="593"/>
        <v>0.87165398325124333</v>
      </c>
      <c r="FF193" s="5">
        <f t="shared" si="594"/>
        <v>87.165398325124329</v>
      </c>
      <c r="FG193">
        <f t="shared" si="595"/>
        <v>82.999999999999986</v>
      </c>
      <c r="FI193" s="562">
        <f t="shared" si="596"/>
        <v>-50</v>
      </c>
      <c r="FJ193">
        <f t="shared" si="597"/>
        <v>-50</v>
      </c>
    </row>
    <row r="194" spans="5:166">
      <c r="E194" s="170">
        <v>84</v>
      </c>
      <c r="F194" s="217">
        <f t="shared" si="598"/>
        <v>8.4</v>
      </c>
      <c r="G194" s="217">
        <f t="shared" si="499"/>
        <v>0.21</v>
      </c>
      <c r="H194" s="217">
        <f t="shared" si="500"/>
        <v>126</v>
      </c>
      <c r="I194" s="217">
        <f t="shared" si="501"/>
        <v>1.68</v>
      </c>
      <c r="J194" s="541">
        <f t="shared" si="502"/>
        <v>18.144673791959328</v>
      </c>
      <c r="K194" s="443">
        <f t="shared" si="503"/>
        <v>16.160231578947368</v>
      </c>
      <c r="L194" s="172">
        <f t="shared" si="504"/>
        <v>34.304905370906695</v>
      </c>
      <c r="M194" s="443"/>
      <c r="N194" s="217">
        <f t="shared" si="505"/>
        <v>0.47107640741818041</v>
      </c>
      <c r="O194" s="172">
        <f t="shared" si="506"/>
        <v>210.87650683448223</v>
      </c>
      <c r="P194" s="172">
        <f t="shared" si="507"/>
        <v>2.8491759145636713</v>
      </c>
      <c r="Q194" s="217">
        <f t="shared" si="508"/>
        <v>14.058433788965482</v>
      </c>
      <c r="R194" s="217">
        <f t="shared" si="509"/>
        <v>26.359563354310279</v>
      </c>
      <c r="S194" s="217">
        <f t="shared" si="510"/>
        <v>15</v>
      </c>
      <c r="T194" s="217">
        <f t="shared" si="511"/>
        <v>29.875305194356685</v>
      </c>
      <c r="U194" s="217">
        <f t="shared" si="512"/>
        <v>19.75806600012552</v>
      </c>
      <c r="V194" s="217">
        <f t="shared" si="513"/>
        <v>22.184314660398705</v>
      </c>
      <c r="W194" s="197">
        <f t="shared" si="514"/>
        <v>71.22939786409178</v>
      </c>
      <c r="X194" s="443">
        <f t="shared" si="599"/>
        <v>23.72908184887438</v>
      </c>
      <c r="Z194" s="217">
        <f t="shared" si="515"/>
        <v>10</v>
      </c>
      <c r="AA194" s="173">
        <f t="shared" si="516"/>
        <v>7.4256361620664633</v>
      </c>
      <c r="AB194" s="173">
        <f t="shared" si="517"/>
        <v>2.6098203581339781</v>
      </c>
      <c r="AC194" s="173"/>
      <c r="AD194" s="173">
        <f t="shared" si="518"/>
        <v>7.4256361620664633</v>
      </c>
      <c r="AE194" s="545">
        <f t="shared" si="519"/>
        <v>226.24324210526314</v>
      </c>
      <c r="AF194" s="528">
        <f t="shared" si="520"/>
        <v>2.644617962909098</v>
      </c>
      <c r="AH194" s="173">
        <f t="shared" si="521"/>
        <v>7.7974354758471707</v>
      </c>
      <c r="AI194" s="173">
        <f t="shared" si="522"/>
        <v>29.875305194356685</v>
      </c>
      <c r="AJ194" s="173">
        <f t="shared" si="523"/>
        <v>15.922448292116062</v>
      </c>
      <c r="AL194" s="545">
        <f t="shared" si="524"/>
        <v>8400</v>
      </c>
      <c r="AM194" s="460">
        <f t="shared" si="525"/>
        <v>23.72908184887438</v>
      </c>
      <c r="AO194">
        <f t="shared" si="526"/>
        <v>8400</v>
      </c>
      <c r="AP194">
        <f t="shared" si="527"/>
        <v>23.72908184887438</v>
      </c>
      <c r="AR194" s="5">
        <f t="shared" si="443"/>
        <v>42.142380660524218</v>
      </c>
      <c r="AS194" s="5">
        <f t="shared" si="604"/>
        <v>19.75806600012552</v>
      </c>
      <c r="AT194" s="5">
        <f t="shared" si="605"/>
        <v>22.384314660398697</v>
      </c>
      <c r="AU194" s="173">
        <f t="shared" si="606"/>
        <v>0.46884076529244056</v>
      </c>
      <c r="AW194" s="5">
        <f t="shared" si="477"/>
        <v>1106.4516960070291</v>
      </c>
      <c r="AX194" s="5">
        <f t="shared" si="478"/>
        <v>51.86492325032949</v>
      </c>
      <c r="AY194" s="5">
        <f t="shared" si="479"/>
        <v>43.178015879300879</v>
      </c>
      <c r="AZ194" s="5"/>
      <c r="BA194" s="173">
        <f t="shared" si="480"/>
        <v>11.810394548667523</v>
      </c>
      <c r="BB194" s="173">
        <f t="shared" si="481"/>
        <v>12.570833998723248</v>
      </c>
      <c r="BC194" s="173">
        <f t="shared" si="482"/>
        <v>0.30958759808620395</v>
      </c>
      <c r="BD194" s="173"/>
      <c r="BE194" s="528">
        <f t="shared" si="483"/>
        <v>2.7897083879039104</v>
      </c>
      <c r="BF194" s="528">
        <f t="shared" si="528"/>
        <v>0.45598523752511755</v>
      </c>
      <c r="BG194" s="528">
        <f t="shared" si="529"/>
        <v>1.0763911238263217E-2</v>
      </c>
      <c r="BH194" s="528">
        <f t="shared" si="484"/>
        <v>2.7925013111782379E-3</v>
      </c>
      <c r="BI194">
        <f t="shared" si="485"/>
        <v>8.1651032063816964E-3</v>
      </c>
      <c r="BJ194" s="460">
        <f t="shared" si="600"/>
        <v>18.929014444644913</v>
      </c>
      <c r="BK194">
        <f t="shared" si="530"/>
        <v>11.868681460883487</v>
      </c>
      <c r="BL194" s="460">
        <f t="shared" si="601"/>
        <v>3267.4151411848511</v>
      </c>
      <c r="BM194" s="173">
        <f t="shared" si="531"/>
        <v>5.2184999999999997</v>
      </c>
      <c r="BN194" s="173">
        <f t="shared" si="532"/>
        <v>0.13046249999999998</v>
      </c>
      <c r="BO194" s="528"/>
      <c r="BQ194" s="460">
        <f t="shared" si="486"/>
        <v>5348.9624999999996</v>
      </c>
      <c r="BR194" s="528">
        <f t="shared" si="487"/>
        <v>4.1845625818558654</v>
      </c>
      <c r="BS194" s="528">
        <f t="shared" si="488"/>
        <v>4.7407760227036899</v>
      </c>
      <c r="BT194" s="528">
        <f t="shared" si="489"/>
        <v>4.7922240444392482E-4</v>
      </c>
      <c r="BU194" s="528">
        <f t="shared" si="490"/>
        <v>0.66904174517373038</v>
      </c>
      <c r="BV194" s="528"/>
      <c r="BW194" s="625">
        <f t="shared" si="533"/>
        <v>2.1179009027651192E-2</v>
      </c>
      <c r="BX194" s="460">
        <f t="shared" si="607"/>
        <v>9616.0385811653814</v>
      </c>
      <c r="BY194" s="173">
        <f t="shared" si="608"/>
        <v>18.232416222350228</v>
      </c>
      <c r="BZ194" s="5">
        <f t="shared" si="609"/>
        <v>127.68</v>
      </c>
      <c r="CA194" s="173">
        <f t="shared" si="610"/>
        <v>0.87504547800396537</v>
      </c>
      <c r="CB194" s="5">
        <f t="shared" si="611"/>
        <v>87.504547800396537</v>
      </c>
      <c r="CC194">
        <f t="shared" si="612"/>
        <v>84.000000000000014</v>
      </c>
      <c r="CE194" s="562">
        <f t="shared" si="534"/>
        <v>-50</v>
      </c>
      <c r="CF194">
        <f t="shared" si="535"/>
        <v>-50</v>
      </c>
      <c r="CG194" s="173">
        <f t="shared" si="536"/>
        <v>0.54755043227665712</v>
      </c>
      <c r="CH194" s="173">
        <f t="shared" si="537"/>
        <v>6.4398811101315845E-2</v>
      </c>
      <c r="CI194" s="170">
        <v>84</v>
      </c>
      <c r="CJ194" s="217">
        <f t="shared" si="602"/>
        <v>8.4</v>
      </c>
      <c r="CK194" s="217">
        <f t="shared" si="538"/>
        <v>0.21</v>
      </c>
      <c r="CL194" s="217">
        <f t="shared" si="539"/>
        <v>126</v>
      </c>
      <c r="CM194" s="217">
        <f t="shared" si="540"/>
        <v>1.68</v>
      </c>
      <c r="CN194" s="541">
        <f t="shared" si="541"/>
        <v>19</v>
      </c>
      <c r="CO194" s="443">
        <f t="shared" si="542"/>
        <v>15.7</v>
      </c>
      <c r="CP194" s="443">
        <f t="shared" si="543"/>
        <v>34.700000000000003</v>
      </c>
      <c r="CQ194" s="443"/>
      <c r="CR194" s="217">
        <f t="shared" si="544"/>
        <v>0.44767441860465118</v>
      </c>
      <c r="CS194" s="172">
        <f t="shared" si="545"/>
        <v>209.84738372093025</v>
      </c>
      <c r="CT194" s="172">
        <f t="shared" si="546"/>
        <v>2.835271317829458</v>
      </c>
      <c r="CU194" s="217">
        <f t="shared" si="547"/>
        <v>13.989825581395349</v>
      </c>
      <c r="CV194" s="217">
        <f t="shared" si="548"/>
        <v>26.230922965116282</v>
      </c>
      <c r="CW194" s="217">
        <f t="shared" si="549"/>
        <v>15</v>
      </c>
      <c r="CX194" s="217">
        <f t="shared" si="550"/>
        <v>30.021818181818183</v>
      </c>
      <c r="CY194" s="217">
        <f t="shared" si="551"/>
        <v>18.961148325358852</v>
      </c>
      <c r="CZ194" s="217">
        <f t="shared" si="552"/>
        <v>22.946612623045748</v>
      </c>
      <c r="DA194" s="197">
        <f t="shared" si="553"/>
        <v>71.63784822286263</v>
      </c>
      <c r="DB194" s="443">
        <f t="shared" si="554"/>
        <v>23.861928611055259</v>
      </c>
      <c r="DD194" s="217">
        <f t="shared" si="555"/>
        <v>10.000000000000002</v>
      </c>
      <c r="DE194" s="173">
        <f t="shared" si="556"/>
        <v>7.6433121019108299</v>
      </c>
      <c r="DF194" s="173">
        <f t="shared" si="557"/>
        <v>2.7017291066282429</v>
      </c>
      <c r="DG194" s="173"/>
      <c r="DH194" s="173">
        <f t="shared" si="558"/>
        <v>7.6433121019108281</v>
      </c>
      <c r="DI194" s="545">
        <f t="shared" si="559"/>
        <v>219.80000000000004</v>
      </c>
      <c r="DJ194" s="528">
        <f t="shared" si="560"/>
        <v>2.7377521613832849</v>
      </c>
      <c r="DL194" s="173">
        <f t="shared" si="561"/>
        <v>7.7974354758471707</v>
      </c>
      <c r="DM194" s="173">
        <f t="shared" si="562"/>
        <v>30.021818181818183</v>
      </c>
      <c r="DN194" s="173">
        <f t="shared" si="563"/>
        <v>16.030976430976434</v>
      </c>
      <c r="DP194" s="545">
        <f t="shared" si="564"/>
        <v>8400</v>
      </c>
      <c r="DQ194" s="460">
        <f t="shared" si="565"/>
        <v>23.861928611055259</v>
      </c>
      <c r="DS194">
        <f t="shared" ref="DS194:DS210" si="614">IF(CL194&gt;CS194, "",DP194)</f>
        <v>8400</v>
      </c>
      <c r="DT194">
        <f t="shared" ref="DT194:DT210" si="615">IF(CL194&gt;CS194, "",DQ194)</f>
        <v>23.861928611055259</v>
      </c>
      <c r="DV194" s="5">
        <f t="shared" si="568"/>
        <v>41.907760948404601</v>
      </c>
      <c r="DW194" s="5">
        <f t="shared" si="569"/>
        <v>18.961148325358852</v>
      </c>
      <c r="DX194" s="5">
        <f t="shared" si="570"/>
        <v>22.946612623045748</v>
      </c>
      <c r="DY194" s="173">
        <f t="shared" si="571"/>
        <v>0.45244956772334288</v>
      </c>
      <c r="EA194" s="5">
        <f t="shared" si="572"/>
        <v>1061.8243062200959</v>
      </c>
      <c r="EB194" s="5">
        <f t="shared" si="573"/>
        <v>49.773014354066987</v>
      </c>
      <c r="EC194" s="5">
        <f t="shared" si="574"/>
        <v>42.270075884557961</v>
      </c>
      <c r="ED194" s="5"/>
      <c r="EE194" s="173">
        <f t="shared" si="575"/>
        <v>11.659004016179779</v>
      </c>
      <c r="EF194" s="173">
        <f t="shared" si="576"/>
        <v>12.825917030167997</v>
      </c>
      <c r="EG194" s="173">
        <f t="shared" si="577"/>
        <v>0.3158696429390393</v>
      </c>
      <c r="EH194" s="173"/>
      <c r="EI194" s="528">
        <f t="shared" si="578"/>
        <v>2.7186474929859243</v>
      </c>
      <c r="EJ194" s="528">
        <f t="shared" si="579"/>
        <v>0.49716666666666665</v>
      </c>
      <c r="EK194" s="528">
        <f t="shared" si="580"/>
        <v>2.982741076381907E-3</v>
      </c>
      <c r="EL194" s="528">
        <f t="shared" si="581"/>
        <v>2.8731909621285533E-3</v>
      </c>
      <c r="EM194">
        <f t="shared" si="582"/>
        <v>8.5500000000000003E-3</v>
      </c>
      <c r="EN194" s="460">
        <f t="shared" si="583"/>
        <v>11.532741076381907</v>
      </c>
      <c r="EP194" s="460">
        <f t="shared" si="603"/>
        <v>3230.2200916911015</v>
      </c>
      <c r="EQ194" s="173">
        <f t="shared" si="584"/>
        <v>5.88</v>
      </c>
      <c r="ER194" s="173">
        <f t="shared" si="585"/>
        <v>9.3187499999999993E-2</v>
      </c>
      <c r="ES194" s="528"/>
      <c r="EU194" s="460">
        <f t="shared" si="497"/>
        <v>5973.1875</v>
      </c>
      <c r="EV194" s="528">
        <f t="shared" si="586"/>
        <v>4.0779712394788863</v>
      </c>
      <c r="EW194" s="528">
        <f t="shared" si="587"/>
        <v>4.9351244299426034</v>
      </c>
      <c r="EX194" s="528">
        <f t="shared" si="588"/>
        <v>4.9886815665218089E-4</v>
      </c>
      <c r="EY194" s="528">
        <f t="shared" si="589"/>
        <v>0.6867937521027887</v>
      </c>
      <c r="EZ194" s="528"/>
      <c r="FA194" s="625">
        <f t="shared" si="590"/>
        <v>2.150698454283469E-2</v>
      </c>
      <c r="FB194" s="460">
        <f t="shared" si="613"/>
        <v>9721.8952742237652</v>
      </c>
      <c r="FC194" s="173">
        <f t="shared" si="591"/>
        <v>18.925302865914869</v>
      </c>
      <c r="FD194" s="5">
        <f t="shared" si="592"/>
        <v>127.68</v>
      </c>
      <c r="FE194" s="173">
        <f t="shared" si="593"/>
        <v>0.87090983411954803</v>
      </c>
      <c r="FF194" s="5">
        <f t="shared" si="594"/>
        <v>87.090983411954809</v>
      </c>
      <c r="FG194">
        <f t="shared" si="595"/>
        <v>84.000000000000014</v>
      </c>
      <c r="FI194" s="562">
        <f t="shared" si="596"/>
        <v>-50</v>
      </c>
      <c r="FJ194">
        <f t="shared" si="597"/>
        <v>-50</v>
      </c>
    </row>
    <row r="195" spans="5:166">
      <c r="E195" s="170">
        <v>85</v>
      </c>
      <c r="F195" s="217">
        <f t="shared" si="598"/>
        <v>8.5</v>
      </c>
      <c r="G195" s="217">
        <f t="shared" si="499"/>
        <v>0.21249999999999999</v>
      </c>
      <c r="H195" s="217">
        <f t="shared" si="500"/>
        <v>127.5</v>
      </c>
      <c r="I195" s="217">
        <f t="shared" si="501"/>
        <v>1.7</v>
      </c>
      <c r="J195" s="541">
        <f t="shared" si="502"/>
        <v>18.1344913371017</v>
      </c>
      <c r="K195" s="443">
        <f t="shared" si="503"/>
        <v>16.165710526315788</v>
      </c>
      <c r="L195" s="172">
        <f t="shared" si="504"/>
        <v>34.300201863417485</v>
      </c>
      <c r="M195" s="443"/>
      <c r="N195" s="217">
        <f t="shared" si="505"/>
        <v>0.47130074017311119</v>
      </c>
      <c r="O195" s="172">
        <f t="shared" si="506"/>
        <v>210.85853264405191</v>
      </c>
      <c r="P195" s="172">
        <f t="shared" si="507"/>
        <v>2.848933063279635</v>
      </c>
      <c r="Q195" s="217">
        <f t="shared" si="508"/>
        <v>14.05723550960346</v>
      </c>
      <c r="R195" s="217">
        <f t="shared" si="509"/>
        <v>26.357316580506488</v>
      </c>
      <c r="S195" s="217">
        <f t="shared" si="510"/>
        <v>15</v>
      </c>
      <c r="T195" s="217">
        <f t="shared" si="511"/>
        <v>30.233540564192253</v>
      </c>
      <c r="U195" s="217">
        <f t="shared" si="512"/>
        <v>20.006212472474626</v>
      </c>
      <c r="V195" s="217">
        <f t="shared" si="513"/>
        <v>22.442718257246362</v>
      </c>
      <c r="W195" s="197">
        <f t="shared" si="514"/>
        <v>71.223326581990861</v>
      </c>
      <c r="X195" s="443">
        <f t="shared" si="599"/>
        <v>23.447246692708401</v>
      </c>
      <c r="Z195" s="217">
        <f t="shared" si="515"/>
        <v>10</v>
      </c>
      <c r="AA195" s="173">
        <f t="shared" si="516"/>
        <v>7.4231194357126942</v>
      </c>
      <c r="AB195" s="173">
        <f t="shared" si="517"/>
        <v>2.6087134530932019</v>
      </c>
      <c r="AC195" s="173"/>
      <c r="AD195" s="173">
        <f t="shared" si="518"/>
        <v>7.4231194357126942</v>
      </c>
      <c r="AE195" s="545">
        <f t="shared" si="519"/>
        <v>229.01423245614032</v>
      </c>
      <c r="AF195" s="528">
        <f t="shared" si="520"/>
        <v>2.6434962991344446</v>
      </c>
      <c r="AH195" s="173">
        <f t="shared" si="521"/>
        <v>7.8437114635744676</v>
      </c>
      <c r="AI195" s="173">
        <f t="shared" si="522"/>
        <v>30.233540564192253</v>
      </c>
      <c r="AJ195" s="173">
        <f t="shared" si="523"/>
        <v>16.187807825327592</v>
      </c>
      <c r="AL195" s="545">
        <f t="shared" si="524"/>
        <v>8500</v>
      </c>
      <c r="AM195" s="460">
        <f t="shared" si="525"/>
        <v>23.447246692708401</v>
      </c>
      <c r="AO195">
        <f t="shared" si="526"/>
        <v>8500</v>
      </c>
      <c r="AP195">
        <f t="shared" si="527"/>
        <v>23.447246692708401</v>
      </c>
      <c r="AR195" s="5">
        <f t="shared" si="443"/>
        <v>42.648930729720988</v>
      </c>
      <c r="AS195" s="5">
        <f t="shared" si="604"/>
        <v>20.006212472474626</v>
      </c>
      <c r="AT195" s="5">
        <f t="shared" si="605"/>
        <v>22.642718257246361</v>
      </c>
      <c r="AU195" s="173">
        <f t="shared" si="606"/>
        <v>0.46909059922885221</v>
      </c>
      <c r="AW195" s="5">
        <f t="shared" si="477"/>
        <v>1133.6853734402289</v>
      </c>
      <c r="AX195" s="5">
        <f t="shared" si="478"/>
        <v>53.141501880010722</v>
      </c>
      <c r="AY195" s="5">
        <f t="shared" si="479"/>
        <v>44.221235105914381</v>
      </c>
      <c r="AZ195" s="5"/>
      <c r="BA195" s="173">
        <f t="shared" si="480"/>
        <v>11.955197266739145</v>
      </c>
      <c r="BB195" s="173">
        <f t="shared" si="481"/>
        <v>12.718578929879405</v>
      </c>
      <c r="BC195" s="173">
        <f t="shared" si="482"/>
        <v>0.31322617913585366</v>
      </c>
      <c r="BD195" s="173"/>
      <c r="BE195" s="528">
        <f t="shared" si="483"/>
        <v>2.8585348337329424</v>
      </c>
      <c r="BF195" s="528">
        <f t="shared" si="528"/>
        <v>0.45590967639207891</v>
      </c>
      <c r="BG195" s="528">
        <f t="shared" si="529"/>
        <v>1.0630097300695173E-2</v>
      </c>
      <c r="BH195" s="528">
        <f t="shared" si="484"/>
        <v>2.758577595595643E-3</v>
      </c>
      <c r="BI195">
        <f t="shared" si="485"/>
        <v>8.1605211016957651E-3</v>
      </c>
      <c r="BJ195" s="460">
        <f t="shared" si="600"/>
        <v>18.790618402390937</v>
      </c>
      <c r="BK195">
        <f t="shared" si="530"/>
        <v>12.745801025702526</v>
      </c>
      <c r="BL195" s="460">
        <f t="shared" si="601"/>
        <v>3335.993706123008</v>
      </c>
      <c r="BM195" s="173">
        <f t="shared" si="531"/>
        <v>5.2806249999999988</v>
      </c>
      <c r="BN195" s="173">
        <f t="shared" si="532"/>
        <v>0.132015625</v>
      </c>
      <c r="BO195" s="528"/>
      <c r="BQ195" s="460">
        <f t="shared" si="486"/>
        <v>5412.6406249999991</v>
      </c>
      <c r="BR195" s="528">
        <f t="shared" si="487"/>
        <v>4.2878022505994133</v>
      </c>
      <c r="BS195" s="528">
        <f t="shared" si="488"/>
        <v>4.8528674998671706</v>
      </c>
      <c r="BT195" s="528">
        <f t="shared" si="489"/>
        <v>4.9055319648022946E-4</v>
      </c>
      <c r="BU195" s="528">
        <f t="shared" si="490"/>
        <v>0.66899390196125463</v>
      </c>
      <c r="BV195" s="528"/>
      <c r="BW195" s="625">
        <f t="shared" si="533"/>
        <v>2.1432353857576733E-2</v>
      </c>
      <c r="BX195" s="460">
        <f t="shared" si="607"/>
        <v>9831.5865594818952</v>
      </c>
      <c r="BY195" s="173">
        <f t="shared" si="608"/>
        <v>18.580220890604902</v>
      </c>
      <c r="BZ195" s="5">
        <f t="shared" si="609"/>
        <v>129.19999999999999</v>
      </c>
      <c r="CA195" s="173">
        <f t="shared" si="610"/>
        <v>0.8742712605338504</v>
      </c>
      <c r="CB195" s="5">
        <f t="shared" si="611"/>
        <v>87.427126053385038</v>
      </c>
      <c r="CC195">
        <f t="shared" si="612"/>
        <v>85</v>
      </c>
      <c r="CE195" s="562">
        <f t="shared" si="534"/>
        <v>-50</v>
      </c>
      <c r="CF195">
        <f t="shared" si="535"/>
        <v>-50</v>
      </c>
      <c r="CG195" s="173">
        <f t="shared" si="536"/>
        <v>0.54755043227665712</v>
      </c>
      <c r="CH195" s="173">
        <f t="shared" si="537"/>
        <v>6.4398811101315845E-2</v>
      </c>
      <c r="CI195" s="170">
        <v>85</v>
      </c>
      <c r="CJ195" s="217">
        <f t="shared" si="602"/>
        <v>8.5</v>
      </c>
      <c r="CK195" s="217">
        <f t="shared" si="538"/>
        <v>0.21249999999999999</v>
      </c>
      <c r="CL195" s="217">
        <f t="shared" si="539"/>
        <v>127.5</v>
      </c>
      <c r="CM195" s="217">
        <f t="shared" si="540"/>
        <v>1.7</v>
      </c>
      <c r="CN195" s="541">
        <f t="shared" si="541"/>
        <v>19</v>
      </c>
      <c r="CO195" s="443">
        <f t="shared" si="542"/>
        <v>15.7</v>
      </c>
      <c r="CP195" s="443">
        <f t="shared" si="543"/>
        <v>34.700000000000003</v>
      </c>
      <c r="CQ195" s="443"/>
      <c r="CR195" s="217">
        <f t="shared" si="544"/>
        <v>0.44767441860465118</v>
      </c>
      <c r="CS195" s="172">
        <f t="shared" si="545"/>
        <v>209.84738372093025</v>
      </c>
      <c r="CT195" s="172">
        <f t="shared" si="546"/>
        <v>2.835271317829458</v>
      </c>
      <c r="CU195" s="217">
        <f t="shared" si="547"/>
        <v>13.989825581395349</v>
      </c>
      <c r="CV195" s="217">
        <f t="shared" si="548"/>
        <v>26.230922965116282</v>
      </c>
      <c r="CW195" s="217">
        <f t="shared" si="549"/>
        <v>15</v>
      </c>
      <c r="CX195" s="217">
        <f t="shared" si="550"/>
        <v>30.379220779220773</v>
      </c>
      <c r="CY195" s="217">
        <f t="shared" si="551"/>
        <v>19.18687628161312</v>
      </c>
      <c r="CZ195" s="217">
        <f t="shared" si="552"/>
        <v>23.219786582843906</v>
      </c>
      <c r="DA195" s="197">
        <f t="shared" si="553"/>
        <v>71.63784822286263</v>
      </c>
      <c r="DB195" s="443">
        <f t="shared" si="554"/>
        <v>23.581200039160496</v>
      </c>
      <c r="DD195" s="217">
        <f t="shared" si="555"/>
        <v>10.000000000000002</v>
      </c>
      <c r="DE195" s="173">
        <f t="shared" si="556"/>
        <v>7.6433121019108299</v>
      </c>
      <c r="DF195" s="173">
        <f t="shared" si="557"/>
        <v>2.7017291066282429</v>
      </c>
      <c r="DG195" s="173"/>
      <c r="DH195" s="173">
        <f t="shared" si="558"/>
        <v>7.6433121019108281</v>
      </c>
      <c r="DI195" s="545">
        <f t="shared" si="559"/>
        <v>222.41666666666666</v>
      </c>
      <c r="DJ195" s="528">
        <f t="shared" si="560"/>
        <v>2.7377521613832849</v>
      </c>
      <c r="DL195" s="173">
        <f t="shared" si="561"/>
        <v>7.8437114635744676</v>
      </c>
      <c r="DM195" s="173">
        <f t="shared" si="562"/>
        <v>30.379220779220773</v>
      </c>
      <c r="DN195" s="173">
        <f t="shared" si="563"/>
        <v>16.29571909571909</v>
      </c>
      <c r="DP195" s="545">
        <f t="shared" si="564"/>
        <v>8500</v>
      </c>
      <c r="DQ195" s="460">
        <f t="shared" si="565"/>
        <v>23.581200039160496</v>
      </c>
      <c r="DS195">
        <f t="shared" si="614"/>
        <v>8500</v>
      </c>
      <c r="DT195">
        <f t="shared" si="615"/>
        <v>23.581200039160496</v>
      </c>
      <c r="DV195" s="5">
        <f t="shared" si="568"/>
        <v>42.406662864457026</v>
      </c>
      <c r="DW195" s="5">
        <f t="shared" si="569"/>
        <v>19.18687628161312</v>
      </c>
      <c r="DX195" s="5">
        <f t="shared" si="570"/>
        <v>23.219786582843906</v>
      </c>
      <c r="DY195" s="173">
        <f t="shared" si="571"/>
        <v>0.45244956772334294</v>
      </c>
      <c r="EA195" s="5">
        <f t="shared" si="572"/>
        <v>1087.2563226247437</v>
      </c>
      <c r="EB195" s="5">
        <f t="shared" si="573"/>
        <v>50.965140123034843</v>
      </c>
      <c r="EC195" s="5">
        <f t="shared" si="574"/>
        <v>43.282496919774822</v>
      </c>
      <c r="ED195" s="5"/>
      <c r="EE195" s="173">
        <f t="shared" si="575"/>
        <v>11.797801683039058</v>
      </c>
      <c r="EF195" s="173">
        <f t="shared" si="576"/>
        <v>12.978606518622374</v>
      </c>
      <c r="EG195" s="173">
        <f t="shared" si="577"/>
        <v>0.31962999583117063</v>
      </c>
      <c r="EH195" s="173"/>
      <c r="EI195" s="528">
        <f t="shared" si="578"/>
        <v>2.7837624910463847</v>
      </c>
      <c r="EJ195" s="528">
        <f t="shared" si="579"/>
        <v>0.4971666666666667</v>
      </c>
      <c r="EK195" s="528">
        <f t="shared" si="580"/>
        <v>2.9476500048950618E-3</v>
      </c>
      <c r="EL195" s="528">
        <f t="shared" si="581"/>
        <v>2.8393887155152768E-3</v>
      </c>
      <c r="EM195">
        <f t="shared" si="582"/>
        <v>8.5500000000000003E-3</v>
      </c>
      <c r="EN195" s="460">
        <f t="shared" si="583"/>
        <v>11.497650004895062</v>
      </c>
      <c r="EP195" s="460">
        <f t="shared" si="603"/>
        <v>3295.2661964334616</v>
      </c>
      <c r="EQ195" s="173">
        <f t="shared" si="584"/>
        <v>5.9499999999999993</v>
      </c>
      <c r="ER195" s="173">
        <f t="shared" si="585"/>
        <v>9.4296874999999988E-2</v>
      </c>
      <c r="ES195" s="528"/>
      <c r="EU195" s="460">
        <f t="shared" si="497"/>
        <v>6044.296875</v>
      </c>
      <c r="EV195" s="528">
        <f t="shared" si="586"/>
        <v>4.1756437365695769</v>
      </c>
      <c r="EW195" s="528">
        <f t="shared" si="587"/>
        <v>5.053326814956816</v>
      </c>
      <c r="EX195" s="528">
        <f t="shared" si="588"/>
        <v>5.1081667117517076E-4</v>
      </c>
      <c r="EY195" s="528">
        <f t="shared" si="589"/>
        <v>0.68679375210278926</v>
      </c>
      <c r="EZ195" s="528"/>
      <c r="FA195" s="625">
        <f t="shared" si="590"/>
        <v>2.1763020073106525E-2</v>
      </c>
      <c r="FB195" s="460">
        <f t="shared" si="613"/>
        <v>9938.0381403734627</v>
      </c>
      <c r="FC195" s="173">
        <f t="shared" si="591"/>
        <v>19.277601211806921</v>
      </c>
      <c r="FD195" s="5">
        <f t="shared" si="592"/>
        <v>129.19999999999999</v>
      </c>
      <c r="FE195" s="173">
        <f t="shared" si="593"/>
        <v>0.87016492013292335</v>
      </c>
      <c r="FF195" s="5">
        <f t="shared" si="594"/>
        <v>87.016492013292336</v>
      </c>
      <c r="FG195">
        <f t="shared" si="595"/>
        <v>85</v>
      </c>
      <c r="FI195" s="562">
        <f t="shared" si="596"/>
        <v>-50</v>
      </c>
      <c r="FJ195">
        <f t="shared" si="597"/>
        <v>-50</v>
      </c>
    </row>
    <row r="196" spans="5:166">
      <c r="E196" s="170">
        <v>86</v>
      </c>
      <c r="F196" s="217">
        <f t="shared" si="598"/>
        <v>8.6</v>
      </c>
      <c r="G196" s="217">
        <f t="shared" si="499"/>
        <v>0.215</v>
      </c>
      <c r="H196" s="217">
        <f t="shared" si="500"/>
        <v>129</v>
      </c>
      <c r="I196" s="217">
        <f t="shared" si="501"/>
        <v>1.72</v>
      </c>
      <c r="J196" s="541">
        <f t="shared" si="502"/>
        <v>18.124308882244073</v>
      </c>
      <c r="K196" s="443">
        <f t="shared" si="503"/>
        <v>16.171189473684208</v>
      </c>
      <c r="L196" s="172">
        <f t="shared" si="504"/>
        <v>34.295498355928281</v>
      </c>
      <c r="M196" s="443"/>
      <c r="N196" s="217">
        <f t="shared" si="505"/>
        <v>0.47152513446094524</v>
      </c>
      <c r="O196" s="172">
        <f t="shared" si="506"/>
        <v>210.84047325769347</v>
      </c>
      <c r="P196" s="172">
        <f t="shared" si="507"/>
        <v>2.8486890609039475</v>
      </c>
      <c r="Q196" s="217">
        <f t="shared" si="508"/>
        <v>14.056031550512898</v>
      </c>
      <c r="R196" s="217">
        <f t="shared" si="509"/>
        <v>26.355059157211684</v>
      </c>
      <c r="S196" s="217">
        <f t="shared" si="510"/>
        <v>15</v>
      </c>
      <c r="T196" s="217">
        <f t="shared" si="511"/>
        <v>30.591849374748275</v>
      </c>
      <c r="U196" s="217">
        <f t="shared" si="512"/>
        <v>20.254686392848889</v>
      </c>
      <c r="V196" s="217">
        <f t="shared" si="513"/>
        <v>22.7010012525284</v>
      </c>
      <c r="W196" s="197">
        <f t="shared" si="514"/>
        <v>71.217226522598665</v>
      </c>
      <c r="X196" s="443">
        <f t="shared" si="599"/>
        <v>23.171916717381215</v>
      </c>
      <c r="Z196" s="217">
        <f t="shared" si="515"/>
        <v>10</v>
      </c>
      <c r="AA196" s="173">
        <f t="shared" si="516"/>
        <v>7.4206044147388832</v>
      </c>
      <c r="AB196" s="173">
        <f t="shared" si="517"/>
        <v>2.6076062444361252</v>
      </c>
      <c r="AC196" s="173"/>
      <c r="AD196" s="173">
        <f t="shared" si="518"/>
        <v>7.4206044147388832</v>
      </c>
      <c r="AE196" s="545">
        <f t="shared" si="519"/>
        <v>231.78704912280699</v>
      </c>
      <c r="AF196" s="528">
        <f t="shared" si="520"/>
        <v>2.6423743276952734</v>
      </c>
      <c r="AH196" s="173">
        <f t="shared" si="521"/>
        <v>7.8897160308606198</v>
      </c>
      <c r="AI196" s="173">
        <f t="shared" si="522"/>
        <v>30.591849374748275</v>
      </c>
      <c r="AJ196" s="173">
        <f t="shared" si="523"/>
        <v>16.453221759072797</v>
      </c>
      <c r="AL196" s="545">
        <f t="shared" si="524"/>
        <v>8600</v>
      </c>
      <c r="AM196" s="460">
        <f t="shared" si="525"/>
        <v>23.171916717381215</v>
      </c>
      <c r="AO196">
        <f t="shared" si="526"/>
        <v>8600</v>
      </c>
      <c r="AP196">
        <f t="shared" si="527"/>
        <v>23.171916717381215</v>
      </c>
      <c r="AR196" s="5">
        <f t="shared" si="443"/>
        <v>43.155687645377292</v>
      </c>
      <c r="AS196" s="5">
        <f t="shared" si="604"/>
        <v>20.254686392848889</v>
      </c>
      <c r="AT196" s="5">
        <f t="shared" si="605"/>
        <v>22.901001252528403</v>
      </c>
      <c r="AU196" s="173">
        <f t="shared" si="606"/>
        <v>0.46933990623176897</v>
      </c>
      <c r="AW196" s="5">
        <f t="shared" si="477"/>
        <v>1161.2686865233361</v>
      </c>
      <c r="AX196" s="5">
        <f t="shared" si="478"/>
        <v>54.434469680781383</v>
      </c>
      <c r="AY196" s="5">
        <f t="shared" si="479"/>
        <v>45.277269157163524</v>
      </c>
      <c r="AZ196" s="5"/>
      <c r="BA196" s="173">
        <f t="shared" si="480"/>
        <v>12.100096837915258</v>
      </c>
      <c r="BB196" s="173">
        <f t="shared" si="481"/>
        <v>12.86628951571387</v>
      </c>
      <c r="BC196" s="173">
        <f t="shared" si="482"/>
        <v>0.31686391434777694</v>
      </c>
      <c r="BD196" s="173"/>
      <c r="BE196" s="528">
        <f t="shared" si="483"/>
        <v>2.9282468697385364</v>
      </c>
      <c r="BF196" s="528">
        <f t="shared" si="528"/>
        <v>0.45583333442530094</v>
      </c>
      <c r="BG196" s="528">
        <f t="shared" si="529"/>
        <v>1.0499374399486307E-2</v>
      </c>
      <c r="BH196" s="528">
        <f t="shared" si="484"/>
        <v>2.7254372984309716E-3</v>
      </c>
      <c r="BI196">
        <f t="shared" si="485"/>
        <v>8.1559389970098321E-3</v>
      </c>
      <c r="BJ196" s="460">
        <f t="shared" si="600"/>
        <v>18.65531339649614</v>
      </c>
      <c r="BK196">
        <f t="shared" si="530"/>
        <v>13.730327990402991</v>
      </c>
      <c r="BL196" s="460">
        <f t="shared" si="601"/>
        <v>3405.4609548587646</v>
      </c>
      <c r="BM196" s="173">
        <f t="shared" si="531"/>
        <v>5.3427499999999997</v>
      </c>
      <c r="BN196" s="173">
        <f t="shared" si="532"/>
        <v>0.13356874999999999</v>
      </c>
      <c r="BO196" s="528"/>
      <c r="BQ196" s="460">
        <f t="shared" si="486"/>
        <v>5476.3187499999995</v>
      </c>
      <c r="BR196" s="528">
        <f t="shared" si="487"/>
        <v>4.3923703046078044</v>
      </c>
      <c r="BS196" s="528">
        <f t="shared" si="488"/>
        <v>4.9662421770650598</v>
      </c>
      <c r="BT196" s="528">
        <f t="shared" si="489"/>
        <v>5.020137010789766E-4</v>
      </c>
      <c r="BU196" s="528">
        <f t="shared" si="490"/>
        <v>0.66894318295867383</v>
      </c>
      <c r="BV196" s="528"/>
      <c r="BW196" s="625">
        <f t="shared" si="533"/>
        <v>2.1685698901556798E-2</v>
      </c>
      <c r="BX196" s="460">
        <f t="shared" si="607"/>
        <v>10049.743377234174</v>
      </c>
      <c r="BY196" s="173">
        <f t="shared" si="608"/>
        <v>18.931523082092941</v>
      </c>
      <c r="BZ196" s="5">
        <f t="shared" si="609"/>
        <v>130.72</v>
      </c>
      <c r="CA196" s="173">
        <f t="shared" si="610"/>
        <v>0.87349595452023654</v>
      </c>
      <c r="CB196" s="5">
        <f t="shared" si="611"/>
        <v>87.34959545202365</v>
      </c>
      <c r="CC196">
        <f t="shared" si="612"/>
        <v>86</v>
      </c>
      <c r="CE196" s="562">
        <f t="shared" si="534"/>
        <v>-50</v>
      </c>
      <c r="CF196">
        <f t="shared" si="535"/>
        <v>-50</v>
      </c>
      <c r="CG196" s="173">
        <f t="shared" si="536"/>
        <v>0.54755043227665712</v>
      </c>
      <c r="CH196" s="173">
        <f t="shared" si="537"/>
        <v>6.4398811101315845E-2</v>
      </c>
      <c r="CI196" s="170">
        <v>86</v>
      </c>
      <c r="CJ196" s="217">
        <f t="shared" si="602"/>
        <v>8.6</v>
      </c>
      <c r="CK196" s="217">
        <f t="shared" si="538"/>
        <v>0.215</v>
      </c>
      <c r="CL196" s="217">
        <f t="shared" si="539"/>
        <v>129</v>
      </c>
      <c r="CM196" s="217">
        <f t="shared" si="540"/>
        <v>1.72</v>
      </c>
      <c r="CN196" s="541">
        <f t="shared" si="541"/>
        <v>19</v>
      </c>
      <c r="CO196" s="443">
        <f t="shared" si="542"/>
        <v>15.7</v>
      </c>
      <c r="CP196" s="443">
        <f t="shared" si="543"/>
        <v>34.700000000000003</v>
      </c>
      <c r="CQ196" s="443"/>
      <c r="CR196" s="217">
        <f t="shared" si="544"/>
        <v>0.44767441860465118</v>
      </c>
      <c r="CS196" s="172">
        <f t="shared" si="545"/>
        <v>209.84738372093025</v>
      </c>
      <c r="CT196" s="172">
        <f t="shared" si="546"/>
        <v>2.835271317829458</v>
      </c>
      <c r="CU196" s="217">
        <f t="shared" si="547"/>
        <v>13.989825581395349</v>
      </c>
      <c r="CV196" s="217">
        <f t="shared" si="548"/>
        <v>26.230922965116282</v>
      </c>
      <c r="CW196" s="217">
        <f t="shared" si="549"/>
        <v>15</v>
      </c>
      <c r="CX196" s="217">
        <f t="shared" si="550"/>
        <v>30.736623376623374</v>
      </c>
      <c r="CY196" s="217">
        <f t="shared" si="551"/>
        <v>19.412604237867392</v>
      </c>
      <c r="CZ196" s="217">
        <f t="shared" si="552"/>
        <v>23.49296054264207</v>
      </c>
      <c r="DA196" s="197">
        <f t="shared" si="553"/>
        <v>71.63784822286263</v>
      </c>
      <c r="DB196" s="443">
        <f t="shared" si="554"/>
        <v>23.307000038705141</v>
      </c>
      <c r="DD196" s="217">
        <f t="shared" si="555"/>
        <v>10.000000000000002</v>
      </c>
      <c r="DE196" s="173">
        <f t="shared" si="556"/>
        <v>7.6433121019108299</v>
      </c>
      <c r="DF196" s="173">
        <f t="shared" si="557"/>
        <v>2.7017291066282429</v>
      </c>
      <c r="DG196" s="173"/>
      <c r="DH196" s="173">
        <f t="shared" si="558"/>
        <v>7.6433121019108281</v>
      </c>
      <c r="DI196" s="545">
        <f t="shared" si="559"/>
        <v>225.03333333333333</v>
      </c>
      <c r="DJ196" s="528">
        <f t="shared" si="560"/>
        <v>2.7377521613832849</v>
      </c>
      <c r="DL196" s="173">
        <f t="shared" si="561"/>
        <v>7.8897160308606198</v>
      </c>
      <c r="DM196" s="173">
        <f t="shared" si="562"/>
        <v>30.736623376623374</v>
      </c>
      <c r="DN196" s="173">
        <f t="shared" si="563"/>
        <v>16.560461760461759</v>
      </c>
      <c r="DP196" s="545">
        <f t="shared" si="564"/>
        <v>8600</v>
      </c>
      <c r="DQ196" s="460">
        <f t="shared" si="565"/>
        <v>23.307000038705141</v>
      </c>
      <c r="DS196">
        <f t="shared" si="614"/>
        <v>8600</v>
      </c>
      <c r="DT196">
        <f t="shared" si="615"/>
        <v>23.307000038705141</v>
      </c>
      <c r="DV196" s="5">
        <f t="shared" si="568"/>
        <v>42.905564780509465</v>
      </c>
      <c r="DW196" s="5">
        <f t="shared" si="569"/>
        <v>19.412604237867392</v>
      </c>
      <c r="DX196" s="5">
        <f t="shared" si="570"/>
        <v>23.492960542642074</v>
      </c>
      <c r="DY196" s="173">
        <f t="shared" si="571"/>
        <v>0.45244956772334288</v>
      </c>
      <c r="EA196" s="5">
        <f t="shared" si="572"/>
        <v>1112.9893096377305</v>
      </c>
      <c r="EB196" s="5">
        <f t="shared" si="573"/>
        <v>52.171373889268608</v>
      </c>
      <c r="EC196" s="5">
        <f t="shared" si="574"/>
        <v>44.306899269017947</v>
      </c>
      <c r="ED196" s="5"/>
      <c r="EE196" s="173">
        <f t="shared" si="575"/>
        <v>11.936599349898342</v>
      </c>
      <c r="EF196" s="173">
        <f t="shared" si="576"/>
        <v>13.131296007076756</v>
      </c>
      <c r="EG196" s="173">
        <f t="shared" si="577"/>
        <v>0.32339034872330213</v>
      </c>
      <c r="EH196" s="173"/>
      <c r="EI196" s="528">
        <f t="shared" si="578"/>
        <v>2.8496480807998705</v>
      </c>
      <c r="EJ196" s="528">
        <f t="shared" si="579"/>
        <v>0.49716666666666665</v>
      </c>
      <c r="EK196" s="528">
        <f t="shared" si="580"/>
        <v>2.9133750048381422E-3</v>
      </c>
      <c r="EL196" s="528">
        <f t="shared" si="581"/>
        <v>2.8063725676604483E-3</v>
      </c>
      <c r="EM196">
        <f t="shared" si="582"/>
        <v>8.5500000000000003E-3</v>
      </c>
      <c r="EN196" s="460">
        <f t="shared" si="583"/>
        <v>11.463375004838142</v>
      </c>
      <c r="EP196" s="460">
        <f t="shared" si="603"/>
        <v>3361.084495039036</v>
      </c>
      <c r="EQ196" s="173">
        <f t="shared" si="584"/>
        <v>6.02</v>
      </c>
      <c r="ER196" s="173">
        <f t="shared" si="585"/>
        <v>9.5406249999999998E-2</v>
      </c>
      <c r="ES196" s="528"/>
      <c r="EU196" s="460">
        <f t="shared" si="497"/>
        <v>6115.4062499999991</v>
      </c>
      <c r="EV196" s="528">
        <f t="shared" si="586"/>
        <v>4.274472121199806</v>
      </c>
      <c r="EW196" s="528">
        <f t="shared" si="587"/>
        <v>5.1729280447640988</v>
      </c>
      <c r="EX196" s="528">
        <f t="shared" si="588"/>
        <v>5.2290658823689481E-4</v>
      </c>
      <c r="EY196" s="528">
        <f t="shared" si="589"/>
        <v>0.68679375210278804</v>
      </c>
      <c r="EZ196" s="528"/>
      <c r="FA196" s="625">
        <f t="shared" si="590"/>
        <v>2.2019055603378371E-2</v>
      </c>
      <c r="FB196" s="460">
        <f t="shared" si="613"/>
        <v>10156.735880258309</v>
      </c>
      <c r="FC196" s="173">
        <f t="shared" si="591"/>
        <v>19.633226625297343</v>
      </c>
      <c r="FD196" s="5">
        <f t="shared" si="592"/>
        <v>130.72</v>
      </c>
      <c r="FE196" s="173">
        <f t="shared" si="593"/>
        <v>0.86941931965167418</v>
      </c>
      <c r="FF196" s="5">
        <f t="shared" si="594"/>
        <v>86.941931965167413</v>
      </c>
      <c r="FG196">
        <f t="shared" si="595"/>
        <v>86</v>
      </c>
      <c r="FI196" s="562">
        <f t="shared" si="596"/>
        <v>-50</v>
      </c>
      <c r="FJ196">
        <f t="shared" si="597"/>
        <v>-50</v>
      </c>
    </row>
    <row r="197" spans="5:166">
      <c r="E197" s="170">
        <v>87</v>
      </c>
      <c r="F197" s="217">
        <f t="shared" si="598"/>
        <v>8.6999999999999993</v>
      </c>
      <c r="G197" s="217">
        <f t="shared" si="499"/>
        <v>0.2175</v>
      </c>
      <c r="H197" s="217">
        <f t="shared" si="500"/>
        <v>130.5</v>
      </c>
      <c r="I197" s="217">
        <f t="shared" si="501"/>
        <v>1.74</v>
      </c>
      <c r="J197" s="541">
        <f t="shared" si="502"/>
        <v>18.114126427386445</v>
      </c>
      <c r="K197" s="443">
        <f t="shared" si="503"/>
        <v>16.176668421052632</v>
      </c>
      <c r="L197" s="172">
        <f t="shared" si="504"/>
        <v>34.290794848439077</v>
      </c>
      <c r="M197" s="443"/>
      <c r="N197" s="217">
        <f t="shared" si="505"/>
        <v>0.47174959030700325</v>
      </c>
      <c r="O197" s="172">
        <f t="shared" si="506"/>
        <v>210.8223286403491</v>
      </c>
      <c r="P197" s="172">
        <f t="shared" si="507"/>
        <v>2.848443906962939</v>
      </c>
      <c r="Q197" s="217">
        <f t="shared" si="508"/>
        <v>14.054821909356606</v>
      </c>
      <c r="R197" s="217">
        <f t="shared" si="509"/>
        <v>26.352791080043637</v>
      </c>
      <c r="S197" s="217">
        <f t="shared" si="510"/>
        <v>15</v>
      </c>
      <c r="T197" s="217">
        <f t="shared" si="511"/>
        <v>30.9502320844358</v>
      </c>
      <c r="U197" s="217">
        <f t="shared" si="512"/>
        <v>20.503488617133197</v>
      </c>
      <c r="V197" s="217">
        <f t="shared" si="513"/>
        <v>22.959164108839541</v>
      </c>
      <c r="W197" s="197">
        <f t="shared" si="514"/>
        <v>71.211097674073471</v>
      </c>
      <c r="X197" s="443">
        <f t="shared" si="599"/>
        <v>22.902868643277593</v>
      </c>
      <c r="Z197" s="217">
        <f t="shared" si="515"/>
        <v>9.9999999999999982</v>
      </c>
      <c r="AA197" s="173">
        <f t="shared" si="516"/>
        <v>7.4180910974122236</v>
      </c>
      <c r="AB197" s="173">
        <f t="shared" si="517"/>
        <v>2.6064987320378123</v>
      </c>
      <c r="AC197" s="173"/>
      <c r="AD197" s="173">
        <f t="shared" si="518"/>
        <v>7.4180910974122254</v>
      </c>
      <c r="AE197" s="545">
        <f t="shared" si="519"/>
        <v>234.56169210526312</v>
      </c>
      <c r="AF197" s="528">
        <f t="shared" si="520"/>
        <v>2.6412520484649842</v>
      </c>
      <c r="AH197" s="173">
        <f t="shared" si="521"/>
        <v>7.9354538982611809</v>
      </c>
      <c r="AI197" s="173">
        <f t="shared" si="522"/>
        <v>30.9502320844358</v>
      </c>
      <c r="AJ197" s="173">
        <f t="shared" si="523"/>
        <v>16.718690432915405</v>
      </c>
      <c r="AL197" s="545">
        <f t="shared" si="524"/>
        <v>8700</v>
      </c>
      <c r="AM197" s="460">
        <f t="shared" si="525"/>
        <v>22.902868643277593</v>
      </c>
      <c r="AO197">
        <f t="shared" si="526"/>
        <v>8700</v>
      </c>
      <c r="AP197">
        <f t="shared" si="527"/>
        <v>22.902868643277593</v>
      </c>
      <c r="AR197" s="5">
        <f t="shared" si="443"/>
        <v>43.662652725972741</v>
      </c>
      <c r="AS197" s="5">
        <f t="shared" si="604"/>
        <v>20.503488617133197</v>
      </c>
      <c r="AT197" s="5">
        <f t="shared" si="605"/>
        <v>23.159164108839544</v>
      </c>
      <c r="AU197" s="173">
        <f t="shared" si="606"/>
        <v>0.46958870652713897</v>
      </c>
      <c r="AW197" s="5">
        <f t="shared" si="477"/>
        <v>1189.2023397937255</v>
      </c>
      <c r="AX197" s="5">
        <f t="shared" si="478"/>
        <v>55.743859677830876</v>
      </c>
      <c r="AY197" s="5">
        <f t="shared" si="479"/>
        <v>46.346132247160298</v>
      </c>
      <c r="AZ197" s="5"/>
      <c r="BA197" s="173">
        <f t="shared" si="480"/>
        <v>12.245093467769639</v>
      </c>
      <c r="BB197" s="173">
        <f t="shared" si="481"/>
        <v>13.013965882558569</v>
      </c>
      <c r="BC197" s="173">
        <f t="shared" si="482"/>
        <v>0.32050080683320714</v>
      </c>
      <c r="BD197" s="173"/>
      <c r="BE197" s="528">
        <f t="shared" si="483"/>
        <v>2.9988462806882934</v>
      </c>
      <c r="BF197" s="528">
        <f t="shared" si="528"/>
        <v>0.45575623244011815</v>
      </c>
      <c r="BG197" s="528">
        <f t="shared" si="529"/>
        <v>1.0371636453853873E-2</v>
      </c>
      <c r="BH197" s="528">
        <f t="shared" si="484"/>
        <v>2.6930535318534969E-3</v>
      </c>
      <c r="BI197">
        <f t="shared" si="485"/>
        <v>8.1513568923239008E-3</v>
      </c>
      <c r="BJ197" s="460">
        <f t="shared" si="600"/>
        <v>18.522993346177774</v>
      </c>
      <c r="BK197">
        <f t="shared" si="530"/>
        <v>14.843019633911171</v>
      </c>
      <c r="BL197" s="460">
        <f t="shared" si="601"/>
        <v>3475.818560006443</v>
      </c>
      <c r="BM197" s="173">
        <f t="shared" si="531"/>
        <v>5.4048749999999988</v>
      </c>
      <c r="BN197" s="173">
        <f t="shared" si="532"/>
        <v>0.135121875</v>
      </c>
      <c r="BO197" s="528"/>
      <c r="BQ197" s="460">
        <f t="shared" si="486"/>
        <v>5539.9968749999989</v>
      </c>
      <c r="BR197" s="528">
        <f t="shared" si="487"/>
        <v>4.4982694210324397</v>
      </c>
      <c r="BS197" s="528">
        <f t="shared" si="488"/>
        <v>5.080899239771953</v>
      </c>
      <c r="BT197" s="528">
        <f t="shared" si="489"/>
        <v>5.1360383590368379E-4</v>
      </c>
      <c r="BU197" s="528">
        <f t="shared" si="490"/>
        <v>0.66888966374848791</v>
      </c>
      <c r="BV197" s="528"/>
      <c r="BW197" s="625">
        <f t="shared" si="533"/>
        <v>2.1939044155020435E-2</v>
      </c>
      <c r="BX197" s="460">
        <f t="shared" si="607"/>
        <v>10270.510972543803</v>
      </c>
      <c r="BY197" s="173">
        <f t="shared" si="608"/>
        <v>19.286326407550241</v>
      </c>
      <c r="BZ197" s="5">
        <f t="shared" si="609"/>
        <v>132.24</v>
      </c>
      <c r="CA197" s="173">
        <f t="shared" si="610"/>
        <v>0.87271963318323253</v>
      </c>
      <c r="CB197" s="5">
        <f t="shared" si="611"/>
        <v>87.271963318323259</v>
      </c>
      <c r="CC197">
        <f t="shared" si="612"/>
        <v>86.999999999999986</v>
      </c>
      <c r="CE197" s="562">
        <f t="shared" si="534"/>
        <v>-50</v>
      </c>
      <c r="CF197">
        <f t="shared" si="535"/>
        <v>-50</v>
      </c>
      <c r="CG197" s="173">
        <f t="shared" si="536"/>
        <v>0.54755043227665712</v>
      </c>
      <c r="CH197" s="173">
        <f t="shared" si="537"/>
        <v>6.4398811101315859E-2</v>
      </c>
      <c r="CI197" s="170">
        <v>87</v>
      </c>
      <c r="CJ197" s="217">
        <f t="shared" si="602"/>
        <v>8.6999999999999993</v>
      </c>
      <c r="CK197" s="217">
        <f t="shared" si="538"/>
        <v>0.2175</v>
      </c>
      <c r="CL197" s="217">
        <f t="shared" si="539"/>
        <v>130.5</v>
      </c>
      <c r="CM197" s="217">
        <f t="shared" si="540"/>
        <v>1.74</v>
      </c>
      <c r="CN197" s="541">
        <f t="shared" si="541"/>
        <v>19</v>
      </c>
      <c r="CO197" s="443">
        <f t="shared" si="542"/>
        <v>15.7</v>
      </c>
      <c r="CP197" s="443">
        <f t="shared" si="543"/>
        <v>34.700000000000003</v>
      </c>
      <c r="CQ197" s="443"/>
      <c r="CR197" s="217">
        <f t="shared" si="544"/>
        <v>0.44767441860465118</v>
      </c>
      <c r="CS197" s="172">
        <f t="shared" si="545"/>
        <v>209.84738372093025</v>
      </c>
      <c r="CT197" s="172">
        <f t="shared" si="546"/>
        <v>2.835271317829458</v>
      </c>
      <c r="CU197" s="217">
        <f t="shared" si="547"/>
        <v>13.989825581395349</v>
      </c>
      <c r="CV197" s="217">
        <f t="shared" si="548"/>
        <v>26.230922965116282</v>
      </c>
      <c r="CW197" s="217">
        <f t="shared" si="549"/>
        <v>15</v>
      </c>
      <c r="CX197" s="217">
        <f t="shared" si="550"/>
        <v>31.094025974025975</v>
      </c>
      <c r="CY197" s="217">
        <f t="shared" si="551"/>
        <v>19.638332194121666</v>
      </c>
      <c r="CZ197" s="217">
        <f t="shared" si="552"/>
        <v>23.766134502440234</v>
      </c>
      <c r="DA197" s="197">
        <f t="shared" si="553"/>
        <v>71.63784822286263</v>
      </c>
      <c r="DB197" s="443">
        <f t="shared" si="554"/>
        <v>23.039103486536117</v>
      </c>
      <c r="DD197" s="217">
        <f t="shared" si="555"/>
        <v>10.000000000000002</v>
      </c>
      <c r="DE197" s="173">
        <f t="shared" si="556"/>
        <v>7.6433121019108299</v>
      </c>
      <c r="DF197" s="173">
        <f t="shared" si="557"/>
        <v>2.7017291066282429</v>
      </c>
      <c r="DG197" s="173"/>
      <c r="DH197" s="173">
        <f t="shared" si="558"/>
        <v>7.6433121019108281</v>
      </c>
      <c r="DI197" s="545">
        <f t="shared" si="559"/>
        <v>227.65</v>
      </c>
      <c r="DJ197" s="528">
        <f t="shared" si="560"/>
        <v>2.7377521613832849</v>
      </c>
      <c r="DL197" s="173">
        <f t="shared" si="561"/>
        <v>7.9354538982611809</v>
      </c>
      <c r="DM197" s="173">
        <f t="shared" si="562"/>
        <v>31.094025974025975</v>
      </c>
      <c r="DN197" s="173">
        <f t="shared" si="563"/>
        <v>16.825204425204426</v>
      </c>
      <c r="DP197" s="545">
        <f t="shared" si="564"/>
        <v>8700</v>
      </c>
      <c r="DQ197" s="460">
        <f t="shared" si="565"/>
        <v>23.039103486536117</v>
      </c>
      <c r="DS197">
        <f t="shared" si="614"/>
        <v>8700</v>
      </c>
      <c r="DT197">
        <f t="shared" si="615"/>
        <v>23.039103486536117</v>
      </c>
      <c r="DV197" s="5">
        <f t="shared" si="568"/>
        <v>43.404466696561904</v>
      </c>
      <c r="DW197" s="5">
        <f t="shared" si="569"/>
        <v>19.638332194121666</v>
      </c>
      <c r="DX197" s="5">
        <f t="shared" si="570"/>
        <v>23.766134502440238</v>
      </c>
      <c r="DY197" s="173">
        <f t="shared" si="571"/>
        <v>0.45244956772334288</v>
      </c>
      <c r="EA197" s="5">
        <f t="shared" si="572"/>
        <v>1139.0232672590566</v>
      </c>
      <c r="EB197" s="5">
        <f t="shared" si="573"/>
        <v>53.391715652768276</v>
      </c>
      <c r="EC197" s="5">
        <f t="shared" si="574"/>
        <v>45.343282932287288</v>
      </c>
      <c r="ED197" s="5"/>
      <c r="EE197" s="173">
        <f t="shared" si="575"/>
        <v>12.075397016757627</v>
      </c>
      <c r="EF197" s="173">
        <f t="shared" si="576"/>
        <v>13.283985495531139</v>
      </c>
      <c r="EG197" s="173">
        <f t="shared" si="577"/>
        <v>0.32715070161543353</v>
      </c>
      <c r="EH197" s="173"/>
      <c r="EI197" s="528">
        <f t="shared" si="578"/>
        <v>2.91630426224638</v>
      </c>
      <c r="EJ197" s="528">
        <f t="shared" si="579"/>
        <v>0.49716666666666681</v>
      </c>
      <c r="EK197" s="528">
        <f t="shared" si="580"/>
        <v>2.8798879358170148E-3</v>
      </c>
      <c r="EL197" s="528">
        <f t="shared" si="581"/>
        <v>2.7741154117103283E-3</v>
      </c>
      <c r="EM197">
        <f t="shared" si="582"/>
        <v>8.5500000000000003E-3</v>
      </c>
      <c r="EN197" s="460">
        <f t="shared" si="583"/>
        <v>11.429887935817016</v>
      </c>
      <c r="EP197" s="460">
        <f t="shared" si="603"/>
        <v>3427.6749322605742</v>
      </c>
      <c r="EQ197" s="173">
        <f t="shared" si="584"/>
        <v>6.089999999999999</v>
      </c>
      <c r="ER197" s="173">
        <f t="shared" si="585"/>
        <v>9.6515624999999994E-2</v>
      </c>
      <c r="ES197" s="528"/>
      <c r="EU197" s="460">
        <f t="shared" si="497"/>
        <v>6186.5156249999991</v>
      </c>
      <c r="EV197" s="528">
        <f t="shared" si="586"/>
        <v>4.3744563933695693</v>
      </c>
      <c r="EW197" s="528">
        <f t="shared" si="587"/>
        <v>5.2939281193644501</v>
      </c>
      <c r="EX197" s="528">
        <f t="shared" si="588"/>
        <v>5.3513790783735204E-4</v>
      </c>
      <c r="EY197" s="528">
        <f t="shared" si="589"/>
        <v>0.68679375210278926</v>
      </c>
      <c r="EZ197" s="528"/>
      <c r="FA197" s="625">
        <f t="shared" si="590"/>
        <v>2.2275091133650213E-2</v>
      </c>
      <c r="FB197" s="460">
        <f t="shared" si="613"/>
        <v>10377.988493878294</v>
      </c>
      <c r="FC197" s="173">
        <f t="shared" si="591"/>
        <v>19.992179051138873</v>
      </c>
      <c r="FD197" s="5">
        <f t="shared" si="592"/>
        <v>132.24</v>
      </c>
      <c r="FE197" s="173">
        <f t="shared" si="593"/>
        <v>0.86867310725137192</v>
      </c>
      <c r="FF197" s="5">
        <f t="shared" si="594"/>
        <v>86.867310725137187</v>
      </c>
      <c r="FG197">
        <f t="shared" si="595"/>
        <v>86.999999999999986</v>
      </c>
      <c r="FI197" s="562">
        <f t="shared" si="596"/>
        <v>-50</v>
      </c>
      <c r="FJ197">
        <f t="shared" si="597"/>
        <v>-50</v>
      </c>
    </row>
    <row r="198" spans="5:166">
      <c r="E198" s="170">
        <v>88</v>
      </c>
      <c r="F198" s="217">
        <f t="shared" si="598"/>
        <v>8.8000000000000007</v>
      </c>
      <c r="G198" s="217">
        <f t="shared" si="499"/>
        <v>0.22</v>
      </c>
      <c r="H198" s="217">
        <f t="shared" si="500"/>
        <v>132</v>
      </c>
      <c r="I198" s="217">
        <f t="shared" si="501"/>
        <v>1.76</v>
      </c>
      <c r="J198" s="541">
        <f t="shared" si="502"/>
        <v>18.103943972528821</v>
      </c>
      <c r="K198" s="443">
        <f t="shared" si="503"/>
        <v>16.182147368421052</v>
      </c>
      <c r="L198" s="172">
        <f t="shared" si="504"/>
        <v>34.286091340949874</v>
      </c>
      <c r="M198" s="443"/>
      <c r="N198" s="217">
        <f t="shared" si="505"/>
        <v>0.47197410773661952</v>
      </c>
      <c r="O198" s="172">
        <f t="shared" si="506"/>
        <v>210.80409875694181</v>
      </c>
      <c r="P198" s="172">
        <f t="shared" si="507"/>
        <v>2.8481976009826808</v>
      </c>
      <c r="Q198" s="217">
        <f t="shared" si="508"/>
        <v>14.053606583796121</v>
      </c>
      <c r="R198" s="217">
        <f t="shared" si="509"/>
        <v>26.350512344617727</v>
      </c>
      <c r="S198" s="217">
        <f t="shared" si="510"/>
        <v>15</v>
      </c>
      <c r="T198" s="217">
        <f t="shared" si="511"/>
        <v>31.308689152243819</v>
      </c>
      <c r="U198" s="217">
        <f t="shared" si="512"/>
        <v>20.752620003521042</v>
      </c>
      <c r="V198" s="217">
        <f t="shared" si="513"/>
        <v>23.217207288576596</v>
      </c>
      <c r="W198" s="197">
        <f t="shared" si="514"/>
        <v>71.204940024567009</v>
      </c>
      <c r="X198" s="443">
        <f t="shared" si="599"/>
        <v>22.639889293361776</v>
      </c>
      <c r="Z198" s="217">
        <f t="shared" si="515"/>
        <v>10</v>
      </c>
      <c r="AA198" s="173">
        <f t="shared" si="516"/>
        <v>7.4155794820022587</v>
      </c>
      <c r="AB198" s="173">
        <f t="shared" si="517"/>
        <v>2.6053909157732593</v>
      </c>
      <c r="AC198" s="173"/>
      <c r="AD198" s="173">
        <f t="shared" si="518"/>
        <v>7.4155794820022587</v>
      </c>
      <c r="AE198" s="545">
        <f t="shared" si="519"/>
        <v>237.33816140350882</v>
      </c>
      <c r="AF198" s="528">
        <f t="shared" si="520"/>
        <v>2.6401294613169024</v>
      </c>
      <c r="AH198" s="173">
        <f t="shared" si="521"/>
        <v>7.9809296510643479</v>
      </c>
      <c r="AI198" s="173">
        <f t="shared" si="522"/>
        <v>31.308689152243819</v>
      </c>
      <c r="AJ198" s="173">
        <f t="shared" si="523"/>
        <v>16.984214186847272</v>
      </c>
      <c r="AL198" s="545">
        <f t="shared" si="524"/>
        <v>8800</v>
      </c>
      <c r="AM198" s="460">
        <f t="shared" si="525"/>
        <v>22.639889293361776</v>
      </c>
      <c r="AO198">
        <f t="shared" si="526"/>
        <v>8800</v>
      </c>
      <c r="AP198">
        <f t="shared" si="527"/>
        <v>22.639889293361776</v>
      </c>
      <c r="AR198" s="5">
        <f t="shared" ref="AR198:AR262" si="616">1/AM198*1000</f>
        <v>44.169827292097629</v>
      </c>
      <c r="AS198" s="5">
        <f t="shared" si="604"/>
        <v>20.752620003521042</v>
      </c>
      <c r="AT198" s="5">
        <f t="shared" si="605"/>
        <v>23.417207288576588</v>
      </c>
      <c r="AU198" s="173">
        <f t="shared" si="606"/>
        <v>0.46983701942692152</v>
      </c>
      <c r="AW198" s="5">
        <f t="shared" si="477"/>
        <v>1217.4870402065678</v>
      </c>
      <c r="AX198" s="5">
        <f t="shared" si="478"/>
        <v>57.06970500968287</v>
      </c>
      <c r="AY198" s="5">
        <f t="shared" si="479"/>
        <v>47.427838664181323</v>
      </c>
      <c r="AZ198" s="5"/>
      <c r="BA198" s="173">
        <f t="shared" si="480"/>
        <v>12.390187362333831</v>
      </c>
      <c r="BB198" s="173">
        <f t="shared" si="481"/>
        <v>13.16160815668839</v>
      </c>
      <c r="BC198" s="173">
        <f t="shared" si="482"/>
        <v>0.32413685970197292</v>
      </c>
      <c r="BD198" s="173"/>
      <c r="BE198" s="528">
        <f t="shared" si="483"/>
        <v>3.0703348574747396</v>
      </c>
      <c r="BF198" s="528">
        <f t="shared" si="528"/>
        <v>0.45567839031004431</v>
      </c>
      <c r="BG198" s="528">
        <f t="shared" si="529"/>
        <v>1.0246782182781917E-2</v>
      </c>
      <c r="BH198" s="528">
        <f t="shared" si="484"/>
        <v>2.6614006246075397E-3</v>
      </c>
      <c r="BI198">
        <f t="shared" si="485"/>
        <v>8.1467747876379695E-3</v>
      </c>
      <c r="BJ198" s="460">
        <f t="shared" si="600"/>
        <v>18.393556970419887</v>
      </c>
      <c r="BK198">
        <f t="shared" si="530"/>
        <v>16.110356118506431</v>
      </c>
      <c r="BL198" s="460">
        <f t="shared" si="601"/>
        <v>3547.0682053798114</v>
      </c>
      <c r="BM198" s="173">
        <f t="shared" si="531"/>
        <v>5.4669999999999996</v>
      </c>
      <c r="BN198" s="173">
        <f t="shared" si="532"/>
        <v>0.13667499999999999</v>
      </c>
      <c r="BO198" s="528"/>
      <c r="BQ198" s="460">
        <f t="shared" si="486"/>
        <v>5603.6750000000002</v>
      </c>
      <c r="BR198" s="528">
        <f t="shared" si="487"/>
        <v>4.6055022862121087</v>
      </c>
      <c r="BS198" s="528">
        <f t="shared" si="488"/>
        <v>5.1968378781061899</v>
      </c>
      <c r="BT198" s="528">
        <f t="shared" si="489"/>
        <v>5.2532351908728234E-4</v>
      </c>
      <c r="BU198" s="528">
        <f t="shared" si="490"/>
        <v>0.66883341650557226</v>
      </c>
      <c r="BV198" s="528"/>
      <c r="BW198" s="625">
        <f t="shared" si="533"/>
        <v>2.2192389613603994E-2</v>
      </c>
      <c r="BX198" s="460">
        <f t="shared" si="607"/>
        <v>10493.891293956562</v>
      </c>
      <c r="BY198" s="173">
        <f t="shared" si="608"/>
        <v>19.644634499336373</v>
      </c>
      <c r="BZ198" s="5">
        <f t="shared" si="609"/>
        <v>133.76</v>
      </c>
      <c r="CA198" s="173">
        <f t="shared" si="610"/>
        <v>0.87194236625607713</v>
      </c>
      <c r="CB198" s="5">
        <f t="shared" si="611"/>
        <v>87.194236625607715</v>
      </c>
      <c r="CC198">
        <f t="shared" si="612"/>
        <v>88.000000000000014</v>
      </c>
      <c r="CE198" s="562">
        <f t="shared" si="534"/>
        <v>-50</v>
      </c>
      <c r="CF198">
        <f t="shared" si="535"/>
        <v>-50</v>
      </c>
      <c r="CG198" s="173">
        <f t="shared" si="536"/>
        <v>0.54755043227665712</v>
      </c>
      <c r="CH198" s="173">
        <f t="shared" si="537"/>
        <v>6.4398811101315859E-2</v>
      </c>
      <c r="CI198" s="170">
        <v>88</v>
      </c>
      <c r="CJ198" s="217">
        <f t="shared" si="602"/>
        <v>8.8000000000000007</v>
      </c>
      <c r="CK198" s="217">
        <f t="shared" si="538"/>
        <v>0.22</v>
      </c>
      <c r="CL198" s="217">
        <f t="shared" si="539"/>
        <v>132</v>
      </c>
      <c r="CM198" s="217">
        <f t="shared" si="540"/>
        <v>1.76</v>
      </c>
      <c r="CN198" s="541">
        <f t="shared" si="541"/>
        <v>19</v>
      </c>
      <c r="CO198" s="443">
        <f t="shared" si="542"/>
        <v>15.7</v>
      </c>
      <c r="CP198" s="443">
        <f t="shared" si="543"/>
        <v>34.700000000000003</v>
      </c>
      <c r="CQ198" s="443"/>
      <c r="CR198" s="217">
        <f t="shared" si="544"/>
        <v>0.44767441860465118</v>
      </c>
      <c r="CS198" s="172">
        <f t="shared" si="545"/>
        <v>209.84738372093025</v>
      </c>
      <c r="CT198" s="172">
        <f t="shared" si="546"/>
        <v>2.835271317829458</v>
      </c>
      <c r="CU198" s="217">
        <f t="shared" si="547"/>
        <v>13.989825581395349</v>
      </c>
      <c r="CV198" s="217">
        <f t="shared" si="548"/>
        <v>26.230922965116282</v>
      </c>
      <c r="CW198" s="217">
        <f t="shared" si="549"/>
        <v>15</v>
      </c>
      <c r="CX198" s="217">
        <f t="shared" si="550"/>
        <v>31.451428571428568</v>
      </c>
      <c r="CY198" s="217">
        <f t="shared" si="551"/>
        <v>19.864060150375941</v>
      </c>
      <c r="CZ198" s="217">
        <f t="shared" si="552"/>
        <v>24.039308462238399</v>
      </c>
      <c r="DA198" s="197">
        <f t="shared" si="553"/>
        <v>71.63784822286263</v>
      </c>
      <c r="DB198" s="443">
        <f t="shared" si="554"/>
        <v>22.777295492370929</v>
      </c>
      <c r="DD198" s="217">
        <f t="shared" si="555"/>
        <v>10.000000000000002</v>
      </c>
      <c r="DE198" s="173">
        <f t="shared" si="556"/>
        <v>7.6433121019108299</v>
      </c>
      <c r="DF198" s="173">
        <f t="shared" si="557"/>
        <v>2.7017291066282429</v>
      </c>
      <c r="DG198" s="173"/>
      <c r="DH198" s="173">
        <f t="shared" si="558"/>
        <v>7.6433121019108281</v>
      </c>
      <c r="DI198" s="545">
        <f t="shared" si="559"/>
        <v>230.26666666666671</v>
      </c>
      <c r="DJ198" s="528">
        <f t="shared" si="560"/>
        <v>2.7377521613832849</v>
      </c>
      <c r="DL198" s="173">
        <f t="shared" si="561"/>
        <v>7.9809296510643479</v>
      </c>
      <c r="DM198" s="173">
        <f t="shared" si="562"/>
        <v>31.451428571428568</v>
      </c>
      <c r="DN198" s="173">
        <f t="shared" si="563"/>
        <v>17.089947089947085</v>
      </c>
      <c r="DP198" s="545">
        <f t="shared" si="564"/>
        <v>8800</v>
      </c>
      <c r="DQ198" s="460">
        <f t="shared" si="565"/>
        <v>22.777295492370929</v>
      </c>
      <c r="DS198">
        <f t="shared" si="614"/>
        <v>8800</v>
      </c>
      <c r="DT198">
        <f t="shared" si="615"/>
        <v>22.777295492370929</v>
      </c>
      <c r="DV198" s="5">
        <f t="shared" si="568"/>
        <v>43.903368612614344</v>
      </c>
      <c r="DW198" s="5">
        <f t="shared" si="569"/>
        <v>19.864060150375941</v>
      </c>
      <c r="DX198" s="5">
        <f t="shared" si="570"/>
        <v>24.039308462238402</v>
      </c>
      <c r="DY198" s="173">
        <f t="shared" si="571"/>
        <v>0.45244956772334294</v>
      </c>
      <c r="EA198" s="5">
        <f t="shared" si="572"/>
        <v>1165.358195488722</v>
      </c>
      <c r="EB198" s="5">
        <f t="shared" si="573"/>
        <v>54.626165413533833</v>
      </c>
      <c r="EC198" s="5">
        <f t="shared" si="574"/>
        <v>46.391647909582886</v>
      </c>
      <c r="ED198" s="5"/>
      <c r="EE198" s="173">
        <f t="shared" si="575"/>
        <v>12.21419468361691</v>
      </c>
      <c r="EF198" s="173">
        <f t="shared" si="576"/>
        <v>13.436674983985517</v>
      </c>
      <c r="EG198" s="173">
        <f t="shared" si="577"/>
        <v>0.33091105450756492</v>
      </c>
      <c r="EH198" s="173"/>
      <c r="EI198" s="528">
        <f t="shared" si="578"/>
        <v>2.9837310353859117</v>
      </c>
      <c r="EJ198" s="528">
        <f t="shared" si="579"/>
        <v>0.49716666666666665</v>
      </c>
      <c r="EK198" s="528">
        <f t="shared" si="580"/>
        <v>2.847161936546366E-3</v>
      </c>
      <c r="EL198" s="528">
        <f t="shared" si="581"/>
        <v>2.7425913729408917E-3</v>
      </c>
      <c r="EM198">
        <f t="shared" si="582"/>
        <v>8.5500000000000003E-3</v>
      </c>
      <c r="EN198" s="460">
        <f t="shared" si="583"/>
        <v>11.397161936546366</v>
      </c>
      <c r="EP198" s="460">
        <f t="shared" si="603"/>
        <v>3495.0374553620659</v>
      </c>
      <c r="EQ198" s="173">
        <f t="shared" si="584"/>
        <v>6.16</v>
      </c>
      <c r="ER198" s="173">
        <f t="shared" si="585"/>
        <v>9.762499999999999E-2</v>
      </c>
      <c r="ES198" s="528"/>
      <c r="EU198" s="460">
        <f t="shared" si="497"/>
        <v>6257.625</v>
      </c>
      <c r="EV198" s="528">
        <f t="shared" si="586"/>
        <v>4.4755965530788675</v>
      </c>
      <c r="EW198" s="528">
        <f t="shared" si="587"/>
        <v>5.4163270387578653</v>
      </c>
      <c r="EX198" s="528">
        <f t="shared" si="588"/>
        <v>5.4751062997654301E-4</v>
      </c>
      <c r="EY198" s="528">
        <f t="shared" si="589"/>
        <v>0.68679375210278681</v>
      </c>
      <c r="EZ198" s="528"/>
      <c r="FA198" s="625">
        <f t="shared" si="590"/>
        <v>2.2531126663922044E-2</v>
      </c>
      <c r="FB198" s="460">
        <f t="shared" si="613"/>
        <v>10601.795981233419</v>
      </c>
      <c r="FC198" s="173">
        <f t="shared" si="591"/>
        <v>20.354458436595483</v>
      </c>
      <c r="FD198" s="5">
        <f t="shared" si="592"/>
        <v>133.76</v>
      </c>
      <c r="FE198" s="173">
        <f t="shared" si="593"/>
        <v>0.86792635393797557</v>
      </c>
      <c r="FF198" s="5">
        <f t="shared" si="594"/>
        <v>86.792635393797553</v>
      </c>
      <c r="FG198">
        <f t="shared" si="595"/>
        <v>88.000000000000014</v>
      </c>
      <c r="FI198" s="562">
        <f t="shared" si="596"/>
        <v>-50</v>
      </c>
      <c r="FJ198">
        <f t="shared" si="597"/>
        <v>-50</v>
      </c>
    </row>
    <row r="199" spans="5:166">
      <c r="E199" s="170">
        <v>89</v>
      </c>
      <c r="F199" s="217">
        <f t="shared" si="598"/>
        <v>8.9</v>
      </c>
      <c r="G199" s="217">
        <f t="shared" si="499"/>
        <v>0.2225</v>
      </c>
      <c r="H199" s="217">
        <f t="shared" si="500"/>
        <v>133.5</v>
      </c>
      <c r="I199" s="217">
        <f t="shared" si="501"/>
        <v>1.78</v>
      </c>
      <c r="J199" s="541">
        <f t="shared" si="502"/>
        <v>18.093761517671194</v>
      </c>
      <c r="K199" s="443">
        <f t="shared" si="503"/>
        <v>16.187626315789473</v>
      </c>
      <c r="L199" s="172">
        <f t="shared" si="504"/>
        <v>34.28138783346067</v>
      </c>
      <c r="M199" s="443"/>
      <c r="N199" s="217">
        <f t="shared" si="505"/>
        <v>0.47219868677514243</v>
      </c>
      <c r="O199" s="172">
        <f t="shared" si="506"/>
        <v>210.78578357237532</v>
      </c>
      <c r="P199" s="172">
        <f t="shared" si="507"/>
        <v>2.8479501424889819</v>
      </c>
      <c r="Q199" s="217">
        <f t="shared" si="508"/>
        <v>14.052385571491689</v>
      </c>
      <c r="R199" s="217">
        <f t="shared" si="509"/>
        <v>26.348222946546915</v>
      </c>
      <c r="S199" s="217">
        <f t="shared" si="510"/>
        <v>15</v>
      </c>
      <c r="T199" s="217">
        <f t="shared" si="511"/>
        <v>31.667221037741736</v>
      </c>
      <c r="U199" s="217">
        <f t="shared" si="512"/>
        <v>21.00208141252271</v>
      </c>
      <c r="V199" s="217">
        <f t="shared" si="513"/>
        <v>23.475131253940607</v>
      </c>
      <c r="W199" s="197">
        <f t="shared" si="514"/>
        <v>71.198753562224553</v>
      </c>
      <c r="X199" s="443">
        <f t="shared" si="599"/>
        <v>22.382775028188899</v>
      </c>
      <c r="Z199" s="217">
        <f t="shared" si="515"/>
        <v>10</v>
      </c>
      <c r="AA199" s="173">
        <f t="shared" si="516"/>
        <v>7.413069566780865</v>
      </c>
      <c r="AB199" s="173">
        <f t="shared" si="517"/>
        <v>2.6042827955173893</v>
      </c>
      <c r="AC199" s="173"/>
      <c r="AD199" s="173">
        <f t="shared" si="518"/>
        <v>7.413069566780865</v>
      </c>
      <c r="AE199" s="545">
        <f t="shared" si="519"/>
        <v>240.11645701754387</v>
      </c>
      <c r="AF199" s="528">
        <f t="shared" si="520"/>
        <v>2.6390065661242876</v>
      </c>
      <c r="AH199" s="173">
        <f t="shared" si="521"/>
        <v>8.026147744656063</v>
      </c>
      <c r="AI199" s="173">
        <f t="shared" si="522"/>
        <v>31.667221037741736</v>
      </c>
      <c r="AJ199" s="173">
        <f t="shared" si="523"/>
        <v>17.249793361290173</v>
      </c>
      <c r="AL199" s="545">
        <f t="shared" si="524"/>
        <v>8900</v>
      </c>
      <c r="AM199" s="460">
        <f t="shared" si="525"/>
        <v>22.382775028188899</v>
      </c>
      <c r="AO199">
        <f t="shared" si="526"/>
        <v>8900</v>
      </c>
      <c r="AP199">
        <f t="shared" si="527"/>
        <v>22.382775028188899</v>
      </c>
      <c r="AR199" s="5">
        <f t="shared" si="616"/>
        <v>44.677212666463326</v>
      </c>
      <c r="AS199" s="5">
        <f t="shared" si="604"/>
        <v>21.00208141252271</v>
      </c>
      <c r="AT199" s="5">
        <f t="shared" si="605"/>
        <v>23.675131253940616</v>
      </c>
      <c r="AU199" s="173">
        <f t="shared" si="606"/>
        <v>0.4700848633802035</v>
      </c>
      <c r="AW199" s="5">
        <f t="shared" si="477"/>
        <v>1246.123497143014</v>
      </c>
      <c r="AX199" s="5">
        <f t="shared" si="478"/>
        <v>58.412038928578788</v>
      </c>
      <c r="AY199" s="5">
        <f t="shared" si="479"/>
        <v>48.522402770858292</v>
      </c>
      <c r="AZ199" s="5"/>
      <c r="BA199" s="173">
        <f t="shared" si="480"/>
        <v>12.535378728096058</v>
      </c>
      <c r="BB199" s="173">
        <f t="shared" si="481"/>
        <v>13.309216464325054</v>
      </c>
      <c r="BC199" s="173">
        <f t="shared" si="482"/>
        <v>0.32777207606259356</v>
      </c>
      <c r="BD199" s="173"/>
      <c r="BE199" s="528">
        <f t="shared" si="483"/>
        <v>3.1427143971360629</v>
      </c>
      <c r="BF199" s="528">
        <f t="shared" si="528"/>
        <v>0.45559982701944285</v>
      </c>
      <c r="BG199" s="528">
        <f t="shared" si="529"/>
        <v>1.01247148365934E-2</v>
      </c>
      <c r="BH199" s="528">
        <f t="shared" si="484"/>
        <v>2.6304540539752877E-3</v>
      </c>
      <c r="BI199">
        <f t="shared" si="485"/>
        <v>8.1421926829520364E-3</v>
      </c>
      <c r="BJ199" s="460">
        <f t="shared" si="600"/>
        <v>18.266907519545438</v>
      </c>
      <c r="BK199">
        <f t="shared" si="530"/>
        <v>17.566658605236974</v>
      </c>
      <c r="BL199" s="460">
        <f t="shared" si="601"/>
        <v>3619.2115857290264</v>
      </c>
      <c r="BM199" s="173">
        <f t="shared" si="531"/>
        <v>5.5291249999999996</v>
      </c>
      <c r="BN199" s="173">
        <f t="shared" si="532"/>
        <v>0.13822812499999998</v>
      </c>
      <c r="BO199" s="528"/>
      <c r="BQ199" s="460">
        <f t="shared" si="486"/>
        <v>5667.3531249999996</v>
      </c>
      <c r="BR199" s="528">
        <f t="shared" si="487"/>
        <v>4.7140715957040946</v>
      </c>
      <c r="BS199" s="528">
        <f t="shared" si="488"/>
        <v>5.3140572868278326</v>
      </c>
      <c r="BT199" s="528">
        <f t="shared" si="489"/>
        <v>5.3717266923191309E-4</v>
      </c>
      <c r="BU199" s="528">
        <f t="shared" si="490"/>
        <v>0.66877451018715428</v>
      </c>
      <c r="BV199" s="528"/>
      <c r="BW199" s="625">
        <f t="shared" si="533"/>
        <v>2.2445735273139551E-2</v>
      </c>
      <c r="BX199" s="460">
        <f t="shared" si="607"/>
        <v>10719.886300661452</v>
      </c>
      <c r="BY199" s="173">
        <f t="shared" si="608"/>
        <v>20.006451011390485</v>
      </c>
      <c r="BZ199" s="5">
        <f t="shared" si="609"/>
        <v>135.28</v>
      </c>
      <c r="CA199" s="173">
        <f t="shared" si="610"/>
        <v>0.87116422018091599</v>
      </c>
      <c r="CB199" s="5">
        <f t="shared" si="611"/>
        <v>87.116422018091598</v>
      </c>
      <c r="CC199">
        <f t="shared" si="612"/>
        <v>89</v>
      </c>
      <c r="CE199" s="562">
        <f t="shared" si="534"/>
        <v>-50</v>
      </c>
      <c r="CF199">
        <f t="shared" si="535"/>
        <v>-50</v>
      </c>
      <c r="CG199" s="173">
        <f t="shared" si="536"/>
        <v>0.54755043227665701</v>
      </c>
      <c r="CH199" s="173">
        <f t="shared" si="537"/>
        <v>6.4398811101315859E-2</v>
      </c>
      <c r="CI199" s="170">
        <v>89</v>
      </c>
      <c r="CJ199" s="217">
        <f t="shared" si="602"/>
        <v>8.9</v>
      </c>
      <c r="CK199" s="217">
        <f t="shared" si="538"/>
        <v>0.2225</v>
      </c>
      <c r="CL199" s="217">
        <f t="shared" si="539"/>
        <v>133.5</v>
      </c>
      <c r="CM199" s="217">
        <f t="shared" si="540"/>
        <v>1.78</v>
      </c>
      <c r="CN199" s="541">
        <f t="shared" si="541"/>
        <v>19</v>
      </c>
      <c r="CO199" s="443">
        <f t="shared" si="542"/>
        <v>15.7</v>
      </c>
      <c r="CP199" s="443">
        <f t="shared" si="543"/>
        <v>34.700000000000003</v>
      </c>
      <c r="CQ199" s="443"/>
      <c r="CR199" s="217">
        <f t="shared" si="544"/>
        <v>0.44767441860465118</v>
      </c>
      <c r="CS199" s="172">
        <f t="shared" si="545"/>
        <v>209.84738372093025</v>
      </c>
      <c r="CT199" s="172">
        <f t="shared" si="546"/>
        <v>2.835271317829458</v>
      </c>
      <c r="CU199" s="217">
        <f t="shared" si="547"/>
        <v>13.989825581395349</v>
      </c>
      <c r="CV199" s="217">
        <f t="shared" si="548"/>
        <v>26.230922965116282</v>
      </c>
      <c r="CW199" s="217">
        <f t="shared" si="549"/>
        <v>15</v>
      </c>
      <c r="CX199" s="217">
        <f t="shared" si="550"/>
        <v>31.808831168831169</v>
      </c>
      <c r="CY199" s="217">
        <f t="shared" si="551"/>
        <v>20.089788106630213</v>
      </c>
      <c r="CZ199" s="217">
        <f t="shared" si="552"/>
        <v>24.312482422036567</v>
      </c>
      <c r="DA199" s="197">
        <f t="shared" si="553"/>
        <v>71.63784822286263</v>
      </c>
      <c r="DB199" s="443">
        <f t="shared" si="554"/>
        <v>22.521370823917326</v>
      </c>
      <c r="DD199" s="217">
        <f t="shared" si="555"/>
        <v>10.000000000000002</v>
      </c>
      <c r="DE199" s="173">
        <f t="shared" si="556"/>
        <v>7.6433121019108299</v>
      </c>
      <c r="DF199" s="173">
        <f t="shared" si="557"/>
        <v>2.7017291066282429</v>
      </c>
      <c r="DG199" s="173"/>
      <c r="DH199" s="173">
        <f t="shared" si="558"/>
        <v>7.6433121019108281</v>
      </c>
      <c r="DI199" s="545">
        <f t="shared" si="559"/>
        <v>232.88333333333338</v>
      </c>
      <c r="DJ199" s="528">
        <f t="shared" si="560"/>
        <v>2.7377521613832849</v>
      </c>
      <c r="DL199" s="173">
        <f t="shared" si="561"/>
        <v>8.026147744656063</v>
      </c>
      <c r="DM199" s="173">
        <f t="shared" si="562"/>
        <v>31.808831168831169</v>
      </c>
      <c r="DN199" s="173">
        <f t="shared" si="563"/>
        <v>17.354689754689751</v>
      </c>
      <c r="DP199" s="545">
        <f t="shared" si="564"/>
        <v>8900</v>
      </c>
      <c r="DQ199" s="460">
        <f t="shared" si="565"/>
        <v>22.521370823917326</v>
      </c>
      <c r="DS199">
        <f t="shared" si="614"/>
        <v>8900</v>
      </c>
      <c r="DT199">
        <f t="shared" si="615"/>
        <v>22.521370823917326</v>
      </c>
      <c r="DV199" s="5">
        <f t="shared" si="568"/>
        <v>44.402270528666769</v>
      </c>
      <c r="DW199" s="5">
        <f t="shared" si="569"/>
        <v>20.089788106630213</v>
      </c>
      <c r="DX199" s="5">
        <f t="shared" si="570"/>
        <v>24.312482422036556</v>
      </c>
      <c r="DY199" s="173">
        <f t="shared" si="571"/>
        <v>0.45244956772334299</v>
      </c>
      <c r="EA199" s="5">
        <f t="shared" si="572"/>
        <v>1191.9940943267259</v>
      </c>
      <c r="EB199" s="5">
        <f t="shared" si="573"/>
        <v>55.874723171565279</v>
      </c>
      <c r="EC199" s="5">
        <f t="shared" si="574"/>
        <v>47.451994200904679</v>
      </c>
      <c r="ED199" s="5"/>
      <c r="EE199" s="173">
        <f t="shared" si="575"/>
        <v>12.352992350476196</v>
      </c>
      <c r="EF199" s="173">
        <f t="shared" si="576"/>
        <v>13.589364472439899</v>
      </c>
      <c r="EG199" s="173">
        <f t="shared" si="577"/>
        <v>0.33467140739969636</v>
      </c>
      <c r="EH199" s="173"/>
      <c r="EI199" s="528">
        <f t="shared" si="578"/>
        <v>3.0519284002184683</v>
      </c>
      <c r="EJ199" s="528">
        <f t="shared" si="579"/>
        <v>0.4971666666666667</v>
      </c>
      <c r="EK199" s="528">
        <f t="shared" si="580"/>
        <v>2.8151713529896657E-3</v>
      </c>
      <c r="EL199" s="528">
        <f t="shared" si="581"/>
        <v>2.7117757395370618E-3</v>
      </c>
      <c r="EM199">
        <f t="shared" si="582"/>
        <v>8.5500000000000003E-3</v>
      </c>
      <c r="EN199" s="460">
        <f t="shared" si="583"/>
        <v>11.365171352989666</v>
      </c>
      <c r="EP199" s="460">
        <f t="shared" si="603"/>
        <v>3563.1720139776621</v>
      </c>
      <c r="EQ199" s="173">
        <f t="shared" si="584"/>
        <v>6.2299999999999995</v>
      </c>
      <c r="ER199" s="173">
        <f t="shared" si="585"/>
        <v>9.8734374999999999E-2</v>
      </c>
      <c r="ES199" s="528"/>
      <c r="EU199" s="460">
        <f t="shared" si="497"/>
        <v>6328.734375</v>
      </c>
      <c r="EV199" s="528">
        <f t="shared" si="586"/>
        <v>4.5778926003277025</v>
      </c>
      <c r="EW199" s="528">
        <f t="shared" si="587"/>
        <v>5.5401248029443515</v>
      </c>
      <c r="EX199" s="528">
        <f t="shared" si="588"/>
        <v>5.6002475465446772E-4</v>
      </c>
      <c r="EY199" s="528">
        <f t="shared" si="589"/>
        <v>0.68679375210278815</v>
      </c>
      <c r="EZ199" s="528"/>
      <c r="FA199" s="625">
        <f t="shared" si="590"/>
        <v>2.2787162194193897E-2</v>
      </c>
      <c r="FB199" s="460">
        <f t="shared" si="613"/>
        <v>10828.158342323692</v>
      </c>
      <c r="FC199" s="173">
        <f t="shared" si="591"/>
        <v>20.720064731301353</v>
      </c>
      <c r="FD199" s="5">
        <f t="shared" si="592"/>
        <v>135.28</v>
      </c>
      <c r="FE199" s="173">
        <f t="shared" si="593"/>
        <v>0.86717912734850366</v>
      </c>
      <c r="FF199" s="5">
        <f t="shared" si="594"/>
        <v>86.717912734850373</v>
      </c>
      <c r="FG199">
        <f t="shared" si="595"/>
        <v>89</v>
      </c>
      <c r="FI199" s="562">
        <f t="shared" si="596"/>
        <v>-50</v>
      </c>
      <c r="FJ199">
        <f t="shared" si="597"/>
        <v>-50</v>
      </c>
    </row>
    <row r="200" spans="5:166">
      <c r="E200" s="170">
        <v>90</v>
      </c>
      <c r="F200" s="217">
        <f t="shared" si="598"/>
        <v>9</v>
      </c>
      <c r="G200" s="217">
        <f t="shared" si="499"/>
        <v>0.22500000000000001</v>
      </c>
      <c r="H200" s="217">
        <f t="shared" si="500"/>
        <v>135</v>
      </c>
      <c r="I200" s="217">
        <f t="shared" si="501"/>
        <v>1.8</v>
      </c>
      <c r="J200" s="541">
        <f t="shared" si="502"/>
        <v>18.083579062813566</v>
      </c>
      <c r="K200" s="443">
        <f t="shared" si="503"/>
        <v>16.193105263157893</v>
      </c>
      <c r="L200" s="172">
        <f t="shared" si="504"/>
        <v>34.276684325971459</v>
      </c>
      <c r="M200" s="443"/>
      <c r="N200" s="217">
        <f t="shared" si="505"/>
        <v>0.4724233274479343</v>
      </c>
      <c r="O200" s="172">
        <f t="shared" si="506"/>
        <v>210.7673830515341</v>
      </c>
      <c r="P200" s="172">
        <f t="shared" si="507"/>
        <v>2.8477015310073943</v>
      </c>
      <c r="Q200" s="217">
        <f t="shared" si="508"/>
        <v>14.051158870102274</v>
      </c>
      <c r="R200" s="217">
        <f t="shared" si="509"/>
        <v>26.345922881441762</v>
      </c>
      <c r="S200" s="217">
        <f t="shared" si="510"/>
        <v>15</v>
      </c>
      <c r="T200" s="217">
        <f t="shared" si="511"/>
        <v>32.025828201081659</v>
      </c>
      <c r="U200" s="217">
        <f t="shared" si="512"/>
        <v>21.251873706973267</v>
      </c>
      <c r="V200" s="217">
        <f t="shared" si="513"/>
        <v>23.732936466938881</v>
      </c>
      <c r="W200" s="197">
        <f t="shared" si="514"/>
        <v>71.192538275184859</v>
      </c>
      <c r="X200" s="443">
        <f t="shared" si="599"/>
        <v>22.13133121841372</v>
      </c>
      <c r="Z200" s="217">
        <f t="shared" si="515"/>
        <v>10</v>
      </c>
      <c r="AA200" s="173">
        <f t="shared" si="516"/>
        <v>7.4105613500222658</v>
      </c>
      <c r="AB200" s="173">
        <f t="shared" si="517"/>
        <v>2.6031743711450614</v>
      </c>
      <c r="AC200" s="173"/>
      <c r="AD200" s="173">
        <f t="shared" si="518"/>
        <v>7.4105613500222658</v>
      </c>
      <c r="AE200" s="545">
        <f t="shared" si="519"/>
        <v>242.8965789473684</v>
      </c>
      <c r="AF200" s="528">
        <f t="shared" si="520"/>
        <v>2.6378833627603284</v>
      </c>
      <c r="AH200" s="173">
        <f t="shared" si="521"/>
        <v>8.0711125096145917</v>
      </c>
      <c r="AI200" s="173">
        <f t="shared" si="522"/>
        <v>32.025828201081659</v>
      </c>
      <c r="AJ200" s="173">
        <f t="shared" si="523"/>
        <v>17.515428297097522</v>
      </c>
      <c r="AL200" s="545">
        <f t="shared" si="524"/>
        <v>9000</v>
      </c>
      <c r="AM200" s="460">
        <f t="shared" si="525"/>
        <v>22.13133121841372</v>
      </c>
      <c r="AO200">
        <f t="shared" si="526"/>
        <v>9000</v>
      </c>
      <c r="AP200">
        <f t="shared" si="527"/>
        <v>22.13133121841372</v>
      </c>
      <c r="AR200" s="5">
        <f t="shared" si="616"/>
        <v>45.184810173912155</v>
      </c>
      <c r="AS200" s="5">
        <f t="shared" si="604"/>
        <v>21.251873706973267</v>
      </c>
      <c r="AT200" s="5">
        <f t="shared" si="605"/>
        <v>23.932936466938887</v>
      </c>
      <c r="AU200" s="173">
        <f t="shared" si="606"/>
        <v>0.47033225602092321</v>
      </c>
      <c r="AW200" s="5">
        <f t="shared" si="477"/>
        <v>1275.1124224183961</v>
      </c>
      <c r="AX200" s="5">
        <f t="shared" si="478"/>
        <v>59.770894800862322</v>
      </c>
      <c r="AY200" s="5">
        <f t="shared" si="479"/>
        <v>49.629839004368613</v>
      </c>
      <c r="AZ200" s="5"/>
      <c r="BA200" s="173">
        <f t="shared" si="480"/>
        <v>12.680667772000222</v>
      </c>
      <c r="BB200" s="173">
        <f t="shared" si="481"/>
        <v>13.456790931640699</v>
      </c>
      <c r="BC200" s="173">
        <f t="shared" si="482"/>
        <v>0.33140645902236704</v>
      </c>
      <c r="BD200" s="173"/>
      <c r="BE200" s="528">
        <f t="shared" si="483"/>
        <v>3.2159867028769016</v>
      </c>
      <c r="BF200" s="528">
        <f t="shared" si="528"/>
        <v>0.45552056071270419</v>
      </c>
      <c r="BG200" s="528">
        <f t="shared" si="529"/>
        <v>1.0005341946337464E-2</v>
      </c>
      <c r="BH200" s="528">
        <f t="shared" si="484"/>
        <v>2.6001903822551213E-3</v>
      </c>
      <c r="BI200">
        <f t="shared" si="485"/>
        <v>8.1376105782661051E-3</v>
      </c>
      <c r="BJ200" s="460">
        <f t="shared" si="600"/>
        <v>18.142952524603569</v>
      </c>
      <c r="BK200">
        <f t="shared" si="530"/>
        <v>19.257223308898563</v>
      </c>
      <c r="BL200" s="460">
        <f t="shared" si="601"/>
        <v>3692.2504064964646</v>
      </c>
      <c r="BM200" s="173">
        <f t="shared" si="531"/>
        <v>5.5912499999999996</v>
      </c>
      <c r="BN200" s="173">
        <f t="shared" si="532"/>
        <v>0.13978125</v>
      </c>
      <c r="BO200" s="528"/>
      <c r="BQ200" s="460">
        <f t="shared" si="486"/>
        <v>5731.03125</v>
      </c>
      <c r="BR200" s="528">
        <f t="shared" si="487"/>
        <v>4.8239800543153519</v>
      </c>
      <c r="BS200" s="528">
        <f t="shared" si="488"/>
        <v>5.4325566653366204</v>
      </c>
      <c r="BT200" s="528">
        <f t="shared" si="489"/>
        <v>5.4915120540871922E-4</v>
      </c>
      <c r="BU200" s="528">
        <f t="shared" si="490"/>
        <v>0.66871301071024136</v>
      </c>
      <c r="BV200" s="528"/>
      <c r="BW200" s="625">
        <f t="shared" si="533"/>
        <v>2.2699081129644031E-2</v>
      </c>
      <c r="BX200" s="460">
        <f t="shared" si="607"/>
        <v>10948.497962697267</v>
      </c>
      <c r="BY200" s="173">
        <f t="shared" si="608"/>
        <v>20.371779619193731</v>
      </c>
      <c r="BZ200" s="5">
        <f t="shared" si="609"/>
        <v>136.80000000000001</v>
      </c>
      <c r="CA200" s="173">
        <f t="shared" si="610"/>
        <v>0.87038525829158497</v>
      </c>
      <c r="CB200" s="5">
        <f t="shared" si="611"/>
        <v>87.038525829158502</v>
      </c>
      <c r="CC200">
        <f t="shared" si="612"/>
        <v>90</v>
      </c>
      <c r="CE200" s="562">
        <f t="shared" si="534"/>
        <v>-50</v>
      </c>
      <c r="CF200">
        <f t="shared" si="535"/>
        <v>-50</v>
      </c>
      <c r="CG200" s="173">
        <f t="shared" si="536"/>
        <v>0.54755043227665712</v>
      </c>
      <c r="CH200" s="173">
        <f t="shared" si="537"/>
        <v>6.4398811101315845E-2</v>
      </c>
      <c r="CI200" s="170">
        <v>90</v>
      </c>
      <c r="CJ200" s="217">
        <f t="shared" si="602"/>
        <v>9</v>
      </c>
      <c r="CK200" s="217">
        <f t="shared" si="538"/>
        <v>0.22500000000000001</v>
      </c>
      <c r="CL200" s="217">
        <f t="shared" si="539"/>
        <v>135</v>
      </c>
      <c r="CM200" s="217">
        <f t="shared" si="540"/>
        <v>1.8</v>
      </c>
      <c r="CN200" s="541">
        <f t="shared" si="541"/>
        <v>19</v>
      </c>
      <c r="CO200" s="443">
        <f t="shared" si="542"/>
        <v>15.7</v>
      </c>
      <c r="CP200" s="443">
        <f t="shared" si="543"/>
        <v>34.700000000000003</v>
      </c>
      <c r="CQ200" s="443"/>
      <c r="CR200" s="217">
        <f t="shared" si="544"/>
        <v>0.44767441860465118</v>
      </c>
      <c r="CS200" s="172">
        <f t="shared" si="545"/>
        <v>209.84738372093025</v>
      </c>
      <c r="CT200" s="172">
        <f t="shared" si="546"/>
        <v>2.835271317829458</v>
      </c>
      <c r="CU200" s="217">
        <f t="shared" si="547"/>
        <v>13.989825581395349</v>
      </c>
      <c r="CV200" s="217">
        <f t="shared" si="548"/>
        <v>26.230922965116282</v>
      </c>
      <c r="CW200" s="217">
        <f t="shared" si="549"/>
        <v>15</v>
      </c>
      <c r="CX200" s="217">
        <f t="shared" si="550"/>
        <v>32.166233766233766</v>
      </c>
      <c r="CY200" s="217">
        <f t="shared" si="551"/>
        <v>20.315516062884484</v>
      </c>
      <c r="CZ200" s="217">
        <f t="shared" si="552"/>
        <v>24.585656381834728</v>
      </c>
      <c r="DA200" s="197">
        <f t="shared" si="553"/>
        <v>71.63784822286263</v>
      </c>
      <c r="DB200" s="443">
        <f t="shared" si="554"/>
        <v>22.271133370318243</v>
      </c>
      <c r="DD200" s="217">
        <f t="shared" si="555"/>
        <v>10.000000000000002</v>
      </c>
      <c r="DE200" s="173">
        <f t="shared" si="556"/>
        <v>7.6433121019108299</v>
      </c>
      <c r="DF200" s="173">
        <f t="shared" si="557"/>
        <v>2.7017291066282429</v>
      </c>
      <c r="DG200" s="173"/>
      <c r="DH200" s="173">
        <f t="shared" si="558"/>
        <v>7.6433121019108281</v>
      </c>
      <c r="DI200" s="545">
        <f t="shared" si="559"/>
        <v>235.50000000000006</v>
      </c>
      <c r="DJ200" s="528">
        <f t="shared" si="560"/>
        <v>2.7377521613832849</v>
      </c>
      <c r="DL200" s="173">
        <f t="shared" si="561"/>
        <v>8.0711125096145917</v>
      </c>
      <c r="DM200" s="173">
        <f t="shared" si="562"/>
        <v>32.166233766233766</v>
      </c>
      <c r="DN200" s="173">
        <f t="shared" si="563"/>
        <v>17.619432419432421</v>
      </c>
      <c r="DP200" s="545">
        <f t="shared" si="564"/>
        <v>9000</v>
      </c>
      <c r="DQ200" s="460">
        <f t="shared" si="565"/>
        <v>22.271133370318243</v>
      </c>
      <c r="DS200">
        <f t="shared" si="614"/>
        <v>9000</v>
      </c>
      <c r="DT200">
        <f t="shared" si="615"/>
        <v>22.271133370318243</v>
      </c>
      <c r="DV200" s="5">
        <f t="shared" si="568"/>
        <v>44.901172444719215</v>
      </c>
      <c r="DW200" s="5">
        <f t="shared" si="569"/>
        <v>20.315516062884484</v>
      </c>
      <c r="DX200" s="5">
        <f t="shared" si="570"/>
        <v>24.585656381834731</v>
      </c>
      <c r="DY200" s="173">
        <f t="shared" si="571"/>
        <v>0.45244956772334288</v>
      </c>
      <c r="EA200" s="5">
        <f t="shared" si="572"/>
        <v>1218.9309637730689</v>
      </c>
      <c r="EB200" s="5">
        <f t="shared" si="573"/>
        <v>57.137388926862613</v>
      </c>
      <c r="EC200" s="5">
        <f t="shared" si="574"/>
        <v>48.524321806252757</v>
      </c>
      <c r="ED200" s="5"/>
      <c r="EE200" s="173">
        <f t="shared" si="575"/>
        <v>12.491790017335477</v>
      </c>
      <c r="EF200" s="173">
        <f t="shared" si="576"/>
        <v>13.74205396089428</v>
      </c>
      <c r="EG200" s="173">
        <f t="shared" si="577"/>
        <v>0.33843176029182781</v>
      </c>
      <c r="EH200" s="173"/>
      <c r="EI200" s="528">
        <f t="shared" si="578"/>
        <v>3.120896356744046</v>
      </c>
      <c r="EJ200" s="528">
        <f t="shared" si="579"/>
        <v>0.4971666666666667</v>
      </c>
      <c r="EK200" s="528">
        <f t="shared" si="580"/>
        <v>2.7838916712897804E-3</v>
      </c>
      <c r="EL200" s="528">
        <f t="shared" si="581"/>
        <v>2.6816448979866498E-3</v>
      </c>
      <c r="EM200">
        <f t="shared" si="582"/>
        <v>8.5500000000000003E-3</v>
      </c>
      <c r="EN200" s="460">
        <f t="shared" si="583"/>
        <v>11.333891671289781</v>
      </c>
      <c r="EP200" s="460">
        <f t="shared" si="603"/>
        <v>3632.0785599799888</v>
      </c>
      <c r="EQ200" s="173">
        <f t="shared" si="584"/>
        <v>6.3</v>
      </c>
      <c r="ER200" s="173">
        <f t="shared" si="585"/>
        <v>9.9843749999999995E-2</v>
      </c>
      <c r="ES200" s="528"/>
      <c r="EU200" s="460">
        <f t="shared" si="497"/>
        <v>6399.84375</v>
      </c>
      <c r="EV200" s="528">
        <f t="shared" si="586"/>
        <v>4.6813445351160681</v>
      </c>
      <c r="EW200" s="528">
        <f t="shared" si="587"/>
        <v>5.6653214119239044</v>
      </c>
      <c r="EX200" s="528">
        <f t="shared" si="588"/>
        <v>5.7268028187112605E-4</v>
      </c>
      <c r="EY200" s="528">
        <f t="shared" si="589"/>
        <v>0.68679375210278859</v>
      </c>
      <c r="EZ200" s="528"/>
      <c r="FA200" s="625">
        <f t="shared" si="590"/>
        <v>2.3043197724465735E-2</v>
      </c>
      <c r="FB200" s="460">
        <f t="shared" si="613"/>
        <v>11057.075577149099</v>
      </c>
      <c r="FC200" s="173">
        <f t="shared" si="591"/>
        <v>21.088997887129082</v>
      </c>
      <c r="FD200" s="5">
        <f t="shared" si="592"/>
        <v>136.80000000000001</v>
      </c>
      <c r="FE200" s="173">
        <f t="shared" si="593"/>
        <v>0.86643149193837377</v>
      </c>
      <c r="FF200" s="5">
        <f t="shared" si="594"/>
        <v>86.643149193837374</v>
      </c>
      <c r="FG200">
        <f t="shared" si="595"/>
        <v>90</v>
      </c>
      <c r="FI200" s="562">
        <f t="shared" si="596"/>
        <v>-50</v>
      </c>
      <c r="FJ200">
        <f t="shared" si="597"/>
        <v>-50</v>
      </c>
    </row>
    <row r="201" spans="5:166">
      <c r="E201" s="170">
        <v>91</v>
      </c>
      <c r="F201" s="217">
        <f t="shared" si="598"/>
        <v>9.1</v>
      </c>
      <c r="G201" s="217">
        <f t="shared" si="499"/>
        <v>0.22750000000000001</v>
      </c>
      <c r="H201" s="217">
        <f t="shared" si="500"/>
        <v>136.5</v>
      </c>
      <c r="I201" s="217">
        <f t="shared" si="501"/>
        <v>1.82</v>
      </c>
      <c r="J201" s="541">
        <f t="shared" si="502"/>
        <v>18.073396607955939</v>
      </c>
      <c r="K201" s="443">
        <f t="shared" si="503"/>
        <v>16.198584210526317</v>
      </c>
      <c r="L201" s="172">
        <f t="shared" si="504"/>
        <v>34.271980818482248</v>
      </c>
      <c r="M201" s="443"/>
      <c r="N201" s="217">
        <f t="shared" si="505"/>
        <v>0.47264802978037135</v>
      </c>
      <c r="O201" s="172">
        <f t="shared" si="506"/>
        <v>210.74889715928344</v>
      </c>
      <c r="P201" s="172">
        <f t="shared" si="507"/>
        <v>2.8474517660632075</v>
      </c>
      <c r="Q201" s="217">
        <f t="shared" si="508"/>
        <v>14.049926477285563</v>
      </c>
      <c r="R201" s="217">
        <f t="shared" si="509"/>
        <v>26.343612144910431</v>
      </c>
      <c r="S201" s="217">
        <f t="shared" si="510"/>
        <v>15</v>
      </c>
      <c r="T201" s="217">
        <f t="shared" si="511"/>
        <v>32.384511103000861</v>
      </c>
      <c r="U201" s="217">
        <f t="shared" si="512"/>
        <v>21.501997752040797</v>
      </c>
      <c r="V201" s="217">
        <f t="shared" si="513"/>
        <v>23.990623389387167</v>
      </c>
      <c r="W201" s="197">
        <f t="shared" si="514"/>
        <v>71.186294151580185</v>
      </c>
      <c r="X201" s="443">
        <f t="shared" si="599"/>
        <v>21.885371751924591</v>
      </c>
      <c r="Z201" s="217">
        <f t="shared" si="515"/>
        <v>10</v>
      </c>
      <c r="AA201" s="173">
        <f t="shared" si="516"/>
        <v>7.4080548300030111</v>
      </c>
      <c r="AB201" s="173">
        <f t="shared" si="517"/>
        <v>2.6020656425310631</v>
      </c>
      <c r="AC201" s="173"/>
      <c r="AD201" s="173">
        <f t="shared" si="518"/>
        <v>7.4080548300030111</v>
      </c>
      <c r="AE201" s="545">
        <f t="shared" si="519"/>
        <v>245.6785271929825</v>
      </c>
      <c r="AF201" s="528">
        <f t="shared" si="520"/>
        <v>2.6367598510981436</v>
      </c>
      <c r="AH201" s="173">
        <f t="shared" si="521"/>
        <v>8.1158281565510411</v>
      </c>
      <c r="AI201" s="173">
        <f t="shared" si="522"/>
        <v>32.384511103000861</v>
      </c>
      <c r="AJ201" s="173">
        <f t="shared" si="523"/>
        <v>17.781119335556191</v>
      </c>
      <c r="AL201" s="545">
        <f t="shared" si="524"/>
        <v>9100</v>
      </c>
      <c r="AM201" s="460">
        <f t="shared" si="525"/>
        <v>21.885371751924591</v>
      </c>
      <c r="AO201">
        <f t="shared" si="526"/>
        <v>9100</v>
      </c>
      <c r="AP201">
        <f t="shared" si="527"/>
        <v>21.885371751924591</v>
      </c>
      <c r="AR201" s="5">
        <f t="shared" si="616"/>
        <v>45.692621141427971</v>
      </c>
      <c r="AS201" s="5">
        <f t="shared" si="604"/>
        <v>21.501997752040797</v>
      </c>
      <c r="AT201" s="5">
        <f t="shared" si="605"/>
        <v>24.190623389387174</v>
      </c>
      <c r="AU201" s="173">
        <f t="shared" si="606"/>
        <v>0.47057921421245968</v>
      </c>
      <c r="AW201" s="5">
        <f t="shared" si="477"/>
        <v>1304.4545302904751</v>
      </c>
      <c r="AX201" s="5">
        <f t="shared" si="478"/>
        <v>61.146306107366023</v>
      </c>
      <c r="AY201" s="5">
        <f t="shared" si="479"/>
        <v>50.750161876628013</v>
      </c>
      <c r="AZ201" s="5"/>
      <c r="BA201" s="173">
        <f t="shared" si="480"/>
        <v>12.826054701445088</v>
      </c>
      <c r="BB201" s="173">
        <f t="shared" si="481"/>
        <v>13.604331684761307</v>
      </c>
      <c r="BC201" s="173">
        <f t="shared" si="482"/>
        <v>0.33504001168745501</v>
      </c>
      <c r="BD201" s="173"/>
      <c r="BE201" s="528">
        <f t="shared" si="483"/>
        <v>3.2901535840892331</v>
      </c>
      <c r="BF201" s="528">
        <f t="shared" si="528"/>
        <v>0.45544060874019276</v>
      </c>
      <c r="BG201" s="528">
        <f t="shared" si="529"/>
        <v>9.8885750896272138E-3</v>
      </c>
      <c r="BH201" s="528">
        <f t="shared" si="484"/>
        <v>2.5705871974095905E-3</v>
      </c>
      <c r="BI201">
        <f t="shared" si="485"/>
        <v>8.1330284735801721E-3</v>
      </c>
      <c r="BJ201" s="460">
        <f t="shared" si="600"/>
        <v>18.021603563207389</v>
      </c>
      <c r="BK201">
        <f t="shared" si="530"/>
        <v>21.243089390636623</v>
      </c>
      <c r="BL201" s="460">
        <f t="shared" si="601"/>
        <v>3766.1863835900431</v>
      </c>
      <c r="BM201" s="173">
        <f t="shared" si="531"/>
        <v>5.6533749999999987</v>
      </c>
      <c r="BN201" s="173">
        <f t="shared" si="532"/>
        <v>0.14133437499999998</v>
      </c>
      <c r="BO201" s="528"/>
      <c r="BQ201" s="460">
        <f t="shared" si="486"/>
        <v>5794.7093749999985</v>
      </c>
      <c r="BR201" s="528">
        <f t="shared" si="487"/>
        <v>4.9352303761338492</v>
      </c>
      <c r="BS201" s="528">
        <f t="shared" si="488"/>
        <v>5.5523352176700129</v>
      </c>
      <c r="BT201" s="528">
        <f t="shared" si="489"/>
        <v>5.612590471576499E-4</v>
      </c>
      <c r="BU201" s="528">
        <f t="shared" si="490"/>
        <v>0.66864898111742821</v>
      </c>
      <c r="BV201" s="528"/>
      <c r="BW201" s="625">
        <f t="shared" si="533"/>
        <v>2.2952427179309128E-2</v>
      </c>
      <c r="BX201" s="460">
        <f t="shared" si="607"/>
        <v>11179.728261147757</v>
      </c>
      <c r="BY201" s="173">
        <f t="shared" si="608"/>
        <v>20.740624019737798</v>
      </c>
      <c r="BZ201" s="5">
        <f t="shared" si="609"/>
        <v>138.32</v>
      </c>
      <c r="CA201" s="173">
        <f t="shared" si="610"/>
        <v>0.86960554098439791</v>
      </c>
      <c r="CB201" s="5">
        <f t="shared" si="611"/>
        <v>86.960554098439786</v>
      </c>
      <c r="CC201">
        <f t="shared" si="612"/>
        <v>90.999999999999986</v>
      </c>
      <c r="CE201" s="562">
        <f t="shared" si="534"/>
        <v>-50</v>
      </c>
      <c r="CF201">
        <f t="shared" si="535"/>
        <v>-50</v>
      </c>
      <c r="CG201" s="173">
        <f t="shared" si="536"/>
        <v>0.54755043227665712</v>
      </c>
      <c r="CH201" s="173">
        <f t="shared" si="537"/>
        <v>6.4398811101315845E-2</v>
      </c>
      <c r="CI201" s="170">
        <v>91</v>
      </c>
      <c r="CJ201" s="217">
        <f t="shared" si="602"/>
        <v>9.1</v>
      </c>
      <c r="CK201" s="217">
        <f t="shared" si="538"/>
        <v>0.22750000000000001</v>
      </c>
      <c r="CL201" s="217">
        <f t="shared" si="539"/>
        <v>136.5</v>
      </c>
      <c r="CM201" s="217">
        <f t="shared" si="540"/>
        <v>1.82</v>
      </c>
      <c r="CN201" s="541">
        <f t="shared" si="541"/>
        <v>19</v>
      </c>
      <c r="CO201" s="443">
        <f t="shared" si="542"/>
        <v>15.7</v>
      </c>
      <c r="CP201" s="443">
        <f t="shared" si="543"/>
        <v>34.700000000000003</v>
      </c>
      <c r="CQ201" s="443"/>
      <c r="CR201" s="217">
        <f t="shared" si="544"/>
        <v>0.44767441860465118</v>
      </c>
      <c r="CS201" s="172">
        <f t="shared" si="545"/>
        <v>209.84738372093025</v>
      </c>
      <c r="CT201" s="172">
        <f t="shared" si="546"/>
        <v>2.835271317829458</v>
      </c>
      <c r="CU201" s="217">
        <f t="shared" si="547"/>
        <v>13.989825581395349</v>
      </c>
      <c r="CV201" s="217">
        <f t="shared" si="548"/>
        <v>26.230922965116282</v>
      </c>
      <c r="CW201" s="217">
        <f t="shared" si="549"/>
        <v>15</v>
      </c>
      <c r="CX201" s="217">
        <f t="shared" si="550"/>
        <v>32.523636363636363</v>
      </c>
      <c r="CY201" s="217">
        <f t="shared" si="551"/>
        <v>20.541244019138755</v>
      </c>
      <c r="CZ201" s="217">
        <f t="shared" si="552"/>
        <v>24.858830341632892</v>
      </c>
      <c r="DA201" s="197">
        <f t="shared" si="553"/>
        <v>71.63784822286263</v>
      </c>
      <c r="DB201" s="443">
        <f t="shared" si="554"/>
        <v>22.026395640974087</v>
      </c>
      <c r="DD201" s="217">
        <f t="shared" si="555"/>
        <v>10.000000000000002</v>
      </c>
      <c r="DE201" s="173">
        <f t="shared" si="556"/>
        <v>7.6433121019108299</v>
      </c>
      <c r="DF201" s="173">
        <f t="shared" si="557"/>
        <v>2.7017291066282429</v>
      </c>
      <c r="DG201" s="173"/>
      <c r="DH201" s="173">
        <f t="shared" si="558"/>
        <v>7.6433121019108281</v>
      </c>
      <c r="DI201" s="545">
        <f t="shared" si="559"/>
        <v>238.11666666666667</v>
      </c>
      <c r="DJ201" s="528">
        <f t="shared" si="560"/>
        <v>2.7377521613832849</v>
      </c>
      <c r="DL201" s="173">
        <f t="shared" si="561"/>
        <v>8.1158281565510411</v>
      </c>
      <c r="DM201" s="173">
        <f t="shared" si="562"/>
        <v>32.523636363636363</v>
      </c>
      <c r="DN201" s="173">
        <f t="shared" si="563"/>
        <v>17.884175084175084</v>
      </c>
      <c r="DP201" s="545">
        <f t="shared" si="564"/>
        <v>9100</v>
      </c>
      <c r="DQ201" s="460">
        <f t="shared" si="565"/>
        <v>22.026395640974087</v>
      </c>
      <c r="DS201">
        <f t="shared" si="614"/>
        <v>9100</v>
      </c>
      <c r="DT201">
        <f t="shared" si="615"/>
        <v>22.026395640974087</v>
      </c>
      <c r="DV201" s="5">
        <f t="shared" si="568"/>
        <v>45.400074360771647</v>
      </c>
      <c r="DW201" s="5">
        <f t="shared" si="569"/>
        <v>20.541244019138755</v>
      </c>
      <c r="DX201" s="5">
        <f t="shared" si="570"/>
        <v>24.858830341632892</v>
      </c>
      <c r="DY201" s="173">
        <f t="shared" si="571"/>
        <v>0.45244956772334288</v>
      </c>
      <c r="EA201" s="5">
        <f t="shared" si="572"/>
        <v>1246.1688038277512</v>
      </c>
      <c r="EB201" s="5">
        <f t="shared" si="573"/>
        <v>58.414162679425843</v>
      </c>
      <c r="EC201" s="5">
        <f t="shared" si="574"/>
        <v>49.608630725627037</v>
      </c>
      <c r="ED201" s="5"/>
      <c r="EE201" s="173">
        <f t="shared" si="575"/>
        <v>12.63058768419476</v>
      </c>
      <c r="EF201" s="173">
        <f t="shared" si="576"/>
        <v>13.894743449348661</v>
      </c>
      <c r="EG201" s="173">
        <f t="shared" si="577"/>
        <v>0.34219211318395926</v>
      </c>
      <c r="EH201" s="173"/>
      <c r="EI201" s="528">
        <f t="shared" si="578"/>
        <v>3.1906349049626472</v>
      </c>
      <c r="EJ201" s="528">
        <f t="shared" si="579"/>
        <v>0.4971666666666667</v>
      </c>
      <c r="EK201" s="528">
        <f t="shared" si="580"/>
        <v>2.7532994551217609E-3</v>
      </c>
      <c r="EL201" s="528">
        <f t="shared" si="581"/>
        <v>2.6521762727340493E-3</v>
      </c>
      <c r="EM201">
        <f t="shared" si="582"/>
        <v>8.5500000000000003E-3</v>
      </c>
      <c r="EN201" s="460">
        <f t="shared" si="583"/>
        <v>11.303299455121762</v>
      </c>
      <c r="EP201" s="460">
        <f t="shared" si="603"/>
        <v>3701.75704735717</v>
      </c>
      <c r="EQ201" s="173">
        <f t="shared" si="584"/>
        <v>6.3699999999999992</v>
      </c>
      <c r="ER201" s="173">
        <f t="shared" si="585"/>
        <v>0.100953125</v>
      </c>
      <c r="ES201" s="528"/>
      <c r="EU201" s="460">
        <f t="shared" si="497"/>
        <v>6470.9531249999991</v>
      </c>
      <c r="EV201" s="528">
        <f t="shared" si="586"/>
        <v>4.7859523574439704</v>
      </c>
      <c r="EW201" s="528">
        <f t="shared" si="587"/>
        <v>5.7919168656965256</v>
      </c>
      <c r="EX201" s="528">
        <f t="shared" si="588"/>
        <v>5.854772116265179E-4</v>
      </c>
      <c r="EY201" s="528">
        <f t="shared" si="589"/>
        <v>0.68679375210278804</v>
      </c>
      <c r="EZ201" s="528"/>
      <c r="FA201" s="625">
        <f t="shared" si="590"/>
        <v>2.3299233254737581E-2</v>
      </c>
      <c r="FB201" s="460">
        <f t="shared" si="613"/>
        <v>11288.547685709649</v>
      </c>
      <c r="FC201" s="173">
        <f t="shared" si="591"/>
        <v>21.461257858066812</v>
      </c>
      <c r="FD201" s="5">
        <f t="shared" si="592"/>
        <v>138.32</v>
      </c>
      <c r="FE201" s="173">
        <f t="shared" si="593"/>
        <v>0.865683509156432</v>
      </c>
      <c r="FF201" s="5">
        <f t="shared" si="594"/>
        <v>86.568350915643194</v>
      </c>
      <c r="FG201">
        <f t="shared" si="595"/>
        <v>90.999999999999986</v>
      </c>
      <c r="FI201" s="562">
        <f t="shared" si="596"/>
        <v>-50</v>
      </c>
      <c r="FJ201">
        <f t="shared" si="597"/>
        <v>-50</v>
      </c>
    </row>
    <row r="202" spans="5:166">
      <c r="E202" s="170">
        <v>92</v>
      </c>
      <c r="F202" s="217">
        <f t="shared" si="598"/>
        <v>9.2000000000000011</v>
      </c>
      <c r="G202" s="217">
        <f t="shared" si="499"/>
        <v>0.23</v>
      </c>
      <c r="H202" s="217">
        <f t="shared" si="500"/>
        <v>138.00000000000003</v>
      </c>
      <c r="I202" s="217">
        <f t="shared" si="501"/>
        <v>1.84</v>
      </c>
      <c r="J202" s="541">
        <f t="shared" si="502"/>
        <v>18.063214153098311</v>
      </c>
      <c r="K202" s="443">
        <f t="shared" si="503"/>
        <v>16.204063157894737</v>
      </c>
      <c r="L202" s="172">
        <f t="shared" si="504"/>
        <v>34.267277310993052</v>
      </c>
      <c r="M202" s="443"/>
      <c r="N202" s="217">
        <f t="shared" si="505"/>
        <v>0.47287279379784347</v>
      </c>
      <c r="O202" s="172">
        <f t="shared" si="506"/>
        <v>210.73032586046907</v>
      </c>
      <c r="P202" s="172">
        <f t="shared" si="507"/>
        <v>2.8472008471814489</v>
      </c>
      <c r="Q202" s="217">
        <f t="shared" si="508"/>
        <v>14.048688390697938</v>
      </c>
      <c r="R202" s="217">
        <f t="shared" si="509"/>
        <v>26.341290732558633</v>
      </c>
      <c r="S202" s="217">
        <f t="shared" si="510"/>
        <v>15</v>
      </c>
      <c r="T202" s="217">
        <f t="shared" si="511"/>
        <v>32.743270204824249</v>
      </c>
      <c r="U202" s="217">
        <f t="shared" si="512"/>
        <v>21.75245441523457</v>
      </c>
      <c r="V202" s="217">
        <f t="shared" si="513"/>
        <v>24.248192482911787</v>
      </c>
      <c r="W202" s="197">
        <f t="shared" si="514"/>
        <v>71.180021179536212</v>
      </c>
      <c r="X202" s="443">
        <f t="shared" si="599"/>
        <v>21.644718572980015</v>
      </c>
      <c r="Z202" s="217">
        <f t="shared" si="515"/>
        <v>10</v>
      </c>
      <c r="AA202" s="173">
        <f t="shared" si="516"/>
        <v>7.4055500050019942</v>
      </c>
      <c r="AB202" s="173">
        <f t="shared" si="517"/>
        <v>2.6009566095501144</v>
      </c>
      <c r="AC202" s="173"/>
      <c r="AD202" s="173">
        <f t="shared" si="518"/>
        <v>7.4055500050019942</v>
      </c>
      <c r="AE202" s="545">
        <f t="shared" si="519"/>
        <v>248.46230175438598</v>
      </c>
      <c r="AF202" s="528">
        <f t="shared" si="520"/>
        <v>2.6356360310107823</v>
      </c>
      <c r="AH202" s="173">
        <f t="shared" si="521"/>
        <v>8.1602987807111695</v>
      </c>
      <c r="AI202" s="173">
        <f t="shared" si="522"/>
        <v>32.743270204824249</v>
      </c>
      <c r="AJ202" s="173">
        <f t="shared" si="523"/>
        <v>18.046866818388331</v>
      </c>
      <c r="AL202" s="545">
        <f t="shared" si="524"/>
        <v>9200.0000000000018</v>
      </c>
      <c r="AM202" s="460">
        <f t="shared" si="525"/>
        <v>21.644718572980015</v>
      </c>
      <c r="AO202">
        <f t="shared" si="526"/>
        <v>9200.0000000000018</v>
      </c>
      <c r="AP202">
        <f t="shared" si="527"/>
        <v>21.644718572980015</v>
      </c>
      <c r="AR202" s="5">
        <f t="shared" si="616"/>
        <v>46.20064689814636</v>
      </c>
      <c r="AS202" s="5">
        <f t="shared" si="604"/>
        <v>21.75245441523457</v>
      </c>
      <c r="AT202" s="5">
        <f t="shared" si="605"/>
        <v>24.448192482911789</v>
      </c>
      <c r="AU202" s="173">
        <f t="shared" si="606"/>
        <v>0.47082575408932881</v>
      </c>
      <c r="AW202" s="5">
        <f t="shared" si="477"/>
        <v>1334.1505374677206</v>
      </c>
      <c r="AX202" s="5">
        <f t="shared" si="478"/>
        <v>62.538306443799399</v>
      </c>
      <c r="AY202" s="5">
        <f t="shared" si="479"/>
        <v>51.88338597448346</v>
      </c>
      <c r="AZ202" s="5"/>
      <c r="BA202" s="173">
        <f t="shared" si="480"/>
        <v>12.971539724283639</v>
      </c>
      <c r="BB202" s="173">
        <f t="shared" si="481"/>
        <v>13.751838849769946</v>
      </c>
      <c r="BC202" s="173">
        <f t="shared" si="482"/>
        <v>0.33867273716296187</v>
      </c>
      <c r="BD202" s="173"/>
      <c r="BE202" s="528">
        <f t="shared" si="483"/>
        <v>3.3652168563733693</v>
      </c>
      <c r="BF202" s="528">
        <f t="shared" si="528"/>
        <v>0.45535998770121094</v>
      </c>
      <c r="BG202" s="528">
        <f t="shared" si="529"/>
        <v>9.7743296716820624E-3</v>
      </c>
      <c r="BH202" s="528">
        <f t="shared" si="484"/>
        <v>2.5416230575672129E-3</v>
      </c>
      <c r="BI202">
        <f t="shared" si="485"/>
        <v>8.128446368894239E-3</v>
      </c>
      <c r="BJ202" s="460">
        <f t="shared" si="600"/>
        <v>17.902776040576303</v>
      </c>
      <c r="BK202">
        <f t="shared" si="530"/>
        <v>23.608528948908894</v>
      </c>
      <c r="BL202" s="460">
        <f t="shared" si="601"/>
        <v>3841.0212431727241</v>
      </c>
      <c r="BM202" s="173">
        <f t="shared" si="531"/>
        <v>5.7155000000000005</v>
      </c>
      <c r="BN202" s="173">
        <f t="shared" si="532"/>
        <v>0.1428875</v>
      </c>
      <c r="BO202" s="528"/>
      <c r="BQ202" s="460">
        <f t="shared" si="486"/>
        <v>5858.3874999999998</v>
      </c>
      <c r="BR202" s="528">
        <f t="shared" si="487"/>
        <v>5.0478252845600542</v>
      </c>
      <c r="BS202" s="528">
        <f t="shared" si="488"/>
        <v>5.6733921525012594</v>
      </c>
      <c r="BT202" s="528">
        <f t="shared" si="489"/>
        <v>5.7349611448726326E-4</v>
      </c>
      <c r="BU202" s="528">
        <f t="shared" si="490"/>
        <v>0.66858248173197421</v>
      </c>
      <c r="BV202" s="528"/>
      <c r="BW202" s="625">
        <f t="shared" si="533"/>
        <v>2.3205773418491824E-2</v>
      </c>
      <c r="BX202" s="460">
        <f t="shared" si="607"/>
        <v>11413.579188326265</v>
      </c>
      <c r="BY202" s="173">
        <f t="shared" si="608"/>
        <v>21.112987931498992</v>
      </c>
      <c r="BZ202" s="5">
        <f t="shared" si="609"/>
        <v>139.84000000000003</v>
      </c>
      <c r="CA202" s="173">
        <f t="shared" si="610"/>
        <v>0.86882512587784577</v>
      </c>
      <c r="CB202" s="5">
        <f t="shared" si="611"/>
        <v>86.882512587784575</v>
      </c>
      <c r="CC202">
        <f t="shared" si="612"/>
        <v>92.000000000000014</v>
      </c>
      <c r="CE202" s="562">
        <f t="shared" si="534"/>
        <v>-50</v>
      </c>
      <c r="CF202">
        <f t="shared" si="535"/>
        <v>-50</v>
      </c>
      <c r="CG202" s="173">
        <f t="shared" si="536"/>
        <v>0.54755043227665712</v>
      </c>
      <c r="CH202" s="173">
        <f t="shared" si="537"/>
        <v>6.4398811101315845E-2</v>
      </c>
      <c r="CI202" s="170">
        <v>92</v>
      </c>
      <c r="CJ202" s="217">
        <f t="shared" si="602"/>
        <v>9.2000000000000011</v>
      </c>
      <c r="CK202" s="217">
        <f t="shared" si="538"/>
        <v>0.23</v>
      </c>
      <c r="CL202" s="217">
        <f t="shared" si="539"/>
        <v>138.00000000000003</v>
      </c>
      <c r="CM202" s="217">
        <f t="shared" si="540"/>
        <v>1.84</v>
      </c>
      <c r="CN202" s="541">
        <f t="shared" si="541"/>
        <v>19</v>
      </c>
      <c r="CO202" s="443">
        <f t="shared" si="542"/>
        <v>15.7</v>
      </c>
      <c r="CP202" s="443">
        <f t="shared" si="543"/>
        <v>34.700000000000003</v>
      </c>
      <c r="CQ202" s="443"/>
      <c r="CR202" s="217">
        <f t="shared" si="544"/>
        <v>0.44767441860465118</v>
      </c>
      <c r="CS202" s="172">
        <f t="shared" si="545"/>
        <v>209.84738372093025</v>
      </c>
      <c r="CT202" s="172">
        <f t="shared" si="546"/>
        <v>2.835271317829458</v>
      </c>
      <c r="CU202" s="217">
        <f t="shared" si="547"/>
        <v>13.989825581395349</v>
      </c>
      <c r="CV202" s="217">
        <f t="shared" si="548"/>
        <v>26.230922965116282</v>
      </c>
      <c r="CW202" s="217">
        <f t="shared" si="549"/>
        <v>15</v>
      </c>
      <c r="CX202" s="217">
        <f t="shared" si="550"/>
        <v>32.881038961038968</v>
      </c>
      <c r="CY202" s="217">
        <f t="shared" si="551"/>
        <v>20.766971975393034</v>
      </c>
      <c r="CZ202" s="217">
        <f t="shared" si="552"/>
        <v>25.13200430143106</v>
      </c>
      <c r="DA202" s="197">
        <f t="shared" si="553"/>
        <v>71.63784822286263</v>
      </c>
      <c r="DB202" s="443">
        <f t="shared" si="554"/>
        <v>21.78697829705045</v>
      </c>
      <c r="DD202" s="217">
        <f t="shared" si="555"/>
        <v>10.000000000000002</v>
      </c>
      <c r="DE202" s="173">
        <f t="shared" si="556"/>
        <v>7.6433121019108299</v>
      </c>
      <c r="DF202" s="173">
        <f t="shared" si="557"/>
        <v>2.7017291066282429</v>
      </c>
      <c r="DG202" s="173"/>
      <c r="DH202" s="173">
        <f t="shared" si="558"/>
        <v>7.6433121019108281</v>
      </c>
      <c r="DI202" s="545">
        <f t="shared" si="559"/>
        <v>240.73333333333338</v>
      </c>
      <c r="DJ202" s="528">
        <f t="shared" si="560"/>
        <v>2.7377521613832849</v>
      </c>
      <c r="DL202" s="173">
        <f t="shared" si="561"/>
        <v>8.1602987807111695</v>
      </c>
      <c r="DM202" s="173">
        <f t="shared" si="562"/>
        <v>32.881038961038968</v>
      </c>
      <c r="DN202" s="173">
        <f t="shared" si="563"/>
        <v>18.148917748917754</v>
      </c>
      <c r="DP202" s="545">
        <f t="shared" si="564"/>
        <v>9200.0000000000018</v>
      </c>
      <c r="DQ202" s="460">
        <f t="shared" si="565"/>
        <v>21.78697829705045</v>
      </c>
      <c r="DS202">
        <f t="shared" si="614"/>
        <v>9200.0000000000018</v>
      </c>
      <c r="DT202">
        <f t="shared" si="615"/>
        <v>21.78697829705045</v>
      </c>
      <c r="DV202" s="5">
        <f t="shared" si="568"/>
        <v>45.898976276824094</v>
      </c>
      <c r="DW202" s="5">
        <f t="shared" si="569"/>
        <v>20.766971975393034</v>
      </c>
      <c r="DX202" s="5">
        <f t="shared" si="570"/>
        <v>25.13200430143106</v>
      </c>
      <c r="DY202" s="173">
        <f t="shared" si="571"/>
        <v>0.45244956772334294</v>
      </c>
      <c r="EA202" s="5">
        <f t="shared" si="572"/>
        <v>1273.7076144907728</v>
      </c>
      <c r="EB202" s="5">
        <f t="shared" si="573"/>
        <v>59.705044429254968</v>
      </c>
      <c r="EC202" s="5">
        <f t="shared" si="574"/>
        <v>50.704920959027582</v>
      </c>
      <c r="ED202" s="5"/>
      <c r="EE202" s="173">
        <f t="shared" si="575"/>
        <v>12.769385351054044</v>
      </c>
      <c r="EF202" s="173">
        <f t="shared" si="576"/>
        <v>14.047432937803045</v>
      </c>
      <c r="EG202" s="173">
        <f t="shared" si="577"/>
        <v>0.3459524660760907</v>
      </c>
      <c r="EH202" s="173"/>
      <c r="EI202" s="528">
        <f t="shared" si="578"/>
        <v>3.2611440448742726</v>
      </c>
      <c r="EJ202" s="528">
        <f t="shared" si="579"/>
        <v>0.49716666666666665</v>
      </c>
      <c r="EK202" s="528">
        <f t="shared" si="580"/>
        <v>2.7233722871313061E-3</v>
      </c>
      <c r="EL202" s="528">
        <f t="shared" si="581"/>
        <v>2.623348269769548E-3</v>
      </c>
      <c r="EM202">
        <f t="shared" si="582"/>
        <v>8.5500000000000003E-3</v>
      </c>
      <c r="EN202" s="460">
        <f t="shared" si="583"/>
        <v>11.273372287131307</v>
      </c>
      <c r="EP202" s="460">
        <f t="shared" si="603"/>
        <v>3772.2074320978404</v>
      </c>
      <c r="EQ202" s="173">
        <f t="shared" si="584"/>
        <v>6.44</v>
      </c>
      <c r="ER202" s="173">
        <f t="shared" si="585"/>
        <v>0.1020625</v>
      </c>
      <c r="ES202" s="528"/>
      <c r="EU202" s="460">
        <f t="shared" si="497"/>
        <v>6542.0625</v>
      </c>
      <c r="EV202" s="528">
        <f t="shared" si="586"/>
        <v>4.8917160673114086</v>
      </c>
      <c r="EW202" s="528">
        <f t="shared" si="587"/>
        <v>5.9199111642622162</v>
      </c>
      <c r="EX202" s="528">
        <f t="shared" si="588"/>
        <v>5.9841554392064348E-4</v>
      </c>
      <c r="EY202" s="528">
        <f t="shared" si="589"/>
        <v>0.6867937521027887</v>
      </c>
      <c r="EZ202" s="528"/>
      <c r="FA202" s="625">
        <f t="shared" si="590"/>
        <v>2.3555268785009419E-2</v>
      </c>
      <c r="FB202" s="460">
        <f t="shared" si="613"/>
        <v>11522.574668005343</v>
      </c>
      <c r="FC202" s="173">
        <f t="shared" si="591"/>
        <v>21.836844600103184</v>
      </c>
      <c r="FD202" s="5">
        <f t="shared" si="592"/>
        <v>139.84000000000003</v>
      </c>
      <c r="FE202" s="173">
        <f t="shared" si="593"/>
        <v>0.86493523760860658</v>
      </c>
      <c r="FF202" s="5">
        <f t="shared" si="594"/>
        <v>86.493523760860654</v>
      </c>
      <c r="FG202">
        <f t="shared" si="595"/>
        <v>92.000000000000014</v>
      </c>
      <c r="FI202" s="562">
        <f t="shared" si="596"/>
        <v>-50</v>
      </c>
      <c r="FJ202">
        <f t="shared" si="597"/>
        <v>-50</v>
      </c>
    </row>
    <row r="203" spans="5:166">
      <c r="E203" s="170">
        <v>93</v>
      </c>
      <c r="F203" s="217">
        <f t="shared" si="598"/>
        <v>9.3000000000000007</v>
      </c>
      <c r="G203" s="217">
        <f t="shared" si="499"/>
        <v>0.23250000000000001</v>
      </c>
      <c r="H203" s="217">
        <f t="shared" si="500"/>
        <v>139.5</v>
      </c>
      <c r="I203" s="217">
        <f t="shared" si="501"/>
        <v>1.86</v>
      </c>
      <c r="J203" s="541">
        <f t="shared" si="502"/>
        <v>18.053031698240684</v>
      </c>
      <c r="K203" s="443">
        <f t="shared" si="503"/>
        <v>16.209542105263157</v>
      </c>
      <c r="L203" s="172">
        <f t="shared" si="504"/>
        <v>34.262573803503841</v>
      </c>
      <c r="M203" s="443"/>
      <c r="N203" s="217">
        <f t="shared" si="505"/>
        <v>0.47309761952575491</v>
      </c>
      <c r="O203" s="172">
        <f t="shared" si="506"/>
        <v>210.7116691199177</v>
      </c>
      <c r="P203" s="172">
        <f t="shared" si="507"/>
        <v>2.8469487738868882</v>
      </c>
      <c r="Q203" s="217">
        <f t="shared" si="508"/>
        <v>14.047444607994514</v>
      </c>
      <c r="R203" s="217">
        <f t="shared" si="509"/>
        <v>26.338958639989713</v>
      </c>
      <c r="S203" s="217">
        <f t="shared" si="510"/>
        <v>15</v>
      </c>
      <c r="T203" s="217">
        <f t="shared" si="511"/>
        <v>33.10210596846666</v>
      </c>
      <c r="U203" s="217">
        <f t="shared" si="512"/>
        <v>22.003244566413219</v>
      </c>
      <c r="V203" s="217">
        <f t="shared" si="513"/>
        <v>24.505644208951644</v>
      </c>
      <c r="W203" s="197">
        <f t="shared" si="514"/>
        <v>71.173719347172195</v>
      </c>
      <c r="X203" s="443">
        <f t="shared" si="599"/>
        <v>21.409201250949444</v>
      </c>
      <c r="Z203" s="217">
        <f t="shared" si="515"/>
        <v>10</v>
      </c>
      <c r="AA203" s="173">
        <f t="shared" si="516"/>
        <v>7.4030468733004247</v>
      </c>
      <c r="AB203" s="173">
        <f t="shared" si="517"/>
        <v>2.5998472720768668</v>
      </c>
      <c r="AC203" s="173"/>
      <c r="AD203" s="173">
        <f t="shared" si="518"/>
        <v>7.4030468733004247</v>
      </c>
      <c r="AE203" s="545">
        <f t="shared" si="519"/>
        <v>251.24790263157897</v>
      </c>
      <c r="AF203" s="528">
        <f t="shared" si="520"/>
        <v>2.6345119023712256</v>
      </c>
      <c r="AH203" s="173">
        <f t="shared" si="521"/>
        <v>8.204528366352676</v>
      </c>
      <c r="AI203" s="173">
        <f t="shared" si="522"/>
        <v>33.10210596846666</v>
      </c>
      <c r="AJ203" s="173">
        <f t="shared" si="523"/>
        <v>18.312671087753081</v>
      </c>
      <c r="AL203" s="545">
        <f t="shared" si="524"/>
        <v>9300</v>
      </c>
      <c r="AM203" s="460">
        <f t="shared" si="525"/>
        <v>21.409201250949444</v>
      </c>
      <c r="AO203">
        <f t="shared" si="526"/>
        <v>9300</v>
      </c>
      <c r="AP203">
        <f t="shared" si="527"/>
        <v>21.409201250949444</v>
      </c>
      <c r="AR203" s="5">
        <f t="shared" si="616"/>
        <v>46.708888775364869</v>
      </c>
      <c r="AS203" s="5">
        <f t="shared" si="604"/>
        <v>22.003244566413219</v>
      </c>
      <c r="AT203" s="5">
        <f t="shared" si="605"/>
        <v>24.70564420895165</v>
      </c>
      <c r="AU203" s="173">
        <f t="shared" si="606"/>
        <v>0.47107189109620046</v>
      </c>
      <c r="AW203" s="5">
        <f t="shared" si="477"/>
        <v>1364.2011631176197</v>
      </c>
      <c r="AX203" s="5">
        <f t="shared" si="478"/>
        <v>63.946929521138422</v>
      </c>
      <c r="AY203" s="5">
        <f t="shared" si="479"/>
        <v>53.029525959906898</v>
      </c>
      <c r="AZ203" s="5"/>
      <c r="BA203" s="173">
        <f t="shared" si="480"/>
        <v>13.117123048822481</v>
      </c>
      <c r="BB203" s="173">
        <f t="shared" si="481"/>
        <v>13.89931255270977</v>
      </c>
      <c r="BC203" s="173">
        <f t="shared" si="482"/>
        <v>0.3423046385530093</v>
      </c>
      <c r="BD203" s="173"/>
      <c r="BE203" s="528">
        <f t="shared" si="483"/>
        <v>3.4411783415589996</v>
      </c>
      <c r="BF203" s="528">
        <f t="shared" si="528"/>
        <v>0.45527871348420379</v>
      </c>
      <c r="BG203" s="528">
        <f t="shared" si="529"/>
        <v>9.6625247204351096E-3</v>
      </c>
      <c r="BH203" s="528">
        <f t="shared" si="484"/>
        <v>2.5132774390892744E-3</v>
      </c>
      <c r="BI203">
        <f t="shared" si="485"/>
        <v>8.1238642642083077E-3</v>
      </c>
      <c r="BJ203" s="460">
        <f t="shared" si="600"/>
        <v>17.786388984643416</v>
      </c>
      <c r="BK203">
        <f t="shared" si="530"/>
        <v>26.473262902967981</v>
      </c>
      <c r="BL203" s="460">
        <f t="shared" si="601"/>
        <v>3916.7567214669366</v>
      </c>
      <c r="BM203" s="173">
        <f t="shared" si="531"/>
        <v>5.7776249999999996</v>
      </c>
      <c r="BN203" s="173">
        <f t="shared" si="532"/>
        <v>0.14444062499999999</v>
      </c>
      <c r="BO203" s="528"/>
      <c r="BQ203" s="460">
        <f t="shared" si="486"/>
        <v>5922.0656249999993</v>
      </c>
      <c r="BR203" s="528">
        <f t="shared" si="487"/>
        <v>5.161767512338499</v>
      </c>
      <c r="BS203" s="528">
        <f t="shared" si="488"/>
        <v>5.7957266831374605</v>
      </c>
      <c r="BT203" s="528">
        <f t="shared" si="489"/>
        <v>5.8586232787453171E-4</v>
      </c>
      <c r="BU203" s="528">
        <f t="shared" si="490"/>
        <v>0.66851357030296943</v>
      </c>
      <c r="BV203" s="528"/>
      <c r="BW203" s="625">
        <f t="shared" si="533"/>
        <v>2.3459119843705523E-2</v>
      </c>
      <c r="BX203" s="460">
        <f t="shared" si="607"/>
        <v>11650.052747950509</v>
      </c>
      <c r="BY203" s="173">
        <f t="shared" si="608"/>
        <v>21.488875094417445</v>
      </c>
      <c r="BZ203" s="5">
        <f t="shared" si="609"/>
        <v>141.36000000000001</v>
      </c>
      <c r="CA203" s="173">
        <f t="shared" si="610"/>
        <v>0.86804406796203848</v>
      </c>
      <c r="CB203" s="5">
        <f t="shared" si="611"/>
        <v>86.80440679620385</v>
      </c>
      <c r="CC203">
        <f t="shared" si="612"/>
        <v>93</v>
      </c>
      <c r="CE203" s="562">
        <f t="shared" si="534"/>
        <v>-50</v>
      </c>
      <c r="CF203">
        <f t="shared" si="535"/>
        <v>-50</v>
      </c>
      <c r="CG203" s="173">
        <f t="shared" si="536"/>
        <v>0.54755043227665712</v>
      </c>
      <c r="CH203" s="173">
        <f t="shared" si="537"/>
        <v>6.4398811101315845E-2</v>
      </c>
      <c r="CI203" s="170">
        <v>93</v>
      </c>
      <c r="CJ203" s="217">
        <f t="shared" si="602"/>
        <v>9.3000000000000007</v>
      </c>
      <c r="CK203" s="217">
        <f t="shared" si="538"/>
        <v>0.23250000000000001</v>
      </c>
      <c r="CL203" s="217">
        <f t="shared" si="539"/>
        <v>139.5</v>
      </c>
      <c r="CM203" s="217">
        <f t="shared" si="540"/>
        <v>1.86</v>
      </c>
      <c r="CN203" s="541">
        <f t="shared" si="541"/>
        <v>19</v>
      </c>
      <c r="CO203" s="443">
        <f t="shared" si="542"/>
        <v>15.7</v>
      </c>
      <c r="CP203" s="443">
        <f t="shared" si="543"/>
        <v>34.700000000000003</v>
      </c>
      <c r="CQ203" s="443"/>
      <c r="CR203" s="217">
        <f t="shared" si="544"/>
        <v>0.44767441860465118</v>
      </c>
      <c r="CS203" s="172">
        <f t="shared" si="545"/>
        <v>209.84738372093025</v>
      </c>
      <c r="CT203" s="172">
        <f t="shared" si="546"/>
        <v>2.835271317829458</v>
      </c>
      <c r="CU203" s="217">
        <f t="shared" si="547"/>
        <v>13.989825581395349</v>
      </c>
      <c r="CV203" s="217">
        <f t="shared" si="548"/>
        <v>26.230922965116282</v>
      </c>
      <c r="CW203" s="217">
        <f t="shared" si="549"/>
        <v>15</v>
      </c>
      <c r="CX203" s="217">
        <f t="shared" si="550"/>
        <v>33.238441558441558</v>
      </c>
      <c r="CY203" s="217">
        <f t="shared" si="551"/>
        <v>20.992699931647302</v>
      </c>
      <c r="CZ203" s="217">
        <f t="shared" si="552"/>
        <v>25.405178261229217</v>
      </c>
      <c r="DA203" s="197">
        <f t="shared" si="553"/>
        <v>71.63784822286263</v>
      </c>
      <c r="DB203" s="443">
        <f t="shared" si="554"/>
        <v>21.5527097132112</v>
      </c>
      <c r="DD203" s="217">
        <f t="shared" si="555"/>
        <v>10.000000000000002</v>
      </c>
      <c r="DE203" s="173">
        <f t="shared" si="556"/>
        <v>7.6433121019108299</v>
      </c>
      <c r="DF203" s="173">
        <f t="shared" si="557"/>
        <v>2.7017291066282429</v>
      </c>
      <c r="DG203" s="173"/>
      <c r="DH203" s="173">
        <f t="shared" si="558"/>
        <v>7.6433121019108281</v>
      </c>
      <c r="DI203" s="545">
        <f t="shared" si="559"/>
        <v>243.35</v>
      </c>
      <c r="DJ203" s="528">
        <f t="shared" si="560"/>
        <v>2.7377521613832849</v>
      </c>
      <c r="DL203" s="173">
        <f t="shared" si="561"/>
        <v>8.204528366352676</v>
      </c>
      <c r="DM203" s="173">
        <f t="shared" si="562"/>
        <v>33.238441558441558</v>
      </c>
      <c r="DN203" s="173">
        <f t="shared" si="563"/>
        <v>18.413660413660413</v>
      </c>
      <c r="DP203" s="545">
        <f t="shared" si="564"/>
        <v>9300</v>
      </c>
      <c r="DQ203" s="460">
        <f t="shared" si="565"/>
        <v>21.5527097132112</v>
      </c>
      <c r="DS203">
        <f t="shared" si="614"/>
        <v>9300</v>
      </c>
      <c r="DT203">
        <f t="shared" si="615"/>
        <v>21.5527097132112</v>
      </c>
      <c r="DV203" s="5">
        <f t="shared" si="568"/>
        <v>46.397878192876526</v>
      </c>
      <c r="DW203" s="5">
        <f t="shared" si="569"/>
        <v>20.992699931647302</v>
      </c>
      <c r="DX203" s="5">
        <f t="shared" si="570"/>
        <v>25.405178261229224</v>
      </c>
      <c r="DY203" s="173">
        <f t="shared" si="571"/>
        <v>0.45244956772334288</v>
      </c>
      <c r="EA203" s="5">
        <f t="shared" si="572"/>
        <v>1301.5473957621327</v>
      </c>
      <c r="EB203" s="5">
        <f t="shared" si="573"/>
        <v>61.010034176349969</v>
      </c>
      <c r="EC203" s="5">
        <f t="shared" si="574"/>
        <v>51.813192506454335</v>
      </c>
      <c r="ED203" s="5"/>
      <c r="EE203" s="173">
        <f t="shared" si="575"/>
        <v>12.908183017913325</v>
      </c>
      <c r="EF203" s="173">
        <f t="shared" si="576"/>
        <v>14.200122426257423</v>
      </c>
      <c r="EG203" s="173">
        <f t="shared" si="577"/>
        <v>0.34971281896822209</v>
      </c>
      <c r="EH203" s="173"/>
      <c r="EI203" s="528">
        <f t="shared" si="578"/>
        <v>3.3324237764789193</v>
      </c>
      <c r="EJ203" s="528">
        <f t="shared" si="579"/>
        <v>0.49716666666666659</v>
      </c>
      <c r="EK203" s="528">
        <f t="shared" si="580"/>
        <v>2.6940887141514002E-3</v>
      </c>
      <c r="EL203" s="528">
        <f t="shared" si="581"/>
        <v>2.5951402238580481E-3</v>
      </c>
      <c r="EM203">
        <f t="shared" si="582"/>
        <v>8.5500000000000003E-3</v>
      </c>
      <c r="EN203" s="460">
        <f t="shared" si="583"/>
        <v>11.244088714151401</v>
      </c>
      <c r="EP203" s="460">
        <f t="shared" si="603"/>
        <v>3843.429672083596</v>
      </c>
      <c r="EQ203" s="173">
        <f t="shared" si="584"/>
        <v>6.51</v>
      </c>
      <c r="ER203" s="173">
        <f t="shared" si="585"/>
        <v>0.103171875</v>
      </c>
      <c r="ES203" s="528"/>
      <c r="EU203" s="460">
        <f t="shared" si="497"/>
        <v>6613.171875</v>
      </c>
      <c r="EV203" s="528">
        <f t="shared" si="586"/>
        <v>4.9986356647183792</v>
      </c>
      <c r="EW203" s="528">
        <f t="shared" si="587"/>
        <v>6.0493043076209698</v>
      </c>
      <c r="EX203" s="528">
        <f t="shared" si="588"/>
        <v>6.1149527875350236E-4</v>
      </c>
      <c r="EY203" s="528">
        <f t="shared" si="589"/>
        <v>0.68679375210278815</v>
      </c>
      <c r="EZ203" s="528"/>
      <c r="FA203" s="625">
        <f t="shared" si="590"/>
        <v>2.3811304315281254E-2</v>
      </c>
      <c r="FB203" s="460">
        <f t="shared" si="613"/>
        <v>11759.156524036174</v>
      </c>
      <c r="FC203" s="173">
        <f t="shared" si="591"/>
        <v>22.215758071119765</v>
      </c>
      <c r="FD203" s="5">
        <f t="shared" si="592"/>
        <v>141.36000000000001</v>
      </c>
      <c r="FE203" s="173">
        <f t="shared" si="593"/>
        <v>0.86418673321103767</v>
      </c>
      <c r="FF203" s="5">
        <f t="shared" si="594"/>
        <v>86.418673321103768</v>
      </c>
      <c r="FG203">
        <f t="shared" si="595"/>
        <v>93</v>
      </c>
      <c r="FI203" s="562">
        <f t="shared" si="596"/>
        <v>-50</v>
      </c>
      <c r="FJ203">
        <f t="shared" si="597"/>
        <v>-50</v>
      </c>
    </row>
    <row r="204" spans="5:166">
      <c r="E204" s="170">
        <v>94</v>
      </c>
      <c r="F204" s="217">
        <f t="shared" si="598"/>
        <v>9.3999999999999986</v>
      </c>
      <c r="G204" s="217">
        <f t="shared" si="499"/>
        <v>0.23499999999999999</v>
      </c>
      <c r="H204" s="217">
        <f t="shared" si="500"/>
        <v>140.99999999999997</v>
      </c>
      <c r="I204" s="217">
        <f t="shared" si="501"/>
        <v>1.88</v>
      </c>
      <c r="J204" s="541">
        <f t="shared" si="502"/>
        <v>18.042849243383056</v>
      </c>
      <c r="K204" s="443">
        <f t="shared" si="503"/>
        <v>16.215021052631577</v>
      </c>
      <c r="L204" s="172">
        <f t="shared" si="504"/>
        <v>34.25787029601463</v>
      </c>
      <c r="M204" s="443"/>
      <c r="N204" s="217">
        <f t="shared" si="505"/>
        <v>0.47332250698952361</v>
      </c>
      <c r="O204" s="172">
        <f t="shared" si="506"/>
        <v>210.6929269024366</v>
      </c>
      <c r="P204" s="172">
        <f t="shared" si="507"/>
        <v>2.8466955457040326</v>
      </c>
      <c r="Q204" s="217">
        <f t="shared" si="508"/>
        <v>14.046195126829106</v>
      </c>
      <c r="R204" s="217">
        <f t="shared" si="509"/>
        <v>26.336615862804575</v>
      </c>
      <c r="S204" s="217">
        <f t="shared" si="510"/>
        <v>15</v>
      </c>
      <c r="T204" s="217">
        <f t="shared" si="511"/>
        <v>33.461018856435409</v>
      </c>
      <c r="U204" s="217">
        <f t="shared" si="512"/>
        <v>22.254369077793012</v>
      </c>
      <c r="V204" s="217">
        <f t="shared" si="513"/>
        <v>24.762979028760448</v>
      </c>
      <c r="W204" s="197">
        <f t="shared" si="514"/>
        <v>71.167388642600798</v>
      </c>
      <c r="X204" s="443">
        <f t="shared" si="599"/>
        <v>21.178656576462974</v>
      </c>
      <c r="Z204" s="217">
        <f t="shared" si="515"/>
        <v>10</v>
      </c>
      <c r="AA204" s="173">
        <f t="shared" si="516"/>
        <v>7.400545433181839</v>
      </c>
      <c r="AB204" s="173">
        <f t="shared" si="517"/>
        <v>2.5987376299859029</v>
      </c>
      <c r="AC204" s="173"/>
      <c r="AD204" s="173">
        <f t="shared" si="518"/>
        <v>7.400545433181839</v>
      </c>
      <c r="AE204" s="545">
        <f t="shared" si="519"/>
        <v>254.03532982456133</v>
      </c>
      <c r="AF204" s="528">
        <f t="shared" si="520"/>
        <v>2.6333874650523819</v>
      </c>
      <c r="AH204" s="173">
        <f t="shared" si="521"/>
        <v>8.2485207909112539</v>
      </c>
      <c r="AI204" s="173">
        <f t="shared" si="522"/>
        <v>33.461018856435409</v>
      </c>
      <c r="AJ204" s="173">
        <f t="shared" si="523"/>
        <v>18.578532486248449</v>
      </c>
      <c r="AL204" s="545">
        <f t="shared" si="524"/>
        <v>9399.9999999999982</v>
      </c>
      <c r="AM204" s="460">
        <f t="shared" si="525"/>
        <v>21.178656576462974</v>
      </c>
      <c r="AO204">
        <f t="shared" si="526"/>
        <v>9399.9999999999982</v>
      </c>
      <c r="AP204">
        <f t="shared" si="527"/>
        <v>21.178656576462974</v>
      </c>
      <c r="AR204" s="5">
        <f t="shared" si="616"/>
        <v>47.217348106553459</v>
      </c>
      <c r="AS204" s="5">
        <f t="shared" si="604"/>
        <v>22.254369077793012</v>
      </c>
      <c r="AT204" s="5">
        <f t="shared" si="605"/>
        <v>24.962979028760447</v>
      </c>
      <c r="AU204" s="173">
        <f t="shared" si="606"/>
        <v>0.47131764002443521</v>
      </c>
      <c r="AW204" s="5">
        <f t="shared" si="477"/>
        <v>1394.6071288750286</v>
      </c>
      <c r="AX204" s="5">
        <f t="shared" si="478"/>
        <v>65.372209166016958</v>
      </c>
      <c r="AY204" s="5">
        <f t="shared" si="479"/>
        <v>54.188596570190455</v>
      </c>
      <c r="AZ204" s="5"/>
      <c r="BA204" s="173">
        <f t="shared" si="480"/>
        <v>13.262804883821449</v>
      </c>
      <c r="BB204" s="173">
        <f t="shared" si="481"/>
        <v>14.046752919586927</v>
      </c>
      <c r="BC204" s="173">
        <f t="shared" si="482"/>
        <v>0.34593571896080755</v>
      </c>
      <c r="BD204" s="173"/>
      <c r="BE204" s="528">
        <f t="shared" si="483"/>
        <v>3.5180398677263618</v>
      </c>
      <c r="BF204" s="528">
        <f t="shared" si="528"/>
        <v>0.45519680130440937</v>
      </c>
      <c r="BG204" s="528">
        <f t="shared" si="529"/>
        <v>9.5530826946626131E-3</v>
      </c>
      <c r="BH204" s="528">
        <f t="shared" si="484"/>
        <v>2.4855306879372862E-3</v>
      </c>
      <c r="BI204">
        <f t="shared" si="485"/>
        <v>8.1192821595223747E-3</v>
      </c>
      <c r="BJ204" s="460">
        <f t="shared" si="600"/>
        <v>17.672364854184991</v>
      </c>
      <c r="BK204">
        <f t="shared" si="530"/>
        <v>30.013290424832267</v>
      </c>
      <c r="BL204" s="460">
        <f t="shared" si="601"/>
        <v>3993.3945645728932</v>
      </c>
      <c r="BM204" s="173">
        <f t="shared" si="531"/>
        <v>5.8397499999999978</v>
      </c>
      <c r="BN204" s="173">
        <f t="shared" si="532"/>
        <v>0.14599374999999998</v>
      </c>
      <c r="BO204" s="528"/>
      <c r="BQ204" s="460">
        <f t="shared" si="486"/>
        <v>5985.7437499999978</v>
      </c>
      <c r="BR204" s="528">
        <f t="shared" si="487"/>
        <v>5.2770598015895427</v>
      </c>
      <c r="BS204" s="528">
        <f t="shared" si="488"/>
        <v>5.9193380275177159</v>
      </c>
      <c r="BT204" s="528">
        <f t="shared" si="489"/>
        <v>5.9835760826465413E-4</v>
      </c>
      <c r="BU204" s="528">
        <f t="shared" si="490"/>
        <v>0.66844230214128486</v>
      </c>
      <c r="BV204" s="528"/>
      <c r="BW204" s="625">
        <f t="shared" si="533"/>
        <v>2.3712466451611822E-2</v>
      </c>
      <c r="BX204" s="460">
        <f t="shared" si="607"/>
        <v>11889.15095530842</v>
      </c>
      <c r="BY204" s="173">
        <f t="shared" si="608"/>
        <v>21.868289269881309</v>
      </c>
      <c r="BZ204" s="5">
        <f t="shared" si="609"/>
        <v>142.87999999999997</v>
      </c>
      <c r="CA204" s="173">
        <f t="shared" si="610"/>
        <v>0.86726241973864804</v>
      </c>
      <c r="CB204" s="5">
        <f t="shared" si="611"/>
        <v>86.726241973864802</v>
      </c>
      <c r="CC204">
        <f t="shared" si="612"/>
        <v>93.999999999999986</v>
      </c>
      <c r="CE204" s="562">
        <f t="shared" si="534"/>
        <v>-50</v>
      </c>
      <c r="CF204">
        <f t="shared" si="535"/>
        <v>-50</v>
      </c>
      <c r="CG204" s="173">
        <f t="shared" si="536"/>
        <v>0.54755043227665712</v>
      </c>
      <c r="CH204" s="173">
        <f t="shared" si="537"/>
        <v>6.4398811101315859E-2</v>
      </c>
      <c r="CI204" s="170">
        <v>94</v>
      </c>
      <c r="CJ204" s="217">
        <f t="shared" si="602"/>
        <v>9.3999999999999986</v>
      </c>
      <c r="CK204" s="217">
        <f t="shared" si="538"/>
        <v>0.23499999999999999</v>
      </c>
      <c r="CL204" s="217">
        <f t="shared" si="539"/>
        <v>140.99999999999997</v>
      </c>
      <c r="CM204" s="217">
        <f t="shared" si="540"/>
        <v>1.88</v>
      </c>
      <c r="CN204" s="541">
        <f t="shared" si="541"/>
        <v>19</v>
      </c>
      <c r="CO204" s="443">
        <f t="shared" si="542"/>
        <v>15.7</v>
      </c>
      <c r="CP204" s="443">
        <f t="shared" si="543"/>
        <v>34.700000000000003</v>
      </c>
      <c r="CQ204" s="443"/>
      <c r="CR204" s="217">
        <f t="shared" si="544"/>
        <v>0.44767441860465118</v>
      </c>
      <c r="CS204" s="172">
        <f t="shared" si="545"/>
        <v>209.84738372093025</v>
      </c>
      <c r="CT204" s="172">
        <f t="shared" si="546"/>
        <v>2.835271317829458</v>
      </c>
      <c r="CU204" s="217">
        <f t="shared" si="547"/>
        <v>13.989825581395349</v>
      </c>
      <c r="CV204" s="217">
        <f t="shared" si="548"/>
        <v>26.230922965116282</v>
      </c>
      <c r="CW204" s="217">
        <f t="shared" si="549"/>
        <v>15</v>
      </c>
      <c r="CX204" s="217">
        <f t="shared" si="550"/>
        <v>33.595844155844148</v>
      </c>
      <c r="CY204" s="217">
        <f t="shared" si="551"/>
        <v>21.218427887901569</v>
      </c>
      <c r="CZ204" s="217">
        <f t="shared" si="552"/>
        <v>25.678352221027374</v>
      </c>
      <c r="DA204" s="197">
        <f t="shared" si="553"/>
        <v>71.63784822286263</v>
      </c>
      <c r="DB204" s="443">
        <f t="shared" si="554"/>
        <v>21.32342556732598</v>
      </c>
      <c r="DD204" s="217">
        <f t="shared" si="555"/>
        <v>10.000000000000002</v>
      </c>
      <c r="DE204" s="173">
        <f t="shared" si="556"/>
        <v>7.6433121019108299</v>
      </c>
      <c r="DF204" s="173">
        <f t="shared" si="557"/>
        <v>2.7017291066282429</v>
      </c>
      <c r="DG204" s="173"/>
      <c r="DH204" s="173">
        <f t="shared" si="558"/>
        <v>7.6433121019108281</v>
      </c>
      <c r="DI204" s="545">
        <f t="shared" si="559"/>
        <v>245.96666666666667</v>
      </c>
      <c r="DJ204" s="528">
        <f t="shared" si="560"/>
        <v>2.7377521613832849</v>
      </c>
      <c r="DL204" s="173">
        <f t="shared" si="561"/>
        <v>8.2485207909112539</v>
      </c>
      <c r="DM204" s="173">
        <f t="shared" si="562"/>
        <v>33.595844155844148</v>
      </c>
      <c r="DN204" s="173">
        <f t="shared" si="563"/>
        <v>18.678403078403072</v>
      </c>
      <c r="DP204" s="545">
        <f t="shared" si="564"/>
        <v>9399.9999999999982</v>
      </c>
      <c r="DQ204" s="460">
        <f t="shared" si="565"/>
        <v>21.32342556732598</v>
      </c>
      <c r="DS204">
        <f t="shared" si="614"/>
        <v>9399.9999999999982</v>
      </c>
      <c r="DT204">
        <f t="shared" si="615"/>
        <v>21.32342556732598</v>
      </c>
      <c r="DV204" s="5">
        <f t="shared" si="568"/>
        <v>46.896780108928951</v>
      </c>
      <c r="DW204" s="5">
        <f t="shared" si="569"/>
        <v>21.218427887901569</v>
      </c>
      <c r="DX204" s="5">
        <f t="shared" si="570"/>
        <v>25.678352221027382</v>
      </c>
      <c r="DY204" s="173">
        <f t="shared" si="571"/>
        <v>0.45244956772334288</v>
      </c>
      <c r="EA204" s="5">
        <f t="shared" si="572"/>
        <v>1329.6881476418314</v>
      </c>
      <c r="EB204" s="5">
        <f t="shared" si="573"/>
        <v>62.329131920710857</v>
      </c>
      <c r="EC204" s="5">
        <f t="shared" si="574"/>
        <v>52.933445367907311</v>
      </c>
      <c r="ED204" s="5"/>
      <c r="EE204" s="173">
        <f t="shared" si="575"/>
        <v>13.046980684772606</v>
      </c>
      <c r="EF204" s="173">
        <f t="shared" si="576"/>
        <v>14.352811914711801</v>
      </c>
      <c r="EG204" s="173">
        <f t="shared" si="577"/>
        <v>0.35347317186035337</v>
      </c>
      <c r="EH204" s="173"/>
      <c r="EI204" s="528">
        <f t="shared" si="578"/>
        <v>3.4044740997765892</v>
      </c>
      <c r="EJ204" s="528">
        <f t="shared" si="579"/>
        <v>0.49716666666666659</v>
      </c>
      <c r="EK204" s="528">
        <f t="shared" si="580"/>
        <v>2.6654281959157477E-3</v>
      </c>
      <c r="EL204" s="528">
        <f t="shared" si="581"/>
        <v>2.5675323491361544E-3</v>
      </c>
      <c r="EM204">
        <f t="shared" si="582"/>
        <v>8.5500000000000003E-3</v>
      </c>
      <c r="EN204" s="460">
        <f t="shared" si="583"/>
        <v>11.215428195915749</v>
      </c>
      <c r="EP204" s="460">
        <f t="shared" si="603"/>
        <v>3915.4237269883079</v>
      </c>
      <c r="EQ204" s="173">
        <f t="shared" si="584"/>
        <v>6.5799999999999983</v>
      </c>
      <c r="ER204" s="173">
        <f t="shared" si="585"/>
        <v>0.10428124999999999</v>
      </c>
      <c r="ES204" s="528"/>
      <c r="EU204" s="460">
        <f t="shared" si="497"/>
        <v>6684.2812499999982</v>
      </c>
      <c r="EV204" s="528">
        <f t="shared" si="586"/>
        <v>5.1067111496648838</v>
      </c>
      <c r="EW204" s="528">
        <f t="shared" si="587"/>
        <v>6.180096295772791</v>
      </c>
      <c r="EX204" s="528">
        <f t="shared" si="588"/>
        <v>6.2471641612509455E-4</v>
      </c>
      <c r="EY204" s="528">
        <f t="shared" si="589"/>
        <v>0.68679375210278792</v>
      </c>
      <c r="EZ204" s="528"/>
      <c r="FA204" s="625">
        <f t="shared" si="590"/>
        <v>2.4067339845553093E-2</v>
      </c>
      <c r="FB204" s="460">
        <f t="shared" si="613"/>
        <v>11998.293253802141</v>
      </c>
      <c r="FC204" s="173">
        <f t="shared" si="591"/>
        <v>22.597998230790445</v>
      </c>
      <c r="FD204" s="5">
        <f t="shared" si="592"/>
        <v>142.87999999999997</v>
      </c>
      <c r="FE204" s="173">
        <f t="shared" si="593"/>
        <v>0.86343804933346335</v>
      </c>
      <c r="FF204" s="5">
        <f t="shared" si="594"/>
        <v>86.343804933346334</v>
      </c>
      <c r="FG204">
        <f t="shared" si="595"/>
        <v>93.999999999999986</v>
      </c>
      <c r="FI204" s="562">
        <f t="shared" si="596"/>
        <v>-50</v>
      </c>
      <c r="FJ204">
        <f t="shared" si="597"/>
        <v>-50</v>
      </c>
    </row>
    <row r="205" spans="5:166">
      <c r="E205" s="170">
        <v>95</v>
      </c>
      <c r="F205" s="217">
        <f t="shared" si="598"/>
        <v>9.5</v>
      </c>
      <c r="G205" s="217">
        <f t="shared" si="499"/>
        <v>0.23749999999999999</v>
      </c>
      <c r="H205" s="217">
        <f t="shared" si="500"/>
        <v>142.5</v>
      </c>
      <c r="I205" s="217">
        <f t="shared" si="501"/>
        <v>1.9</v>
      </c>
      <c r="J205" s="541">
        <f t="shared" si="502"/>
        <v>18.032666788525429</v>
      </c>
      <c r="K205" s="443">
        <f t="shared" si="503"/>
        <v>16.220499999999998</v>
      </c>
      <c r="L205" s="172">
        <f t="shared" si="504"/>
        <v>34.253166788525427</v>
      </c>
      <c r="M205" s="443"/>
      <c r="N205" s="217">
        <f t="shared" si="505"/>
        <v>0.47354745621458139</v>
      </c>
      <c r="O205" s="172">
        <f t="shared" si="506"/>
        <v>210.6740991728137</v>
      </c>
      <c r="P205" s="172">
        <f t="shared" si="507"/>
        <v>2.8464411621571273</v>
      </c>
      <c r="Q205" s="217">
        <f t="shared" si="508"/>
        <v>14.044939944854246</v>
      </c>
      <c r="R205" s="217">
        <f t="shared" si="509"/>
        <v>26.334262396601712</v>
      </c>
      <c r="S205" s="217">
        <f t="shared" si="510"/>
        <v>15</v>
      </c>
      <c r="T205" s="217">
        <f t="shared" si="511"/>
        <v>33.820009331832665</v>
      </c>
      <c r="U205" s="217">
        <f t="shared" si="512"/>
        <v>22.505828823956133</v>
      </c>
      <c r="V205" s="217">
        <f t="shared" si="513"/>
        <v>25.02019740340878</v>
      </c>
      <c r="W205" s="197">
        <f t="shared" si="514"/>
        <v>71.161029053928175</v>
      </c>
      <c r="X205" s="443">
        <f t="shared" si="599"/>
        <v>20.952928182959113</v>
      </c>
      <c r="Z205" s="217">
        <f t="shared" si="515"/>
        <v>10</v>
      </c>
      <c r="AA205" s="173">
        <f t="shared" si="516"/>
        <v>7.3980456829320937</v>
      </c>
      <c r="AB205" s="173">
        <f t="shared" si="517"/>
        <v>2.5976276831517366</v>
      </c>
      <c r="AC205" s="173"/>
      <c r="AD205" s="173">
        <f t="shared" si="518"/>
        <v>7.3980456829320937</v>
      </c>
      <c r="AE205" s="545">
        <f t="shared" si="519"/>
        <v>256.82458333333324</v>
      </c>
      <c r="AF205" s="528">
        <f t="shared" si="520"/>
        <v>2.6322627189270933</v>
      </c>
      <c r="AH205" s="173">
        <f t="shared" si="521"/>
        <v>8.2922798289677111</v>
      </c>
      <c r="AI205" s="173">
        <f t="shared" si="522"/>
        <v>33.820009331832665</v>
      </c>
      <c r="AJ205" s="173">
        <f t="shared" si="523"/>
        <v>18.844451356913083</v>
      </c>
      <c r="AL205" s="545">
        <f t="shared" si="524"/>
        <v>9500</v>
      </c>
      <c r="AM205" s="460">
        <f t="shared" si="525"/>
        <v>20.952928182959113</v>
      </c>
      <c r="AO205">
        <f t="shared" si="526"/>
        <v>9500</v>
      </c>
      <c r="AP205">
        <f t="shared" si="527"/>
        <v>20.952928182959113</v>
      </c>
      <c r="AR205" s="5">
        <f t="shared" si="616"/>
        <v>47.726026227364912</v>
      </c>
      <c r="AS205" s="5">
        <f t="shared" si="604"/>
        <v>22.505828823956133</v>
      </c>
      <c r="AT205" s="5">
        <f t="shared" si="605"/>
        <v>25.220197403408779</v>
      </c>
      <c r="AU205" s="173">
        <f t="shared" si="606"/>
        <v>0.47156301504632397</v>
      </c>
      <c r="AW205" s="5">
        <f t="shared" si="477"/>
        <v>1425.3691588505551</v>
      </c>
      <c r="AX205" s="5">
        <f t="shared" si="478"/>
        <v>66.814179321119767</v>
      </c>
      <c r="AY205" s="5">
        <f t="shared" si="479"/>
        <v>55.360612618142355</v>
      </c>
      <c r="AZ205" s="5"/>
      <c r="BA205" s="173">
        <f t="shared" si="480"/>
        <v>13.408585438493267</v>
      </c>
      <c r="BB205" s="173">
        <f t="shared" si="481"/>
        <v>14.194160076373281</v>
      </c>
      <c r="BC205" s="173">
        <f t="shared" si="482"/>
        <v>0.34956598148872242</v>
      </c>
      <c r="BD205" s="173"/>
      <c r="BE205" s="528">
        <f t="shared" si="483"/>
        <v>3.5958032692274737</v>
      </c>
      <c r="BF205" s="528">
        <f t="shared" si="528"/>
        <v>0.45511426573913905</v>
      </c>
      <c r="BG205" s="528">
        <f t="shared" si="529"/>
        <v>9.4459293041801312E-3</v>
      </c>
      <c r="BH205" s="528">
        <f t="shared" si="484"/>
        <v>2.4583639740989212E-3</v>
      </c>
      <c r="BI205">
        <f t="shared" si="485"/>
        <v>8.1147000548364434E-3</v>
      </c>
      <c r="BJ205" s="460">
        <f t="shared" si="600"/>
        <v>17.560629359016573</v>
      </c>
      <c r="BK205">
        <f t="shared" si="530"/>
        <v>34.498361270681855</v>
      </c>
      <c r="BL205" s="460">
        <f t="shared" si="601"/>
        <v>4070.9365282997273</v>
      </c>
      <c r="BM205" s="173">
        <f t="shared" si="531"/>
        <v>5.9018749999999995</v>
      </c>
      <c r="BN205" s="173">
        <f t="shared" si="532"/>
        <v>0.14754687499999997</v>
      </c>
      <c r="BO205" s="528"/>
      <c r="BQ205" s="460">
        <f t="shared" si="486"/>
        <v>6049.4218749999991</v>
      </c>
      <c r="BR205" s="528">
        <f t="shared" si="487"/>
        <v>5.3937049038412104</v>
      </c>
      <c r="BS205" s="528">
        <f t="shared" si="488"/>
        <v>6.0442254082112745</v>
      </c>
      <c r="BT205" s="528">
        <f t="shared" si="489"/>
        <v>6.1098187707086919E-4</v>
      </c>
      <c r="BU205" s="528">
        <f t="shared" si="490"/>
        <v>0.6683687302470015</v>
      </c>
      <c r="BV205" s="528"/>
      <c r="BW205" s="625">
        <f t="shared" si="533"/>
        <v>2.3965813239012684E-2</v>
      </c>
      <c r="BX205" s="460">
        <f t="shared" si="607"/>
        <v>12130.87583741557</v>
      </c>
      <c r="BY205" s="173">
        <f t="shared" si="608"/>
        <v>22.251234240715295</v>
      </c>
      <c r="BZ205" s="5">
        <f t="shared" si="609"/>
        <v>144.4</v>
      </c>
      <c r="CA205" s="173">
        <f t="shared" si="610"/>
        <v>0.86648023135205199</v>
      </c>
      <c r="CB205" s="5">
        <f t="shared" si="611"/>
        <v>86.648023135205193</v>
      </c>
      <c r="CC205">
        <f t="shared" si="612"/>
        <v>95</v>
      </c>
      <c r="CE205" s="562">
        <f t="shared" si="534"/>
        <v>-50</v>
      </c>
      <c r="CF205">
        <f t="shared" si="535"/>
        <v>-50</v>
      </c>
      <c r="CG205" s="173">
        <f t="shared" si="536"/>
        <v>0.54755043227665712</v>
      </c>
      <c r="CH205" s="173">
        <f t="shared" si="537"/>
        <v>6.4398811101315845E-2</v>
      </c>
      <c r="CI205" s="170">
        <v>95</v>
      </c>
      <c r="CJ205" s="217">
        <f t="shared" si="602"/>
        <v>9.5</v>
      </c>
      <c r="CK205" s="217">
        <f t="shared" si="538"/>
        <v>0.23749999999999999</v>
      </c>
      <c r="CL205" s="217">
        <f t="shared" si="539"/>
        <v>142.5</v>
      </c>
      <c r="CM205" s="217">
        <f t="shared" si="540"/>
        <v>1.9</v>
      </c>
      <c r="CN205" s="541">
        <f t="shared" si="541"/>
        <v>19</v>
      </c>
      <c r="CO205" s="443">
        <f t="shared" si="542"/>
        <v>15.7</v>
      </c>
      <c r="CP205" s="443">
        <f t="shared" si="543"/>
        <v>34.700000000000003</v>
      </c>
      <c r="CQ205" s="443"/>
      <c r="CR205" s="217">
        <f t="shared" si="544"/>
        <v>0.44767441860465118</v>
      </c>
      <c r="CS205" s="172">
        <f t="shared" si="545"/>
        <v>209.84738372093025</v>
      </c>
      <c r="CT205" s="172">
        <f t="shared" si="546"/>
        <v>2.835271317829458</v>
      </c>
      <c r="CU205" s="217">
        <f t="shared" si="547"/>
        <v>13.989825581395349</v>
      </c>
      <c r="CV205" s="217">
        <f t="shared" si="548"/>
        <v>26.230922965116282</v>
      </c>
      <c r="CW205" s="217">
        <f t="shared" si="549"/>
        <v>15</v>
      </c>
      <c r="CX205" s="217">
        <f t="shared" si="550"/>
        <v>33.953246753246752</v>
      </c>
      <c r="CY205" s="217">
        <f t="shared" si="551"/>
        <v>21.444155844155841</v>
      </c>
      <c r="CZ205" s="217">
        <f t="shared" si="552"/>
        <v>25.951526180825542</v>
      </c>
      <c r="DA205" s="197">
        <f t="shared" si="553"/>
        <v>71.63784822286263</v>
      </c>
      <c r="DB205" s="443">
        <f t="shared" si="554"/>
        <v>21.098968456090969</v>
      </c>
      <c r="DD205" s="217">
        <f t="shared" si="555"/>
        <v>10.000000000000002</v>
      </c>
      <c r="DE205" s="173">
        <f t="shared" si="556"/>
        <v>7.6433121019108299</v>
      </c>
      <c r="DF205" s="173">
        <f t="shared" si="557"/>
        <v>2.7017291066282429</v>
      </c>
      <c r="DG205" s="173"/>
      <c r="DH205" s="173">
        <f t="shared" si="558"/>
        <v>7.6433121019108281</v>
      </c>
      <c r="DI205" s="545">
        <f t="shared" si="559"/>
        <v>248.58333333333334</v>
      </c>
      <c r="DJ205" s="528">
        <f t="shared" si="560"/>
        <v>2.7377521613832849</v>
      </c>
      <c r="DL205" s="173">
        <f t="shared" si="561"/>
        <v>8.2922798289677111</v>
      </c>
      <c r="DM205" s="173">
        <f t="shared" si="562"/>
        <v>33.953246753246752</v>
      </c>
      <c r="DN205" s="173">
        <f t="shared" si="563"/>
        <v>18.943145743145742</v>
      </c>
      <c r="DP205" s="545">
        <f t="shared" si="564"/>
        <v>9500</v>
      </c>
      <c r="DQ205" s="460">
        <f t="shared" si="565"/>
        <v>21.098968456090969</v>
      </c>
      <c r="DS205">
        <f t="shared" si="614"/>
        <v>9500</v>
      </c>
      <c r="DT205">
        <f t="shared" si="615"/>
        <v>21.098968456090969</v>
      </c>
      <c r="DV205" s="5">
        <f t="shared" si="568"/>
        <v>47.395682024981383</v>
      </c>
      <c r="DW205" s="5">
        <f t="shared" si="569"/>
        <v>21.444155844155841</v>
      </c>
      <c r="DX205" s="5">
        <f t="shared" si="570"/>
        <v>25.951526180825542</v>
      </c>
      <c r="DY205" s="173">
        <f t="shared" si="571"/>
        <v>0.45244956772334294</v>
      </c>
      <c r="EA205" s="5">
        <f t="shared" si="572"/>
        <v>1358.1298701298701</v>
      </c>
      <c r="EB205" s="5">
        <f t="shared" si="573"/>
        <v>63.662337662337656</v>
      </c>
      <c r="EC205" s="5">
        <f t="shared" si="574"/>
        <v>54.065679543386544</v>
      </c>
      <c r="ED205" s="5"/>
      <c r="EE205" s="173">
        <f t="shared" si="575"/>
        <v>13.185778351631891</v>
      </c>
      <c r="EF205" s="173">
        <f t="shared" si="576"/>
        <v>14.505501403166186</v>
      </c>
      <c r="EG205" s="173">
        <f t="shared" si="577"/>
        <v>0.35723352475248493</v>
      </c>
      <c r="EH205" s="173"/>
      <c r="EI205" s="528">
        <f t="shared" si="578"/>
        <v>3.4772950147672845</v>
      </c>
      <c r="EJ205" s="528">
        <f t="shared" si="579"/>
        <v>0.4971666666666667</v>
      </c>
      <c r="EK205" s="528">
        <f t="shared" si="580"/>
        <v>2.6373710570113708E-3</v>
      </c>
      <c r="EL205" s="528">
        <f t="shared" si="581"/>
        <v>2.5405056928294581E-3</v>
      </c>
      <c r="EM205">
        <f t="shared" si="582"/>
        <v>8.5500000000000003E-3</v>
      </c>
      <c r="EN205" s="460">
        <f t="shared" si="583"/>
        <v>11.18737105701137</v>
      </c>
      <c r="EP205" s="460">
        <f t="shared" si="603"/>
        <v>3988.1895581837921</v>
      </c>
      <c r="EQ205" s="173">
        <f t="shared" si="584"/>
        <v>6.6499999999999995</v>
      </c>
      <c r="ER205" s="173">
        <f t="shared" si="585"/>
        <v>0.10539062499999999</v>
      </c>
      <c r="ES205" s="528"/>
      <c r="EU205" s="460">
        <f t="shared" si="497"/>
        <v>6755.3906249999991</v>
      </c>
      <c r="EV205" s="528">
        <f t="shared" si="586"/>
        <v>5.2159425221509261</v>
      </c>
      <c r="EW205" s="528">
        <f t="shared" si="587"/>
        <v>6.3122871287176849</v>
      </c>
      <c r="EX205" s="528">
        <f t="shared" si="588"/>
        <v>6.3807895603542133E-4</v>
      </c>
      <c r="EY205" s="528">
        <f t="shared" si="589"/>
        <v>0.68679375210278992</v>
      </c>
      <c r="EZ205" s="528"/>
      <c r="FA205" s="625">
        <f t="shared" si="590"/>
        <v>2.4323375375824949E-2</v>
      </c>
      <c r="FB205" s="460">
        <f t="shared" si="613"/>
        <v>12239.984857303261</v>
      </c>
      <c r="FC205" s="173">
        <f t="shared" si="591"/>
        <v>22.983565040487054</v>
      </c>
      <c r="FD205" s="5">
        <f t="shared" si="592"/>
        <v>144.4</v>
      </c>
      <c r="FE205" s="173">
        <f t="shared" si="593"/>
        <v>0.86268923693357979</v>
      </c>
      <c r="FF205" s="5">
        <f t="shared" si="594"/>
        <v>86.268923693357976</v>
      </c>
      <c r="FG205">
        <f t="shared" si="595"/>
        <v>95</v>
      </c>
      <c r="FI205" s="562">
        <f t="shared" si="596"/>
        <v>-50</v>
      </c>
      <c r="FJ205">
        <f t="shared" si="597"/>
        <v>-50</v>
      </c>
    </row>
    <row r="206" spans="5:166">
      <c r="E206" s="170">
        <v>96</v>
      </c>
      <c r="F206" s="217">
        <f t="shared" si="598"/>
        <v>9.6</v>
      </c>
      <c r="G206" s="217">
        <f t="shared" si="499"/>
        <v>0.24</v>
      </c>
      <c r="H206" s="217">
        <f t="shared" si="500"/>
        <v>144</v>
      </c>
      <c r="I206" s="217">
        <f t="shared" si="501"/>
        <v>1.92</v>
      </c>
      <c r="J206" s="541">
        <f t="shared" si="502"/>
        <v>18.022484333667805</v>
      </c>
      <c r="K206" s="443">
        <f t="shared" si="503"/>
        <v>16.225978947368422</v>
      </c>
      <c r="L206" s="172">
        <f t="shared" si="504"/>
        <v>34.248463281036223</v>
      </c>
      <c r="M206" s="443"/>
      <c r="N206" s="217">
        <f t="shared" si="505"/>
        <v>0.47377246722637439</v>
      </c>
      <c r="O206" s="172">
        <f>N206*J206*Isw_max*0.5*Efficiency*Pout/(Pout+Pout2)</f>
        <v>210.65518589581765</v>
      </c>
      <c r="P206" s="172">
        <f t="shared" si="507"/>
        <v>2.8461856227701587</v>
      </c>
      <c r="Q206" s="217">
        <f t="shared" si="508"/>
        <v>14.043679059721176</v>
      </c>
      <c r="R206" s="217">
        <f t="shared" si="509"/>
        <v>26.331898236977207</v>
      </c>
      <c r="S206" s="217">
        <f t="shared" si="510"/>
        <v>15</v>
      </c>
      <c r="T206" s="217">
        <f t="shared" si="511"/>
        <v>34.179077858357857</v>
      </c>
      <c r="U206" s="217">
        <f t="shared" si="512"/>
        <v>22.757624681858928</v>
      </c>
      <c r="V206" s="217">
        <f t="shared" si="513"/>
        <v>25.277299793786156</v>
      </c>
      <c r="W206" s="197">
        <f t="shared" si="514"/>
        <v>71.154640569253957</v>
      </c>
      <c r="X206" s="443">
        <f t="shared" si="599"/>
        <v>20.731866191786466</v>
      </c>
      <c r="Z206" s="217">
        <f t="shared" si="515"/>
        <v>10</v>
      </c>
      <c r="AA206" s="173">
        <f t="shared" si="516"/>
        <v>7.3955476208393556</v>
      </c>
      <c r="AB206" s="173">
        <f>0.5*AA206*Z206*Nps*W206/1000*(Pout/(Pout+Pout2))</f>
        <v>2.5965174314488104</v>
      </c>
      <c r="AC206" s="173"/>
      <c r="AD206" s="173">
        <f t="shared" si="518"/>
        <v>7.3955476208393556</v>
      </c>
      <c r="AE206" s="545">
        <f>MAX(10, F206/(0.5*AD206/1000000*Isw_min*Nps)/1000*Pout_total/Pout)</f>
        <v>259.61566315789474</v>
      </c>
      <c r="AF206" s="528">
        <f t="shared" si="520"/>
        <v>2.6311376638681279</v>
      </c>
      <c r="AH206" s="173">
        <f t="shared" si="521"/>
        <v>8.3358091560276435</v>
      </c>
      <c r="AI206" s="173">
        <f>MAX(IF(F206&gt;AB206,T206,AH206),Isw_min)</f>
        <v>34.179077858357857</v>
      </c>
      <c r="AJ206" s="173">
        <f>IF(F206&gt;AF206, (AI206-Isw_min)/1.08*0.8+1.2, AE206*0.2/350+1)</f>
        <v>19.11042804322804</v>
      </c>
      <c r="AL206" s="545">
        <f t="shared" si="524"/>
        <v>9600</v>
      </c>
      <c r="AM206" s="460">
        <f t="shared" si="525"/>
        <v>20.731866191786466</v>
      </c>
      <c r="AO206">
        <f t="shared" si="526"/>
        <v>9600</v>
      </c>
      <c r="AP206">
        <f t="shared" si="527"/>
        <v>20.731866191786466</v>
      </c>
      <c r="AR206" s="5">
        <f t="shared" si="616"/>
        <v>48.234924475645094</v>
      </c>
      <c r="AS206" s="5">
        <f t="shared" si="604"/>
        <v>22.757624681858928</v>
      </c>
      <c r="AT206" s="5">
        <f t="shared" si="605"/>
        <v>25.477299793786166</v>
      </c>
      <c r="AU206" s="173">
        <f t="shared" si="606"/>
        <v>0.47180802974719632</v>
      </c>
      <c r="AW206" s="5">
        <f t="shared" si="477"/>
        <v>1456.4879796389714</v>
      </c>
      <c r="AX206" s="5">
        <f t="shared" si="478"/>
        <v>68.272874045576771</v>
      </c>
      <c r="AY206" s="5">
        <f t="shared" si="479"/>
        <v>56.54558899228342</v>
      </c>
      <c r="AZ206" s="5"/>
      <c r="BA206" s="173">
        <f t="shared" si="480"/>
        <v>13.554464922503318</v>
      </c>
      <c r="BB206" s="173">
        <f t="shared" si="481"/>
        <v>14.341534149008952</v>
      </c>
      <c r="BC206" s="173">
        <f t="shared" si="482"/>
        <v>0.35319542923833813</v>
      </c>
      <c r="BD206" s="173"/>
      <c r="BE206" s="528">
        <f t="shared" si="483"/>
        <v>3.6744703867074571</v>
      </c>
      <c r="BF206" s="528">
        <f t="shared" si="528"/>
        <v>0.45503112076086338</v>
      </c>
      <c r="BG206" s="528">
        <f t="shared" si="529"/>
        <v>9.3409933412292208E-3</v>
      </c>
      <c r="BH206" s="528">
        <f t="shared" si="484"/>
        <v>2.4317592488503621E-3</v>
      </c>
      <c r="BI206">
        <f t="shared" si="485"/>
        <v>8.1101179501505121E-3</v>
      </c>
      <c r="BJ206" s="460">
        <f t="shared" si="600"/>
        <v>17.451111291379732</v>
      </c>
      <c r="BK206">
        <f t="shared" si="530"/>
        <v>40.363988515171044</v>
      </c>
      <c r="BL206" s="460">
        <f t="shared" si="601"/>
        <v>4149.3843780085499</v>
      </c>
      <c r="BM206" s="173">
        <f t="shared" si="531"/>
        <v>5.9639999999999995</v>
      </c>
      <c r="BN206" s="173">
        <f t="shared" si="532"/>
        <v>0.14909999999999998</v>
      </c>
      <c r="BO206" s="528"/>
      <c r="BQ206" s="460">
        <f t="shared" si="486"/>
        <v>6113.0999999999995</v>
      </c>
      <c r="BR206" s="528">
        <f t="shared" si="487"/>
        <v>5.5117055800611858</v>
      </c>
      <c r="BS206" s="528">
        <f t="shared" si="488"/>
        <v>6.1703880524156975</v>
      </c>
      <c r="BT206" s="528">
        <f t="shared" si="489"/>
        <v>6.237350561742696E-4</v>
      </c>
      <c r="BU206" s="528">
        <f t="shared" si="490"/>
        <v>0.6682929054289567</v>
      </c>
      <c r="BV206" s="528"/>
      <c r="BW206" s="625">
        <f t="shared" si="533"/>
        <v>2.4219160202843145E-2</v>
      </c>
      <c r="BX206" s="460">
        <f t="shared" si="607"/>
        <v>12375.229433164857</v>
      </c>
      <c r="BY206" s="173">
        <f t="shared" si="608"/>
        <v>22.637713811173409</v>
      </c>
      <c r="BZ206" s="5">
        <f t="shared" si="609"/>
        <v>145.91999999999999</v>
      </c>
      <c r="CA206" s="173">
        <f t="shared" si="610"/>
        <v>0.86569755071231402</v>
      </c>
      <c r="CB206" s="5">
        <f t="shared" si="611"/>
        <v>86.569755071231398</v>
      </c>
      <c r="CC206">
        <f t="shared" si="612"/>
        <v>96</v>
      </c>
      <c r="CE206" s="562">
        <f t="shared" si="534"/>
        <v>-50</v>
      </c>
      <c r="CF206">
        <f t="shared" si="535"/>
        <v>-50</v>
      </c>
      <c r="CG206" s="173">
        <f t="shared" si="536"/>
        <v>0.54755043227665701</v>
      </c>
      <c r="CH206" s="173">
        <f t="shared" si="537"/>
        <v>6.4398811101315859E-2</v>
      </c>
      <c r="CI206" s="170">
        <v>96</v>
      </c>
      <c r="CJ206" s="217">
        <f t="shared" si="602"/>
        <v>9.6</v>
      </c>
      <c r="CK206" s="217">
        <f t="shared" si="538"/>
        <v>0.24</v>
      </c>
      <c r="CL206" s="217">
        <f t="shared" si="539"/>
        <v>144</v>
      </c>
      <c r="CM206" s="217">
        <f t="shared" si="540"/>
        <v>1.92</v>
      </c>
      <c r="CN206" s="541">
        <f t="shared" si="541"/>
        <v>19</v>
      </c>
      <c r="CO206" s="443">
        <f t="shared" si="542"/>
        <v>15.7</v>
      </c>
      <c r="CP206" s="443">
        <f t="shared" si="543"/>
        <v>34.700000000000003</v>
      </c>
      <c r="CQ206" s="443"/>
      <c r="CR206" s="217">
        <f t="shared" si="544"/>
        <v>0.44767441860465118</v>
      </c>
      <c r="CS206" s="172">
        <f t="shared" si="545"/>
        <v>209.84738372093025</v>
      </c>
      <c r="CT206" s="172">
        <f t="shared" si="546"/>
        <v>2.835271317829458</v>
      </c>
      <c r="CU206" s="217">
        <f t="shared" si="547"/>
        <v>13.989825581395349</v>
      </c>
      <c r="CV206" s="217">
        <f t="shared" si="548"/>
        <v>26.230922965116282</v>
      </c>
      <c r="CW206" s="217">
        <f t="shared" si="549"/>
        <v>15</v>
      </c>
      <c r="CX206" s="217">
        <f t="shared" si="550"/>
        <v>34.310649350649349</v>
      </c>
      <c r="CY206" s="217">
        <f t="shared" si="551"/>
        <v>21.669883800410116</v>
      </c>
      <c r="CZ206" s="217">
        <f t="shared" si="552"/>
        <v>26.224700140623707</v>
      </c>
      <c r="DA206" s="197">
        <f t="shared" si="553"/>
        <v>71.63784822286263</v>
      </c>
      <c r="DB206" s="443">
        <f t="shared" si="554"/>
        <v>20.879187534673356</v>
      </c>
      <c r="DD206" s="217">
        <f t="shared" si="555"/>
        <v>10.000000000000002</v>
      </c>
      <c r="DE206" s="173">
        <f t="shared" si="556"/>
        <v>7.6433121019108299</v>
      </c>
      <c r="DF206" s="173">
        <f t="shared" si="557"/>
        <v>2.7017291066282429</v>
      </c>
      <c r="DG206" s="173"/>
      <c r="DH206" s="173">
        <f t="shared" si="558"/>
        <v>7.6433121019108281</v>
      </c>
      <c r="DI206" s="545">
        <f t="shared" si="559"/>
        <v>251.2</v>
      </c>
      <c r="DJ206" s="528">
        <f t="shared" si="560"/>
        <v>2.7377521613832849</v>
      </c>
      <c r="DL206" s="173">
        <f t="shared" si="561"/>
        <v>8.3358091560276435</v>
      </c>
      <c r="DM206" s="173">
        <f t="shared" si="562"/>
        <v>34.310649350649349</v>
      </c>
      <c r="DN206" s="173">
        <f t="shared" si="563"/>
        <v>19.207888407888404</v>
      </c>
      <c r="DP206" s="545">
        <f t="shared" si="564"/>
        <v>9600</v>
      </c>
      <c r="DQ206" s="460">
        <f t="shared" si="565"/>
        <v>20.879187534673356</v>
      </c>
      <c r="DS206">
        <f t="shared" si="614"/>
        <v>9600</v>
      </c>
      <c r="DT206">
        <f t="shared" si="615"/>
        <v>20.879187534673356</v>
      </c>
      <c r="DV206" s="5">
        <f t="shared" si="568"/>
        <v>47.894583941033815</v>
      </c>
      <c r="DW206" s="5">
        <f t="shared" si="569"/>
        <v>21.669883800410116</v>
      </c>
      <c r="DX206" s="5">
        <f t="shared" si="570"/>
        <v>26.2247001406237</v>
      </c>
      <c r="DY206" s="173">
        <f t="shared" si="571"/>
        <v>0.45244956772334299</v>
      </c>
      <c r="EA206" s="5">
        <f t="shared" si="572"/>
        <v>1386.8725632262476</v>
      </c>
      <c r="EB206" s="5">
        <f t="shared" si="573"/>
        <v>65.009651401230343</v>
      </c>
      <c r="EC206" s="5">
        <f t="shared" si="574"/>
        <v>55.209895032892</v>
      </c>
      <c r="ED206" s="5"/>
      <c r="EE206" s="173">
        <f t="shared" si="575"/>
        <v>13.324576018491177</v>
      </c>
      <c r="EF206" s="173">
        <f t="shared" si="576"/>
        <v>14.658190891620563</v>
      </c>
      <c r="EG206" s="173">
        <f t="shared" si="577"/>
        <v>0.36099387764461627</v>
      </c>
      <c r="EH206" s="173"/>
      <c r="EI206" s="528">
        <f t="shared" si="578"/>
        <v>3.5508865214510035</v>
      </c>
      <c r="EJ206" s="528">
        <f t="shared" si="579"/>
        <v>0.49716666666666681</v>
      </c>
      <c r="EK206" s="528">
        <f t="shared" si="580"/>
        <v>2.6098984418341693E-3</v>
      </c>
      <c r="EL206" s="528">
        <f t="shared" si="581"/>
        <v>2.5140420918624848E-3</v>
      </c>
      <c r="EM206">
        <f t="shared" si="582"/>
        <v>8.5500000000000003E-3</v>
      </c>
      <c r="EN206" s="460">
        <f t="shared" si="583"/>
        <v>11.159898441834169</v>
      </c>
      <c r="EP206" s="460">
        <f t="shared" si="603"/>
        <v>4061.7271286513665</v>
      </c>
      <c r="EQ206" s="173">
        <f t="shared" si="584"/>
        <v>6.72</v>
      </c>
      <c r="ER206" s="173">
        <f t="shared" si="585"/>
        <v>0.1065</v>
      </c>
      <c r="ES206" s="528"/>
      <c r="EU206" s="460">
        <f t="shared" si="497"/>
        <v>6826.4999999999991</v>
      </c>
      <c r="EV206" s="528">
        <f t="shared" si="586"/>
        <v>5.3263297821765052</v>
      </c>
      <c r="EW206" s="528">
        <f t="shared" si="587"/>
        <v>6.4458768064556411</v>
      </c>
      <c r="EX206" s="528">
        <f t="shared" si="588"/>
        <v>6.5158289848448088E-4</v>
      </c>
      <c r="EY206" s="528">
        <f t="shared" si="589"/>
        <v>0.68679375210278926</v>
      </c>
      <c r="EZ206" s="528"/>
      <c r="FA206" s="625">
        <f t="shared" si="590"/>
        <v>2.4579410906096787E-2</v>
      </c>
      <c r="FB206" s="460">
        <f t="shared" si="613"/>
        <v>12484.231334539516</v>
      </c>
      <c r="FC206" s="173">
        <f t="shared" si="591"/>
        <v>23.372458463190881</v>
      </c>
      <c r="FD206" s="5">
        <f t="shared" si="592"/>
        <v>145.91999999999999</v>
      </c>
      <c r="FE206" s="173">
        <f t="shared" si="593"/>
        <v>0.86194034468302827</v>
      </c>
      <c r="FF206" s="5">
        <f t="shared" si="594"/>
        <v>86.194034468302831</v>
      </c>
      <c r="FG206">
        <f t="shared" si="595"/>
        <v>96</v>
      </c>
      <c r="FI206" s="562">
        <f t="shared" si="596"/>
        <v>-50</v>
      </c>
      <c r="FJ206">
        <f t="shared" si="597"/>
        <v>-50</v>
      </c>
    </row>
    <row r="207" spans="5:166">
      <c r="E207" s="170">
        <v>97</v>
      </c>
      <c r="F207" s="217">
        <f>IF(PLOT_TYPE=1, E207/100*Iout_max, min_I*EXP(O207*rr/100))</f>
        <v>9.6999999999999993</v>
      </c>
      <c r="G207" s="217">
        <f t="shared" si="499"/>
        <v>0.24249999999999999</v>
      </c>
      <c r="H207" s="217">
        <f t="shared" si="500"/>
        <v>145.5</v>
      </c>
      <c r="I207" s="217">
        <f t="shared" si="501"/>
        <v>1.94</v>
      </c>
      <c r="J207" s="541">
        <f t="shared" si="502"/>
        <v>18.012301878810177</v>
      </c>
      <c r="K207" s="443">
        <f t="shared" si="503"/>
        <v>16.231457894736842</v>
      </c>
      <c r="L207" s="172">
        <f t="shared" si="504"/>
        <v>34.243759773547019</v>
      </c>
      <c r="M207" s="443"/>
      <c r="N207" s="217">
        <f t="shared" si="505"/>
        <v>0.47399754005036238</v>
      </c>
      <c r="O207" s="172">
        <f>N207*J207*Isw_max*0.5*Efficiency*Pout/(Pout+Pout2)</f>
        <v>210.63618703619764</v>
      </c>
      <c r="P207" s="172">
        <f t="shared" si="507"/>
        <v>2.8459289270668484</v>
      </c>
      <c r="Q207" s="217">
        <f t="shared" si="508"/>
        <v>14.042412469079842</v>
      </c>
      <c r="R207" s="217">
        <f t="shared" si="509"/>
        <v>26.329523379524705</v>
      </c>
      <c r="S207" s="217">
        <f t="shared" si="510"/>
        <v>15</v>
      </c>
      <c r="T207" s="217">
        <f t="shared" si="511"/>
        <v>34.538224900310205</v>
      </c>
      <c r="U207" s="217">
        <f t="shared" si="512"/>
        <v>23.009757530840361</v>
      </c>
      <c r="V207" s="217">
        <f t="shared" si="513"/>
        <v>25.534286660603261</v>
      </c>
      <c r="W207" s="197">
        <f t="shared" si="514"/>
        <v>71.148223176671209</v>
      </c>
      <c r="X207" s="443">
        <f t="shared" si="599"/>
        <v>20.515326879166437</v>
      </c>
      <c r="Z207" s="217">
        <f t="shared" si="515"/>
        <v>10</v>
      </c>
      <c r="AA207" s="173">
        <f t="shared" si="516"/>
        <v>7.3930512451941119</v>
      </c>
      <c r="AB207" s="173">
        <f>0.5*AA207*Z207*Nps*W207/1000*(Pout/(Pout+Pout2))</f>
        <v>2.595406874751502</v>
      </c>
      <c r="AC207" s="173"/>
      <c r="AD207" s="173">
        <f t="shared" si="518"/>
        <v>7.3930512451941119</v>
      </c>
      <c r="AE207" s="545">
        <f>MAX(10, F207/(0.5*AD207/1000000*Isw_min*Nps)/1000*Pout_total/Pout)</f>
        <v>262.4085692982456</v>
      </c>
      <c r="AF207" s="528">
        <f t="shared" si="520"/>
        <v>2.6300122997481883</v>
      </c>
      <c r="AH207" s="173">
        <f t="shared" si="521"/>
        <v>8.3791123521244071</v>
      </c>
      <c r="AI207" s="173">
        <f>MAX(IF(F207&gt;AB207,T207,AH207),Isw_min)</f>
        <v>34.538224900310205</v>
      </c>
      <c r="AJ207" s="173">
        <f>IF(F207&gt;AF207, (AI207-Isw_min)/1.08*0.8+1.2, AE207*0.2/350+1)</f>
        <v>19.37646288911867</v>
      </c>
      <c r="AL207" s="545">
        <f t="shared" si="524"/>
        <v>9700</v>
      </c>
      <c r="AM207" s="460">
        <f t="shared" si="525"/>
        <v>20.515326879166437</v>
      </c>
      <c r="AO207">
        <f t="shared" si="526"/>
        <v>9700</v>
      </c>
      <c r="AP207">
        <f t="shared" si="527"/>
        <v>20.515326879166437</v>
      </c>
      <c r="AR207" s="5">
        <f t="shared" si="616"/>
        <v>48.744044191443628</v>
      </c>
      <c r="AS207" s="5">
        <f t="shared" si="604"/>
        <v>23.009757530840361</v>
      </c>
      <c r="AT207" s="5">
        <f t="shared" si="605"/>
        <v>25.734286660603267</v>
      </c>
      <c r="AU207" s="173">
        <f t="shared" si="606"/>
        <v>0.47205269715555154</v>
      </c>
      <c r="AW207" s="5">
        <f t="shared" si="477"/>
        <v>1487.9643203276764</v>
      </c>
      <c r="AX207" s="5">
        <f t="shared" si="478"/>
        <v>69.748327515359833</v>
      </c>
      <c r="AY207" s="5">
        <f t="shared" si="479"/>
        <v>57.743540657045294</v>
      </c>
      <c r="AZ207" s="5"/>
      <c r="BA207" s="173">
        <f t="shared" si="480"/>
        <v>13.700443545969556</v>
      </c>
      <c r="BB207" s="173">
        <f t="shared" si="481"/>
        <v>14.488875263404809</v>
      </c>
      <c r="BC207" s="173">
        <f t="shared" si="482"/>
        <v>0.35682406531051847</v>
      </c>
      <c r="BD207" s="173"/>
      <c r="BE207" s="528">
        <f t="shared" si="483"/>
        <v>3.754043067125977</v>
      </c>
      <c r="BF207" s="528">
        <f t="shared" si="528"/>
        <v>0.45494737976825994</v>
      </c>
      <c r="BG207" s="528">
        <f t="shared" si="529"/>
        <v>9.2382065222503633E-3</v>
      </c>
      <c r="BH207" s="528">
        <f t="shared" si="484"/>
        <v>2.4056992046512168E-3</v>
      </c>
      <c r="BI207">
        <f t="shared" si="485"/>
        <v>8.1055358454645791E-3</v>
      </c>
      <c r="BJ207" s="460">
        <f t="shared" si="600"/>
        <v>17.343742367714945</v>
      </c>
      <c r="BK207">
        <f t="shared" si="530"/>
        <v>48.3618879596958</v>
      </c>
      <c r="BL207" s="460">
        <f t="shared" si="601"/>
        <v>4228.7398884666036</v>
      </c>
      <c r="BM207" s="173">
        <f t="shared" si="531"/>
        <v>6.0261249999999986</v>
      </c>
      <c r="BN207" s="173">
        <f t="shared" si="532"/>
        <v>0.15065312499999997</v>
      </c>
      <c r="BO207" s="528"/>
      <c r="BQ207" s="460">
        <f t="shared" si="486"/>
        <v>6176.7781249999989</v>
      </c>
      <c r="BR207" s="528">
        <f t="shared" si="487"/>
        <v>5.6310646006889655</v>
      </c>
      <c r="BS207" s="528">
        <f t="shared" si="488"/>
        <v>6.2978251919551136</v>
      </c>
      <c r="BT207" s="528">
        <f t="shared" si="489"/>
        <v>6.3661706792362573E-4</v>
      </c>
      <c r="BU207" s="528">
        <f t="shared" si="490"/>
        <v>0.66821487641691779</v>
      </c>
      <c r="BV207" s="528"/>
      <c r="BW207" s="625">
        <f t="shared" si="533"/>
        <v>2.4472507340164519E-2</v>
      </c>
      <c r="BX207" s="460">
        <f t="shared" si="607"/>
        <v>12622.213793469085</v>
      </c>
      <c r="BY207" s="173">
        <f t="shared" si="608"/>
        <v>23.027731806935687</v>
      </c>
      <c r="BZ207" s="5">
        <f t="shared" si="609"/>
        <v>147.44</v>
      </c>
      <c r="CA207" s="173">
        <f t="shared" si="610"/>
        <v>0.86491442361058757</v>
      </c>
      <c r="CB207" s="5">
        <f t="shared" si="611"/>
        <v>86.491442361058759</v>
      </c>
      <c r="CC207">
        <f t="shared" si="612"/>
        <v>97</v>
      </c>
      <c r="CE207" s="562">
        <f t="shared" si="534"/>
        <v>-50</v>
      </c>
      <c r="CF207">
        <f t="shared" si="535"/>
        <v>-50</v>
      </c>
      <c r="CG207" s="173">
        <f t="shared" si="536"/>
        <v>0.54755043227665712</v>
      </c>
      <c r="CH207" s="173">
        <f t="shared" si="537"/>
        <v>6.4398811101315845E-2</v>
      </c>
      <c r="CI207" s="170">
        <v>97</v>
      </c>
      <c r="CJ207" s="217">
        <f t="shared" si="602"/>
        <v>9.6999999999999993</v>
      </c>
      <c r="CK207" s="217">
        <f t="shared" si="538"/>
        <v>0.24249999999999999</v>
      </c>
      <c r="CL207" s="217">
        <f t="shared" si="539"/>
        <v>145.5</v>
      </c>
      <c r="CM207" s="217">
        <f t="shared" si="540"/>
        <v>1.94</v>
      </c>
      <c r="CN207" s="541">
        <f t="shared" si="541"/>
        <v>19</v>
      </c>
      <c r="CO207" s="443">
        <f t="shared" si="542"/>
        <v>15.7</v>
      </c>
      <c r="CP207" s="443">
        <f t="shared" si="543"/>
        <v>34.700000000000003</v>
      </c>
      <c r="CQ207" s="443"/>
      <c r="CR207" s="217">
        <f t="shared" si="544"/>
        <v>0.44767441860465118</v>
      </c>
      <c r="CS207" s="172">
        <f t="shared" si="545"/>
        <v>209.84738372093025</v>
      </c>
      <c r="CT207" s="172">
        <f t="shared" si="546"/>
        <v>2.835271317829458</v>
      </c>
      <c r="CU207" s="217">
        <f t="shared" si="547"/>
        <v>13.989825581395349</v>
      </c>
      <c r="CV207" s="217">
        <f t="shared" si="548"/>
        <v>26.230922965116282</v>
      </c>
      <c r="CW207" s="217">
        <f t="shared" si="549"/>
        <v>15</v>
      </c>
      <c r="CX207" s="217">
        <f t="shared" si="550"/>
        <v>34.668051948051946</v>
      </c>
      <c r="CY207" s="217">
        <f t="shared" si="551"/>
        <v>21.89561175666439</v>
      </c>
      <c r="CZ207" s="217">
        <f t="shared" si="552"/>
        <v>26.497874100421871</v>
      </c>
      <c r="DA207" s="197">
        <f t="shared" si="553"/>
        <v>71.63784822286263</v>
      </c>
      <c r="DB207" s="443">
        <f t="shared" si="554"/>
        <v>20.663938178645793</v>
      </c>
      <c r="DD207" s="217">
        <f t="shared" si="555"/>
        <v>10.000000000000002</v>
      </c>
      <c r="DE207" s="173">
        <f t="shared" si="556"/>
        <v>7.6433121019108299</v>
      </c>
      <c r="DF207" s="173">
        <f t="shared" si="557"/>
        <v>2.7017291066282429</v>
      </c>
      <c r="DG207" s="173"/>
      <c r="DH207" s="173">
        <f t="shared" si="558"/>
        <v>7.6433121019108281</v>
      </c>
      <c r="DI207" s="545">
        <f t="shared" si="559"/>
        <v>253.81666666666672</v>
      </c>
      <c r="DJ207" s="528">
        <f t="shared" si="560"/>
        <v>2.7377521613832849</v>
      </c>
      <c r="DL207" s="173">
        <f t="shared" si="561"/>
        <v>8.3791123521244071</v>
      </c>
      <c r="DM207" s="173">
        <f t="shared" si="562"/>
        <v>34.668051948051946</v>
      </c>
      <c r="DN207" s="173">
        <f t="shared" si="563"/>
        <v>19.472631072631071</v>
      </c>
      <c r="DP207" s="545">
        <f t="shared" si="564"/>
        <v>9700</v>
      </c>
      <c r="DQ207" s="460">
        <f t="shared" si="565"/>
        <v>20.663938178645793</v>
      </c>
      <c r="DS207">
        <f t="shared" si="614"/>
        <v>9700</v>
      </c>
      <c r="DT207">
        <f t="shared" si="615"/>
        <v>20.663938178645793</v>
      </c>
      <c r="DV207" s="5">
        <f t="shared" si="568"/>
        <v>48.393485857086262</v>
      </c>
      <c r="DW207" s="5">
        <f t="shared" si="569"/>
        <v>21.89561175666439</v>
      </c>
      <c r="DX207" s="5">
        <f t="shared" si="570"/>
        <v>26.497874100421871</v>
      </c>
      <c r="DY207" s="173">
        <f t="shared" si="571"/>
        <v>0.45244956772334294</v>
      </c>
      <c r="EA207" s="5">
        <f t="shared" si="572"/>
        <v>1415.9162269309638</v>
      </c>
      <c r="EB207" s="5">
        <f t="shared" si="573"/>
        <v>66.371073137388933</v>
      </c>
      <c r="EC207" s="5">
        <f t="shared" si="574"/>
        <v>56.366091836423713</v>
      </c>
      <c r="ED207" s="5"/>
      <c r="EE207" s="173">
        <f t="shared" si="575"/>
        <v>13.463373685350458</v>
      </c>
      <c r="EF207" s="173">
        <f t="shared" si="576"/>
        <v>14.810880380074947</v>
      </c>
      <c r="EG207" s="173">
        <f t="shared" si="577"/>
        <v>0.36475423053674771</v>
      </c>
      <c r="EH207" s="173"/>
      <c r="EI207" s="528">
        <f t="shared" si="578"/>
        <v>3.6252486198277434</v>
      </c>
      <c r="EJ207" s="528">
        <f t="shared" si="579"/>
        <v>0.49716666666666665</v>
      </c>
      <c r="EK207" s="528">
        <f t="shared" si="580"/>
        <v>2.582992272330724E-3</v>
      </c>
      <c r="EL207" s="528">
        <f t="shared" si="581"/>
        <v>2.4881241321525619E-3</v>
      </c>
      <c r="EM207">
        <f t="shared" si="582"/>
        <v>8.5500000000000003E-3</v>
      </c>
      <c r="EN207" s="460">
        <f t="shared" si="583"/>
        <v>11.132992272330725</v>
      </c>
      <c r="EP207" s="460">
        <f t="shared" si="603"/>
        <v>4136.0364028988915</v>
      </c>
      <c r="EQ207" s="173">
        <f t="shared" si="584"/>
        <v>6.7899999999999991</v>
      </c>
      <c r="ER207" s="173">
        <f t="shared" si="585"/>
        <v>0.10760937499999999</v>
      </c>
      <c r="ES207" s="528"/>
      <c r="EU207" s="460">
        <f t="shared" si="497"/>
        <v>6897.6093749999991</v>
      </c>
      <c r="EV207" s="528">
        <f t="shared" si="586"/>
        <v>5.4378729297416148</v>
      </c>
      <c r="EW207" s="528">
        <f t="shared" si="587"/>
        <v>6.5808653289866701</v>
      </c>
      <c r="EX207" s="528">
        <f t="shared" si="588"/>
        <v>6.6522824347227448E-4</v>
      </c>
      <c r="EY207" s="528">
        <f t="shared" si="589"/>
        <v>0.68679375210278792</v>
      </c>
      <c r="EZ207" s="528"/>
      <c r="FA207" s="625">
        <f t="shared" si="590"/>
        <v>2.4835446436368626E-2</v>
      </c>
      <c r="FB207" s="460">
        <f t="shared" si="613"/>
        <v>12731.032685510912</v>
      </c>
      <c r="FC207" s="173">
        <f t="shared" si="591"/>
        <v>23.764678463409805</v>
      </c>
      <c r="FD207" s="5">
        <f t="shared" si="592"/>
        <v>147.44</v>
      </c>
      <c r="FE207" s="173">
        <f t="shared" si="593"/>
        <v>0.86119141908561314</v>
      </c>
      <c r="FF207" s="5">
        <f t="shared" si="594"/>
        <v>86.119141908561318</v>
      </c>
      <c r="FG207">
        <f t="shared" si="595"/>
        <v>97</v>
      </c>
      <c r="FI207" s="562">
        <f t="shared" si="596"/>
        <v>-50</v>
      </c>
      <c r="FJ207">
        <f t="shared" si="597"/>
        <v>-50</v>
      </c>
    </row>
    <row r="208" spans="5:166">
      <c r="E208" s="170">
        <v>98</v>
      </c>
      <c r="F208" s="217">
        <f>IF(PLOT_TYPE=1, E208/100*Iout_max, min_I*EXP(O208*rr/100))</f>
        <v>9.8000000000000007</v>
      </c>
      <c r="G208" s="217">
        <f t="shared" si="499"/>
        <v>0.245</v>
      </c>
      <c r="H208" s="217">
        <f t="shared" si="500"/>
        <v>147</v>
      </c>
      <c r="I208" s="217">
        <f t="shared" si="501"/>
        <v>1.96</v>
      </c>
      <c r="J208" s="541">
        <f t="shared" si="502"/>
        <v>18.00211942395255</v>
      </c>
      <c r="K208" s="443">
        <f t="shared" si="503"/>
        <v>16.236936842105262</v>
      </c>
      <c r="L208" s="172">
        <f t="shared" si="504"/>
        <v>34.239056266057815</v>
      </c>
      <c r="M208" s="443"/>
      <c r="N208" s="217">
        <f t="shared" si="505"/>
        <v>0.47422267471201929</v>
      </c>
      <c r="O208" s="172">
        <f>N208*J208*Isw_max*0.5*Efficiency*Pout/(Pout+Pout2)</f>
        <v>210.61710255868354</v>
      </c>
      <c r="P208" s="172">
        <f t="shared" si="507"/>
        <v>2.8456710745706579</v>
      </c>
      <c r="Q208" s="217">
        <f t="shared" si="508"/>
        <v>14.041140170578903</v>
      </c>
      <c r="R208" s="217">
        <f t="shared" si="509"/>
        <v>26.327137819835443</v>
      </c>
      <c r="S208" s="217">
        <f t="shared" si="510"/>
        <v>15</v>
      </c>
      <c r="T208" s="217">
        <f t="shared" si="511"/>
        <v>34.897450922591119</v>
      </c>
      <c r="U208" s="217">
        <f t="shared" si="512"/>
        <v>23.262228252630287</v>
      </c>
      <c r="V208" s="217">
        <f t="shared" si="513"/>
        <v>25.791158464393973</v>
      </c>
      <c r="W208" s="197">
        <f t="shared" si="514"/>
        <v>71.141776864266461</v>
      </c>
      <c r="X208" s="443">
        <f t="shared" si="599"/>
        <v>20.303172363462132</v>
      </c>
      <c r="Z208" s="217">
        <f t="shared" si="515"/>
        <v>10</v>
      </c>
      <c r="AA208" s="173">
        <f t="shared" si="516"/>
        <v>7.3905565542891489</v>
      </c>
      <c r="AB208" s="173">
        <f>0.5*AA208*Z208*Nps*W208/1000*(Pout/(Pout+Pout2))</f>
        <v>2.594296012934115</v>
      </c>
      <c r="AC208" s="173"/>
      <c r="AD208" s="173">
        <f t="shared" si="518"/>
        <v>7.3905565542891489</v>
      </c>
      <c r="AE208" s="545">
        <f>MAX(10, F208/(0.5*AD208/1000000*Isw_min*Nps)/1000*Pout_total/Pout)</f>
        <v>265.2033017543859</v>
      </c>
      <c r="AF208" s="528">
        <f t="shared" si="520"/>
        <v>2.6288866264399036</v>
      </c>
      <c r="AH208" s="173">
        <f t="shared" si="521"/>
        <v>8.4221929052553364</v>
      </c>
      <c r="AI208" s="173">
        <f>MAX(IF(F208&gt;AB208,T208,AH208),Isw_min)</f>
        <v>34.897450922591119</v>
      </c>
      <c r="AJ208" s="173">
        <f>IF(F208&gt;AF208, (AI208-Isw_min)/1.08*0.8+1.2, AE208*0.2/350+1)</f>
        <v>19.642556238956381</v>
      </c>
      <c r="AL208" s="545">
        <f t="shared" si="524"/>
        <v>9800</v>
      </c>
      <c r="AM208" s="460">
        <f t="shared" si="525"/>
        <v>20.303172363462132</v>
      </c>
      <c r="AO208">
        <f t="shared" si="526"/>
        <v>9800</v>
      </c>
      <c r="AP208">
        <f t="shared" si="527"/>
        <v>20.303172363462132</v>
      </c>
      <c r="AR208" s="5">
        <f t="shared" si="616"/>
        <v>49.25338671702427</v>
      </c>
      <c r="AS208" s="5">
        <f t="shared" si="604"/>
        <v>23.262228252630287</v>
      </c>
      <c r="AT208" s="5">
        <f t="shared" si="605"/>
        <v>25.991158464393983</v>
      </c>
      <c r="AU208" s="173">
        <f t="shared" si="606"/>
        <v>0.47229702977135124</v>
      </c>
      <c r="AW208" s="5">
        <f t="shared" si="477"/>
        <v>1519.7989125051788</v>
      </c>
      <c r="AX208" s="5">
        <f t="shared" si="478"/>
        <v>71.240574023680253</v>
      </c>
      <c r="AY208" s="5">
        <f t="shared" si="479"/>
        <v>58.954482652969048</v>
      </c>
      <c r="AZ208" s="5"/>
      <c r="BA208" s="173">
        <f t="shared" si="480"/>
        <v>13.846521519462447</v>
      </c>
      <c r="BB208" s="173">
        <f t="shared" si="481"/>
        <v>14.636183545444784</v>
      </c>
      <c r="BC208" s="173">
        <f t="shared" si="482"/>
        <v>0.36045189280546369</v>
      </c>
      <c r="BD208" s="173"/>
      <c r="BE208" s="528">
        <f t="shared" si="483"/>
        <v>3.8345231637787327</v>
      </c>
      <c r="BF208" s="528">
        <f t="shared" si="528"/>
        <v>0.45486305561536788</v>
      </c>
      <c r="BG208" s="528">
        <f t="shared" si="529"/>
        <v>9.1375033393034551E-3</v>
      </c>
      <c r="BH208" s="528">
        <f t="shared" si="484"/>
        <v>2.3801672374847409E-3</v>
      </c>
      <c r="BI208">
        <f t="shared" si="485"/>
        <v>8.1009537407786478E-3</v>
      </c>
      <c r="BJ208" s="460">
        <f t="shared" si="600"/>
        <v>17.238457080082103</v>
      </c>
      <c r="BK208">
        <f t="shared" si="530"/>
        <v>59.910589540498769</v>
      </c>
      <c r="BL208" s="460">
        <f t="shared" si="601"/>
        <v>4309.0048437116675</v>
      </c>
      <c r="BM208" s="173">
        <f t="shared" si="531"/>
        <v>6.0882500000000004</v>
      </c>
      <c r="BN208" s="173">
        <f t="shared" si="532"/>
        <v>0.15220624999999999</v>
      </c>
      <c r="BO208" s="528"/>
      <c r="BQ208" s="460">
        <f t="shared" si="486"/>
        <v>6240.4562500000002</v>
      </c>
      <c r="BR208" s="528">
        <f t="shared" si="487"/>
        <v>5.7517847456680986</v>
      </c>
      <c r="BS208" s="528">
        <f t="shared" si="488"/>
        <v>6.4265360632784585</v>
      </c>
      <c r="BT208" s="528">
        <f t="shared" si="489"/>
        <v>6.4962783513520747E-4</v>
      </c>
      <c r="BU208" s="528">
        <f t="shared" si="490"/>
        <v>0.66813468996696279</v>
      </c>
      <c r="BV208" s="528"/>
      <c r="BW208" s="625">
        <f t="shared" si="533"/>
        <v>2.4725854648157953E-2</v>
      </c>
      <c r="BX208" s="460">
        <f t="shared" si="607"/>
        <v>12871.830981396814</v>
      </c>
      <c r="BY208" s="173">
        <f t="shared" si="608"/>
        <v>23.421292075108479</v>
      </c>
      <c r="BZ208" s="5">
        <f t="shared" si="609"/>
        <v>148.96</v>
      </c>
      <c r="CA208" s="173">
        <f t="shared" si="610"/>
        <v>0.86413089382748354</v>
      </c>
      <c r="CB208" s="5">
        <f t="shared" si="611"/>
        <v>86.413089382748353</v>
      </c>
      <c r="CC208">
        <f t="shared" si="612"/>
        <v>98.000000000000014</v>
      </c>
      <c r="CE208" s="562">
        <f t="shared" si="534"/>
        <v>-50</v>
      </c>
      <c r="CF208">
        <f t="shared" si="535"/>
        <v>-50</v>
      </c>
      <c r="CG208" s="173">
        <f t="shared" si="536"/>
        <v>0.54755043227665712</v>
      </c>
      <c r="CH208" s="173">
        <f t="shared" si="537"/>
        <v>6.4398811101315845E-2</v>
      </c>
      <c r="CI208" s="170">
        <v>98</v>
      </c>
      <c r="CJ208" s="217">
        <f t="shared" si="602"/>
        <v>9.8000000000000007</v>
      </c>
      <c r="CK208" s="217">
        <f t="shared" si="538"/>
        <v>0.245</v>
      </c>
      <c r="CL208" s="217">
        <f t="shared" si="539"/>
        <v>147</v>
      </c>
      <c r="CM208" s="217">
        <f t="shared" si="540"/>
        <v>1.96</v>
      </c>
      <c r="CN208" s="541">
        <f t="shared" si="541"/>
        <v>19</v>
      </c>
      <c r="CO208" s="443">
        <f t="shared" si="542"/>
        <v>15.7</v>
      </c>
      <c r="CP208" s="443">
        <f t="shared" si="543"/>
        <v>34.700000000000003</v>
      </c>
      <c r="CQ208" s="443"/>
      <c r="CR208" s="217">
        <f t="shared" si="544"/>
        <v>0.44767441860465118</v>
      </c>
      <c r="CS208" s="172">
        <f t="shared" si="545"/>
        <v>209.84738372093025</v>
      </c>
      <c r="CT208" s="172">
        <f t="shared" si="546"/>
        <v>2.835271317829458</v>
      </c>
      <c r="CU208" s="217">
        <f t="shared" si="547"/>
        <v>13.989825581395349</v>
      </c>
      <c r="CV208" s="217">
        <f t="shared" si="548"/>
        <v>26.230922965116282</v>
      </c>
      <c r="CW208" s="217">
        <f t="shared" si="549"/>
        <v>15</v>
      </c>
      <c r="CX208" s="217">
        <f t="shared" si="550"/>
        <v>35.025454545454544</v>
      </c>
      <c r="CY208" s="217">
        <f t="shared" si="551"/>
        <v>22.121339712918662</v>
      </c>
      <c r="CZ208" s="217">
        <f t="shared" si="552"/>
        <v>26.771048060220039</v>
      </c>
      <c r="DA208" s="197">
        <f t="shared" si="553"/>
        <v>71.63784822286263</v>
      </c>
      <c r="DB208" s="443">
        <f t="shared" si="554"/>
        <v>20.453081666618793</v>
      </c>
      <c r="DD208" s="217">
        <f t="shared" si="555"/>
        <v>10.000000000000002</v>
      </c>
      <c r="DE208" s="173">
        <f t="shared" si="556"/>
        <v>7.6433121019108299</v>
      </c>
      <c r="DF208" s="173">
        <f t="shared" si="557"/>
        <v>2.7017291066282429</v>
      </c>
      <c r="DG208" s="173"/>
      <c r="DH208" s="173">
        <f t="shared" si="558"/>
        <v>7.6433121019108281</v>
      </c>
      <c r="DI208" s="545">
        <f t="shared" si="559"/>
        <v>256.43333333333339</v>
      </c>
      <c r="DJ208" s="528">
        <f t="shared" si="560"/>
        <v>2.7377521613832849</v>
      </c>
      <c r="DL208" s="173">
        <f t="shared" si="561"/>
        <v>8.4221929052553364</v>
      </c>
      <c r="DM208" s="173">
        <f t="shared" si="562"/>
        <v>35.025454545454544</v>
      </c>
      <c r="DN208" s="173">
        <f t="shared" si="563"/>
        <v>19.737373737373737</v>
      </c>
      <c r="DP208" s="545">
        <f t="shared" si="564"/>
        <v>9800</v>
      </c>
      <c r="DQ208" s="460">
        <f t="shared" si="565"/>
        <v>20.453081666618793</v>
      </c>
      <c r="DS208">
        <f t="shared" si="614"/>
        <v>9800</v>
      </c>
      <c r="DT208">
        <f t="shared" si="615"/>
        <v>20.453081666618793</v>
      </c>
      <c r="DV208" s="5">
        <f t="shared" si="568"/>
        <v>48.892387773138701</v>
      </c>
      <c r="DW208" s="5">
        <f t="shared" si="569"/>
        <v>22.121339712918662</v>
      </c>
      <c r="DX208" s="5">
        <f t="shared" si="570"/>
        <v>26.771048060220039</v>
      </c>
      <c r="DY208" s="173">
        <f t="shared" si="571"/>
        <v>0.45244956772334294</v>
      </c>
      <c r="EA208" s="5">
        <f t="shared" si="572"/>
        <v>1445.2608612440195</v>
      </c>
      <c r="EB208" s="5">
        <f t="shared" si="573"/>
        <v>67.74660287081339</v>
      </c>
      <c r="EC208" s="5">
        <f t="shared" si="574"/>
        <v>57.534269953981656</v>
      </c>
      <c r="ED208" s="5"/>
      <c r="EE208" s="173">
        <f t="shared" si="575"/>
        <v>13.602171352209741</v>
      </c>
      <c r="EF208" s="173">
        <f t="shared" si="576"/>
        <v>14.963569868529326</v>
      </c>
      <c r="EG208" s="173">
        <f t="shared" si="577"/>
        <v>0.36851458342887916</v>
      </c>
      <c r="EH208" s="173"/>
      <c r="EI208" s="528">
        <f t="shared" si="578"/>
        <v>3.7003813098975078</v>
      </c>
      <c r="EJ208" s="528">
        <f t="shared" si="579"/>
        <v>0.49716666666666659</v>
      </c>
      <c r="EK208" s="528">
        <f t="shared" si="580"/>
        <v>2.5566352083273491E-3</v>
      </c>
      <c r="EL208" s="528">
        <f t="shared" si="581"/>
        <v>2.4627351103959031E-3</v>
      </c>
      <c r="EM208">
        <f t="shared" si="582"/>
        <v>8.5500000000000003E-3</v>
      </c>
      <c r="EN208" s="460">
        <f t="shared" si="583"/>
        <v>11.106635208327349</v>
      </c>
      <c r="EP208" s="460">
        <f t="shared" si="603"/>
        <v>4211.1173468828974</v>
      </c>
      <c r="EQ208" s="173">
        <f t="shared" si="584"/>
        <v>6.86</v>
      </c>
      <c r="ER208" s="173">
        <f t="shared" si="585"/>
        <v>0.10871874999999999</v>
      </c>
      <c r="ES208" s="528"/>
      <c r="EU208" s="460">
        <f t="shared" si="497"/>
        <v>6968.7187500000009</v>
      </c>
      <c r="EV208" s="528">
        <f t="shared" si="586"/>
        <v>5.5505719648462613</v>
      </c>
      <c r="EW208" s="528">
        <f t="shared" si="587"/>
        <v>6.717252696310763</v>
      </c>
      <c r="EX208" s="528">
        <f t="shared" si="588"/>
        <v>6.790149909988016E-4</v>
      </c>
      <c r="EY208" s="528">
        <f t="shared" si="589"/>
        <v>0.68679375210278937</v>
      </c>
      <c r="EZ208" s="528"/>
      <c r="FA208" s="625">
        <f t="shared" si="590"/>
        <v>2.5091481966640468E-2</v>
      </c>
      <c r="FB208" s="460">
        <f t="shared" si="613"/>
        <v>12980.388910217453</v>
      </c>
      <c r="FC208" s="173">
        <f t="shared" si="591"/>
        <v>24.160225007100351</v>
      </c>
      <c r="FD208" s="5">
        <f t="shared" si="592"/>
        <v>148.96</v>
      </c>
      <c r="FE208" s="173">
        <f t="shared" si="593"/>
        <v>0.86044250458830296</v>
      </c>
      <c r="FF208" s="5">
        <f t="shared" si="594"/>
        <v>86.044250458830291</v>
      </c>
      <c r="FG208">
        <f t="shared" si="595"/>
        <v>98.000000000000014</v>
      </c>
      <c r="FI208" s="562">
        <f t="shared" si="596"/>
        <v>-50</v>
      </c>
      <c r="FJ208">
        <f t="shared" si="597"/>
        <v>-50</v>
      </c>
    </row>
    <row r="209" spans="1:169">
      <c r="E209" s="170">
        <v>99</v>
      </c>
      <c r="F209" s="217">
        <f>IF(PLOT_TYPE=1, E209/100*Iout_max, min_I*EXP(O209*rr/100))</f>
        <v>9.9</v>
      </c>
      <c r="G209" s="217">
        <f t="shared" si="499"/>
        <v>0.2475</v>
      </c>
      <c r="H209" s="217">
        <f t="shared" si="500"/>
        <v>148.5</v>
      </c>
      <c r="I209" s="217">
        <f t="shared" si="501"/>
        <v>1.98</v>
      </c>
      <c r="J209" s="541">
        <f t="shared" si="502"/>
        <v>17.991936969094922</v>
      </c>
      <c r="K209" s="443">
        <f t="shared" si="503"/>
        <v>16.242415789473682</v>
      </c>
      <c r="L209" s="172">
        <f t="shared" si="504"/>
        <v>34.234352758568605</v>
      </c>
      <c r="M209" s="443"/>
      <c r="N209" s="217">
        <f t="shared" si="505"/>
        <v>0.47444787123683319</v>
      </c>
      <c r="O209" s="172">
        <f>N209*J209*Isw_max*0.5*Efficiency*Pout/(Pout+Pout2)</f>
        <v>210.597932427986</v>
      </c>
      <c r="P209" s="172">
        <f t="shared" si="507"/>
        <v>2.8454120648047891</v>
      </c>
      <c r="Q209" s="217">
        <f t="shared" si="508"/>
        <v>14.039862161865733</v>
      </c>
      <c r="R209" s="217">
        <f t="shared" si="509"/>
        <v>26.324741553498249</v>
      </c>
      <c r="S209" s="217">
        <f t="shared" si="510"/>
        <v>15</v>
      </c>
      <c r="T209" s="217">
        <f t="shared" si="511"/>
        <v>35.256756390706634</v>
      </c>
      <c r="U209" s="217">
        <f t="shared" si="512"/>
        <v>23.515037731357868</v>
      </c>
      <c r="V209" s="217">
        <f t="shared" si="513"/>
        <v>26.047915665517458</v>
      </c>
      <c r="W209" s="197">
        <f t="shared" si="514"/>
        <v>71.135301620119719</v>
      </c>
      <c r="X209" s="443">
        <f t="shared" si="599"/>
        <v>20.095270311323425</v>
      </c>
      <c r="Z209" s="217">
        <f t="shared" si="515"/>
        <v>10</v>
      </c>
      <c r="AA209" s="173">
        <f t="shared" si="516"/>
        <v>7.388063546419561</v>
      </c>
      <c r="AB209" s="173">
        <f>0.5*AA209*Z209*Nps*W209/1000*(Pout/(Pout+Pout2))</f>
        <v>2.5931848458708888</v>
      </c>
      <c r="AC209" s="173"/>
      <c r="AD209" s="173">
        <f t="shared" si="518"/>
        <v>7.388063546419561</v>
      </c>
      <c r="AE209" s="545">
        <f>MAX(10, F209/(0.5*AD209/1000000*Isw_min*Nps)/1000*Pout_total/Pout)</f>
        <v>267.99986052631573</v>
      </c>
      <c r="AF209" s="528">
        <f t="shared" si="520"/>
        <v>2.6277606438158339</v>
      </c>
      <c r="AH209" s="173">
        <f t="shared" si="521"/>
        <v>8.4650542146605794</v>
      </c>
      <c r="AI209" s="173">
        <f>MAX(IF(F209&gt;AB209,T209,AH209),Isw_min)</f>
        <v>35.256756390706634</v>
      </c>
      <c r="AJ209" s="173">
        <f>IF(F209&gt;AF209, (AI209-Isw_min)/1.08*0.8+1.2, AE209*0.2/350+1)</f>
        <v>19.90870843756047</v>
      </c>
      <c r="AL209" s="545">
        <f t="shared" si="524"/>
        <v>9900</v>
      </c>
      <c r="AM209" s="460">
        <f t="shared" si="525"/>
        <v>20.095270311323425</v>
      </c>
      <c r="AO209">
        <f t="shared" si="526"/>
        <v>9900</v>
      </c>
      <c r="AP209">
        <f t="shared" si="527"/>
        <v>20.095270311323425</v>
      </c>
      <c r="AR209" s="5">
        <f t="shared" si="616"/>
        <v>49.762953396875332</v>
      </c>
      <c r="AS209" s="5">
        <f t="shared" si="604"/>
        <v>23.515037731357868</v>
      </c>
      <c r="AT209" s="5">
        <f t="shared" si="605"/>
        <v>26.247915665517464</v>
      </c>
      <c r="AU209" s="173">
        <f t="shared" si="606"/>
        <v>0.4725410395926059</v>
      </c>
      <c r="AW209" s="5">
        <f t="shared" si="477"/>
        <v>1551.9924902696193</v>
      </c>
      <c r="AX209" s="5">
        <f t="shared" si="478"/>
        <v>72.749647981388406</v>
      </c>
      <c r="AY209" s="5">
        <f t="shared" si="479"/>
        <v>60.178430096904762</v>
      </c>
      <c r="AZ209" s="5"/>
      <c r="BA209" s="173">
        <f t="shared" si="480"/>
        <v>13.992699054005019</v>
      </c>
      <c r="BB209" s="173">
        <f t="shared" si="481"/>
        <v>14.783459120988049</v>
      </c>
      <c r="BC209" s="173">
        <f t="shared" si="482"/>
        <v>0.36407891482276455</v>
      </c>
      <c r="BD209" s="173"/>
      <c r="BE209" s="528">
        <f t="shared" si="483"/>
        <v>3.915912536319059</v>
      </c>
      <c r="BF209" s="528">
        <f t="shared" si="528"/>
        <v>0.45477816063898352</v>
      </c>
      <c r="BG209" s="528">
        <f t="shared" si="529"/>
        <v>9.0388209204563894E-3</v>
      </c>
      <c r="BH209" s="528">
        <f t="shared" si="484"/>
        <v>2.3551474114711698E-3</v>
      </c>
      <c r="BI209">
        <f t="shared" si="485"/>
        <v>8.0963716360927147E-3</v>
      </c>
      <c r="BJ209" s="460">
        <f t="shared" si="600"/>
        <v>17.135192556549107</v>
      </c>
      <c r="BK209">
        <f t="shared" si="530"/>
        <v>78.045503298646679</v>
      </c>
      <c r="BL209" s="460">
        <f t="shared" si="601"/>
        <v>4390.181036926062</v>
      </c>
      <c r="BM209" s="173">
        <f t="shared" si="531"/>
        <v>6.1503749999999995</v>
      </c>
      <c r="BN209" s="173">
        <f t="shared" si="532"/>
        <v>0.15375937499999998</v>
      </c>
      <c r="BO209" s="528"/>
      <c r="BQ209" s="460">
        <f t="shared" si="486"/>
        <v>6304.1343749999996</v>
      </c>
      <c r="BR209" s="528">
        <f t="shared" si="487"/>
        <v>5.8738688044785885</v>
      </c>
      <c r="BS209" s="528">
        <f t="shared" si="488"/>
        <v>6.5565199074577416</v>
      </c>
      <c r="BT209" s="528">
        <f t="shared" si="489"/>
        <v>6.6276728109260924E-4</v>
      </c>
      <c r="BU209" s="528">
        <f t="shared" si="490"/>
        <v>0.66805239096050983</v>
      </c>
      <c r="BV209" s="528"/>
      <c r="BW209" s="625">
        <f t="shared" si="533"/>
        <v>2.4979202124118402E-2</v>
      </c>
      <c r="BX209" s="460">
        <f t="shared" si="607"/>
        <v>13124.083072302052</v>
      </c>
      <c r="BY209" s="173">
        <f t="shared" si="608"/>
        <v>23.818398484228116</v>
      </c>
      <c r="BZ209" s="5">
        <f t="shared" si="609"/>
        <v>150.47999999999999</v>
      </c>
      <c r="CA209" s="173">
        <f t="shared" si="610"/>
        <v>0.86334700323489555</v>
      </c>
      <c r="CB209" s="5">
        <f t="shared" si="611"/>
        <v>86.334700323489557</v>
      </c>
      <c r="CC209">
        <f t="shared" si="612"/>
        <v>99</v>
      </c>
      <c r="CE209" s="562">
        <f t="shared" si="534"/>
        <v>-50</v>
      </c>
      <c r="CF209">
        <f t="shared" si="535"/>
        <v>-50</v>
      </c>
      <c r="CG209" s="173">
        <f t="shared" si="536"/>
        <v>0.54755043227665712</v>
      </c>
      <c r="CH209" s="173">
        <f t="shared" si="537"/>
        <v>6.4398811101315845E-2</v>
      </c>
      <c r="CI209" s="170">
        <v>99</v>
      </c>
      <c r="CJ209" s="217">
        <f t="shared" si="602"/>
        <v>9.9</v>
      </c>
      <c r="CK209" s="217">
        <f t="shared" si="538"/>
        <v>0.2475</v>
      </c>
      <c r="CL209" s="217">
        <f t="shared" si="539"/>
        <v>148.5</v>
      </c>
      <c r="CM209" s="217">
        <f t="shared" si="540"/>
        <v>1.98</v>
      </c>
      <c r="CN209" s="541">
        <f t="shared" si="541"/>
        <v>19</v>
      </c>
      <c r="CO209" s="443">
        <f t="shared" si="542"/>
        <v>15.7</v>
      </c>
      <c r="CP209" s="443">
        <f t="shared" si="543"/>
        <v>34.700000000000003</v>
      </c>
      <c r="CQ209" s="443"/>
      <c r="CR209" s="217">
        <f t="shared" si="544"/>
        <v>0.44767441860465118</v>
      </c>
      <c r="CS209" s="172">
        <f t="shared" si="545"/>
        <v>209.84738372093025</v>
      </c>
      <c r="CT209" s="172">
        <f t="shared" si="546"/>
        <v>2.835271317829458</v>
      </c>
      <c r="CU209" s="217">
        <f t="shared" si="547"/>
        <v>13.989825581395349</v>
      </c>
      <c r="CV209" s="217">
        <f t="shared" si="548"/>
        <v>26.230922965116282</v>
      </c>
      <c r="CW209" s="217">
        <f t="shared" si="549"/>
        <v>15</v>
      </c>
      <c r="CX209" s="217">
        <f t="shared" si="550"/>
        <v>35.382857142857141</v>
      </c>
      <c r="CY209" s="217">
        <f t="shared" si="551"/>
        <v>22.347067669172933</v>
      </c>
      <c r="CZ209" s="217">
        <f t="shared" si="552"/>
        <v>27.0442220200182</v>
      </c>
      <c r="DA209" s="197">
        <f t="shared" si="553"/>
        <v>71.63784822286263</v>
      </c>
      <c r="DB209" s="443">
        <f t="shared" si="554"/>
        <v>20.246484882107492</v>
      </c>
      <c r="DD209" s="217">
        <f t="shared" si="555"/>
        <v>10.000000000000002</v>
      </c>
      <c r="DE209" s="173">
        <f t="shared" si="556"/>
        <v>7.6433121019108299</v>
      </c>
      <c r="DF209" s="173">
        <f t="shared" si="557"/>
        <v>2.7017291066282429</v>
      </c>
      <c r="DG209" s="173"/>
      <c r="DH209" s="173">
        <f t="shared" si="558"/>
        <v>7.6433121019108281</v>
      </c>
      <c r="DI209" s="545">
        <f t="shared" si="559"/>
        <v>259.05</v>
      </c>
      <c r="DJ209" s="528">
        <f t="shared" si="560"/>
        <v>2.7377521613832849</v>
      </c>
      <c r="DL209" s="173">
        <f t="shared" si="561"/>
        <v>8.4650542146605794</v>
      </c>
      <c r="DM209" s="173">
        <f t="shared" si="562"/>
        <v>35.382857142857141</v>
      </c>
      <c r="DN209" s="173">
        <f t="shared" si="563"/>
        <v>20.0021164021164</v>
      </c>
      <c r="DP209" s="545">
        <f t="shared" si="564"/>
        <v>9900</v>
      </c>
      <c r="DQ209" s="460">
        <f t="shared" si="565"/>
        <v>20.246484882107492</v>
      </c>
      <c r="DS209">
        <f t="shared" si="614"/>
        <v>9900</v>
      </c>
      <c r="DT209">
        <f t="shared" si="615"/>
        <v>20.246484882107492</v>
      </c>
      <c r="DV209" s="5">
        <f t="shared" si="568"/>
        <v>49.39128968919114</v>
      </c>
      <c r="DW209" s="5">
        <f t="shared" si="569"/>
        <v>22.347067669172933</v>
      </c>
      <c r="DX209" s="5">
        <f t="shared" si="570"/>
        <v>27.044222020018207</v>
      </c>
      <c r="DY209" s="173">
        <f t="shared" si="571"/>
        <v>0.45244956772334288</v>
      </c>
      <c r="EA209" s="5">
        <f t="shared" si="572"/>
        <v>1474.9064661654136</v>
      </c>
      <c r="EB209" s="5">
        <f t="shared" si="573"/>
        <v>69.136240601503772</v>
      </c>
      <c r="EC209" s="5">
        <f t="shared" si="574"/>
        <v>58.714429385565843</v>
      </c>
      <c r="ED209" s="5"/>
      <c r="EE209" s="173">
        <f t="shared" si="575"/>
        <v>13.740969019069023</v>
      </c>
      <c r="EF209" s="173">
        <f t="shared" si="576"/>
        <v>15.116259356983708</v>
      </c>
      <c r="EG209" s="173">
        <f t="shared" si="577"/>
        <v>0.37227493632101061</v>
      </c>
      <c r="EH209" s="173"/>
      <c r="EI209" s="528">
        <f t="shared" si="578"/>
        <v>3.7762845916602941</v>
      </c>
      <c r="EJ209" s="528">
        <f t="shared" si="579"/>
        <v>0.49716666666666659</v>
      </c>
      <c r="EK209" s="528">
        <f t="shared" si="580"/>
        <v>2.5308106102634362E-3</v>
      </c>
      <c r="EL209" s="528">
        <f t="shared" si="581"/>
        <v>2.4378589981696817E-3</v>
      </c>
      <c r="EM209">
        <f t="shared" si="582"/>
        <v>8.5500000000000003E-3</v>
      </c>
      <c r="EN209" s="460">
        <f t="shared" si="583"/>
        <v>11.080810610263438</v>
      </c>
      <c r="EP209" s="460">
        <f t="shared" si="603"/>
        <v>4286.9699279353936</v>
      </c>
      <c r="EQ209" s="173">
        <f t="shared" si="584"/>
        <v>6.93</v>
      </c>
      <c r="ER209" s="173">
        <f t="shared" si="585"/>
        <v>0.109828125</v>
      </c>
      <c r="ES209" s="528"/>
      <c r="EU209" s="460">
        <f t="shared" si="497"/>
        <v>7039.828125</v>
      </c>
      <c r="EV209" s="528">
        <f t="shared" si="586"/>
        <v>5.6644268874904409</v>
      </c>
      <c r="EW209" s="528">
        <f t="shared" si="587"/>
        <v>6.8550389084279244</v>
      </c>
      <c r="EX209" s="528">
        <f t="shared" si="588"/>
        <v>6.9294314106406257E-4</v>
      </c>
      <c r="EY209" s="528">
        <f t="shared" si="589"/>
        <v>0.68679375210278937</v>
      </c>
      <c r="EZ209" s="528"/>
      <c r="FA209" s="625">
        <f t="shared" si="590"/>
        <v>2.5347517496912303E-2</v>
      </c>
      <c r="FB209" s="460">
        <f t="shared" si="613"/>
        <v>13232.300008659131</v>
      </c>
      <c r="FC209" s="173">
        <f t="shared" si="591"/>
        <v>24.559098061594526</v>
      </c>
      <c r="FD209" s="5">
        <f t="shared" si="592"/>
        <v>150.47999999999999</v>
      </c>
      <c r="FE209" s="173">
        <f t="shared" si="593"/>
        <v>0.85969364368552426</v>
      </c>
      <c r="FF209" s="5">
        <f t="shared" si="594"/>
        <v>85.969364368552419</v>
      </c>
      <c r="FG209">
        <f t="shared" si="595"/>
        <v>99</v>
      </c>
      <c r="FI209" s="562">
        <f t="shared" si="596"/>
        <v>-50</v>
      </c>
      <c r="FJ209">
        <f t="shared" si="597"/>
        <v>-50</v>
      </c>
    </row>
    <row r="210" spans="1:169">
      <c r="A210" t="s">
        <v>862</v>
      </c>
      <c r="E210" s="170">
        <v>100</v>
      </c>
      <c r="F210" s="217">
        <f>IF(PLOT_TYPE=1, E210/100*Iout_max, min_I*EXP(O210*rr/100))</f>
        <v>10</v>
      </c>
      <c r="G210" s="217">
        <f t="shared" si="499"/>
        <v>0.25</v>
      </c>
      <c r="H210" s="217">
        <f t="shared" si="500"/>
        <v>150</v>
      </c>
      <c r="I210" s="217">
        <f t="shared" si="501"/>
        <v>2</v>
      </c>
      <c r="J210" s="541">
        <f t="shared" si="502"/>
        <v>17.981754514237295</v>
      </c>
      <c r="K210" s="443">
        <f t="shared" si="503"/>
        <v>16.247894736842106</v>
      </c>
      <c r="L210" s="172">
        <f t="shared" si="504"/>
        <v>34.229649251079401</v>
      </c>
      <c r="M210" s="443"/>
      <c r="N210" s="217">
        <f t="shared" si="505"/>
        <v>0.47467312965030584</v>
      </c>
      <c r="O210" s="172">
        <f>N210*J210*Isw_max*0.5*Efficiency*Pout/(Pout+Pout2)</f>
        <v>210.57867660879603</v>
      </c>
      <c r="P210" s="172">
        <f t="shared" si="507"/>
        <v>2.8451518972921774</v>
      </c>
      <c r="Q210" s="217">
        <f t="shared" si="508"/>
        <v>14.038578440586402</v>
      </c>
      <c r="R210" s="217">
        <f t="shared" si="509"/>
        <v>26.322334576099504</v>
      </c>
      <c r="S210" s="217">
        <f t="shared" si="510"/>
        <v>15</v>
      </c>
      <c r="T210" s="217">
        <f t="shared" si="511"/>
        <v>35.616141770769964</v>
      </c>
      <c r="U210" s="217">
        <f t="shared" si="512"/>
        <v>23.768186853560085</v>
      </c>
      <c r="V210" s="217">
        <f t="shared" si="513"/>
        <v>26.304558724160383</v>
      </c>
      <c r="W210" s="197">
        <f t="shared" si="514"/>
        <v>71.128797432304424</v>
      </c>
      <c r="X210" s="443">
        <f t="shared" si="599"/>
        <v>19.891493661392012</v>
      </c>
      <c r="Z210" s="217">
        <f t="shared" si="515"/>
        <v>10</v>
      </c>
      <c r="AA210" s="173">
        <f t="shared" si="516"/>
        <v>7.3855722198827376</v>
      </c>
      <c r="AB210" s="173">
        <f>0.5*AA210*Z210*Nps*W210/1000*(Pout/(Pout+Pout2))</f>
        <v>2.5920733734359911</v>
      </c>
      <c r="AC210" s="173"/>
      <c r="AD210" s="173">
        <f t="shared" si="518"/>
        <v>7.3855722198827376</v>
      </c>
      <c r="AE210" s="545">
        <f>MAX(10, F210/(0.5*AD210/1000000*Isw_min*Nps)/1000*Pout_total/Pout)</f>
        <v>270.79824561403512</v>
      </c>
      <c r="AF210" s="528">
        <f t="shared" si="520"/>
        <v>2.6266343517484709</v>
      </c>
      <c r="AH210" s="173">
        <f t="shared" si="521"/>
        <v>8.5076995939532551</v>
      </c>
      <c r="AI210" s="173">
        <f>MAX(IF(F210&gt;AB210,T210,AH210),Isw_min)</f>
        <v>35.616141770769964</v>
      </c>
      <c r="AJ210" s="173">
        <f>IF(F210&gt;AF210, (AI210-Isw_min)/1.08*0.8+1.2, AE210*0.2/350+1)</f>
        <v>20.174919830199972</v>
      </c>
      <c r="AL210" s="545">
        <f t="shared" si="524"/>
        <v>10000</v>
      </c>
      <c r="AM210" s="460">
        <f t="shared" si="525"/>
        <v>19.891493661392012</v>
      </c>
      <c r="AO210">
        <f t="shared" si="526"/>
        <v>10000</v>
      </c>
      <c r="AP210">
        <f t="shared" si="527"/>
        <v>19.891493661392012</v>
      </c>
      <c r="AR210" s="5">
        <f t="shared" si="616"/>
        <v>50.272745577720471</v>
      </c>
      <c r="AS210" s="5">
        <f t="shared" si="604"/>
        <v>23.768186853560085</v>
      </c>
      <c r="AT210" s="5">
        <f t="shared" si="605"/>
        <v>26.504558724160386</v>
      </c>
      <c r="AU210" s="173">
        <f t="shared" si="606"/>
        <v>0.47278473814037136</v>
      </c>
      <c r="AW210" s="5">
        <f t="shared" si="477"/>
        <v>1584.5457902373389</v>
      </c>
      <c r="AX210" s="5">
        <f t="shared" si="478"/>
        <v>74.275583917375272</v>
      </c>
      <c r="AY210" s="5">
        <f t="shared" si="479"/>
        <v>61.41539818221262</v>
      </c>
      <c r="AZ210" s="5"/>
      <c r="BA210" s="173">
        <f>AI210*SQRT(AU210/3)</f>
        <v>14.138976361073011</v>
      </c>
      <c r="BB210" s="173">
        <f t="shared" si="481"/>
        <v>14.930702115871185</v>
      </c>
      <c r="BC210" s="173">
        <f t="shared" si="482"/>
        <v>0.36770513446145514</v>
      </c>
      <c r="BD210" s="173"/>
      <c r="BE210" s="528">
        <f t="shared" si="483"/>
        <v>3.9982130507796279</v>
      </c>
      <c r="BF210" s="528">
        <f t="shared" si="528"/>
        <v>0.45469270668441664</v>
      </c>
      <c r="BG210" s="528">
        <f t="shared" si="529"/>
        <v>8.9420988985164582E-3</v>
      </c>
      <c r="BH210" s="528">
        <f t="shared" si="484"/>
        <v>2.3306244255956706E-3</v>
      </c>
      <c r="BI210">
        <f t="shared" si="485"/>
        <v>8.0917895314067817E-3</v>
      </c>
      <c r="BJ210" s="460">
        <f t="shared" si="600"/>
        <v>17.033888429923241</v>
      </c>
      <c r="BK210">
        <f t="shared" si="530"/>
        <v>110.64068906387303</v>
      </c>
      <c r="BL210" s="460">
        <f t="shared" si="601"/>
        <v>4472.2702703195628</v>
      </c>
      <c r="BM210" s="173">
        <f t="shared" si="531"/>
        <v>6.2124999999999995</v>
      </c>
      <c r="BN210" s="173">
        <f t="shared" si="532"/>
        <v>0.15531249999999999</v>
      </c>
      <c r="BO210" s="528"/>
      <c r="BQ210" s="460">
        <f t="shared" si="486"/>
        <v>6367.8124999999991</v>
      </c>
      <c r="BR210" s="528">
        <f t="shared" si="487"/>
        <v>5.997319576169442</v>
      </c>
      <c r="BS210" s="528">
        <f t="shared" si="488"/>
        <v>6.6877759701864079</v>
      </c>
      <c r="BT210" s="528">
        <f t="shared" si="489"/>
        <v>6.7603532954658399E-4</v>
      </c>
      <c r="BU210" s="528">
        <f t="shared" si="490"/>
        <v>0.66796802249744724</v>
      </c>
      <c r="BV210" s="528"/>
      <c r="BW210" s="625">
        <f t="shared" si="533"/>
        <v>2.5232549765448951E-2</v>
      </c>
      <c r="BX210" s="460">
        <f t="shared" si="607"/>
        <v>13378.972153948291</v>
      </c>
      <c r="BY210" s="173">
        <f t="shared" si="608"/>
        <v>24.219054924267859</v>
      </c>
      <c r="BZ210" s="5">
        <f t="shared" si="609"/>
        <v>152</v>
      </c>
      <c r="CA210" s="173">
        <f t="shared" si="610"/>
        <v>0.86256279189173801</v>
      </c>
      <c r="CB210" s="5">
        <f t="shared" si="611"/>
        <v>86.256279189173796</v>
      </c>
      <c r="CC210">
        <f t="shared" si="612"/>
        <v>100</v>
      </c>
      <c r="CE210" s="562">
        <f t="shared" si="534"/>
        <v>-50</v>
      </c>
      <c r="CF210">
        <f t="shared" si="535"/>
        <v>-50</v>
      </c>
      <c r="CG210" s="173">
        <f t="shared" si="536"/>
        <v>0.54755043227665712</v>
      </c>
      <c r="CH210" s="173">
        <f t="shared" si="537"/>
        <v>6.4398811101315845E-2</v>
      </c>
      <c r="CI210" s="170">
        <v>100</v>
      </c>
      <c r="CJ210" s="217">
        <f t="shared" si="602"/>
        <v>10</v>
      </c>
      <c r="CK210" s="217">
        <f t="shared" si="538"/>
        <v>0.25</v>
      </c>
      <c r="CL210" s="217">
        <f t="shared" si="539"/>
        <v>150</v>
      </c>
      <c r="CM210" s="217">
        <f t="shared" si="540"/>
        <v>2</v>
      </c>
      <c r="CN210" s="541">
        <f t="shared" si="541"/>
        <v>19</v>
      </c>
      <c r="CO210" s="443">
        <f t="shared" si="542"/>
        <v>15.7</v>
      </c>
      <c r="CP210" s="443">
        <f t="shared" si="543"/>
        <v>34.700000000000003</v>
      </c>
      <c r="CQ210" s="443"/>
      <c r="CR210" s="217">
        <f t="shared" si="544"/>
        <v>0.44767441860465118</v>
      </c>
      <c r="CS210" s="172">
        <f t="shared" si="545"/>
        <v>209.84738372093025</v>
      </c>
      <c r="CT210" s="172">
        <f t="shared" si="546"/>
        <v>2.835271317829458</v>
      </c>
      <c r="CU210" s="217">
        <f t="shared" si="547"/>
        <v>13.989825581395349</v>
      </c>
      <c r="CV210" s="217">
        <f t="shared" si="548"/>
        <v>26.230922965116282</v>
      </c>
      <c r="CW210" s="217">
        <f t="shared" si="549"/>
        <v>15</v>
      </c>
      <c r="CX210" s="217">
        <f t="shared" si="550"/>
        <v>35.740259740259738</v>
      </c>
      <c r="CY210" s="217">
        <f t="shared" si="551"/>
        <v>22.572795625427204</v>
      </c>
      <c r="CZ210" s="217">
        <f t="shared" si="552"/>
        <v>27.317395979816364</v>
      </c>
      <c r="DA210" s="197">
        <f t="shared" si="553"/>
        <v>71.63784822286263</v>
      </c>
      <c r="DB210" s="443">
        <f t="shared" si="554"/>
        <v>20.044020033286419</v>
      </c>
      <c r="DD210" s="217">
        <f t="shared" si="555"/>
        <v>10.000000000000002</v>
      </c>
      <c r="DE210" s="173">
        <f t="shared" si="556"/>
        <v>7.6433121019108299</v>
      </c>
      <c r="DF210" s="173">
        <f t="shared" si="557"/>
        <v>2.7017291066282429</v>
      </c>
      <c r="DG210" s="173"/>
      <c r="DH210" s="173">
        <f t="shared" si="558"/>
        <v>7.6433121019108281</v>
      </c>
      <c r="DI210" s="545">
        <f t="shared" si="559"/>
        <v>261.66666666666669</v>
      </c>
      <c r="DJ210" s="528">
        <f t="shared" si="560"/>
        <v>2.7377521613832849</v>
      </c>
      <c r="DL210" s="173">
        <f t="shared" si="561"/>
        <v>8.5076995939532551</v>
      </c>
      <c r="DM210" s="173">
        <f t="shared" si="562"/>
        <v>35.740259740259738</v>
      </c>
      <c r="DN210" s="173">
        <f t="shared" si="563"/>
        <v>20.266859066859062</v>
      </c>
      <c r="DP210" s="545">
        <f t="shared" si="564"/>
        <v>10000</v>
      </c>
      <c r="DQ210" s="460">
        <f t="shared" si="565"/>
        <v>20.044020033286419</v>
      </c>
      <c r="DS210">
        <f t="shared" si="614"/>
        <v>10000</v>
      </c>
      <c r="DT210">
        <f t="shared" si="615"/>
        <v>20.044020033286419</v>
      </c>
      <c r="DV210" s="5">
        <f t="shared" si="568"/>
        <v>49.890191605243572</v>
      </c>
      <c r="DW210" s="5">
        <f t="shared" si="569"/>
        <v>22.572795625427204</v>
      </c>
      <c r="DX210" s="5">
        <f t="shared" si="570"/>
        <v>27.317395979816368</v>
      </c>
      <c r="DY210" s="173">
        <f t="shared" si="571"/>
        <v>0.45244956772334288</v>
      </c>
      <c r="EA210" s="5">
        <f t="shared" si="572"/>
        <v>1504.8530416951469</v>
      </c>
      <c r="EB210" s="5">
        <f t="shared" si="573"/>
        <v>70.539986329460021</v>
      </c>
      <c r="EC210" s="5">
        <f t="shared" si="574"/>
        <v>59.906570131176238</v>
      </c>
      <c r="ED210" s="5"/>
      <c r="EE210" s="173">
        <f t="shared" si="575"/>
        <v>13.879766685928306</v>
      </c>
      <c r="EF210" s="173">
        <f t="shared" si="576"/>
        <v>15.268948845438089</v>
      </c>
      <c r="EG210" s="173">
        <f t="shared" si="577"/>
        <v>0.376035289213142</v>
      </c>
      <c r="EH210" s="173"/>
      <c r="EI210" s="528">
        <f t="shared" si="578"/>
        <v>3.8529584651161048</v>
      </c>
      <c r="EJ210" s="528">
        <f t="shared" si="579"/>
        <v>0.4971666666666667</v>
      </c>
      <c r="EK210" s="528">
        <f t="shared" si="580"/>
        <v>2.5055025041608022E-3</v>
      </c>
      <c r="EL210" s="528">
        <f t="shared" si="581"/>
        <v>2.4134804081879851E-3</v>
      </c>
      <c r="EM210">
        <f t="shared" si="582"/>
        <v>8.5500000000000003E-3</v>
      </c>
      <c r="EN210" s="460">
        <f t="shared" si="583"/>
        <v>11.055502504160801</v>
      </c>
      <c r="EP210" s="460">
        <f t="shared" si="603"/>
        <v>4363.59411469512</v>
      </c>
      <c r="EQ210" s="173">
        <f t="shared" si="584"/>
        <v>7</v>
      </c>
      <c r="ER210" s="173">
        <f t="shared" si="585"/>
        <v>0.11093749999999999</v>
      </c>
      <c r="ES210" s="528"/>
      <c r="EU210" s="460">
        <f t="shared" si="497"/>
        <v>7110.9375</v>
      </c>
      <c r="EV210" s="528">
        <f t="shared" si="586"/>
        <v>5.7794376976741573</v>
      </c>
      <c r="EW210" s="528">
        <f t="shared" si="587"/>
        <v>6.994223965338155</v>
      </c>
      <c r="EX210" s="528">
        <f t="shared" si="588"/>
        <v>7.0701269366805683E-4</v>
      </c>
      <c r="EY210" s="528">
        <f t="shared" si="589"/>
        <v>0.68679375210278792</v>
      </c>
      <c r="EZ210" s="528"/>
      <c r="FA210" s="625">
        <f t="shared" si="590"/>
        <v>2.5603553027184148E-2</v>
      </c>
      <c r="FB210" s="460">
        <f t="shared" si="613"/>
        <v>13486.765980835953</v>
      </c>
      <c r="FC210" s="173">
        <f t="shared" si="591"/>
        <v>24.961297595531072</v>
      </c>
      <c r="FD210" s="5">
        <f t="shared" si="592"/>
        <v>152</v>
      </c>
      <c r="FE210" s="173">
        <f t="shared" si="593"/>
        <v>0.85894487701721367</v>
      </c>
      <c r="FF210" s="5">
        <f t="shared" si="594"/>
        <v>85.894487701721374</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14.138251701957662</v>
      </c>
      <c r="G212" s="217">
        <f>'Calculations - Dual'!Ioutmax_Vinmin/Nsec1sec2*(1-H210/(H210+I210))</f>
        <v>0.34360766520237768</v>
      </c>
      <c r="H212" s="217">
        <f>F212*Vout</f>
        <v>212.07377552936492</v>
      </c>
      <c r="I212" s="217">
        <f>Vout2*G212</f>
        <v>2.7488613216190214</v>
      </c>
      <c r="J212" s="541">
        <f>VIN_min-(F212/CG212/Nps+G212/CH212/(Nps/Nsec1sec2))*(Rdcr_pri+RON/1000)</f>
        <v>17.564518776881521</v>
      </c>
      <c r="K212" s="443">
        <f>MAX((S212+Vfwd2+Rdcr_sec*F212/CG212)*Nps,(Vout2+Vfwd22+Rdcr_sec2*G212/CH212)*Nps/Nsec1sec2)</f>
        <v>16.308862865163761</v>
      </c>
      <c r="L212" s="172">
        <f>MAX((Vout+Vfwd2+F212/CG212*Rdcr_sec)*Nps+J212, (Vout2+Vfwd22+G212/CH212*Rdcr_sec2)*Nps/Nsec1sec2+J212)</f>
        <v>34.039146146446669</v>
      </c>
      <c r="M212" s="443"/>
      <c r="N212" s="217">
        <f>MAX((Vout+Vfwd2+F212/CG212*Rdcr_sec)*Nps/((Vout+Vfwd2+F212/CG212*Rdcr_sec)*Nps+J212), (Vout2+Vfwd22+G212/CH212*Rdcr_sec2)*Nps/Nsec1sec2/((Vout2+Vfwd22+G212/CH212*Rdcr_sec2)*Nps/Nsec1sec2+J212))</f>
        <v>0.48399061770487245</v>
      </c>
      <c r="O212" s="172">
        <f>N212*J212*Isw_max*0.5*Efficiency*Pout/(Pout+Pout2)</f>
        <v>209.73015524288778</v>
      </c>
      <c r="P212" s="172">
        <f>N212*J212*Isw_max*0.5*Efficiency*(Pout2/Pout_total)</f>
        <v>2.8336874308372391</v>
      </c>
      <c r="Q212" s="217">
        <f>O212/Vout</f>
        <v>13.982010349525853</v>
      </c>
      <c r="R212" s="217">
        <f>O212/Vout2</f>
        <v>26.216269405360972</v>
      </c>
      <c r="S212" s="217">
        <f>MIN(Vout,O212/F212)</f>
        <v>14.834235495598607</v>
      </c>
      <c r="T212" s="217">
        <f>MIN(2*(Vout*F212+Vout2*G212)/(Efficiency*J212*N212), Isw_max)</f>
        <v>50</v>
      </c>
      <c r="U212" s="217">
        <f>L*T212/J212*1000000</f>
        <v>34.159774464742078</v>
      </c>
      <c r="V212" s="217">
        <f>L*T212/K212*1000000</f>
        <v>36.789812077065086</v>
      </c>
      <c r="W212" s="197">
        <f>IF(1/((350000*L)*(1/J212+1/K212))&gt;Isw_min, 350, 0.001/((Isw_min*L)*(1/J212+1/K212)))</f>
        <v>70.472574171432868</v>
      </c>
      <c r="X212" s="443">
        <f>MIN(1/(U212+V212+0.2)*1000, 350)</f>
        <v>14.054895447809871</v>
      </c>
      <c r="Z212" s="217">
        <f>1/((W212*1000*L)*(1/J212+1/K212))</f>
        <v>10</v>
      </c>
      <c r="AA212" s="173">
        <f>L*Z212/K212*1000000</f>
        <v>7.3579624154130165</v>
      </c>
      <c r="AB212" s="173">
        <f>0.5*AA212*Z212*Nps*W212/1000*(Pout/(Pout+Pout2))</f>
        <v>2.558558645086229</v>
      </c>
      <c r="AC212" s="173"/>
      <c r="AD212" s="173">
        <f>L*Isw_min/K212*1000000</f>
        <v>7.3579624154130165</v>
      </c>
      <c r="AE212" s="545">
        <f>MAX(10, F212/(0.5*AD212/1000000*Isw_min*Nps)/1000*Pout_total/Pout)</f>
        <v>384.29801360065937</v>
      </c>
      <c r="AF212" s="528">
        <f>0.5*AD212/1000000*Isw_min*Nps*W212*1000*(Pout/Pout_total)</f>
        <v>2.5926727603540463</v>
      </c>
      <c r="AH212" s="173">
        <f>SQRT((H212+I212)/(0.5*L*Fsw_DCM))</f>
        <v>10.114172914211215</v>
      </c>
      <c r="AI212" s="173">
        <f>MAX(IF(F212&gt;AB212,T212,AH212),Isw_min)</f>
        <v>50</v>
      </c>
      <c r="AJ212" s="173">
        <f>IF(F212&gt;AF212, (AI212-Isw_min)/1.08*0.8+1.2, AE212*0.2/350+1)</f>
        <v>30.829629629629633</v>
      </c>
      <c r="AL212" s="545">
        <f>F212*1000</f>
        <v>14138.251701957663</v>
      </c>
      <c r="AM212" s="460">
        <f>IF(F212&gt;AF212, X212, AE212)</f>
        <v>14.054895447809871</v>
      </c>
      <c r="AO212" t="str">
        <f>IF(H212&gt;O212, "",AL212)</f>
        <v/>
      </c>
      <c r="AP212" t="str">
        <f>IF(H212&gt;O212, "",AM212)</f>
        <v/>
      </c>
      <c r="AR212" s="5">
        <f>1/AM212*1000</f>
        <v>71.149586541807167</v>
      </c>
      <c r="AS212" s="5">
        <f>L*AI212/J212*1000000</f>
        <v>34.159774464742078</v>
      </c>
      <c r="AT212" s="5">
        <f>AR212-AS212</f>
        <v>36.989812077065089</v>
      </c>
      <c r="AU212" s="173">
        <f>AS212/AR212</f>
        <v>0.48011205862271528</v>
      </c>
      <c r="AW212" s="5">
        <f>F212*AS212/Vout_ripple*1000</f>
        <v>3219.7299297641971</v>
      </c>
      <c r="AX212" s="5">
        <f>G212*AS212/Vout_ripple2*1000</f>
        <v>146.71950434587282</v>
      </c>
      <c r="AY212" s="5">
        <f>H212/Efficiency/J212*AT212/Vinripple1</f>
        <v>124.05958858424957</v>
      </c>
      <c r="AZ212" s="5"/>
      <c r="BA212" s="173">
        <f>AI212*SQRT(AU212/3)</f>
        <v>20.002334418402171</v>
      </c>
      <c r="BB212" s="173">
        <f>AI212*Npri_sec1*SQRT((1-AU212)/3)*(Pout/Pout_total)</f>
        <v>20.814416906263247</v>
      </c>
      <c r="BC212" s="173">
        <f>AI212*Npri_sec2*SQRT((1-AU212)/3)*(Pout2/Pout_total)</f>
        <v>0.51260603204444388</v>
      </c>
      <c r="BD212" s="173"/>
      <c r="BE212" s="528">
        <f>Rdson*BA212^2</f>
        <v>8.0018676437119218</v>
      </c>
      <c r="BF212" s="528">
        <f>0.5*L212*AI212*AM212*1000*Tfall</f>
        <v>0.44851560020721387</v>
      </c>
      <c r="BG212" s="528">
        <f>Qg*Vdd*AM212*1000*0+Qg*J212*AM212*1000</f>
        <v>6.1716868750040762E-3</v>
      </c>
      <c r="BH212" s="528">
        <f>0.5*(Coss+Csw)*L212^2*AM212*1000</f>
        <v>1.6284893935375575E-3</v>
      </c>
      <c r="BI212">
        <f>J212*IQ</f>
        <v>7.9040334495966841E-3</v>
      </c>
      <c r="BJ212" s="460">
        <f>(BG212+BI212)*1000</f>
        <v>14.075720324600759</v>
      </c>
      <c r="BK212">
        <f>(BF212+BG212*0+BH212+BI212*0+BE212*(1+RdsonTC*(Ta-25)))/(1-BE212*RdsonTC*ThetaJA)</f>
        <v>-11.775411448728962</v>
      </c>
      <c r="BL212" s="460">
        <f>SUM(BE212:BI212)*1000</f>
        <v>8466.0874536372739</v>
      </c>
      <c r="BM212" s="173">
        <f>Vfwd2*F212*(1+Diode_TC/1000*(Ta-25))</f>
        <v>8.7833888698411968</v>
      </c>
      <c r="BN212" s="173">
        <f>Vfwd2*G212*(1+Diode_TC/1000*(Ta-25))</f>
        <v>0.2134662620069771</v>
      </c>
      <c r="BO212" s="528"/>
      <c r="BQ212" s="460">
        <f>SUM(BM212:BP212)*1000</f>
        <v>8996.8551318481732</v>
      </c>
      <c r="BR212" s="528">
        <f>Rdcr_pri*BA212^2</f>
        <v>12.002801465567883</v>
      </c>
      <c r="BS212" s="528">
        <f>Rdcr_sec*BB212^2</f>
        <v>12.997198534432117</v>
      </c>
      <c r="BT212" s="528">
        <f>Rdcr_sec2*BC212^2</f>
        <v>1.3138247204417472E-3</v>
      </c>
      <c r="BU212" s="528">
        <f>AI212^2.5*AM212^2.5*k_core</f>
        <v>0.65458200713913828</v>
      </c>
      <c r="BV212" s="528"/>
      <c r="BW212" s="625">
        <f>0.5*Lleak*0.000000001*AI212^2*AM212*1000</f>
        <v>3.5137238619524676E-2</v>
      </c>
      <c r="BX212" s="460">
        <f>SUM(BR212:BW212)*1000</f>
        <v>25691.033070479101</v>
      </c>
      <c r="BY212" s="173">
        <f>SUM(BE212:BI212,BM212:BP212,BR212:BW212)</f>
        <v>43.153975655964551</v>
      </c>
      <c r="BZ212" s="5">
        <f>MIN(H212+I212,O212+P212)</f>
        <v>212.56384267372502</v>
      </c>
      <c r="CA212" s="173">
        <f>BZ212/(BZ212+BY212)</f>
        <v>0.83124376729850169</v>
      </c>
      <c r="CB212" s="5">
        <f>CA212*100</f>
        <v>83.124376729850169</v>
      </c>
      <c r="CC212">
        <f>F212/Iout*100</f>
        <v>141.38251701957662</v>
      </c>
      <c r="CE212" s="562">
        <f>IF(ABS(F212-Ioutmax_Vinmin)&lt;Iout/200, AM212, -50)</f>
        <v>14.054895447809871</v>
      </c>
      <c r="CF212">
        <f>IF(ABS(F212-Ioutmax_Vinmin)&lt;Iout/200, (O212+P212)*CA212, -50)</f>
        <v>176.6923693755532</v>
      </c>
      <c r="CG212" s="173">
        <f>MIN(SQRT(2*DT212*1000*Ls1_*(CL212+CJ212*Vfwd1))/(CW212+Vfwd1), 1-DY212)</f>
        <v>0.54755043227665712</v>
      </c>
      <c r="CH212" s="173">
        <f>MIN(SQRT(2*DT212*1000*Ls2_*(CM212+CK212*Vfwd22))/(Vout2+Vfwd22), 1-DY212)</f>
        <v>6.4398811101315845E-2</v>
      </c>
      <c r="CI212" s="170">
        <v>100</v>
      </c>
      <c r="CJ212" s="217">
        <f>IF(PLOT_TYPE=1, CI212/100*Iout_max, min_I*EXP(CS212*rr/100))</f>
        <v>10</v>
      </c>
      <c r="CK212" s="217">
        <f>IF(PLOT_TYPE=1, CI212/100*Iout2, min_I*EXP(CU212*rr/100))</f>
        <v>0.25</v>
      </c>
      <c r="CL212" s="217">
        <f>CJ212*Vout</f>
        <v>150</v>
      </c>
      <c r="CM212" s="217">
        <f>Vout2*CK212</f>
        <v>2</v>
      </c>
      <c r="CN212" s="541">
        <f t="shared" si="541"/>
        <v>19</v>
      </c>
      <c r="CO212" s="443">
        <f>(CW212+Vfwd2)*Nps</f>
        <v>15.7</v>
      </c>
      <c r="CP212" s="443">
        <f>(Vout+Vfwd2)*Nps+CN212</f>
        <v>34.700000000000003</v>
      </c>
      <c r="CQ212" s="443"/>
      <c r="CR212" s="217">
        <f>(Vout+Vfwd1)*Nps/((Vout+Vfwd1)*Nps+CN212)</f>
        <v>0.44767441860465118</v>
      </c>
      <c r="CS212" s="172">
        <f>CR212*CN212*Isw_max*0.5*Efficiency*Pout/(Pout+Pout2)</f>
        <v>209.84738372093025</v>
      </c>
      <c r="CT212" s="172">
        <f>CR212*CN212*Isw_max*0.5*Efficiency*(Pout2/Pout_total)</f>
        <v>2.835271317829458</v>
      </c>
      <c r="CU212" s="217">
        <f>CS212/Vout</f>
        <v>13.989825581395349</v>
      </c>
      <c r="CV212" s="217">
        <f>CS212/Vout2</f>
        <v>26.230922965116282</v>
      </c>
      <c r="CW212" s="217">
        <f>MIN(Vout,CS212/CJ212)</f>
        <v>15</v>
      </c>
      <c r="CX212" s="217">
        <f>MIN(2*(Vout*CJ212+Vout2*CK212)/(Efficiency*CN212*CR212), Isw_max)</f>
        <v>35.740259740259738</v>
      </c>
      <c r="CY212" s="217">
        <f>L*CX212/CN212*1000000</f>
        <v>22.572795625427204</v>
      </c>
      <c r="CZ212" s="217">
        <f>L*CX212/CO212*1000000</f>
        <v>27.317395979816364</v>
      </c>
      <c r="DA212" s="197">
        <f>IF(1/((350000*L)*(1/CN212+1/CO212))&gt;Isw_min, 350, 0.001/((Isw_min*L)*(1/CN212+1/CO212)))</f>
        <v>71.63784822286263</v>
      </c>
      <c r="DB212" s="443">
        <f>MIN(1/(CY212+CZ212)*1000, 350)</f>
        <v>20.044020033286419</v>
      </c>
      <c r="DD212" s="217">
        <f>1/((DA212*1000*L)*(1/CN212+1/CO212))</f>
        <v>10.000000000000002</v>
      </c>
      <c r="DE212" s="173">
        <f>L*DD212/CO212*1000000</f>
        <v>7.6433121019108299</v>
      </c>
      <c r="DF212" s="173">
        <f>0.5*DE212*DD212*Nps*DA212/1000*(Pout/(Pout+Pout2))</f>
        <v>2.7017291066282429</v>
      </c>
      <c r="DG212" s="173"/>
      <c r="DH212" s="173">
        <f>L*Isw_min/CO212*1000000</f>
        <v>7.6433121019108281</v>
      </c>
      <c r="DI212" s="545">
        <f>MAX(10, CJ212/(0.5*DH212/1000000*Isw_min*Nps)/1000*Pout_total/Pout)</f>
        <v>261.66666666666669</v>
      </c>
      <c r="DJ212" s="528">
        <f>0.5*DH212/1000000*Isw_min*Nps*DA212*1000*(Pout/Pout_total)</f>
        <v>2.7377521613832849</v>
      </c>
      <c r="DL212" s="173">
        <f>SQRT((CL212+CM212)/(0.5*L*Fsw_DCM))</f>
        <v>8.5076995939532551</v>
      </c>
      <c r="DM212" s="173">
        <f>MAX(IF(CJ212&gt;DF212,CX212,DL212),Isw_min)</f>
        <v>35.740259740259738</v>
      </c>
      <c r="DN212" s="173">
        <f>IF(CJ212&gt;DJ212, (DM212-Isw_min)/1.08*0.8+1.2, DI212*0.2/350+1)</f>
        <v>20.266859066859062</v>
      </c>
      <c r="DP212" s="545">
        <f>CJ212*1000</f>
        <v>10000</v>
      </c>
      <c r="DQ212" s="460">
        <f>IF(CJ212&gt;DJ212, DB212, DI212)</f>
        <v>20.044020033286419</v>
      </c>
      <c r="DS212">
        <f>IF(CL212&gt;CS212, "",DP212)</f>
        <v>10000</v>
      </c>
      <c r="DT212">
        <f>IF(CL212&gt;CS212, "",DQ212)</f>
        <v>20.044020033286419</v>
      </c>
      <c r="DV212" s="5">
        <f>1/DQ212*1000</f>
        <v>49.890191605243572</v>
      </c>
      <c r="DW212" s="5">
        <f>L*DM212/CN212*1000000</f>
        <v>22.572795625427204</v>
      </c>
      <c r="DX212" s="5">
        <f>DV212-DW212</f>
        <v>27.317395979816368</v>
      </c>
      <c r="DY212" s="173">
        <f>DW212/DV212</f>
        <v>0.45244956772334288</v>
      </c>
      <c r="EA212" s="5">
        <f>CJ212*DW212/Vout_ripple*1000</f>
        <v>1504.8530416951469</v>
      </c>
      <c r="EB212" s="5">
        <f>CK212*DW212/Vout_ripple2*1000</f>
        <v>70.539986329460021</v>
      </c>
      <c r="EC212" s="5">
        <f>CL212/Efficiency/CN212*DX212/Vinripple1</f>
        <v>59.906570131176238</v>
      </c>
      <c r="ED212" s="5"/>
      <c r="EE212" s="173">
        <f>DM212*SQRT(DY212/3)</f>
        <v>13.879766685928306</v>
      </c>
      <c r="EF212" s="173">
        <f>DM212*Npri_sec1*SQRT((1-DY212)/3)*(Pout/Pout_total)</f>
        <v>15.268948845438089</v>
      </c>
      <c r="EG212" s="173">
        <f>DM212*Npri_sec2*SQRT((1-DY212)/3)*(Pout2/Pout_total)</f>
        <v>0.376035289213142</v>
      </c>
      <c r="EH212" s="173"/>
      <c r="EI212" s="528">
        <f>Rdson*EE212^2</f>
        <v>3.8529584651161048</v>
      </c>
      <c r="EJ212" s="528">
        <f>0.5*CP212*DM212*DQ212*1000*Trise</f>
        <v>0.4971666666666667</v>
      </c>
      <c r="EK212" s="528">
        <f>Qg*Vdd*DQ212*1000</f>
        <v>2.5055025041608022E-3</v>
      </c>
      <c r="EL212" s="528">
        <f>0.5*(Coss+Csw)*CP212^2*DQ212*1000</f>
        <v>2.4134804081879851E-3</v>
      </c>
      <c r="EM212">
        <f>CN212*IQ</f>
        <v>8.5500000000000003E-3</v>
      </c>
      <c r="EN212" s="460">
        <f>(EK212+EM212)*1000</f>
        <v>11.055502504160801</v>
      </c>
      <c r="EP212" s="460">
        <f>SUM(EI212:EM212)*1000</f>
        <v>4363.59411469512</v>
      </c>
      <c r="EQ212" s="173">
        <f>Vfwd2*CJ212</f>
        <v>7</v>
      </c>
      <c r="ER212" s="173">
        <f>Vfwd22*CK212*(1+Diode_TC/1000*(Ta-25))</f>
        <v>0.11093749999999999</v>
      </c>
      <c r="ES212" s="528"/>
      <c r="EU212" s="460">
        <f>SUM(EQ212:ET212)*1000</f>
        <v>7110.9375</v>
      </c>
      <c r="EV212" s="528">
        <f>Rdcr_pri*EE212^2</f>
        <v>5.7794376976741573</v>
      </c>
      <c r="EW212" s="528">
        <f>Rdcr_sec*EF212^2</f>
        <v>6.994223965338155</v>
      </c>
      <c r="EX212" s="528">
        <f>Rdcr_sec2*EG212^2</f>
        <v>7.0701269366805683E-4</v>
      </c>
      <c r="EY212" s="528">
        <f>DM212^2.5*DQ212^2.5*k_core</f>
        <v>0.68679375210278792</v>
      </c>
      <c r="EZ212" s="528"/>
      <c r="FA212" s="625">
        <f>0.5*Lleak*0.000000001*DM212^2*DQ212*1000</f>
        <v>2.5603553027184148E-2</v>
      </c>
      <c r="FB212" s="460">
        <f>SUM(EV212:FA212)*1000</f>
        <v>13486.765980835953</v>
      </c>
      <c r="FC212" s="173">
        <f>SUM(EI212:EM212,EQ212:ET212,EV212:FA212)</f>
        <v>24.961297595531072</v>
      </c>
      <c r="FD212" s="5">
        <f>MIN(CL212+CM212,CS212+CT212)</f>
        <v>152</v>
      </c>
      <c r="FE212" s="173">
        <f>FD212/(FD212+FC212)</f>
        <v>0.85894487701721367</v>
      </c>
      <c r="FF212" s="5">
        <f>FE212*100</f>
        <v>85.894487701721374</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2.5000000000000001E-4</v>
      </c>
      <c r="H216" s="217">
        <f t="shared" ref="H216:H247" si="618">F216*Vout</f>
        <v>1.5000000000000002E-8</v>
      </c>
      <c r="I216" s="217">
        <f t="shared" ref="I216:I247" si="619">Vout2*G216</f>
        <v>2E-3</v>
      </c>
      <c r="J216" s="541">
        <f t="shared" ref="J216:J247" si="620">VIN_max-(F216/CG216/Nps+G216/CH216/(Nps/Nsec1sec2))*(Rdcr_pri+RON/1000)</f>
        <v>84.995423145354124</v>
      </c>
      <c r="K216" s="443">
        <f t="shared" ref="K216:K247" si="621">MAX((S216+Vfwd2+Rdcr_sec*F216/CG216)*Nps,(Vout2+Vfwd22+Rdcr_sec2*G216/CH216)*Nps/Nsec1sec2)</f>
        <v>15.701557187234135</v>
      </c>
      <c r="L216" s="172">
        <f t="shared" ref="L216:L247" si="622">MAX((Vout+Vfwd2+F216/CG216*Rdcr_sec)*Nps+J216, (Vout2+Vfwd22+G216/CH216*Rdcr_sec2)*Nps/Nsec1sec2+J216)</f>
        <v>100.69698033258825</v>
      </c>
      <c r="M216" s="443"/>
      <c r="N216" s="217">
        <f t="shared" ref="N216:N247" si="623">MAX((Vout+Vfwd2+F216/CG216*Rdcr_sec)*Nps/((Vout+Vfwd2+F216/CG216*Rdcr_sec)*Nps+J216), (Vout2+Vfwd22+G216/CH216*Rdcr_sec2)*Nps/Nsec1sec2/((Vout2+Vfwd22+G216/CH216*Rdcr_sec2)*Nps/Nsec1sec2+J216))</f>
        <v>0.15592877895021334</v>
      </c>
      <c r="O216" s="172">
        <f t="shared" ref="O216:O247" si="624">N216*J216*Isw_max*0.5*Efficiency*Pout/(Pout+Pout2)</f>
        <v>326.97119771575086</v>
      </c>
      <c r="P216" s="172">
        <f t="shared" ref="P216:P247" si="625">N216*J216*Isw_max*0.5*Efficiency*(Pout2/Pout_total)</f>
        <v>4.4177441824705896</v>
      </c>
      <c r="Q216" s="217">
        <f t="shared" ref="Q216:Q279" si="626">O216/Vout</f>
        <v>21.798079847716725</v>
      </c>
      <c r="R216" s="217">
        <f t="shared" ref="R216:R247" si="627">O216/Vout2</f>
        <v>40.871399714468858</v>
      </c>
      <c r="S216" s="217">
        <f t="shared" ref="S216:S247" si="628">MIN(Vout,O216/F216)</f>
        <v>15</v>
      </c>
      <c r="T216" s="217">
        <f t="shared" ref="T216:T247" si="629">MIN(2*(Vout*F216+Vout2*G216)/(Efficiency*J216*N216), Isw_max)</f>
        <v>3.0181542394962111E-4</v>
      </c>
      <c r="U216" s="217">
        <f t="shared" ref="U216:U279" si="630">L*T216/J216*1000000</f>
        <v>4.26115307550348E-5</v>
      </c>
      <c r="V216" s="217">
        <f t="shared" ref="V216:V279" si="631">L*T216/K216*1000000</f>
        <v>2.3066407007962751E-4</v>
      </c>
      <c r="W216" s="197">
        <f t="shared" ref="W216:W279" si="632">IF(1/((350000*L)*(1/J216+1/K216))&gt;Isw_min, 350, 0.001/((Isw_min*L)*(1/J216+1/K216)))</f>
        <v>110.44360456176476</v>
      </c>
      <c r="X216" s="443">
        <f>MIN(1/(U216+V216+0.2)*1000, 350)</f>
        <v>350</v>
      </c>
      <c r="Z216" s="217">
        <f t="shared" ref="Z216:Z279" si="633">1/((W216*1000*L)*(1/J216+1/K216))</f>
        <v>10</v>
      </c>
      <c r="AA216" s="173">
        <f t="shared" ref="AA216:AA279" si="634">L*Z216/K216*1000000</f>
        <v>7.6425540835888448</v>
      </c>
      <c r="AB216" s="173">
        <f t="shared" ref="AB216:AB247" si="635">0.5*AA216*Z216*Nps*W216/1000*(Pout/(Pout+Pout2))</f>
        <v>4.1648251038640804</v>
      </c>
      <c r="AC216" s="173"/>
      <c r="AD216" s="173">
        <f t="shared" ref="AD216:AD279" si="636">L*Isw_min/K216*1000000</f>
        <v>7.6425540835888448</v>
      </c>
      <c r="AE216" s="545">
        <f t="shared" ref="AE216:AE247" si="637">MAX(10, F216/(0.5*AD216/1000000*Isw_min*Nps)/1000*Pout_total/Pout)</f>
        <v>10</v>
      </c>
      <c r="AF216" s="528">
        <f t="shared" ref="AF216:AF247" si="638">0.5*AD216/1000000*Isw_min*Nps*W216*1000*(Pout/Pout_total)</f>
        <v>4.2203561052489347</v>
      </c>
      <c r="AH216" s="173">
        <f t="shared" ref="AH216:AH247" si="639">SQRT((H216+I216)/(0.5*L*Fsw_DCM))</f>
        <v>3.0860785719713863E-2</v>
      </c>
      <c r="AI216" s="173">
        <f t="shared" ref="AI216:AI247" si="640">MAX(IF(F216&gt;AB216,T216,AH216),Isw_min)</f>
        <v>10</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1.4118407269387097</v>
      </c>
      <c r="AT216" s="5">
        <f t="shared" si="605"/>
        <v>98.588159273061294</v>
      </c>
      <c r="AU216" s="173">
        <f t="shared" si="606"/>
        <v>1.4118407269387097E-2</v>
      </c>
      <c r="BA216" s="173">
        <f>AI216*SQRT(AU216/3)</f>
        <v>0.68601281011817605</v>
      </c>
      <c r="BB216" s="173">
        <f>AI216*Npri_sec1*SQRT((1-AU216)/3)*(Pout/Pout_total)</f>
        <v>5.7326014825458689</v>
      </c>
      <c r="BC216" s="173">
        <f>AI216*Npri_sec2*SQRT((1-AU216)/3)*(Pout2/Pout_total)</f>
        <v>0.14117936200152184</v>
      </c>
      <c r="BD216" s="173"/>
      <c r="BE216" s="528">
        <f>Rdson*BA216^2</f>
        <v>9.4122715129247338E-3</v>
      </c>
      <c r="BF216" s="528">
        <f t="shared" ref="BF216:BF247" si="646">0.5*L216*AI216*AM216*1000*Tfall</f>
        <v>0.18880683812360297</v>
      </c>
      <c r="BG216" s="528">
        <f t="shared" ref="BG216:BG247" si="647">Qg*Vdd*AM216*1000*0+Qg*J216*AM216*1000</f>
        <v>2.1248855786338533E-2</v>
      </c>
      <c r="BH216" s="528">
        <f>0.5*(Coss+Csw)*L216^2*AM216*1000</f>
        <v>1.0139881848101665E-2</v>
      </c>
      <c r="BI216">
        <f>J216*IQ</f>
        <v>3.8247940415409354E-2</v>
      </c>
      <c r="BJ216" s="460">
        <f>(BG216+BI216)*1000</f>
        <v>59.496796201747884</v>
      </c>
      <c r="BK216">
        <f t="shared" ref="BK216:BK247" si="648">(BF216+BG216*0+BH216+BI216*0+BE216*(1+RdsonTC*(Ta-25)))/(1-BE216*RdsonTC*ThetaJA)</f>
        <v>0.21137301003135348</v>
      </c>
      <c r="BL216" s="460">
        <f>SUM(BE216:BI216)*1000</f>
        <v>267.85578768637725</v>
      </c>
      <c r="BM216" s="173">
        <f t="shared" ref="BM216:BM247" si="649">Vfwd2*F216*(1+Diode_TC/1000*(Ta-25))</f>
        <v>6.212499999999999E-10</v>
      </c>
      <c r="BN216" s="173">
        <f t="shared" ref="BN216:BN247" si="650">Vfwd22*G216*(1+Diode_TC/1000*(Ta-25))</f>
        <v>1.1093749999999999E-4</v>
      </c>
      <c r="BQ216" s="460">
        <f>SUM(BM216:BP216)*1000</f>
        <v>0.11093812124999999</v>
      </c>
      <c r="BR216" s="528">
        <f>Rdcr_pri*BA216^2</f>
        <v>1.4118407269387101E-2</v>
      </c>
      <c r="BS216" s="528">
        <f>Rdcr_sec*BB216^2</f>
        <v>0.98588159273061282</v>
      </c>
      <c r="BT216" s="528">
        <f>Rdcr_sec2*BC216^2</f>
        <v>9.9658061275783737E-5</v>
      </c>
      <c r="BU216" s="528">
        <f>AI216^2.5*AM216^2.5*k_core</f>
        <v>5.0000000000000096E-3</v>
      </c>
      <c r="BV216" s="528"/>
      <c r="BW216" s="625">
        <f>0.5*Lleak*0.000000001*AI216^2*AM216*1000</f>
        <v>1.0000000000000002E-3</v>
      </c>
      <c r="BX216" s="460">
        <f>SUM(BR216:BW216)*1000</f>
        <v>1006.0996580612758</v>
      </c>
      <c r="BY216" s="173">
        <f>SUM(BE216:BI216,BM216:BP216,BR216:BW216)</f>
        <v>1.274066383868903</v>
      </c>
      <c r="BZ216" s="5">
        <f>MIN(H216+I216,O216+P216)</f>
        <v>2.000015E-3</v>
      </c>
      <c r="CA216" s="173">
        <f>BZ216/(BZ216+BY216)</f>
        <v>1.5673283159660034E-3</v>
      </c>
      <c r="CB216" s="5">
        <f>CA216*100</f>
        <v>0.15673283159660034</v>
      </c>
      <c r="CC216">
        <f>F216/Iout*100</f>
        <v>1E-8</v>
      </c>
      <c r="CE216" s="562">
        <f t="shared" ref="CE216:CE247" si="651">IF(ABS(F216-Ioutmax_Vinmax)&lt;Iout/200, AM216, -50)</f>
        <v>-50</v>
      </c>
      <c r="CG216" s="173">
        <f t="shared" ref="CG216:CG247" si="652">MIN(SQRT(2*DT216*1000*Ls1_*CL216)/CW216, 1-DY216)</f>
        <v>4.0000000000000007E-6</v>
      </c>
      <c r="CH216" s="173">
        <f t="shared" ref="CH216:CH247" si="653">MIN(SQRT(2*DT216*1000*Ls2_*CM216)/Vout2, 1-DY216)</f>
        <v>1.482688451845195E-3</v>
      </c>
      <c r="CI216" s="170">
        <v>0.1</v>
      </c>
      <c r="CJ216" s="217">
        <v>1.0000000000000001E-9</v>
      </c>
      <c r="CK216" s="217">
        <f t="shared" ref="CK216:CK279" si="654">IF(PLOT_TYPE=1, CI216/100*Iout2, min_I*EXP(CU216*rr/100))</f>
        <v>2.5000000000000001E-4</v>
      </c>
      <c r="CL216" s="217">
        <f t="shared" ref="CL216:CL279" si="655">CJ216*Vout</f>
        <v>1.5000000000000002E-8</v>
      </c>
      <c r="CM216" s="217">
        <f t="shared" ref="CM216:CM279" si="656">Vout2*CK216</f>
        <v>2E-3</v>
      </c>
      <c r="CN216" s="541">
        <f t="shared" ref="CN216:CN279" si="657">VIN_max</f>
        <v>85</v>
      </c>
      <c r="CO216" s="443">
        <f t="shared" ref="CO216:CO247" si="658">(CW216+Vfwd2)*Nps</f>
        <v>15.7</v>
      </c>
      <c r="CP216" s="443">
        <f t="shared" ref="CP216:CP247" si="659">(Vout+Vfwd2)*Nps+CN216</f>
        <v>100.7</v>
      </c>
      <c r="CQ216" s="443"/>
      <c r="CR216" s="217">
        <f t="shared" ref="CR216:CR279" si="660">(Vout+Vfwd1)*Nps/((Vout+Vfwd1)*Nps+CN216)</f>
        <v>0.15338645418326693</v>
      </c>
      <c r="CS216" s="172">
        <f t="shared" ref="CS216:CS279" si="661">CR216*CN216*Isw_max*0.5*Efficiency*Pout/(Pout+Pout2)</f>
        <v>321.65744915076539</v>
      </c>
      <c r="CT216" s="172">
        <f t="shared" ref="CT216:CT279" si="662">CR216*CN216*Isw_max*0.5*Efficiency*(Pout2/Pout_total)</f>
        <v>4.3459495351925632</v>
      </c>
      <c r="CU216" s="217">
        <f t="shared" ref="CU216:CU279" si="663">CS216/Vout</f>
        <v>21.443829943384358</v>
      </c>
      <c r="CV216" s="217">
        <f t="shared" ref="CV216:CV279" si="664">CS216/Vout2</f>
        <v>40.207181143845673</v>
      </c>
      <c r="CW216" s="217">
        <f t="shared" ref="CW216:CW279" si="665">MIN(Vout,CS216/CJ216)</f>
        <v>15</v>
      </c>
      <c r="CX216" s="217">
        <f t="shared" ref="CX216:CX279" si="666">MIN(2*(Vout*CJ216+Vout2*CK216)/(Efficiency*CN216*CR216), Isw_max)</f>
        <v>3.06801384262796E-4</v>
      </c>
      <c r="CY216" s="217">
        <f t="shared" ref="CY216:CY279" si="667">L*CX216/CN216*1000000</f>
        <v>4.3313136601806496E-5</v>
      </c>
      <c r="CZ216" s="217">
        <f t="shared" ref="CZ216:CZ279" si="668">L*CX216/CO216*1000000</f>
        <v>2.3449787332188233E-4</v>
      </c>
      <c r="DA216" s="197">
        <f t="shared" ref="DA216:DA279" si="669">IF(1/((350000*L)*(1/CN216+1/CO216))&gt;Isw_min, 350, 0.001/((Isw_min*L)*(1/CN216+1/CO216)))</f>
        <v>110.43528632903013</v>
      </c>
      <c r="DB216" s="443">
        <f t="shared" ref="DB216:DB279" si="670">MIN(1/(CY216+CZ216)*1000, 350)</f>
        <v>350</v>
      </c>
      <c r="DD216" s="217">
        <f t="shared" ref="DD216:DD279" si="671">1/((DA216*1000*L)*(1/CN216+1/CO216))</f>
        <v>9.9999999999999982</v>
      </c>
      <c r="DE216" s="173">
        <f t="shared" ref="DE216:DE279" si="672">L*DD216/CO216*1000000</f>
        <v>7.6433121019108263</v>
      </c>
      <c r="DF216" s="173">
        <f t="shared" ref="DF216:DF279" si="673">0.5*DE216*DD216*Nps*DA216/1000*(Pout/(Pout+Pout2))</f>
        <v>4.1649244760361679</v>
      </c>
      <c r="DG216" s="173"/>
      <c r="DH216" s="173">
        <f t="shared" ref="DH216:DH279" si="674">L*Isw_min/CO216*1000000</f>
        <v>7.6433121019108281</v>
      </c>
      <c r="DI216" s="545">
        <f t="shared" ref="DI216:DI279" si="675">MAX(10, CJ216/(0.5*DH216/1000000*Isw_min*Nps)/1000*Pout_total/Pout)</f>
        <v>10</v>
      </c>
      <c r="DJ216" s="528">
        <f t="shared" ref="DJ216:DJ279" si="676">0.5*DH216/1000000*Isw_min*Nps*DA216*1000*(Pout/Pout_total)</f>
        <v>4.2204568023833167</v>
      </c>
      <c r="DL216" s="173">
        <f t="shared" ref="DL216:DL279" si="677">SQRT((CL216+CM216)/(0.5*L*Fsw_DCM))</f>
        <v>3.0860785719713863E-2</v>
      </c>
      <c r="DM216" s="173">
        <f t="shared" ref="DM216:DM279" si="678">MAX(IF(CJ216&gt;DF216,CX216,DL216),Isw_min)</f>
        <v>10</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1.4117647058823528</v>
      </c>
      <c r="DX216" s="5">
        <f t="shared" ref="DX216:DX279" si="686">DV216-DW216</f>
        <v>98.588235294117652</v>
      </c>
      <c r="DY216" s="173">
        <f t="shared" ref="DY216:DY279" si="687">DW216/DV216</f>
        <v>1.4117647058823528E-2</v>
      </c>
      <c r="EA216" s="5">
        <f>CJ216*DW216/Vout_ripple*1000</f>
        <v>9.4117647058823523E-9</v>
      </c>
      <c r="EB216" s="5">
        <f>CK216*DW216/Vout_ripple2*1000</f>
        <v>4.4117647058823529E-3</v>
      </c>
      <c r="EC216" s="5">
        <f>CL216/Efficiency/CN216*DX216/Vinripple1</f>
        <v>4.8327566320645914E-9</v>
      </c>
      <c r="ED216" s="5"/>
      <c r="EE216" s="173">
        <f>DM216*SQRT(DY216/3)</f>
        <v>0.68599434057003528</v>
      </c>
      <c r="EF216" s="173">
        <f>DM216*Npri_sec1*SQRT((1-DY216)/3)*(Pout/Pout_total)</f>
        <v>5.7326036927419999</v>
      </c>
      <c r="EG216" s="173">
        <f>DM216*Npri_sec2*SQRT((1-DY216)/3)*(Pout2/Pout_total)</f>
        <v>0.14117941643301871</v>
      </c>
      <c r="EH216" s="173"/>
      <c r="EI216" s="528">
        <f>Rdson*EE216^2</f>
        <v>9.4117647058823504E-3</v>
      </c>
      <c r="EJ216" s="528">
        <f>0.5*CP216*DM216*DQ216*1000*Trise</f>
        <v>0.2014</v>
      </c>
      <c r="EK216" s="528">
        <f>Qg*Vdd*DQ216*1000</f>
        <v>1.2499999999999998E-3</v>
      </c>
      <c r="EL216" s="528">
        <f>0.5*(Coss+Csw)*CP216^2*DQ216*1000</f>
        <v>1.014049E-2</v>
      </c>
      <c r="EM216">
        <f>CN216*IQ</f>
        <v>3.8249999999999999E-2</v>
      </c>
      <c r="EN216" s="460">
        <f>(EK216+EM216)*1000</f>
        <v>39.5</v>
      </c>
      <c r="EP216" s="460">
        <f>SUM(EI216:EM216)*1000</f>
        <v>260.45225470588235</v>
      </c>
      <c r="EQ216" s="173">
        <f>Vfwd2*CJ216</f>
        <v>6.9999999999999996E-10</v>
      </c>
      <c r="ER216" s="173">
        <f t="shared" ref="ER216:ER247" si="688">Vfwd22*CK216*(1+Diode_TC/1000*(Ta-25))</f>
        <v>1.1093749999999999E-4</v>
      </c>
      <c r="ES216" s="528"/>
      <c r="EU216" s="460">
        <f>SUM(EQ216:ET216)*1000</f>
        <v>0.11093819999999999</v>
      </c>
      <c r="EV216" s="528">
        <f>Rdcr_pri*EE216^2</f>
        <v>1.4117647058823525E-2</v>
      </c>
      <c r="EW216" s="528">
        <f>Rdcr_sec*EF216^2</f>
        <v>0.98588235294117632</v>
      </c>
      <c r="EX216" s="528">
        <f>Rdcr_sec2*EG216^2</f>
        <v>9.9658138121838552E-5</v>
      </c>
      <c r="EY216" s="528">
        <f>DM216^2.5*DQ216^2.5*k_core</f>
        <v>5.0000000000000096E-3</v>
      </c>
      <c r="EZ216" s="528"/>
      <c r="FA216" s="625">
        <f>0.5*Lleak*0.000000001*DM216^2*DQ216*1000</f>
        <v>1.0000000000000002E-3</v>
      </c>
      <c r="FB216" s="460">
        <f>SUM(EV216:FA216)*1000</f>
        <v>1006.0996581381216</v>
      </c>
      <c r="FC216" s="173">
        <f>SUM(EI216:EM216,EQ216:ET216,EV216:FA216)</f>
        <v>1.2666628510440041</v>
      </c>
      <c r="FD216" s="5">
        <f>MIN(CL216+CM216,CS216+CT216)</f>
        <v>2.000015E-3</v>
      </c>
      <c r="FE216" s="173">
        <f>FD216/(FD216+FC216)</f>
        <v>1.5764747700360521E-3</v>
      </c>
      <c r="FF216" s="5">
        <f>FE216*100</f>
        <v>0.15764747700360521</v>
      </c>
      <c r="FG216">
        <f>CJ216/Iout*100</f>
        <v>1E-8</v>
      </c>
      <c r="FI216" s="562">
        <f t="shared" ref="FI216:FI279" si="689">IF(ABS(CJ216-Ioutmax_Vinmax)&lt;Iout/200, DQ216, -50)</f>
        <v>-50</v>
      </c>
    </row>
    <row r="217" spans="1:169">
      <c r="E217" s="170">
        <v>1</v>
      </c>
      <c r="F217" s="217">
        <f t="shared" ref="F217:F248" si="690">IF(PLOT_TYPE=1, E217/100*Iout_max, min_I*EXP(O217*rr/100))</f>
        <v>0.1</v>
      </c>
      <c r="G217" s="217">
        <f t="shared" si="617"/>
        <v>2.5000000000000001E-3</v>
      </c>
      <c r="H217" s="217">
        <f t="shared" si="618"/>
        <v>1.5</v>
      </c>
      <c r="I217" s="217">
        <f t="shared" si="619"/>
        <v>0.02</v>
      </c>
      <c r="J217" s="541">
        <f t="shared" si="620"/>
        <v>84.860566243270256</v>
      </c>
      <c r="K217" s="443">
        <f t="shared" si="621"/>
        <v>15.774999999999999</v>
      </c>
      <c r="L217" s="172">
        <f t="shared" si="622"/>
        <v>100.63556624327026</v>
      </c>
      <c r="M217" s="443"/>
      <c r="N217" s="217">
        <f t="shared" si="623"/>
        <v>0.15675372623100742</v>
      </c>
      <c r="O217" s="172">
        <f t="shared" si="624"/>
        <v>328.17952225425626</v>
      </c>
      <c r="P217" s="172">
        <f t="shared" si="625"/>
        <v>4.4340699895686182</v>
      </c>
      <c r="Q217" s="217">
        <f t="shared" si="626"/>
        <v>21.878634816950417</v>
      </c>
      <c r="R217" s="217">
        <f t="shared" si="627"/>
        <v>41.022440281782032</v>
      </c>
      <c r="S217" s="217">
        <f t="shared" si="628"/>
        <v>15</v>
      </c>
      <c r="T217" s="217">
        <f t="shared" si="629"/>
        <v>0.22853345475313946</v>
      </c>
      <c r="U217" s="217">
        <f t="shared" si="630"/>
        <v>3.2316558543529113E-2</v>
      </c>
      <c r="V217" s="217">
        <f t="shared" si="631"/>
        <v>0.17384478333043893</v>
      </c>
      <c r="W217" s="197">
        <f t="shared" si="632"/>
        <v>110.85174973921548</v>
      </c>
      <c r="X217" s="443">
        <f t="shared" ref="X217:X280" si="691">MIN(1/(U217+V217+0.2)*1000, 350)</f>
        <v>350</v>
      </c>
      <c r="Z217" s="217">
        <f t="shared" si="633"/>
        <v>10</v>
      </c>
      <c r="AA217" s="173">
        <f t="shared" si="634"/>
        <v>7.6069730586370845</v>
      </c>
      <c r="AB217" s="173">
        <f t="shared" si="635"/>
        <v>4.1607546403075286</v>
      </c>
      <c r="AC217" s="173"/>
      <c r="AD217" s="173">
        <f t="shared" si="636"/>
        <v>7.6069730586370845</v>
      </c>
      <c r="AE217" s="545">
        <f t="shared" si="637"/>
        <v>10</v>
      </c>
      <c r="AF217" s="528">
        <f t="shared" si="638"/>
        <v>4.2162313688449622</v>
      </c>
      <c r="AH217" s="173">
        <f t="shared" si="639"/>
        <v>0.85076995939532551</v>
      </c>
      <c r="AI217" s="173">
        <f t="shared" si="640"/>
        <v>10</v>
      </c>
      <c r="AJ217" s="173">
        <f t="shared" si="641"/>
        <v>1.0057142857142858</v>
      </c>
      <c r="AL217" s="545">
        <f t="shared" si="642"/>
        <v>100</v>
      </c>
      <c r="AM217" s="460">
        <f t="shared" si="643"/>
        <v>10</v>
      </c>
      <c r="AO217">
        <f t="shared" si="644"/>
        <v>100</v>
      </c>
      <c r="AP217">
        <f t="shared" si="645"/>
        <v>10</v>
      </c>
      <c r="AR217" s="5">
        <f t="shared" si="616"/>
        <v>100</v>
      </c>
      <c r="AS217" s="5">
        <f t="shared" si="604"/>
        <v>1.414084365828945</v>
      </c>
      <c r="AT217" s="5">
        <f t="shared" si="605"/>
        <v>98.585915634171059</v>
      </c>
      <c r="AU217" s="173">
        <f t="shared" si="606"/>
        <v>1.4140843658289451E-2</v>
      </c>
      <c r="BA217" s="173">
        <f t="shared" ref="BA217:BA280" si="692">AI217*SQRT(AU217/3)</f>
        <v>0.68655768532317452</v>
      </c>
      <c r="BB217" s="173">
        <f t="shared" ref="BB217:BB280" si="693">AI217*Npri_sec1*SQRT((1-AU217)/3)*(Pout/Pout_total)</f>
        <v>5.7325362517874243</v>
      </c>
      <c r="BC217" s="173">
        <f t="shared" ref="BC217:BC280" si="694">AI217*Npri_sec2*SQRT((1-AU217)/3)*(Pout2/Pout_total)</f>
        <v>0.14117775553421583</v>
      </c>
      <c r="BD217" s="173"/>
      <c r="BE217" s="528">
        <f t="shared" ref="BE217:BE280" si="695">Rdson*BA217^2</f>
        <v>9.4272291055263035E-3</v>
      </c>
      <c r="BF217" s="528">
        <f t="shared" si="646"/>
        <v>0.18869168670613173</v>
      </c>
      <c r="BG217" s="528">
        <f t="shared" si="647"/>
        <v>2.1215141560817566E-2</v>
      </c>
      <c r="BH217" s="528">
        <f t="shared" ref="BH217:BH280" si="696">0.5*(Coss+Csw)*L217^2*AM217*1000</f>
        <v>1.0127517193103636E-2</v>
      </c>
      <c r="BI217">
        <f t="shared" ref="BI217:BI280" si="697">J217*IQ</f>
        <v>3.8187254809471612E-2</v>
      </c>
      <c r="BJ217" s="460">
        <f t="shared" ref="BJ217:BJ280" si="698">(BG217+BI217)*1000</f>
        <v>59.402396370289175</v>
      </c>
      <c r="BK217">
        <f t="shared" si="648"/>
        <v>0.21126499937098306</v>
      </c>
      <c r="BL217" s="460">
        <f t="shared" ref="BL217:BL280" si="699">SUM(BE217:BI217)*1000</f>
        <v>267.64882937505087</v>
      </c>
      <c r="BM217" s="173">
        <f t="shared" si="649"/>
        <v>6.2124999999999993E-2</v>
      </c>
      <c r="BN217" s="173">
        <f t="shared" si="650"/>
        <v>1.1093749999999999E-3</v>
      </c>
      <c r="BQ217" s="460">
        <f t="shared" ref="BQ217:BQ280" si="700">SUM(BM217:BP217)*1000</f>
        <v>63.234374999999993</v>
      </c>
      <c r="BR217" s="528">
        <f t="shared" ref="BR217:BR280" si="701">Rdcr_pri*BA217^2</f>
        <v>1.4140843658289453E-2</v>
      </c>
      <c r="BS217" s="528">
        <f t="shared" ref="BS217:BS280" si="702">Rdcr_sec*BB217^2</f>
        <v>0.98585915634171029</v>
      </c>
      <c r="BT217" s="528">
        <f t="shared" ref="BT217:BT280" si="703">Rdcr_sec2*BC217^2</f>
        <v>9.9655793288394047E-5</v>
      </c>
      <c r="BU217" s="528">
        <f t="shared" ref="BU217:BU280" si="704">AI217^2.5*AM217^2.5*k_core</f>
        <v>5.0000000000000096E-3</v>
      </c>
      <c r="BV217" s="528"/>
      <c r="BW217" s="625">
        <f t="shared" ref="BW217:BW280" si="705">0.5*Lleak*0.000000001*AI217^2*AM217*1000</f>
        <v>1.0000000000000002E-3</v>
      </c>
      <c r="BX217" s="460">
        <f t="shared" ref="BX217:BX280" si="706">SUM(BR217:BW217)*1000</f>
        <v>1006.0996557932882</v>
      </c>
      <c r="BY217" s="173">
        <f t="shared" ref="BY217:BY280" si="707">SUM(BE217:BI217,BM217:BP217,BR217:BW217)</f>
        <v>1.3369828601683391</v>
      </c>
      <c r="BZ217" s="5">
        <f t="shared" ref="BZ217:BZ280" si="708">MIN(H217+I217,O217+P217)</f>
        <v>1.52</v>
      </c>
      <c r="CA217" s="173">
        <f t="shared" ref="CA217:CA280" si="709">BZ217/(BZ217+BY217)</f>
        <v>0.53202979310503762</v>
      </c>
      <c r="CB217" s="5">
        <f t="shared" ref="CB217:CB280" si="710">CA217*100</f>
        <v>53.202979310503764</v>
      </c>
      <c r="CC217">
        <f t="shared" ref="CC217:CC280" si="711">F217/Iout*100</f>
        <v>1</v>
      </c>
      <c r="CE217" s="562">
        <f t="shared" si="651"/>
        <v>-50</v>
      </c>
      <c r="CG217" s="173">
        <f t="shared" si="652"/>
        <v>4.0000000000000008E-2</v>
      </c>
      <c r="CH217" s="173">
        <f t="shared" si="653"/>
        <v>4.6886725682596993E-3</v>
      </c>
      <c r="CI217" s="170">
        <v>1</v>
      </c>
      <c r="CJ217" s="217">
        <f t="shared" ref="CJ217:CJ280" si="712">IF(PLOT_TYPE=1, CI217/100*Iout_max, min_I*EXP(CS217*rr/100))</f>
        <v>0.1</v>
      </c>
      <c r="CK217" s="217">
        <f t="shared" si="654"/>
        <v>2.5000000000000001E-3</v>
      </c>
      <c r="CL217" s="217">
        <f t="shared" si="655"/>
        <v>1.5</v>
      </c>
      <c r="CM217" s="217">
        <f t="shared" si="656"/>
        <v>0.02</v>
      </c>
      <c r="CN217" s="541">
        <f t="shared" si="657"/>
        <v>85</v>
      </c>
      <c r="CO217" s="443">
        <f t="shared" si="658"/>
        <v>15.7</v>
      </c>
      <c r="CP217" s="443">
        <f t="shared" si="659"/>
        <v>100.7</v>
      </c>
      <c r="CQ217" s="443"/>
      <c r="CR217" s="217">
        <f t="shared" si="660"/>
        <v>0.15338645418326693</v>
      </c>
      <c r="CS217" s="172">
        <f t="shared" si="661"/>
        <v>321.65744915076539</v>
      </c>
      <c r="CT217" s="172">
        <f t="shared" si="662"/>
        <v>4.3459495351925632</v>
      </c>
      <c r="CU217" s="217">
        <f t="shared" si="663"/>
        <v>21.443829943384358</v>
      </c>
      <c r="CV217" s="217">
        <f t="shared" si="664"/>
        <v>40.207181143845673</v>
      </c>
      <c r="CW217" s="217">
        <f t="shared" si="665"/>
        <v>15</v>
      </c>
      <c r="CX217" s="217">
        <f t="shared" si="666"/>
        <v>0.23316730328495033</v>
      </c>
      <c r="CY217" s="217">
        <f t="shared" si="667"/>
        <v>3.291773693434593E-2</v>
      </c>
      <c r="CZ217" s="217">
        <f t="shared" si="668"/>
        <v>0.17821704709677735</v>
      </c>
      <c r="DA217" s="197">
        <f t="shared" si="669"/>
        <v>110.43528632903013</v>
      </c>
      <c r="DB217" s="443">
        <f t="shared" si="670"/>
        <v>350</v>
      </c>
      <c r="DD217" s="217">
        <f t="shared" si="671"/>
        <v>9.9999999999999982</v>
      </c>
      <c r="DE217" s="173">
        <f t="shared" si="672"/>
        <v>7.6433121019108263</v>
      </c>
      <c r="DF217" s="173">
        <f t="shared" si="673"/>
        <v>4.1649244760361679</v>
      </c>
      <c r="DG217" s="173"/>
      <c r="DH217" s="173">
        <f t="shared" si="674"/>
        <v>7.6433121019108281</v>
      </c>
      <c r="DI217" s="545">
        <f t="shared" si="675"/>
        <v>10</v>
      </c>
      <c r="DJ217" s="528">
        <f t="shared" si="676"/>
        <v>4.2204568023833167</v>
      </c>
      <c r="DL217" s="173">
        <f t="shared" si="677"/>
        <v>0.85076995939532551</v>
      </c>
      <c r="DM217" s="173">
        <f t="shared" si="678"/>
        <v>10</v>
      </c>
      <c r="DN217" s="173">
        <f t="shared" si="679"/>
        <v>1.0057142857142858</v>
      </c>
      <c r="DP217" s="545">
        <f t="shared" si="680"/>
        <v>100</v>
      </c>
      <c r="DQ217" s="460">
        <f t="shared" si="681"/>
        <v>10</v>
      </c>
      <c r="DS217">
        <f t="shared" si="682"/>
        <v>100</v>
      </c>
      <c r="DT217">
        <f t="shared" si="683"/>
        <v>10</v>
      </c>
      <c r="DV217" s="5">
        <f t="shared" si="684"/>
        <v>100</v>
      </c>
      <c r="DW217" s="5">
        <f t="shared" si="685"/>
        <v>1.4117647058823528</v>
      </c>
      <c r="DX217" s="5">
        <f t="shared" si="686"/>
        <v>98.588235294117652</v>
      </c>
      <c r="DY217" s="173">
        <f t="shared" si="687"/>
        <v>1.4117647058823528E-2</v>
      </c>
      <c r="EA217" s="5">
        <f t="shared" ref="EA217:EA280" si="713">CJ217*DW217/Vout_ripple*1000</f>
        <v>0.94117647058823528</v>
      </c>
      <c r="EB217" s="5">
        <f t="shared" ref="EB217:EB280" si="714">CK217*DW217/Vout_ripple2*1000</f>
        <v>4.4117647058823525E-2</v>
      </c>
      <c r="EC217" s="5">
        <f t="shared" ref="EC217:EC280" si="715">CL217/Efficiency/CN217*DX217/Vinripple1</f>
        <v>0.48327566320645904</v>
      </c>
      <c r="ED217" s="5"/>
      <c r="EE217" s="173">
        <f t="shared" ref="EE217:EE280" si="716">DM217*SQRT(DY217/3)</f>
        <v>0.68599434057003528</v>
      </c>
      <c r="EF217" s="173">
        <f t="shared" ref="EF217:EF280" si="717">DM217*Npri_sec1*SQRT((1-DY217)/3)*(Pout/Pout_total)</f>
        <v>5.7326036927419999</v>
      </c>
      <c r="EG217" s="173">
        <f t="shared" ref="EG217:EG280" si="718">DM217*Npri_sec2*SQRT((1-DY217)/3)*(Pout2/Pout_total)</f>
        <v>0.14117941643301871</v>
      </c>
      <c r="EH217" s="173"/>
      <c r="EI217" s="528">
        <f t="shared" ref="EI217:EI280" si="719">Rdson*EE217^2</f>
        <v>9.4117647058823504E-3</v>
      </c>
      <c r="EJ217" s="528">
        <f t="shared" ref="EJ217:EJ280" si="720">0.5*CP217*DM217*DQ217*1000*Trise</f>
        <v>0.2014</v>
      </c>
      <c r="EK217" s="528">
        <f t="shared" ref="EK217:EK280" si="721">Qg*Vdd*DQ217*1000</f>
        <v>1.2499999999999998E-3</v>
      </c>
      <c r="EL217" s="528">
        <f t="shared" ref="EL217:EL280" si="722">0.5*(Coss+Csw)*CP217^2*DQ217*1000</f>
        <v>1.014049E-2</v>
      </c>
      <c r="EM217">
        <f t="shared" ref="EM217:EM280" si="723">CN217*IQ</f>
        <v>3.8249999999999999E-2</v>
      </c>
      <c r="EN217" s="460">
        <f t="shared" ref="EN217:EN280" si="724">(EK217+EM217)*1000</f>
        <v>39.5</v>
      </c>
      <c r="EP217" s="460">
        <f t="shared" ref="EP217:EP280" si="725">SUM(EI217:EM217)*1000</f>
        <v>260.45225470588235</v>
      </c>
      <c r="EQ217" s="173">
        <f t="shared" ref="EQ217:EQ280" si="726">Vfwd2*CJ217</f>
        <v>6.9999999999999993E-2</v>
      </c>
      <c r="ER217" s="173">
        <f t="shared" si="688"/>
        <v>1.1093749999999999E-3</v>
      </c>
      <c r="ES217" s="528"/>
      <c r="EU217" s="460">
        <f t="shared" ref="EU217:EU280" si="727">SUM(EQ217:ET217)*1000</f>
        <v>71.109374999999986</v>
      </c>
      <c r="EV217" s="528">
        <f t="shared" ref="EV217:EV280" si="728">Rdcr_pri*EE217^2</f>
        <v>1.4117647058823525E-2</v>
      </c>
      <c r="EW217" s="528">
        <f t="shared" ref="EW217:EW280" si="729">Rdcr_sec*EF217^2</f>
        <v>0.98588235294117632</v>
      </c>
      <c r="EX217" s="528">
        <f t="shared" ref="EX217:EX280" si="730">Rdcr_sec2*EG217^2</f>
        <v>9.9658138121838552E-5</v>
      </c>
      <c r="EY217" s="528">
        <f t="shared" ref="EY217:EY280" si="731">DM217^2.5*DQ217^2.5*k_core</f>
        <v>5.0000000000000096E-3</v>
      </c>
      <c r="EZ217" s="528"/>
      <c r="FA217" s="625">
        <f t="shared" ref="FA217:FA280" si="732">0.5*Lleak*0.000000001*DM217^2*DQ217*1000</f>
        <v>1.0000000000000002E-3</v>
      </c>
      <c r="FB217" s="460">
        <f t="shared" ref="FB217:FB280" si="733">SUM(EV217:FA217)*1000</f>
        <v>1006.0996581381216</v>
      </c>
      <c r="FC217" s="173">
        <f t="shared" ref="FC217:FC280" si="734">SUM(EI217:EM217,EQ217:ET217,EV217:FA217)</f>
        <v>1.3376612878440042</v>
      </c>
      <c r="FD217" s="5">
        <f t="shared" ref="FD217:FD280" si="735">MIN(CL217+CM217,CS217+CT217)</f>
        <v>1.52</v>
      </c>
      <c r="FE217" s="173">
        <f t="shared" ref="FE217:FE280" si="736">FD217/(FD217+FC217)</f>
        <v>0.53190348571603518</v>
      </c>
      <c r="FF217" s="5">
        <f t="shared" ref="FF217:FF280" si="737">FE217*100</f>
        <v>53.190348571603522</v>
      </c>
      <c r="FG217">
        <f t="shared" ref="FG217:FG280" si="738">CJ217/Iout*100</f>
        <v>1</v>
      </c>
      <c r="FI217" s="562">
        <f t="shared" si="689"/>
        <v>-50</v>
      </c>
    </row>
    <row r="218" spans="1:169">
      <c r="E218" s="170">
        <v>2</v>
      </c>
      <c r="F218" s="217">
        <f t="shared" si="690"/>
        <v>0.2</v>
      </c>
      <c r="G218" s="217">
        <f t="shared" si="617"/>
        <v>5.0000000000000001E-3</v>
      </c>
      <c r="H218" s="217">
        <f t="shared" si="618"/>
        <v>3</v>
      </c>
      <c r="I218" s="217">
        <f t="shared" si="619"/>
        <v>0.04</v>
      </c>
      <c r="J218" s="541">
        <f t="shared" si="620"/>
        <v>84.802810890180169</v>
      </c>
      <c r="K218" s="443">
        <f t="shared" si="621"/>
        <v>15.806066017177981</v>
      </c>
      <c r="L218" s="172">
        <f t="shared" si="622"/>
        <v>100.60887690735815</v>
      </c>
      <c r="M218" s="443"/>
      <c r="N218" s="217">
        <f t="shared" si="623"/>
        <v>0.15710408964938943</v>
      </c>
      <c r="O218" s="172">
        <f t="shared" si="624"/>
        <v>328.68918761376028</v>
      </c>
      <c r="P218" s="172">
        <f t="shared" si="625"/>
        <v>4.440956134870361</v>
      </c>
      <c r="Q218" s="217">
        <f t="shared" si="626"/>
        <v>21.912612507584019</v>
      </c>
      <c r="R218" s="217">
        <f t="shared" si="627"/>
        <v>41.086148451720035</v>
      </c>
      <c r="S218" s="217">
        <f t="shared" si="628"/>
        <v>15</v>
      </c>
      <c r="T218" s="217">
        <f t="shared" si="629"/>
        <v>0.45635818168823872</v>
      </c>
      <c r="U218" s="217">
        <f t="shared" si="630"/>
        <v>6.4576847427270809E-2</v>
      </c>
      <c r="V218" s="217">
        <f t="shared" si="631"/>
        <v>0.34646813282364136</v>
      </c>
      <c r="W218" s="197">
        <f t="shared" si="632"/>
        <v>111.02390337175903</v>
      </c>
      <c r="X218" s="443">
        <f t="shared" si="691"/>
        <v>350</v>
      </c>
      <c r="Z218" s="217">
        <f t="shared" si="633"/>
        <v>10</v>
      </c>
      <c r="AA218" s="173">
        <f t="shared" si="634"/>
        <v>7.5920219407906053</v>
      </c>
      <c r="AB218" s="173">
        <f t="shared" si="635"/>
        <v>4.1590258734405126</v>
      </c>
      <c r="AC218" s="173"/>
      <c r="AD218" s="173">
        <f t="shared" si="636"/>
        <v>7.5920219407906053</v>
      </c>
      <c r="AE218" s="545">
        <f t="shared" si="637"/>
        <v>10</v>
      </c>
      <c r="AF218" s="528">
        <f t="shared" si="638"/>
        <v>4.2144795517530529</v>
      </c>
      <c r="AH218" s="173">
        <f t="shared" si="639"/>
        <v>1.2031704150364766</v>
      </c>
      <c r="AI218" s="173">
        <f t="shared" si="640"/>
        <v>10</v>
      </c>
      <c r="AJ218" s="173">
        <f t="shared" si="641"/>
        <v>1.0057142857142858</v>
      </c>
      <c r="AL218" s="545">
        <f t="shared" si="642"/>
        <v>200</v>
      </c>
      <c r="AM218" s="460">
        <f t="shared" si="643"/>
        <v>10</v>
      </c>
      <c r="AO218">
        <f t="shared" si="644"/>
        <v>200</v>
      </c>
      <c r="AP218">
        <f t="shared" si="645"/>
        <v>10</v>
      </c>
      <c r="AR218" s="5">
        <f t="shared" si="616"/>
        <v>100</v>
      </c>
      <c r="AS218" s="5">
        <f t="shared" si="604"/>
        <v>1.4150474346351594</v>
      </c>
      <c r="AT218" s="5">
        <f t="shared" si="605"/>
        <v>98.584952565364844</v>
      </c>
      <c r="AU218" s="173">
        <f t="shared" si="606"/>
        <v>1.4150474346351593E-2</v>
      </c>
      <c r="BA218" s="173">
        <f t="shared" si="692"/>
        <v>0.68679143720034819</v>
      </c>
      <c r="BB218" s="173">
        <f t="shared" si="693"/>
        <v>5.7325082516400805</v>
      </c>
      <c r="BC218" s="173">
        <f t="shared" si="694"/>
        <v>0.14117706596195964</v>
      </c>
      <c r="BD218" s="173"/>
      <c r="BE218" s="528">
        <f t="shared" si="695"/>
        <v>9.4336495642343959E-3</v>
      </c>
      <c r="BF218" s="528">
        <f t="shared" si="646"/>
        <v>0.18864164420129653</v>
      </c>
      <c r="BG218" s="528">
        <f t="shared" si="647"/>
        <v>2.120070272254504E-2</v>
      </c>
      <c r="BH218" s="528">
        <f t="shared" si="696"/>
        <v>1.0122146112559944E-2</v>
      </c>
      <c r="BI218">
        <f t="shared" si="697"/>
        <v>3.8161264900581075E-2</v>
      </c>
      <c r="BJ218" s="460">
        <f t="shared" si="698"/>
        <v>59.361967623126112</v>
      </c>
      <c r="BK218">
        <f t="shared" si="648"/>
        <v>0.21121795660983114</v>
      </c>
      <c r="BL218" s="460">
        <f t="shared" si="699"/>
        <v>267.55940750121698</v>
      </c>
      <c r="BM218" s="173">
        <f t="shared" si="649"/>
        <v>0.12424999999999999</v>
      </c>
      <c r="BN218" s="173">
        <f t="shared" si="650"/>
        <v>2.2187499999999998E-3</v>
      </c>
      <c r="BQ218" s="460">
        <f t="shared" si="700"/>
        <v>126.46874999999999</v>
      </c>
      <c r="BR218" s="528">
        <f t="shared" si="701"/>
        <v>1.4150474346351595E-2</v>
      </c>
      <c r="BS218" s="528">
        <f t="shared" si="702"/>
        <v>0.98584952565364825</v>
      </c>
      <c r="BT218" s="528">
        <f t="shared" si="703"/>
        <v>9.9654819768137519E-5</v>
      </c>
      <c r="BU218" s="528">
        <f t="shared" si="704"/>
        <v>5.0000000000000096E-3</v>
      </c>
      <c r="BV218" s="528"/>
      <c r="BW218" s="625">
        <f t="shared" si="705"/>
        <v>1.0000000000000002E-3</v>
      </c>
      <c r="BX218" s="460">
        <f t="shared" si="706"/>
        <v>1006.099654819768</v>
      </c>
      <c r="BY218" s="173">
        <f t="shared" si="707"/>
        <v>1.4001278123209848</v>
      </c>
      <c r="BZ218" s="5">
        <f t="shared" si="708"/>
        <v>3.04</v>
      </c>
      <c r="CA218" s="173">
        <f t="shared" si="709"/>
        <v>0.68466497553612149</v>
      </c>
      <c r="CB218" s="5">
        <f t="shared" si="710"/>
        <v>68.466497553612143</v>
      </c>
      <c r="CC218">
        <f t="shared" si="711"/>
        <v>2</v>
      </c>
      <c r="CE218" s="562">
        <f t="shared" si="651"/>
        <v>-50</v>
      </c>
      <c r="CG218" s="173">
        <f t="shared" si="652"/>
        <v>5.656854249492381E-2</v>
      </c>
      <c r="CH218" s="173">
        <f t="shared" si="653"/>
        <v>6.6307843355595582E-3</v>
      </c>
      <c r="CI218" s="170">
        <v>2</v>
      </c>
      <c r="CJ218" s="217">
        <f t="shared" si="712"/>
        <v>0.2</v>
      </c>
      <c r="CK218" s="217">
        <f t="shared" si="654"/>
        <v>5.0000000000000001E-3</v>
      </c>
      <c r="CL218" s="217">
        <f t="shared" si="655"/>
        <v>3</v>
      </c>
      <c r="CM218" s="217">
        <f t="shared" si="656"/>
        <v>0.04</v>
      </c>
      <c r="CN218" s="541">
        <f t="shared" si="657"/>
        <v>85</v>
      </c>
      <c r="CO218" s="443">
        <f t="shared" si="658"/>
        <v>15.7</v>
      </c>
      <c r="CP218" s="443">
        <f t="shared" si="659"/>
        <v>100.7</v>
      </c>
      <c r="CQ218" s="443"/>
      <c r="CR218" s="217">
        <f t="shared" si="660"/>
        <v>0.15338645418326693</v>
      </c>
      <c r="CS218" s="172">
        <f t="shared" si="661"/>
        <v>321.65744915076539</v>
      </c>
      <c r="CT218" s="172">
        <f t="shared" si="662"/>
        <v>4.3459495351925632</v>
      </c>
      <c r="CU218" s="217">
        <f t="shared" si="663"/>
        <v>21.443829943384358</v>
      </c>
      <c r="CV218" s="217">
        <f t="shared" si="664"/>
        <v>40.207181143845673</v>
      </c>
      <c r="CW218" s="217">
        <f t="shared" si="665"/>
        <v>15</v>
      </c>
      <c r="CX218" s="217">
        <f t="shared" si="666"/>
        <v>0.46633460656990067</v>
      </c>
      <c r="CY218" s="217">
        <f t="shared" si="667"/>
        <v>6.583547386869186E-2</v>
      </c>
      <c r="CZ218" s="217">
        <f t="shared" si="668"/>
        <v>0.35643409419355471</v>
      </c>
      <c r="DA218" s="197">
        <f t="shared" si="669"/>
        <v>110.43528632903013</v>
      </c>
      <c r="DB218" s="443">
        <f t="shared" si="670"/>
        <v>350</v>
      </c>
      <c r="DD218" s="217">
        <f t="shared" si="671"/>
        <v>9.9999999999999982</v>
      </c>
      <c r="DE218" s="173">
        <f t="shared" si="672"/>
        <v>7.6433121019108263</v>
      </c>
      <c r="DF218" s="173">
        <f t="shared" si="673"/>
        <v>4.1649244760361679</v>
      </c>
      <c r="DG218" s="173"/>
      <c r="DH218" s="173">
        <f t="shared" si="674"/>
        <v>7.6433121019108281</v>
      </c>
      <c r="DI218" s="545">
        <f t="shared" si="675"/>
        <v>10</v>
      </c>
      <c r="DJ218" s="528">
        <f t="shared" si="676"/>
        <v>4.2204568023833167</v>
      </c>
      <c r="DL218" s="173">
        <f t="shared" si="677"/>
        <v>1.2031704150364766</v>
      </c>
      <c r="DM218" s="173">
        <f t="shared" si="678"/>
        <v>10</v>
      </c>
      <c r="DN218" s="173">
        <f t="shared" si="679"/>
        <v>1.0057142857142858</v>
      </c>
      <c r="DP218" s="545">
        <f t="shared" si="680"/>
        <v>200</v>
      </c>
      <c r="DQ218" s="460">
        <f t="shared" si="681"/>
        <v>10</v>
      </c>
      <c r="DS218">
        <f t="shared" si="682"/>
        <v>200</v>
      </c>
      <c r="DT218">
        <f t="shared" si="683"/>
        <v>10</v>
      </c>
      <c r="DV218" s="5">
        <f t="shared" si="684"/>
        <v>100</v>
      </c>
      <c r="DW218" s="5">
        <f t="shared" si="685"/>
        <v>1.4117647058823528</v>
      </c>
      <c r="DX218" s="5">
        <f t="shared" si="686"/>
        <v>98.588235294117652</v>
      </c>
      <c r="DY218" s="173">
        <f t="shared" si="687"/>
        <v>1.4117647058823528E-2</v>
      </c>
      <c r="EA218" s="5">
        <f t="shared" si="713"/>
        <v>1.8823529411764706</v>
      </c>
      <c r="EB218" s="5">
        <f t="shared" si="714"/>
        <v>8.8235294117647051E-2</v>
      </c>
      <c r="EC218" s="5">
        <f t="shared" si="715"/>
        <v>0.96655132641291808</v>
      </c>
      <c r="ED218" s="5"/>
      <c r="EE218" s="173">
        <f t="shared" si="716"/>
        <v>0.68599434057003528</v>
      </c>
      <c r="EF218" s="173">
        <f t="shared" si="717"/>
        <v>5.7326036927419999</v>
      </c>
      <c r="EG218" s="173">
        <f t="shared" si="718"/>
        <v>0.14117941643301871</v>
      </c>
      <c r="EH218" s="173"/>
      <c r="EI218" s="528">
        <f t="shared" si="719"/>
        <v>9.4117647058823504E-3</v>
      </c>
      <c r="EJ218" s="528">
        <f t="shared" si="720"/>
        <v>0.2014</v>
      </c>
      <c r="EK218" s="528">
        <f t="shared" si="721"/>
        <v>1.2499999999999998E-3</v>
      </c>
      <c r="EL218" s="528">
        <f t="shared" si="722"/>
        <v>1.014049E-2</v>
      </c>
      <c r="EM218">
        <f t="shared" si="723"/>
        <v>3.8249999999999999E-2</v>
      </c>
      <c r="EN218" s="460">
        <f t="shared" si="724"/>
        <v>39.5</v>
      </c>
      <c r="EP218" s="460">
        <f t="shared" si="725"/>
        <v>260.45225470588235</v>
      </c>
      <c r="EQ218" s="173">
        <f t="shared" si="726"/>
        <v>0.13999999999999999</v>
      </c>
      <c r="ER218" s="173">
        <f t="shared" si="688"/>
        <v>2.2187499999999998E-3</v>
      </c>
      <c r="ES218" s="528"/>
      <c r="EU218" s="460">
        <f t="shared" si="727"/>
        <v>142.21874999999997</v>
      </c>
      <c r="EV218" s="528">
        <f t="shared" si="728"/>
        <v>1.4117647058823525E-2</v>
      </c>
      <c r="EW218" s="528">
        <f t="shared" si="729"/>
        <v>0.98588235294117632</v>
      </c>
      <c r="EX218" s="528">
        <f t="shared" si="730"/>
        <v>9.9658138121838552E-5</v>
      </c>
      <c r="EY218" s="528">
        <f t="shared" si="731"/>
        <v>5.0000000000000096E-3</v>
      </c>
      <c r="EZ218" s="528"/>
      <c r="FA218" s="625">
        <f t="shared" si="732"/>
        <v>1.0000000000000002E-3</v>
      </c>
      <c r="FB218" s="460">
        <f t="shared" si="733"/>
        <v>1006.0996581381216</v>
      </c>
      <c r="FC218" s="173">
        <f t="shared" si="734"/>
        <v>1.408770662844004</v>
      </c>
      <c r="FD218" s="5">
        <f t="shared" si="735"/>
        <v>3.04</v>
      </c>
      <c r="FE218" s="173">
        <f t="shared" si="736"/>
        <v>0.68333484245209275</v>
      </c>
      <c r="FF218" s="5">
        <f t="shared" si="737"/>
        <v>68.333484245209277</v>
      </c>
      <c r="FG218">
        <f t="shared" si="738"/>
        <v>2</v>
      </c>
      <c r="FI218" s="562">
        <f t="shared" si="689"/>
        <v>-50</v>
      </c>
    </row>
    <row r="219" spans="1:169">
      <c r="E219" s="170">
        <v>3</v>
      </c>
      <c r="F219" s="217">
        <f t="shared" si="690"/>
        <v>0.3</v>
      </c>
      <c r="G219" s="217">
        <f t="shared" si="617"/>
        <v>7.4999999999999997E-3</v>
      </c>
      <c r="H219" s="217">
        <f t="shared" si="618"/>
        <v>4.5</v>
      </c>
      <c r="I219" s="217">
        <f t="shared" si="619"/>
        <v>0.06</v>
      </c>
      <c r="J219" s="541">
        <f t="shared" si="620"/>
        <v>84.758493649053889</v>
      </c>
      <c r="K219" s="443">
        <f t="shared" si="621"/>
        <v>15.829903810567664</v>
      </c>
      <c r="L219" s="172">
        <f t="shared" si="622"/>
        <v>100.58839745962155</v>
      </c>
      <c r="M219" s="443"/>
      <c r="N219" s="217">
        <f t="shared" si="623"/>
        <v>0.15737305902424925</v>
      </c>
      <c r="O219" s="172">
        <f t="shared" si="624"/>
        <v>329.07985420655456</v>
      </c>
      <c r="P219" s="172">
        <f t="shared" si="625"/>
        <v>4.4462344746130045</v>
      </c>
      <c r="Q219" s="217">
        <f t="shared" si="626"/>
        <v>21.938656947103638</v>
      </c>
      <c r="R219" s="217">
        <f t="shared" si="627"/>
        <v>41.13498177581932</v>
      </c>
      <c r="S219" s="217">
        <f t="shared" si="628"/>
        <v>15</v>
      </c>
      <c r="T219" s="217">
        <f t="shared" si="629"/>
        <v>0.68372462526610189</v>
      </c>
      <c r="U219" s="217">
        <f t="shared" si="630"/>
        <v>9.6800865022036733E-2</v>
      </c>
      <c r="V219" s="217">
        <f t="shared" si="631"/>
        <v>0.51830356023489954</v>
      </c>
      <c r="W219" s="197">
        <f t="shared" si="632"/>
        <v>111.15586186532511</v>
      </c>
      <c r="X219" s="443">
        <f t="shared" si="691"/>
        <v>350</v>
      </c>
      <c r="Z219" s="217">
        <f t="shared" si="633"/>
        <v>10</v>
      </c>
      <c r="AA219" s="173">
        <f t="shared" si="634"/>
        <v>7.5805893349706199</v>
      </c>
      <c r="AB219" s="173">
        <f t="shared" si="635"/>
        <v>4.1576987219198234</v>
      </c>
      <c r="AC219" s="173"/>
      <c r="AD219" s="173">
        <f t="shared" si="636"/>
        <v>7.5805893349706199</v>
      </c>
      <c r="AE219" s="545">
        <f t="shared" si="637"/>
        <v>10</v>
      </c>
      <c r="AF219" s="528">
        <f t="shared" si="638"/>
        <v>4.2131347048787546</v>
      </c>
      <c r="AH219" s="173">
        <f t="shared" si="639"/>
        <v>1.4735767952260144</v>
      </c>
      <c r="AI219" s="173">
        <f t="shared" si="640"/>
        <v>10</v>
      </c>
      <c r="AJ219" s="173">
        <f t="shared" si="641"/>
        <v>1.0057142857142858</v>
      </c>
      <c r="AL219" s="545">
        <f t="shared" si="642"/>
        <v>300</v>
      </c>
      <c r="AM219" s="460">
        <f t="shared" si="643"/>
        <v>10</v>
      </c>
      <c r="AO219">
        <f t="shared" si="644"/>
        <v>300</v>
      </c>
      <c r="AP219">
        <f t="shared" si="645"/>
        <v>10</v>
      </c>
      <c r="AR219" s="5">
        <f t="shared" si="616"/>
        <v>100</v>
      </c>
      <c r="AS219" s="5">
        <f t="shared" si="604"/>
        <v>1.4157873132675654</v>
      </c>
      <c r="AT219" s="5">
        <f t="shared" si="605"/>
        <v>98.584212686732428</v>
      </c>
      <c r="AU219" s="173">
        <f t="shared" si="606"/>
        <v>1.4157873132675653E-2</v>
      </c>
      <c r="BA219" s="173">
        <f t="shared" si="692"/>
        <v>0.68697096330377883</v>
      </c>
      <c r="BB219" s="173">
        <f t="shared" si="693"/>
        <v>5.7324867404042736</v>
      </c>
      <c r="BC219" s="173">
        <f t="shared" si="694"/>
        <v>0.1411765361950543</v>
      </c>
      <c r="BD219" s="173"/>
      <c r="BE219" s="528">
        <f t="shared" si="695"/>
        <v>9.4385820884504371E-3</v>
      </c>
      <c r="BF219" s="528">
        <f t="shared" si="646"/>
        <v>0.18860324523679042</v>
      </c>
      <c r="BG219" s="528">
        <f t="shared" si="647"/>
        <v>2.1189623412263471E-2</v>
      </c>
      <c r="BH219" s="528">
        <f t="shared" si="696"/>
        <v>1.0118025703494798E-2</v>
      </c>
      <c r="BI219">
        <f t="shared" si="697"/>
        <v>3.8141322142074247E-2</v>
      </c>
      <c r="BJ219" s="460">
        <f t="shared" si="698"/>
        <v>59.330945554337717</v>
      </c>
      <c r="BK219">
        <f t="shared" si="648"/>
        <v>0.21118186815041295</v>
      </c>
      <c r="BL219" s="460">
        <f t="shared" si="699"/>
        <v>267.49079858307334</v>
      </c>
      <c r="BM219" s="173">
        <f t="shared" si="649"/>
        <v>0.18637499999999999</v>
      </c>
      <c r="BN219" s="173">
        <f t="shared" si="650"/>
        <v>3.3281249999999999E-3</v>
      </c>
      <c r="BQ219" s="460">
        <f t="shared" si="700"/>
        <v>189.70312499999997</v>
      </c>
      <c r="BR219" s="528">
        <f t="shared" si="701"/>
        <v>1.4157873132675655E-2</v>
      </c>
      <c r="BS219" s="528">
        <f t="shared" si="702"/>
        <v>0.98584212686732442</v>
      </c>
      <c r="BT219" s="528">
        <f t="shared" si="703"/>
        <v>9.9654071860167371E-5</v>
      </c>
      <c r="BU219" s="528">
        <f t="shared" si="704"/>
        <v>5.0000000000000096E-3</v>
      </c>
      <c r="BV219" s="528"/>
      <c r="BW219" s="625">
        <f t="shared" si="705"/>
        <v>1.0000000000000002E-3</v>
      </c>
      <c r="BX219" s="460">
        <f t="shared" si="706"/>
        <v>1006.0996540718601</v>
      </c>
      <c r="BY219" s="173">
        <f t="shared" si="707"/>
        <v>1.4632935776549334</v>
      </c>
      <c r="BZ219" s="5">
        <f t="shared" si="708"/>
        <v>4.5599999999999996</v>
      </c>
      <c r="CA219" s="173">
        <f t="shared" si="709"/>
        <v>0.75706089055937376</v>
      </c>
      <c r="CB219" s="5">
        <f t="shared" si="710"/>
        <v>75.706089055937369</v>
      </c>
      <c r="CC219">
        <f t="shared" si="711"/>
        <v>3</v>
      </c>
      <c r="CE219" s="562">
        <f t="shared" si="651"/>
        <v>-50</v>
      </c>
      <c r="CG219" s="173">
        <f t="shared" si="652"/>
        <v>6.9282032302755106E-2</v>
      </c>
      <c r="CH219" s="173">
        <f t="shared" si="653"/>
        <v>8.1210191082802547E-3</v>
      </c>
      <c r="CI219" s="170">
        <v>3</v>
      </c>
      <c r="CJ219" s="217">
        <f t="shared" si="712"/>
        <v>0.3</v>
      </c>
      <c r="CK219" s="217">
        <f t="shared" si="654"/>
        <v>7.4999999999999997E-3</v>
      </c>
      <c r="CL219" s="217">
        <f t="shared" si="655"/>
        <v>4.5</v>
      </c>
      <c r="CM219" s="217">
        <f t="shared" si="656"/>
        <v>0.06</v>
      </c>
      <c r="CN219" s="541">
        <f t="shared" si="657"/>
        <v>85</v>
      </c>
      <c r="CO219" s="443">
        <f t="shared" si="658"/>
        <v>15.7</v>
      </c>
      <c r="CP219" s="443">
        <f t="shared" si="659"/>
        <v>100.7</v>
      </c>
      <c r="CQ219" s="443"/>
      <c r="CR219" s="217">
        <f t="shared" si="660"/>
        <v>0.15338645418326693</v>
      </c>
      <c r="CS219" s="172">
        <f t="shared" si="661"/>
        <v>321.65744915076539</v>
      </c>
      <c r="CT219" s="172">
        <f t="shared" si="662"/>
        <v>4.3459495351925632</v>
      </c>
      <c r="CU219" s="217">
        <f t="shared" si="663"/>
        <v>21.443829943384358</v>
      </c>
      <c r="CV219" s="217">
        <f t="shared" si="664"/>
        <v>40.207181143845673</v>
      </c>
      <c r="CW219" s="217">
        <f t="shared" si="665"/>
        <v>15</v>
      </c>
      <c r="CX219" s="217">
        <f t="shared" si="666"/>
        <v>0.69950190985485095</v>
      </c>
      <c r="CY219" s="217">
        <f t="shared" si="667"/>
        <v>9.8753210803037783E-2</v>
      </c>
      <c r="CZ219" s="217">
        <f t="shared" si="668"/>
        <v>0.53465114129033187</v>
      </c>
      <c r="DA219" s="197">
        <f t="shared" si="669"/>
        <v>110.43528632903013</v>
      </c>
      <c r="DB219" s="443">
        <f t="shared" si="670"/>
        <v>350</v>
      </c>
      <c r="DD219" s="217">
        <f t="shared" si="671"/>
        <v>9.9999999999999982</v>
      </c>
      <c r="DE219" s="173">
        <f t="shared" si="672"/>
        <v>7.6433121019108263</v>
      </c>
      <c r="DF219" s="173">
        <f t="shared" si="673"/>
        <v>4.1649244760361679</v>
      </c>
      <c r="DG219" s="173"/>
      <c r="DH219" s="173">
        <f t="shared" si="674"/>
        <v>7.6433121019108281</v>
      </c>
      <c r="DI219" s="545">
        <f t="shared" si="675"/>
        <v>10</v>
      </c>
      <c r="DJ219" s="528">
        <f t="shared" si="676"/>
        <v>4.2204568023833167</v>
      </c>
      <c r="DL219" s="173">
        <f t="shared" si="677"/>
        <v>1.4735767952260144</v>
      </c>
      <c r="DM219" s="173">
        <f t="shared" si="678"/>
        <v>10</v>
      </c>
      <c r="DN219" s="173">
        <f t="shared" si="679"/>
        <v>1.0057142857142858</v>
      </c>
      <c r="DP219" s="545">
        <f t="shared" si="680"/>
        <v>300</v>
      </c>
      <c r="DQ219" s="460">
        <f t="shared" si="681"/>
        <v>10</v>
      </c>
      <c r="DS219">
        <f t="shared" si="682"/>
        <v>300</v>
      </c>
      <c r="DT219">
        <f t="shared" si="683"/>
        <v>10</v>
      </c>
      <c r="DV219" s="5">
        <f t="shared" si="684"/>
        <v>100</v>
      </c>
      <c r="DW219" s="5">
        <f t="shared" si="685"/>
        <v>1.4117647058823528</v>
      </c>
      <c r="DX219" s="5">
        <f t="shared" si="686"/>
        <v>98.588235294117652</v>
      </c>
      <c r="DY219" s="173">
        <f t="shared" si="687"/>
        <v>1.4117647058823528E-2</v>
      </c>
      <c r="EA219" s="5">
        <f t="shared" si="713"/>
        <v>2.8235294117647056</v>
      </c>
      <c r="EB219" s="5">
        <f t="shared" si="714"/>
        <v>0.13235294117647056</v>
      </c>
      <c r="EC219" s="5">
        <f t="shared" si="715"/>
        <v>1.4498269896193772</v>
      </c>
      <c r="ED219" s="5"/>
      <c r="EE219" s="173">
        <f t="shared" si="716"/>
        <v>0.68599434057003528</v>
      </c>
      <c r="EF219" s="173">
        <f t="shared" si="717"/>
        <v>5.7326036927419999</v>
      </c>
      <c r="EG219" s="173">
        <f t="shared" si="718"/>
        <v>0.14117941643301871</v>
      </c>
      <c r="EH219" s="173"/>
      <c r="EI219" s="528">
        <f t="shared" si="719"/>
        <v>9.4117647058823504E-3</v>
      </c>
      <c r="EJ219" s="528">
        <f t="shared" si="720"/>
        <v>0.2014</v>
      </c>
      <c r="EK219" s="528">
        <f t="shared" si="721"/>
        <v>1.2499999999999998E-3</v>
      </c>
      <c r="EL219" s="528">
        <f t="shared" si="722"/>
        <v>1.014049E-2</v>
      </c>
      <c r="EM219">
        <f t="shared" si="723"/>
        <v>3.8249999999999999E-2</v>
      </c>
      <c r="EN219" s="460">
        <f t="shared" si="724"/>
        <v>39.5</v>
      </c>
      <c r="EP219" s="460">
        <f t="shared" si="725"/>
        <v>260.45225470588235</v>
      </c>
      <c r="EQ219" s="173">
        <f t="shared" si="726"/>
        <v>0.21</v>
      </c>
      <c r="ER219" s="173">
        <f t="shared" si="688"/>
        <v>3.3281249999999999E-3</v>
      </c>
      <c r="ES219" s="528"/>
      <c r="EU219" s="460">
        <f t="shared" si="727"/>
        <v>213.32812499999997</v>
      </c>
      <c r="EV219" s="528">
        <f t="shared" si="728"/>
        <v>1.4117647058823525E-2</v>
      </c>
      <c r="EW219" s="528">
        <f t="shared" si="729"/>
        <v>0.98588235294117632</v>
      </c>
      <c r="EX219" s="528">
        <f t="shared" si="730"/>
        <v>9.9658138121838552E-5</v>
      </c>
      <c r="EY219" s="528">
        <f t="shared" si="731"/>
        <v>5.0000000000000096E-3</v>
      </c>
      <c r="EZ219" s="528"/>
      <c r="FA219" s="625">
        <f t="shared" si="732"/>
        <v>1.0000000000000002E-3</v>
      </c>
      <c r="FB219" s="460">
        <f t="shared" si="733"/>
        <v>1006.0996581381216</v>
      </c>
      <c r="FC219" s="173">
        <f t="shared" si="734"/>
        <v>1.479880037844004</v>
      </c>
      <c r="FD219" s="5">
        <f t="shared" si="735"/>
        <v>4.5599999999999996</v>
      </c>
      <c r="FE219" s="173">
        <f t="shared" si="736"/>
        <v>0.7549818823268778</v>
      </c>
      <c r="FF219" s="5">
        <f t="shared" si="737"/>
        <v>75.498188232687781</v>
      </c>
      <c r="FG219">
        <f t="shared" si="738"/>
        <v>3</v>
      </c>
      <c r="FI219" s="562">
        <f t="shared" si="689"/>
        <v>-50</v>
      </c>
    </row>
    <row r="220" spans="1:169">
      <c r="E220" s="170">
        <v>4</v>
      </c>
      <c r="F220" s="217">
        <f t="shared" si="690"/>
        <v>0.4</v>
      </c>
      <c r="G220" s="217">
        <f t="shared" si="617"/>
        <v>0.01</v>
      </c>
      <c r="H220" s="217">
        <f t="shared" si="618"/>
        <v>6</v>
      </c>
      <c r="I220" s="217">
        <f t="shared" si="619"/>
        <v>0.08</v>
      </c>
      <c r="J220" s="541">
        <f t="shared" si="620"/>
        <v>84.727420162931693</v>
      </c>
      <c r="K220" s="443">
        <f t="shared" si="621"/>
        <v>15.846617922801491</v>
      </c>
      <c r="L220" s="172">
        <f t="shared" si="622"/>
        <v>100.57403808573318</v>
      </c>
      <c r="M220" s="443"/>
      <c r="N220" s="217">
        <f t="shared" si="623"/>
        <v>0.15756171497552104</v>
      </c>
      <c r="O220" s="172">
        <f t="shared" si="624"/>
        <v>329.35355985994391</v>
      </c>
      <c r="P220" s="172">
        <f t="shared" si="625"/>
        <v>4.4499325421076863</v>
      </c>
      <c r="Q220" s="217">
        <f t="shared" si="626"/>
        <v>21.956903990662926</v>
      </c>
      <c r="R220" s="217">
        <f t="shared" si="627"/>
        <v>41.169194982492989</v>
      </c>
      <c r="S220" s="217">
        <f t="shared" si="628"/>
        <v>15</v>
      </c>
      <c r="T220" s="217">
        <f t="shared" si="629"/>
        <v>0.91087523124867287</v>
      </c>
      <c r="U220" s="217">
        <f t="shared" si="630"/>
        <v>0.12900785547305235</v>
      </c>
      <c r="V220" s="217">
        <f t="shared" si="631"/>
        <v>0.68976880923318773</v>
      </c>
      <c r="W220" s="197">
        <f t="shared" si="632"/>
        <v>111.24831355269215</v>
      </c>
      <c r="X220" s="443">
        <f t="shared" si="691"/>
        <v>350</v>
      </c>
      <c r="Z220" s="217">
        <f t="shared" si="633"/>
        <v>10</v>
      </c>
      <c r="AA220" s="173">
        <f t="shared" si="634"/>
        <v>7.572593760043496</v>
      </c>
      <c r="AB220" s="173">
        <f t="shared" si="635"/>
        <v>4.1567678537392041</v>
      </c>
      <c r="AC220" s="173"/>
      <c r="AD220" s="173">
        <f t="shared" si="636"/>
        <v>7.572593760043496</v>
      </c>
      <c r="AE220" s="545">
        <f t="shared" si="637"/>
        <v>10.564411948534326</v>
      </c>
      <c r="AF220" s="528">
        <f t="shared" si="638"/>
        <v>4.2121914251223949</v>
      </c>
      <c r="AH220" s="173">
        <f t="shared" si="639"/>
        <v>1.701539918790651</v>
      </c>
      <c r="AI220" s="173">
        <f t="shared" si="640"/>
        <v>10</v>
      </c>
      <c r="AJ220" s="173">
        <f t="shared" si="641"/>
        <v>1.0060368068277339</v>
      </c>
      <c r="AL220" s="545">
        <f t="shared" si="642"/>
        <v>400</v>
      </c>
      <c r="AM220" s="460">
        <f t="shared" si="643"/>
        <v>10.564411948534326</v>
      </c>
      <c r="AO220">
        <f t="shared" si="644"/>
        <v>400</v>
      </c>
      <c r="AP220">
        <f t="shared" si="645"/>
        <v>10.564411948534326</v>
      </c>
      <c r="AR220" s="5">
        <f t="shared" si="616"/>
        <v>94.657422000543704</v>
      </c>
      <c r="AS220" s="5">
        <f t="shared" si="604"/>
        <v>1.4163065483315647</v>
      </c>
      <c r="AT220" s="5">
        <f t="shared" si="605"/>
        <v>93.241115452212142</v>
      </c>
      <c r="AU220" s="173">
        <f t="shared" si="606"/>
        <v>1.4962445821981392E-2</v>
      </c>
      <c r="BA220" s="173">
        <f t="shared" si="692"/>
        <v>0.70622106600274004</v>
      </c>
      <c r="BB220" s="173">
        <f t="shared" si="693"/>
        <v>5.7301470434245649</v>
      </c>
      <c r="BC220" s="173">
        <f t="shared" si="694"/>
        <v>0.14111891542237756</v>
      </c>
      <c r="BD220" s="173"/>
      <c r="BE220" s="528">
        <f t="shared" si="695"/>
        <v>9.9749638813209293E-3</v>
      </c>
      <c r="BF220" s="528">
        <f t="shared" si="646"/>
        <v>0.19921979431223738</v>
      </c>
      <c r="BG220" s="528">
        <f t="shared" si="647"/>
        <v>2.2377384248444095E-2</v>
      </c>
      <c r="BH220" s="528">
        <f t="shared" si="696"/>
        <v>1.0686047562981808E-2</v>
      </c>
      <c r="BI220">
        <f t="shared" si="697"/>
        <v>3.8127339073319264E-2</v>
      </c>
      <c r="BJ220" s="460">
        <f t="shared" si="698"/>
        <v>60.504723321763365</v>
      </c>
      <c r="BK220">
        <f t="shared" si="648"/>
        <v>0.22310281113844024</v>
      </c>
      <c r="BL220" s="460">
        <f t="shared" si="699"/>
        <v>280.38552907830348</v>
      </c>
      <c r="BM220" s="173">
        <f t="shared" si="649"/>
        <v>0.24849999999999997</v>
      </c>
      <c r="BN220" s="173">
        <f t="shared" si="650"/>
        <v>4.4374999999999996E-3</v>
      </c>
      <c r="BQ220" s="460">
        <f t="shared" si="700"/>
        <v>252.93749999999997</v>
      </c>
      <c r="BR220" s="528">
        <f t="shared" si="701"/>
        <v>1.4962445821981394E-2</v>
      </c>
      <c r="BS220" s="528">
        <f t="shared" si="702"/>
        <v>0.98503755417801842</v>
      </c>
      <c r="BT220" s="528">
        <f t="shared" si="703"/>
        <v>9.9572741449940766E-5</v>
      </c>
      <c r="BU220" s="528">
        <f t="shared" si="704"/>
        <v>5.7356590026719466E-3</v>
      </c>
      <c r="BV220" s="528"/>
      <c r="BW220" s="625">
        <f t="shared" si="705"/>
        <v>1.0564411948534328E-3</v>
      </c>
      <c r="BX220" s="460">
        <f t="shared" si="706"/>
        <v>1006.8916729389751</v>
      </c>
      <c r="BY220" s="173">
        <f t="shared" si="707"/>
        <v>1.5402147020172785</v>
      </c>
      <c r="BZ220" s="5">
        <f t="shared" si="708"/>
        <v>6.08</v>
      </c>
      <c r="CA220" s="173">
        <f t="shared" si="709"/>
        <v>0.79787778136887111</v>
      </c>
      <c r="CB220" s="5">
        <f t="shared" si="710"/>
        <v>79.787778136887113</v>
      </c>
      <c r="CC220">
        <f t="shared" si="711"/>
        <v>4</v>
      </c>
      <c r="CE220" s="562">
        <f t="shared" si="651"/>
        <v>-50</v>
      </c>
      <c r="CG220" s="173">
        <f t="shared" si="652"/>
        <v>8.1845382683854967E-2</v>
      </c>
      <c r="CH220" s="173">
        <f t="shared" si="653"/>
        <v>9.593655015712705E-3</v>
      </c>
      <c r="CI220" s="170">
        <v>4</v>
      </c>
      <c r="CJ220" s="217">
        <f t="shared" si="712"/>
        <v>0.4</v>
      </c>
      <c r="CK220" s="217">
        <f t="shared" si="654"/>
        <v>0.01</v>
      </c>
      <c r="CL220" s="217">
        <f t="shared" si="655"/>
        <v>6</v>
      </c>
      <c r="CM220" s="217">
        <f t="shared" si="656"/>
        <v>0.08</v>
      </c>
      <c r="CN220" s="541">
        <f t="shared" si="657"/>
        <v>85</v>
      </c>
      <c r="CO220" s="443">
        <f t="shared" si="658"/>
        <v>15.7</v>
      </c>
      <c r="CP220" s="443">
        <f t="shared" si="659"/>
        <v>100.7</v>
      </c>
      <c r="CQ220" s="443"/>
      <c r="CR220" s="217">
        <f t="shared" si="660"/>
        <v>0.15338645418326693</v>
      </c>
      <c r="CS220" s="172">
        <f t="shared" si="661"/>
        <v>321.65744915076539</v>
      </c>
      <c r="CT220" s="172">
        <f t="shared" si="662"/>
        <v>4.3459495351925632</v>
      </c>
      <c r="CU220" s="217">
        <f t="shared" si="663"/>
        <v>21.443829943384358</v>
      </c>
      <c r="CV220" s="217">
        <f t="shared" si="664"/>
        <v>40.207181143845673</v>
      </c>
      <c r="CW220" s="217">
        <f t="shared" si="665"/>
        <v>15</v>
      </c>
      <c r="CX220" s="217">
        <f t="shared" si="666"/>
        <v>0.93266921313980133</v>
      </c>
      <c r="CY220" s="217">
        <f t="shared" si="667"/>
        <v>0.13167094773738372</v>
      </c>
      <c r="CZ220" s="217">
        <f t="shared" si="668"/>
        <v>0.71286818838710941</v>
      </c>
      <c r="DA220" s="197">
        <f t="shared" si="669"/>
        <v>110.43528632903013</v>
      </c>
      <c r="DB220" s="443">
        <f t="shared" si="670"/>
        <v>350</v>
      </c>
      <c r="DD220" s="217">
        <f t="shared" si="671"/>
        <v>9.9999999999999982</v>
      </c>
      <c r="DE220" s="173">
        <f t="shared" si="672"/>
        <v>7.6433121019108263</v>
      </c>
      <c r="DF220" s="173">
        <f t="shared" si="673"/>
        <v>4.1649244760361679</v>
      </c>
      <c r="DG220" s="173"/>
      <c r="DH220" s="173">
        <f t="shared" si="674"/>
        <v>7.6433121019108281</v>
      </c>
      <c r="DI220" s="545">
        <f t="shared" si="675"/>
        <v>10.466666666666669</v>
      </c>
      <c r="DJ220" s="528">
        <f t="shared" si="676"/>
        <v>4.2204568023833167</v>
      </c>
      <c r="DL220" s="173">
        <f t="shared" si="677"/>
        <v>1.701539918790651</v>
      </c>
      <c r="DM220" s="173">
        <f t="shared" si="678"/>
        <v>10</v>
      </c>
      <c r="DN220" s="173">
        <f t="shared" si="679"/>
        <v>1.0059809523809524</v>
      </c>
      <c r="DP220" s="545">
        <f t="shared" si="680"/>
        <v>400</v>
      </c>
      <c r="DQ220" s="460">
        <f t="shared" si="681"/>
        <v>10.466666666666669</v>
      </c>
      <c r="DS220">
        <f t="shared" si="682"/>
        <v>400</v>
      </c>
      <c r="DT220">
        <f t="shared" si="683"/>
        <v>10.466666666666669</v>
      </c>
      <c r="DV220" s="5">
        <f t="shared" si="684"/>
        <v>95.541401273885327</v>
      </c>
      <c r="DW220" s="5">
        <f t="shared" si="685"/>
        <v>1.4117647058823528</v>
      </c>
      <c r="DX220" s="5">
        <f t="shared" si="686"/>
        <v>94.129636568002979</v>
      </c>
      <c r="DY220" s="173">
        <f t="shared" si="687"/>
        <v>1.4776470588235297E-2</v>
      </c>
      <c r="EA220" s="5">
        <f t="shared" si="713"/>
        <v>3.7647058823529411</v>
      </c>
      <c r="EB220" s="5">
        <f t="shared" si="714"/>
        <v>0.1764705882352941</v>
      </c>
      <c r="EC220" s="5">
        <f t="shared" si="715"/>
        <v>1.8456791483922153</v>
      </c>
      <c r="ED220" s="5"/>
      <c r="EE220" s="173">
        <f t="shared" si="716"/>
        <v>0.70181836653641616</v>
      </c>
      <c r="EF220" s="173">
        <f t="shared" si="717"/>
        <v>5.7306879441935665</v>
      </c>
      <c r="EG220" s="173">
        <f t="shared" si="718"/>
        <v>0.14113223642955139</v>
      </c>
      <c r="EH220" s="173"/>
      <c r="EI220" s="528">
        <f t="shared" si="719"/>
        <v>9.8509803921568682E-3</v>
      </c>
      <c r="EJ220" s="528">
        <f t="shared" si="720"/>
        <v>0.21079866666666672</v>
      </c>
      <c r="EK220" s="528">
        <f t="shared" si="721"/>
        <v>1.3083333333333334E-3</v>
      </c>
      <c r="EL220" s="528">
        <f t="shared" si="722"/>
        <v>1.0613712866666668E-2</v>
      </c>
      <c r="EM220">
        <f t="shared" si="723"/>
        <v>3.8249999999999999E-2</v>
      </c>
      <c r="EN220" s="460">
        <f t="shared" si="724"/>
        <v>39.558333333333337</v>
      </c>
      <c r="EP220" s="460">
        <f t="shared" si="725"/>
        <v>270.82169325882359</v>
      </c>
      <c r="EQ220" s="173">
        <f t="shared" si="726"/>
        <v>0.27999999999999997</v>
      </c>
      <c r="ER220" s="173">
        <f t="shared" si="688"/>
        <v>4.4374999999999996E-3</v>
      </c>
      <c r="ES220" s="528"/>
      <c r="EU220" s="460">
        <f t="shared" si="727"/>
        <v>284.43749999999994</v>
      </c>
      <c r="EV220" s="528">
        <f t="shared" si="728"/>
        <v>1.4776470588235301E-2</v>
      </c>
      <c r="EW220" s="528">
        <f t="shared" si="729"/>
        <v>0.9852235294117645</v>
      </c>
      <c r="EX220" s="528">
        <f t="shared" si="730"/>
        <v>9.9591540798033961E-5</v>
      </c>
      <c r="EY220" s="528">
        <f t="shared" si="731"/>
        <v>5.6039078827065068E-3</v>
      </c>
      <c r="EZ220" s="528"/>
      <c r="FA220" s="625">
        <f t="shared" si="732"/>
        <v>1.0466666666666669E-3</v>
      </c>
      <c r="FB220" s="460">
        <f t="shared" si="733"/>
        <v>1006.750166090171</v>
      </c>
      <c r="FC220" s="173">
        <f t="shared" si="734"/>
        <v>1.5620093593489945</v>
      </c>
      <c r="FD220" s="5">
        <f t="shared" si="735"/>
        <v>6.08</v>
      </c>
      <c r="FE220" s="173">
        <f t="shared" si="736"/>
        <v>0.79560227082971557</v>
      </c>
      <c r="FF220" s="5">
        <f t="shared" si="737"/>
        <v>79.560227082971551</v>
      </c>
      <c r="FG220">
        <f t="shared" si="738"/>
        <v>4</v>
      </c>
      <c r="FI220" s="562">
        <f t="shared" si="689"/>
        <v>-50</v>
      </c>
    </row>
    <row r="221" spans="1:169">
      <c r="E221" s="170">
        <v>5</v>
      </c>
      <c r="F221" s="217">
        <f t="shared" si="690"/>
        <v>0.5</v>
      </c>
      <c r="G221" s="217">
        <f t="shared" si="617"/>
        <v>1.2500000000000001E-2</v>
      </c>
      <c r="H221" s="217">
        <f t="shared" si="618"/>
        <v>7.5</v>
      </c>
      <c r="I221" s="217">
        <f t="shared" si="619"/>
        <v>0.1</v>
      </c>
      <c r="J221" s="541">
        <f t="shared" si="620"/>
        <v>84.727420162931693</v>
      </c>
      <c r="K221" s="443">
        <f t="shared" si="621"/>
        <v>15.846617922801491</v>
      </c>
      <c r="L221" s="172">
        <f t="shared" si="622"/>
        <v>100.57403808573318</v>
      </c>
      <c r="M221" s="443"/>
      <c r="N221" s="217">
        <f t="shared" si="623"/>
        <v>0.15756171497552104</v>
      </c>
      <c r="O221" s="172">
        <f t="shared" si="624"/>
        <v>329.35355985994391</v>
      </c>
      <c r="P221" s="172">
        <f t="shared" si="625"/>
        <v>4.4499325421076863</v>
      </c>
      <c r="Q221" s="217">
        <f t="shared" si="626"/>
        <v>21.956903990662926</v>
      </c>
      <c r="R221" s="217">
        <f t="shared" si="627"/>
        <v>41.169194982492989</v>
      </c>
      <c r="S221" s="217">
        <f t="shared" si="628"/>
        <v>15</v>
      </c>
      <c r="T221" s="217">
        <f t="shared" si="629"/>
        <v>1.1385940390608411</v>
      </c>
      <c r="U221" s="217">
        <f t="shared" si="630"/>
        <v>0.16125981934131545</v>
      </c>
      <c r="V221" s="217">
        <f t="shared" si="631"/>
        <v>0.86221101154148472</v>
      </c>
      <c r="W221" s="197">
        <f t="shared" si="632"/>
        <v>111.24831355269215</v>
      </c>
      <c r="X221" s="443">
        <f t="shared" si="691"/>
        <v>350</v>
      </c>
      <c r="Z221" s="217">
        <f t="shared" si="633"/>
        <v>10</v>
      </c>
      <c r="AA221" s="173">
        <f t="shared" si="634"/>
        <v>7.572593760043496</v>
      </c>
      <c r="AB221" s="173">
        <f t="shared" si="635"/>
        <v>4.1567678537392041</v>
      </c>
      <c r="AC221" s="173"/>
      <c r="AD221" s="173">
        <f t="shared" si="636"/>
        <v>7.572593760043496</v>
      </c>
      <c r="AE221" s="545">
        <f t="shared" si="637"/>
        <v>13.205514935667908</v>
      </c>
      <c r="AF221" s="528">
        <f t="shared" si="638"/>
        <v>4.2121914251223949</v>
      </c>
      <c r="AH221" s="173">
        <f t="shared" si="639"/>
        <v>1.9023794624226835</v>
      </c>
      <c r="AI221" s="173">
        <f t="shared" si="640"/>
        <v>10</v>
      </c>
      <c r="AJ221" s="173">
        <f t="shared" si="641"/>
        <v>1.0075460085346675</v>
      </c>
      <c r="AL221" s="545">
        <f t="shared" si="642"/>
        <v>500</v>
      </c>
      <c r="AM221" s="460">
        <f t="shared" si="643"/>
        <v>13.205514935667908</v>
      </c>
      <c r="AO221">
        <f t="shared" si="644"/>
        <v>500</v>
      </c>
      <c r="AP221">
        <f t="shared" si="645"/>
        <v>13.205514935667908</v>
      </c>
      <c r="AR221" s="5">
        <f t="shared" si="616"/>
        <v>75.725937600434975</v>
      </c>
      <c r="AS221" s="5">
        <f t="shared" si="604"/>
        <v>1.4163065483315647</v>
      </c>
      <c r="AT221" s="5">
        <f t="shared" si="605"/>
        <v>74.309631052103413</v>
      </c>
      <c r="AU221" s="173">
        <f t="shared" si="606"/>
        <v>1.8703057277476738E-2</v>
      </c>
      <c r="BA221" s="173">
        <f t="shared" si="692"/>
        <v>0.7895791553622461</v>
      </c>
      <c r="BB221" s="173">
        <f t="shared" si="693"/>
        <v>5.719256777829683</v>
      </c>
      <c r="BC221" s="173">
        <f t="shared" si="694"/>
        <v>0.14085071594027612</v>
      </c>
      <c r="BD221" s="173"/>
      <c r="BE221" s="528">
        <f t="shared" si="695"/>
        <v>1.246870485165116E-2</v>
      </c>
      <c r="BF221" s="528">
        <f t="shared" si="646"/>
        <v>0.24902474289029669</v>
      </c>
      <c r="BG221" s="528">
        <f t="shared" si="647"/>
        <v>2.797173031055512E-2</v>
      </c>
      <c r="BH221" s="528">
        <f t="shared" si="696"/>
        <v>1.335755945372726E-2</v>
      </c>
      <c r="BI221">
        <f t="shared" si="697"/>
        <v>3.8127339073319264E-2</v>
      </c>
      <c r="BJ221" s="460">
        <f t="shared" si="698"/>
        <v>66.099069383874394</v>
      </c>
      <c r="BK221">
        <f t="shared" si="648"/>
        <v>0.27904424401345229</v>
      </c>
      <c r="BL221" s="460">
        <f t="shared" si="699"/>
        <v>340.95007657954943</v>
      </c>
      <c r="BM221" s="173">
        <f t="shared" si="649"/>
        <v>0.31062499999999998</v>
      </c>
      <c r="BN221" s="173">
        <f t="shared" si="650"/>
        <v>5.5468749999999997E-3</v>
      </c>
      <c r="BQ221" s="460">
        <f t="shared" si="700"/>
        <v>316.171875</v>
      </c>
      <c r="BR221" s="528">
        <f t="shared" si="701"/>
        <v>1.8703057277476738E-2</v>
      </c>
      <c r="BS221" s="528">
        <f t="shared" si="702"/>
        <v>0.9812969427225231</v>
      </c>
      <c r="BT221" s="528">
        <f t="shared" si="703"/>
        <v>9.9194620904441766E-5</v>
      </c>
      <c r="BU221" s="528">
        <f t="shared" si="704"/>
        <v>1.0019783926354003E-2</v>
      </c>
      <c r="BV221" s="528"/>
      <c r="BW221" s="625">
        <f t="shared" si="705"/>
        <v>1.3205514935667911E-3</v>
      </c>
      <c r="BX221" s="460">
        <f t="shared" si="706"/>
        <v>1011.4395300408252</v>
      </c>
      <c r="BY221" s="173">
        <f t="shared" si="707"/>
        <v>1.6685614816203744</v>
      </c>
      <c r="BZ221" s="5">
        <f t="shared" si="708"/>
        <v>7.6</v>
      </c>
      <c r="CA221" s="173">
        <f t="shared" si="709"/>
        <v>0.81997621907896456</v>
      </c>
      <c r="CB221" s="5">
        <f t="shared" si="710"/>
        <v>81.997621907896459</v>
      </c>
      <c r="CC221">
        <f t="shared" si="711"/>
        <v>5</v>
      </c>
      <c r="CE221" s="562">
        <f t="shared" si="651"/>
        <v>-50</v>
      </c>
      <c r="CG221" s="173">
        <f t="shared" si="652"/>
        <v>0.1023067283548187</v>
      </c>
      <c r="CH221" s="173">
        <f t="shared" si="653"/>
        <v>1.1992068769640882E-2</v>
      </c>
      <c r="CI221" s="170">
        <v>5</v>
      </c>
      <c r="CJ221" s="217">
        <f t="shared" si="712"/>
        <v>0.5</v>
      </c>
      <c r="CK221" s="217">
        <f t="shared" si="654"/>
        <v>1.2500000000000001E-2</v>
      </c>
      <c r="CL221" s="217">
        <f t="shared" si="655"/>
        <v>7.5</v>
      </c>
      <c r="CM221" s="217">
        <f t="shared" si="656"/>
        <v>0.1</v>
      </c>
      <c r="CN221" s="541">
        <f t="shared" si="657"/>
        <v>85</v>
      </c>
      <c r="CO221" s="443">
        <f t="shared" si="658"/>
        <v>15.7</v>
      </c>
      <c r="CP221" s="443">
        <f t="shared" si="659"/>
        <v>100.7</v>
      </c>
      <c r="CQ221" s="443"/>
      <c r="CR221" s="217">
        <f t="shared" si="660"/>
        <v>0.15338645418326693</v>
      </c>
      <c r="CS221" s="172">
        <f t="shared" si="661"/>
        <v>321.65744915076539</v>
      </c>
      <c r="CT221" s="172">
        <f t="shared" si="662"/>
        <v>4.3459495351925632</v>
      </c>
      <c r="CU221" s="217">
        <f t="shared" si="663"/>
        <v>21.443829943384358</v>
      </c>
      <c r="CV221" s="217">
        <f t="shared" si="664"/>
        <v>40.207181143845673</v>
      </c>
      <c r="CW221" s="217">
        <f t="shared" si="665"/>
        <v>15</v>
      </c>
      <c r="CX221" s="217">
        <f t="shared" si="666"/>
        <v>1.1658365164247517</v>
      </c>
      <c r="CY221" s="217">
        <f t="shared" si="667"/>
        <v>0.16458868467172963</v>
      </c>
      <c r="CZ221" s="217">
        <f t="shared" si="668"/>
        <v>0.89108523548388663</v>
      </c>
      <c r="DA221" s="197">
        <f t="shared" si="669"/>
        <v>110.43528632903013</v>
      </c>
      <c r="DB221" s="443">
        <f t="shared" si="670"/>
        <v>350</v>
      </c>
      <c r="DD221" s="217">
        <f t="shared" si="671"/>
        <v>9.9999999999999982</v>
      </c>
      <c r="DE221" s="173">
        <f t="shared" si="672"/>
        <v>7.6433121019108263</v>
      </c>
      <c r="DF221" s="173">
        <f t="shared" si="673"/>
        <v>4.1649244760361679</v>
      </c>
      <c r="DG221" s="173"/>
      <c r="DH221" s="173">
        <f t="shared" si="674"/>
        <v>7.6433121019108281</v>
      </c>
      <c r="DI221" s="545">
        <f t="shared" si="675"/>
        <v>13.083333333333334</v>
      </c>
      <c r="DJ221" s="528">
        <f t="shared" si="676"/>
        <v>4.2204568023833167</v>
      </c>
      <c r="DL221" s="173">
        <f t="shared" si="677"/>
        <v>1.9023794624226835</v>
      </c>
      <c r="DM221" s="173">
        <f t="shared" si="678"/>
        <v>10</v>
      </c>
      <c r="DN221" s="173">
        <f t="shared" si="679"/>
        <v>1.0074761904761904</v>
      </c>
      <c r="DP221" s="545">
        <f t="shared" si="680"/>
        <v>500</v>
      </c>
      <c r="DQ221" s="460">
        <f t="shared" si="681"/>
        <v>13.083333333333334</v>
      </c>
      <c r="DS221">
        <f t="shared" si="682"/>
        <v>500</v>
      </c>
      <c r="DT221">
        <f t="shared" si="683"/>
        <v>13.083333333333334</v>
      </c>
      <c r="DV221" s="5">
        <f t="shared" si="684"/>
        <v>76.43312101910827</v>
      </c>
      <c r="DW221" s="5">
        <f t="shared" si="685"/>
        <v>1.4117647058823528</v>
      </c>
      <c r="DX221" s="5">
        <f t="shared" si="686"/>
        <v>75.021356313225922</v>
      </c>
      <c r="DY221" s="173">
        <f t="shared" si="687"/>
        <v>1.8470588235294117E-2</v>
      </c>
      <c r="EA221" s="5">
        <f t="shared" si="713"/>
        <v>4.7058823529411757</v>
      </c>
      <c r="EB221" s="5">
        <f t="shared" si="714"/>
        <v>0.22058823529411767</v>
      </c>
      <c r="EC221" s="5">
        <f t="shared" si="715"/>
        <v>1.8387587331673019</v>
      </c>
      <c r="ED221" s="5"/>
      <c r="EE221" s="173">
        <f t="shared" si="716"/>
        <v>0.78465678771664482</v>
      </c>
      <c r="EF221" s="173">
        <f t="shared" si="717"/>
        <v>5.719934183084936</v>
      </c>
      <c r="EG221" s="173">
        <f t="shared" si="718"/>
        <v>0.14086739870499376</v>
      </c>
      <c r="EH221" s="173"/>
      <c r="EI221" s="528">
        <f t="shared" si="719"/>
        <v>1.2313725490196077E-2</v>
      </c>
      <c r="EJ221" s="528">
        <f t="shared" si="720"/>
        <v>0.26349833333333339</v>
      </c>
      <c r="EK221" s="528">
        <f t="shared" si="721"/>
        <v>1.6354166666666667E-3</v>
      </c>
      <c r="EL221" s="528">
        <f t="shared" si="722"/>
        <v>1.3267141083333335E-2</v>
      </c>
      <c r="EM221">
        <f t="shared" si="723"/>
        <v>3.8249999999999999E-2</v>
      </c>
      <c r="EN221" s="460">
        <f t="shared" si="724"/>
        <v>39.885416666666664</v>
      </c>
      <c r="EP221" s="460">
        <f t="shared" si="725"/>
        <v>328.9646165735295</v>
      </c>
      <c r="EQ221" s="173">
        <f t="shared" si="726"/>
        <v>0.35</v>
      </c>
      <c r="ER221" s="173">
        <f t="shared" si="688"/>
        <v>5.5468749999999997E-3</v>
      </c>
      <c r="ES221" s="528"/>
      <c r="EU221" s="460">
        <f t="shared" si="727"/>
        <v>355.546875</v>
      </c>
      <c r="EV221" s="528">
        <f t="shared" si="728"/>
        <v>1.8470588235294114E-2</v>
      </c>
      <c r="EW221" s="528">
        <f t="shared" si="729"/>
        <v>0.98152941176470587</v>
      </c>
      <c r="EX221" s="528">
        <f t="shared" si="730"/>
        <v>9.9218120089558399E-5</v>
      </c>
      <c r="EY221" s="528">
        <f t="shared" si="731"/>
        <v>9.7896241917020885E-3</v>
      </c>
      <c r="EZ221" s="528"/>
      <c r="FA221" s="625">
        <f t="shared" si="732"/>
        <v>1.3083333333333334E-3</v>
      </c>
      <c r="FB221" s="460">
        <f t="shared" si="733"/>
        <v>1011.197175645125</v>
      </c>
      <c r="FC221" s="173">
        <f t="shared" si="734"/>
        <v>1.6957086672186545</v>
      </c>
      <c r="FD221" s="5">
        <f t="shared" si="735"/>
        <v>7.6</v>
      </c>
      <c r="FE221" s="173">
        <f t="shared" si="736"/>
        <v>0.81758156070461019</v>
      </c>
      <c r="FF221" s="5">
        <f t="shared" si="737"/>
        <v>81.758156070461013</v>
      </c>
      <c r="FG221">
        <f t="shared" si="738"/>
        <v>5</v>
      </c>
      <c r="FI221" s="562">
        <f t="shared" si="689"/>
        <v>-50</v>
      </c>
    </row>
    <row r="222" spans="1:169">
      <c r="E222" s="170">
        <v>6</v>
      </c>
      <c r="F222" s="217">
        <f t="shared" si="690"/>
        <v>0.6</v>
      </c>
      <c r="G222" s="217">
        <f t="shared" si="617"/>
        <v>1.4999999999999999E-2</v>
      </c>
      <c r="H222" s="217">
        <f t="shared" si="618"/>
        <v>9</v>
      </c>
      <c r="I222" s="217">
        <f t="shared" si="619"/>
        <v>0.12</v>
      </c>
      <c r="J222" s="541">
        <f t="shared" si="620"/>
        <v>84.727420162931693</v>
      </c>
      <c r="K222" s="443">
        <f t="shared" si="621"/>
        <v>15.846617922801491</v>
      </c>
      <c r="L222" s="172">
        <f t="shared" si="622"/>
        <v>100.57403808573318</v>
      </c>
      <c r="M222" s="443"/>
      <c r="N222" s="217">
        <f t="shared" si="623"/>
        <v>0.15756171497552104</v>
      </c>
      <c r="O222" s="172">
        <f t="shared" si="624"/>
        <v>329.35355985994391</v>
      </c>
      <c r="P222" s="172">
        <f t="shared" si="625"/>
        <v>4.4499325421076863</v>
      </c>
      <c r="Q222" s="217">
        <f t="shared" si="626"/>
        <v>21.956903990662926</v>
      </c>
      <c r="R222" s="217">
        <f t="shared" si="627"/>
        <v>41.169194982492989</v>
      </c>
      <c r="S222" s="217">
        <f t="shared" si="628"/>
        <v>15</v>
      </c>
      <c r="T222" s="217">
        <f t="shared" si="629"/>
        <v>1.3663128468730092</v>
      </c>
      <c r="U222" s="217">
        <f t="shared" si="630"/>
        <v>0.19351178320957857</v>
      </c>
      <c r="V222" s="217">
        <f t="shared" si="631"/>
        <v>1.0346532138497815</v>
      </c>
      <c r="W222" s="197">
        <f t="shared" si="632"/>
        <v>111.24831355269215</v>
      </c>
      <c r="X222" s="443">
        <f t="shared" si="691"/>
        <v>350</v>
      </c>
      <c r="Z222" s="217">
        <f t="shared" si="633"/>
        <v>10</v>
      </c>
      <c r="AA222" s="173">
        <f t="shared" si="634"/>
        <v>7.572593760043496</v>
      </c>
      <c r="AB222" s="173">
        <f t="shared" si="635"/>
        <v>4.1567678537392041</v>
      </c>
      <c r="AC222" s="173"/>
      <c r="AD222" s="173">
        <f t="shared" si="636"/>
        <v>7.572593760043496</v>
      </c>
      <c r="AE222" s="545">
        <f t="shared" si="637"/>
        <v>15.846617922801491</v>
      </c>
      <c r="AF222" s="528">
        <f t="shared" si="638"/>
        <v>4.2121914251223949</v>
      </c>
      <c r="AH222" s="173">
        <f t="shared" si="639"/>
        <v>2.0839522890069109</v>
      </c>
      <c r="AI222" s="173">
        <f t="shared" si="640"/>
        <v>10</v>
      </c>
      <c r="AJ222" s="173">
        <f t="shared" si="641"/>
        <v>1.0090552102416008</v>
      </c>
      <c r="AL222" s="545">
        <f t="shared" si="642"/>
        <v>600</v>
      </c>
      <c r="AM222" s="460">
        <f t="shared" si="643"/>
        <v>15.846617922801491</v>
      </c>
      <c r="AO222">
        <f t="shared" si="644"/>
        <v>600</v>
      </c>
      <c r="AP222">
        <f t="shared" si="645"/>
        <v>15.846617922801491</v>
      </c>
      <c r="AR222" s="5">
        <f t="shared" si="616"/>
        <v>63.104948000362469</v>
      </c>
      <c r="AS222" s="5">
        <f t="shared" si="604"/>
        <v>1.4163065483315647</v>
      </c>
      <c r="AT222" s="5">
        <f t="shared" si="605"/>
        <v>61.688641452030907</v>
      </c>
      <c r="AU222" s="173">
        <f t="shared" si="606"/>
        <v>2.2443668732972089E-2</v>
      </c>
      <c r="BA222" s="173">
        <f t="shared" si="692"/>
        <v>0.86494062865555665</v>
      </c>
      <c r="BB222" s="173">
        <f t="shared" si="693"/>
        <v>5.708345736045974</v>
      </c>
      <c r="BC222" s="173">
        <f t="shared" si="694"/>
        <v>0.14058200479360283</v>
      </c>
      <c r="BD222" s="173"/>
      <c r="BE222" s="528">
        <f t="shared" si="695"/>
        <v>1.4962445821981392E-2</v>
      </c>
      <c r="BF222" s="528">
        <f t="shared" si="646"/>
        <v>0.29882969146835603</v>
      </c>
      <c r="BG222" s="528">
        <f t="shared" si="647"/>
        <v>3.3566076372666141E-2</v>
      </c>
      <c r="BH222" s="528">
        <f t="shared" si="696"/>
        <v>1.6029071344472713E-2</v>
      </c>
      <c r="BI222">
        <f t="shared" si="697"/>
        <v>3.8127339073319264E-2</v>
      </c>
      <c r="BJ222" s="460">
        <f t="shared" si="698"/>
        <v>71.693415445985394</v>
      </c>
      <c r="BK222">
        <f t="shared" si="648"/>
        <v>0.33505220543875275</v>
      </c>
      <c r="BL222" s="460">
        <f t="shared" si="699"/>
        <v>401.51462408079556</v>
      </c>
      <c r="BM222" s="173">
        <f t="shared" si="649"/>
        <v>0.37274999999999997</v>
      </c>
      <c r="BN222" s="173">
        <f t="shared" si="650"/>
        <v>6.6562499999999998E-3</v>
      </c>
      <c r="BQ222" s="460">
        <f t="shared" si="700"/>
        <v>379.40624999999994</v>
      </c>
      <c r="BR222" s="528">
        <f t="shared" si="701"/>
        <v>2.2443668732972086E-2</v>
      </c>
      <c r="BS222" s="528">
        <f t="shared" si="702"/>
        <v>0.97755633126702746</v>
      </c>
      <c r="BT222" s="528">
        <f t="shared" si="703"/>
        <v>9.8816500358942847E-5</v>
      </c>
      <c r="BU222" s="528">
        <f t="shared" si="704"/>
        <v>1.5805617632040306E-2</v>
      </c>
      <c r="BV222" s="528"/>
      <c r="BW222" s="625">
        <f t="shared" si="705"/>
        <v>1.5846617922801491E-3</v>
      </c>
      <c r="BX222" s="460">
        <f t="shared" si="706"/>
        <v>1017.489095924679</v>
      </c>
      <c r="BY222" s="173">
        <f t="shared" si="707"/>
        <v>1.7984099700054745</v>
      </c>
      <c r="BZ222" s="5">
        <f t="shared" si="708"/>
        <v>9.1199999999999992</v>
      </c>
      <c r="CA222" s="173">
        <f t="shared" si="709"/>
        <v>0.8352864588391552</v>
      </c>
      <c r="CB222" s="5">
        <f t="shared" si="710"/>
        <v>83.528645883915516</v>
      </c>
      <c r="CC222">
        <f t="shared" si="711"/>
        <v>6</v>
      </c>
      <c r="CE222" s="562">
        <f t="shared" si="651"/>
        <v>-50</v>
      </c>
      <c r="CG222" s="173">
        <f t="shared" si="652"/>
        <v>0.12276807402578245</v>
      </c>
      <c r="CH222" s="173">
        <f t="shared" si="653"/>
        <v>1.4390482523569057E-2</v>
      </c>
      <c r="CI222" s="170">
        <v>6</v>
      </c>
      <c r="CJ222" s="217">
        <f t="shared" si="712"/>
        <v>0.6</v>
      </c>
      <c r="CK222" s="217">
        <f t="shared" si="654"/>
        <v>1.4999999999999999E-2</v>
      </c>
      <c r="CL222" s="217">
        <f t="shared" si="655"/>
        <v>9</v>
      </c>
      <c r="CM222" s="217">
        <f t="shared" si="656"/>
        <v>0.12</v>
      </c>
      <c r="CN222" s="541">
        <f t="shared" si="657"/>
        <v>85</v>
      </c>
      <c r="CO222" s="443">
        <f t="shared" si="658"/>
        <v>15.7</v>
      </c>
      <c r="CP222" s="443">
        <f t="shared" si="659"/>
        <v>100.7</v>
      </c>
      <c r="CQ222" s="443"/>
      <c r="CR222" s="217">
        <f t="shared" si="660"/>
        <v>0.15338645418326693</v>
      </c>
      <c r="CS222" s="172">
        <f t="shared" si="661"/>
        <v>321.65744915076539</v>
      </c>
      <c r="CT222" s="172">
        <f t="shared" si="662"/>
        <v>4.3459495351925632</v>
      </c>
      <c r="CU222" s="217">
        <f t="shared" si="663"/>
        <v>21.443829943384358</v>
      </c>
      <c r="CV222" s="217">
        <f t="shared" si="664"/>
        <v>40.207181143845673</v>
      </c>
      <c r="CW222" s="217">
        <f t="shared" si="665"/>
        <v>15</v>
      </c>
      <c r="CX222" s="217">
        <f t="shared" si="666"/>
        <v>1.3990038197097019</v>
      </c>
      <c r="CY222" s="217">
        <f t="shared" si="667"/>
        <v>0.19750642160607557</v>
      </c>
      <c r="CZ222" s="217">
        <f t="shared" si="668"/>
        <v>1.0693022825806637</v>
      </c>
      <c r="DA222" s="197">
        <f t="shared" si="669"/>
        <v>110.43528632903013</v>
      </c>
      <c r="DB222" s="443">
        <f t="shared" si="670"/>
        <v>350</v>
      </c>
      <c r="DD222" s="217">
        <f t="shared" si="671"/>
        <v>9.9999999999999982</v>
      </c>
      <c r="DE222" s="173">
        <f t="shared" si="672"/>
        <v>7.6433121019108263</v>
      </c>
      <c r="DF222" s="173">
        <f t="shared" si="673"/>
        <v>4.1649244760361679</v>
      </c>
      <c r="DG222" s="173"/>
      <c r="DH222" s="173">
        <f t="shared" si="674"/>
        <v>7.6433121019108281</v>
      </c>
      <c r="DI222" s="545">
        <f t="shared" si="675"/>
        <v>15.7</v>
      </c>
      <c r="DJ222" s="528">
        <f t="shared" si="676"/>
        <v>4.2204568023833167</v>
      </c>
      <c r="DL222" s="173">
        <f t="shared" si="677"/>
        <v>2.0839522890069109</v>
      </c>
      <c r="DM222" s="173">
        <f t="shared" si="678"/>
        <v>10</v>
      </c>
      <c r="DN222" s="173">
        <f t="shared" si="679"/>
        <v>1.0089714285714286</v>
      </c>
      <c r="DP222" s="545">
        <f t="shared" si="680"/>
        <v>600</v>
      </c>
      <c r="DQ222" s="460">
        <f t="shared" si="681"/>
        <v>15.7</v>
      </c>
      <c r="DS222">
        <f t="shared" si="682"/>
        <v>600</v>
      </c>
      <c r="DT222">
        <f t="shared" si="683"/>
        <v>15.7</v>
      </c>
      <c r="DV222" s="5">
        <f t="shared" si="684"/>
        <v>63.694267515923563</v>
      </c>
      <c r="DW222" s="5">
        <f t="shared" si="685"/>
        <v>1.4117647058823528</v>
      </c>
      <c r="DX222" s="5">
        <f t="shared" si="686"/>
        <v>62.282502810041208</v>
      </c>
      <c r="DY222" s="173">
        <f t="shared" si="687"/>
        <v>2.2164705882352941E-2</v>
      </c>
      <c r="EA222" s="5">
        <f t="shared" si="713"/>
        <v>5.6470588235294112</v>
      </c>
      <c r="EB222" s="5">
        <f t="shared" si="714"/>
        <v>0.26470588235294112</v>
      </c>
      <c r="EC222" s="5">
        <f t="shared" si="715"/>
        <v>1.8318383179423883</v>
      </c>
      <c r="ED222" s="5"/>
      <c r="EE222" s="173">
        <f t="shared" si="716"/>
        <v>0.85954844506389794</v>
      </c>
      <c r="EF222" s="173">
        <f t="shared" si="717"/>
        <v>5.7091601662522624</v>
      </c>
      <c r="EG222" s="173">
        <f t="shared" si="718"/>
        <v>0.14060206213358514</v>
      </c>
      <c r="EH222" s="173"/>
      <c r="EI222" s="528">
        <f t="shared" si="719"/>
        <v>1.4776470588235295E-2</v>
      </c>
      <c r="EJ222" s="528">
        <f t="shared" si="720"/>
        <v>0.31619799999999998</v>
      </c>
      <c r="EK222" s="528">
        <f t="shared" si="721"/>
        <v>1.9624999999999998E-3</v>
      </c>
      <c r="EL222" s="528">
        <f t="shared" si="722"/>
        <v>1.5920569300000003E-2</v>
      </c>
      <c r="EM222">
        <f t="shared" si="723"/>
        <v>3.8249999999999999E-2</v>
      </c>
      <c r="EN222" s="460">
        <f t="shared" si="724"/>
        <v>40.212499999999999</v>
      </c>
      <c r="EP222" s="460">
        <f t="shared" si="725"/>
        <v>387.10753988823524</v>
      </c>
      <c r="EQ222" s="173">
        <f t="shared" si="726"/>
        <v>0.42</v>
      </c>
      <c r="ER222" s="173">
        <f t="shared" si="688"/>
        <v>6.6562499999999998E-3</v>
      </c>
      <c r="ES222" s="528"/>
      <c r="EU222" s="460">
        <f t="shared" si="727"/>
        <v>426.65624999999994</v>
      </c>
      <c r="EV222" s="528">
        <f t="shared" si="728"/>
        <v>2.2164705882352941E-2</v>
      </c>
      <c r="EW222" s="528">
        <f t="shared" si="729"/>
        <v>0.9778352941176468</v>
      </c>
      <c r="EX222" s="528">
        <f t="shared" si="730"/>
        <v>9.8844699381082687E-5</v>
      </c>
      <c r="EY222" s="528">
        <f t="shared" si="731"/>
        <v>1.544255423796531E-2</v>
      </c>
      <c r="EZ222" s="528"/>
      <c r="FA222" s="625">
        <f t="shared" si="732"/>
        <v>1.57E-3</v>
      </c>
      <c r="FB222" s="460">
        <f t="shared" si="733"/>
        <v>1017.1113989373462</v>
      </c>
      <c r="FC222" s="173">
        <f t="shared" si="734"/>
        <v>1.8308751888255814</v>
      </c>
      <c r="FD222" s="5">
        <f t="shared" si="735"/>
        <v>9.1199999999999992</v>
      </c>
      <c r="FE222" s="173">
        <f t="shared" si="736"/>
        <v>0.83281014921128582</v>
      </c>
      <c r="FF222" s="5">
        <f t="shared" si="737"/>
        <v>83.281014921128588</v>
      </c>
      <c r="FG222">
        <f t="shared" si="738"/>
        <v>6</v>
      </c>
      <c r="FI222" s="562">
        <f t="shared" si="689"/>
        <v>-50</v>
      </c>
    </row>
    <row r="223" spans="1:169">
      <c r="E223" s="170">
        <v>7</v>
      </c>
      <c r="F223" s="217">
        <f t="shared" si="690"/>
        <v>0.70000000000000007</v>
      </c>
      <c r="G223" s="217">
        <f t="shared" si="617"/>
        <v>1.7500000000000002E-2</v>
      </c>
      <c r="H223" s="217">
        <f t="shared" si="618"/>
        <v>10.500000000000002</v>
      </c>
      <c r="I223" s="217">
        <f t="shared" si="619"/>
        <v>0.14000000000000001</v>
      </c>
      <c r="J223" s="541">
        <f t="shared" si="620"/>
        <v>84.727420162931693</v>
      </c>
      <c r="K223" s="443">
        <f t="shared" si="621"/>
        <v>15.846617922801491</v>
      </c>
      <c r="L223" s="172">
        <f t="shared" si="622"/>
        <v>100.57403808573318</v>
      </c>
      <c r="M223" s="443"/>
      <c r="N223" s="217">
        <f t="shared" si="623"/>
        <v>0.15756171497552104</v>
      </c>
      <c r="O223" s="172">
        <f t="shared" si="624"/>
        <v>329.35355985994391</v>
      </c>
      <c r="P223" s="172">
        <f t="shared" si="625"/>
        <v>4.4499325421076863</v>
      </c>
      <c r="Q223" s="217">
        <f t="shared" si="626"/>
        <v>21.956903990662926</v>
      </c>
      <c r="R223" s="217">
        <f t="shared" si="627"/>
        <v>41.169194982492989</v>
      </c>
      <c r="S223" s="217">
        <f t="shared" si="628"/>
        <v>15</v>
      </c>
      <c r="T223" s="217">
        <f t="shared" si="629"/>
        <v>1.5940316546851778</v>
      </c>
      <c r="U223" s="217">
        <f t="shared" si="630"/>
        <v>0.22576374707784169</v>
      </c>
      <c r="V223" s="217">
        <f t="shared" si="631"/>
        <v>1.2070954161580787</v>
      </c>
      <c r="W223" s="197">
        <f t="shared" si="632"/>
        <v>111.24831355269215</v>
      </c>
      <c r="X223" s="443">
        <f t="shared" si="691"/>
        <v>350</v>
      </c>
      <c r="Z223" s="217">
        <f t="shared" si="633"/>
        <v>10</v>
      </c>
      <c r="AA223" s="173">
        <f t="shared" si="634"/>
        <v>7.572593760043496</v>
      </c>
      <c r="AB223" s="173">
        <f t="shared" si="635"/>
        <v>4.1567678537392041</v>
      </c>
      <c r="AC223" s="173"/>
      <c r="AD223" s="173">
        <f t="shared" si="636"/>
        <v>7.572593760043496</v>
      </c>
      <c r="AE223" s="545">
        <f t="shared" si="637"/>
        <v>18.487720909935074</v>
      </c>
      <c r="AF223" s="528">
        <f t="shared" si="638"/>
        <v>4.2121914251223949</v>
      </c>
      <c r="AH223" s="173">
        <f t="shared" si="639"/>
        <v>2.2509257354845511</v>
      </c>
      <c r="AI223" s="173">
        <f t="shared" si="640"/>
        <v>10</v>
      </c>
      <c r="AJ223" s="173">
        <f t="shared" si="641"/>
        <v>1.0105644119485344</v>
      </c>
      <c r="AL223" s="545">
        <f t="shared" si="642"/>
        <v>700.00000000000011</v>
      </c>
      <c r="AM223" s="460">
        <f t="shared" si="643"/>
        <v>18.487720909935074</v>
      </c>
      <c r="AO223">
        <f t="shared" si="644"/>
        <v>700.00000000000011</v>
      </c>
      <c r="AP223">
        <f t="shared" si="645"/>
        <v>18.487720909935074</v>
      </c>
      <c r="AR223" s="5">
        <f t="shared" si="616"/>
        <v>54.089955428882114</v>
      </c>
      <c r="AS223" s="5">
        <f t="shared" si="604"/>
        <v>1.4163065483315647</v>
      </c>
      <c r="AT223" s="5">
        <f t="shared" si="605"/>
        <v>52.673648880550552</v>
      </c>
      <c r="AU223" s="173">
        <f t="shared" si="606"/>
        <v>2.6184280188467437E-2</v>
      </c>
      <c r="BA223" s="173">
        <f t="shared" si="692"/>
        <v>0.93424265563909104</v>
      </c>
      <c r="BB223" s="173">
        <f t="shared" si="693"/>
        <v>5.697413798708828</v>
      </c>
      <c r="BC223" s="173">
        <f t="shared" si="694"/>
        <v>0.14031277904271156</v>
      </c>
      <c r="BD223" s="173"/>
      <c r="BE223" s="528">
        <f t="shared" si="695"/>
        <v>1.7456186792311625E-2</v>
      </c>
      <c r="BF223" s="528">
        <f t="shared" si="646"/>
        <v>0.34863464004641542</v>
      </c>
      <c r="BG223" s="528">
        <f t="shared" si="647"/>
        <v>3.9160422434777173E-2</v>
      </c>
      <c r="BH223" s="528">
        <f t="shared" si="696"/>
        <v>1.8700583235218168E-2</v>
      </c>
      <c r="BI223">
        <f t="shared" si="697"/>
        <v>3.8127339073319264E-2</v>
      </c>
      <c r="BJ223" s="460">
        <f t="shared" si="698"/>
        <v>77.287761508096438</v>
      </c>
      <c r="BK223">
        <f t="shared" si="648"/>
        <v>0.39112681416392986</v>
      </c>
      <c r="BL223" s="460">
        <f t="shared" si="699"/>
        <v>462.07917158204168</v>
      </c>
      <c r="BM223" s="173">
        <f t="shared" si="649"/>
        <v>0.43487499999999996</v>
      </c>
      <c r="BN223" s="173">
        <f t="shared" si="650"/>
        <v>7.765625E-3</v>
      </c>
      <c r="BQ223" s="460">
        <f t="shared" si="700"/>
        <v>442.64062499999994</v>
      </c>
      <c r="BR223" s="528">
        <f t="shared" si="701"/>
        <v>2.6184280188467437E-2</v>
      </c>
      <c r="BS223" s="528">
        <f t="shared" si="702"/>
        <v>0.9738157198115327</v>
      </c>
      <c r="BT223" s="528">
        <f t="shared" si="703"/>
        <v>9.8438379813443983E-5</v>
      </c>
      <c r="BU223" s="528">
        <f t="shared" si="704"/>
        <v>2.3236913718149919E-2</v>
      </c>
      <c r="BV223" s="528"/>
      <c r="BW223" s="625">
        <f t="shared" si="705"/>
        <v>1.8487720909935075E-3</v>
      </c>
      <c r="BX223" s="460">
        <f t="shared" si="706"/>
        <v>1025.184124188957</v>
      </c>
      <c r="BY223" s="173">
        <f t="shared" si="707"/>
        <v>1.9299039207709985</v>
      </c>
      <c r="BZ223" s="5">
        <f t="shared" si="708"/>
        <v>10.640000000000002</v>
      </c>
      <c r="CA223" s="173">
        <f t="shared" si="709"/>
        <v>0.8464662949744628</v>
      </c>
      <c r="CB223" s="5">
        <f t="shared" si="710"/>
        <v>84.646629497446284</v>
      </c>
      <c r="CC223">
        <f t="shared" si="711"/>
        <v>7.0000000000000009</v>
      </c>
      <c r="CE223" s="562">
        <f t="shared" si="651"/>
        <v>-50</v>
      </c>
      <c r="CG223" s="173">
        <f t="shared" si="652"/>
        <v>0.14322941969674621</v>
      </c>
      <c r="CH223" s="173">
        <f t="shared" si="653"/>
        <v>1.6788896277497238E-2</v>
      </c>
      <c r="CI223" s="170">
        <v>7</v>
      </c>
      <c r="CJ223" s="217">
        <f t="shared" si="712"/>
        <v>0.70000000000000007</v>
      </c>
      <c r="CK223" s="217">
        <f t="shared" si="654"/>
        <v>1.7500000000000002E-2</v>
      </c>
      <c r="CL223" s="217">
        <f t="shared" si="655"/>
        <v>10.500000000000002</v>
      </c>
      <c r="CM223" s="217">
        <f t="shared" si="656"/>
        <v>0.14000000000000001</v>
      </c>
      <c r="CN223" s="541">
        <f t="shared" si="657"/>
        <v>85</v>
      </c>
      <c r="CO223" s="443">
        <f t="shared" si="658"/>
        <v>15.7</v>
      </c>
      <c r="CP223" s="443">
        <f t="shared" si="659"/>
        <v>100.7</v>
      </c>
      <c r="CQ223" s="443"/>
      <c r="CR223" s="217">
        <f t="shared" si="660"/>
        <v>0.15338645418326693</v>
      </c>
      <c r="CS223" s="172">
        <f t="shared" si="661"/>
        <v>321.65744915076539</v>
      </c>
      <c r="CT223" s="172">
        <f t="shared" si="662"/>
        <v>4.3459495351925632</v>
      </c>
      <c r="CU223" s="217">
        <f t="shared" si="663"/>
        <v>21.443829943384358</v>
      </c>
      <c r="CV223" s="217">
        <f t="shared" si="664"/>
        <v>40.207181143845673</v>
      </c>
      <c r="CW223" s="217">
        <f t="shared" si="665"/>
        <v>15</v>
      </c>
      <c r="CX223" s="217">
        <f t="shared" si="666"/>
        <v>1.6321711229946527</v>
      </c>
      <c r="CY223" s="217">
        <f t="shared" si="667"/>
        <v>0.23042415854042156</v>
      </c>
      <c r="CZ223" s="217">
        <f t="shared" si="668"/>
        <v>1.2475193296774416</v>
      </c>
      <c r="DA223" s="197">
        <f t="shared" si="669"/>
        <v>110.43528632903013</v>
      </c>
      <c r="DB223" s="443">
        <f t="shared" si="670"/>
        <v>350</v>
      </c>
      <c r="DD223" s="217">
        <f t="shared" si="671"/>
        <v>9.9999999999999982</v>
      </c>
      <c r="DE223" s="173">
        <f t="shared" si="672"/>
        <v>7.6433121019108263</v>
      </c>
      <c r="DF223" s="173">
        <f t="shared" si="673"/>
        <v>4.1649244760361679</v>
      </c>
      <c r="DG223" s="173"/>
      <c r="DH223" s="173">
        <f t="shared" si="674"/>
        <v>7.6433121019108281</v>
      </c>
      <c r="DI223" s="545">
        <f t="shared" si="675"/>
        <v>18.31666666666667</v>
      </c>
      <c r="DJ223" s="528">
        <f t="shared" si="676"/>
        <v>4.2204568023833167</v>
      </c>
      <c r="DL223" s="173">
        <f t="shared" si="677"/>
        <v>2.2509257354845511</v>
      </c>
      <c r="DM223" s="173">
        <f t="shared" si="678"/>
        <v>10</v>
      </c>
      <c r="DN223" s="173">
        <f t="shared" si="679"/>
        <v>1.0104666666666666</v>
      </c>
      <c r="DP223" s="545">
        <f t="shared" si="680"/>
        <v>700.00000000000011</v>
      </c>
      <c r="DQ223" s="460">
        <f t="shared" si="681"/>
        <v>18.31666666666667</v>
      </c>
      <c r="DS223">
        <f t="shared" si="682"/>
        <v>700.00000000000011</v>
      </c>
      <c r="DT223">
        <f t="shared" si="683"/>
        <v>18.31666666666667</v>
      </c>
      <c r="DV223" s="5">
        <f t="shared" si="684"/>
        <v>54.595086442220193</v>
      </c>
      <c r="DW223" s="5">
        <f t="shared" si="685"/>
        <v>1.4117647058823528</v>
      </c>
      <c r="DX223" s="5">
        <f t="shared" si="686"/>
        <v>53.183321736337838</v>
      </c>
      <c r="DY223" s="173">
        <f t="shared" si="687"/>
        <v>2.5858823529411764E-2</v>
      </c>
      <c r="EA223" s="5">
        <f t="shared" si="713"/>
        <v>6.5882352941176476</v>
      </c>
      <c r="EB223" s="5">
        <f t="shared" si="714"/>
        <v>0.30882352941176472</v>
      </c>
      <c r="EC223" s="5">
        <f t="shared" si="715"/>
        <v>1.8249179027174751</v>
      </c>
      <c r="ED223" s="5"/>
      <c r="EE223" s="173">
        <f t="shared" si="716"/>
        <v>0.92841843169646598</v>
      </c>
      <c r="EF223" s="173">
        <f t="shared" si="717"/>
        <v>5.6983657788018149</v>
      </c>
      <c r="EG223" s="173">
        <f t="shared" si="718"/>
        <v>0.1403362238857859</v>
      </c>
      <c r="EH223" s="173"/>
      <c r="EI223" s="528">
        <f t="shared" si="719"/>
        <v>1.7239215686274508E-2</v>
      </c>
      <c r="EJ223" s="528">
        <f t="shared" si="720"/>
        <v>0.36889766666666673</v>
      </c>
      <c r="EK223" s="528">
        <f t="shared" si="721"/>
        <v>2.2895833333333336E-3</v>
      </c>
      <c r="EL223" s="528">
        <f t="shared" si="722"/>
        <v>1.857399751666667E-2</v>
      </c>
      <c r="EM223">
        <f t="shared" si="723"/>
        <v>3.8249999999999999E-2</v>
      </c>
      <c r="EN223" s="460">
        <f t="shared" si="724"/>
        <v>40.539583333333333</v>
      </c>
      <c r="EP223" s="460">
        <f t="shared" si="725"/>
        <v>445.25046320294126</v>
      </c>
      <c r="EQ223" s="173">
        <f t="shared" si="726"/>
        <v>0.49</v>
      </c>
      <c r="ER223" s="173">
        <f t="shared" si="688"/>
        <v>7.765625E-3</v>
      </c>
      <c r="ES223" s="528"/>
      <c r="EU223" s="460">
        <f t="shared" si="727"/>
        <v>497.765625</v>
      </c>
      <c r="EV223" s="528">
        <f t="shared" si="728"/>
        <v>2.5858823529411764E-2</v>
      </c>
      <c r="EW223" s="528">
        <f t="shared" si="729"/>
        <v>0.97414117647058829</v>
      </c>
      <c r="EX223" s="528">
        <f t="shared" si="730"/>
        <v>9.8471278672607125E-5</v>
      </c>
      <c r="EY223" s="528">
        <f t="shared" si="731"/>
        <v>2.2703149523751295E-2</v>
      </c>
      <c r="EZ223" s="528"/>
      <c r="FA223" s="625">
        <f t="shared" si="732"/>
        <v>1.8316666666666672E-3</v>
      </c>
      <c r="FB223" s="460">
        <f t="shared" si="733"/>
        <v>1024.6332874690906</v>
      </c>
      <c r="FC223" s="173">
        <f t="shared" si="734"/>
        <v>1.9676493756720319</v>
      </c>
      <c r="FD223" s="5">
        <f t="shared" si="735"/>
        <v>10.640000000000002</v>
      </c>
      <c r="FE223" s="173">
        <f t="shared" si="736"/>
        <v>0.8439320989153738</v>
      </c>
      <c r="FF223" s="5">
        <f t="shared" si="737"/>
        <v>84.393209891537381</v>
      </c>
      <c r="FG223">
        <f t="shared" si="738"/>
        <v>7.0000000000000009</v>
      </c>
      <c r="FI223" s="562">
        <f t="shared" si="689"/>
        <v>-50</v>
      </c>
    </row>
    <row r="224" spans="1:169">
      <c r="E224" s="170">
        <v>8</v>
      </c>
      <c r="F224" s="217">
        <f t="shared" si="690"/>
        <v>0.8</v>
      </c>
      <c r="G224" s="217">
        <f t="shared" si="617"/>
        <v>0.02</v>
      </c>
      <c r="H224" s="217">
        <f t="shared" si="618"/>
        <v>12</v>
      </c>
      <c r="I224" s="217">
        <f t="shared" si="619"/>
        <v>0.16</v>
      </c>
      <c r="J224" s="541">
        <f t="shared" si="620"/>
        <v>84.727420162931693</v>
      </c>
      <c r="K224" s="443">
        <f t="shared" si="621"/>
        <v>15.846617922801491</v>
      </c>
      <c r="L224" s="172">
        <f t="shared" si="622"/>
        <v>100.57403808573318</v>
      </c>
      <c r="M224" s="443"/>
      <c r="N224" s="217">
        <f t="shared" si="623"/>
        <v>0.15756171497552104</v>
      </c>
      <c r="O224" s="172">
        <f t="shared" si="624"/>
        <v>329.35355985994391</v>
      </c>
      <c r="P224" s="172">
        <f t="shared" si="625"/>
        <v>4.4499325421076863</v>
      </c>
      <c r="Q224" s="217">
        <f t="shared" si="626"/>
        <v>21.956903990662926</v>
      </c>
      <c r="R224" s="217">
        <f t="shared" si="627"/>
        <v>41.169194982492989</v>
      </c>
      <c r="S224" s="217">
        <f t="shared" si="628"/>
        <v>15</v>
      </c>
      <c r="T224" s="217">
        <f t="shared" si="629"/>
        <v>1.8217504624973457</v>
      </c>
      <c r="U224" s="217">
        <f t="shared" si="630"/>
        <v>0.2580157109461047</v>
      </c>
      <c r="V224" s="217">
        <f t="shared" si="631"/>
        <v>1.3795376184663755</v>
      </c>
      <c r="W224" s="197">
        <f t="shared" si="632"/>
        <v>111.24831355269215</v>
      </c>
      <c r="X224" s="443">
        <f t="shared" si="691"/>
        <v>350</v>
      </c>
      <c r="Z224" s="217">
        <f t="shared" si="633"/>
        <v>10</v>
      </c>
      <c r="AA224" s="173">
        <f t="shared" si="634"/>
        <v>7.572593760043496</v>
      </c>
      <c r="AB224" s="173">
        <f t="shared" si="635"/>
        <v>4.1567678537392041</v>
      </c>
      <c r="AC224" s="173"/>
      <c r="AD224" s="173">
        <f t="shared" si="636"/>
        <v>7.572593760043496</v>
      </c>
      <c r="AE224" s="545">
        <f t="shared" si="637"/>
        <v>21.128823897068653</v>
      </c>
      <c r="AF224" s="528">
        <f t="shared" si="638"/>
        <v>4.2121914251223949</v>
      </c>
      <c r="AH224" s="173">
        <f t="shared" si="639"/>
        <v>2.4063408300729532</v>
      </c>
      <c r="AI224" s="173">
        <f t="shared" si="640"/>
        <v>10</v>
      </c>
      <c r="AJ224" s="173">
        <f t="shared" si="641"/>
        <v>1.0120736136554678</v>
      </c>
      <c r="AL224" s="545">
        <f t="shared" si="642"/>
        <v>800</v>
      </c>
      <c r="AM224" s="460">
        <f t="shared" si="643"/>
        <v>21.128823897068653</v>
      </c>
      <c r="AO224">
        <f t="shared" si="644"/>
        <v>800</v>
      </c>
      <c r="AP224">
        <f t="shared" si="645"/>
        <v>21.128823897068653</v>
      </c>
      <c r="AR224" s="5">
        <f t="shared" si="616"/>
        <v>47.328711000271852</v>
      </c>
      <c r="AS224" s="5">
        <f t="shared" si="604"/>
        <v>1.4163065483315647</v>
      </c>
      <c r="AT224" s="5">
        <f t="shared" si="605"/>
        <v>45.91240445194029</v>
      </c>
      <c r="AU224" s="173">
        <f t="shared" si="606"/>
        <v>2.9924891643962784E-2</v>
      </c>
      <c r="BA224" s="173">
        <f t="shared" si="692"/>
        <v>0.99874740957465957</v>
      </c>
      <c r="BB224" s="173">
        <f t="shared" si="693"/>
        <v>5.6864608453062644</v>
      </c>
      <c r="BC224" s="173">
        <f t="shared" si="694"/>
        <v>0.14004303571969939</v>
      </c>
      <c r="BD224" s="173"/>
      <c r="BE224" s="528">
        <f t="shared" si="695"/>
        <v>1.9949927762641859E-2</v>
      </c>
      <c r="BF224" s="528">
        <f t="shared" si="646"/>
        <v>0.39843958862447476</v>
      </c>
      <c r="BG224" s="528">
        <f t="shared" si="647"/>
        <v>4.4754768496888191E-2</v>
      </c>
      <c r="BH224" s="528">
        <f t="shared" si="696"/>
        <v>2.1372095125963615E-2</v>
      </c>
      <c r="BI224">
        <f t="shared" si="697"/>
        <v>3.8127339073319264E-2</v>
      </c>
      <c r="BJ224" s="460">
        <f t="shared" si="698"/>
        <v>82.882107570207452</v>
      </c>
      <c r="BK224">
        <f t="shared" si="648"/>
        <v>0.44726818922135481</v>
      </c>
      <c r="BL224" s="460">
        <f t="shared" si="699"/>
        <v>522.64371908328769</v>
      </c>
      <c r="BM224" s="173">
        <f t="shared" si="649"/>
        <v>0.49699999999999994</v>
      </c>
      <c r="BN224" s="173">
        <f t="shared" si="650"/>
        <v>8.8749999999999992E-3</v>
      </c>
      <c r="BQ224" s="460">
        <f t="shared" si="700"/>
        <v>505.87499999999994</v>
      </c>
      <c r="BR224" s="528">
        <f t="shared" si="701"/>
        <v>2.9924891643962784E-2</v>
      </c>
      <c r="BS224" s="528">
        <f t="shared" si="702"/>
        <v>0.97007510835603705</v>
      </c>
      <c r="BT224" s="528">
        <f t="shared" si="703"/>
        <v>9.8060259267944997E-5</v>
      </c>
      <c r="BU224" s="528">
        <f t="shared" si="704"/>
        <v>3.2445787002904035E-2</v>
      </c>
      <c r="BV224" s="528"/>
      <c r="BW224" s="625">
        <f t="shared" si="705"/>
        <v>2.1128823897068657E-3</v>
      </c>
      <c r="BX224" s="460">
        <f t="shared" si="706"/>
        <v>1034.6567296518788</v>
      </c>
      <c r="BY224" s="173">
        <f t="shared" si="707"/>
        <v>2.0631754487351661</v>
      </c>
      <c r="BZ224" s="5">
        <f t="shared" si="708"/>
        <v>12.16</v>
      </c>
      <c r="CA224" s="173">
        <f t="shared" si="709"/>
        <v>0.85494269854354932</v>
      </c>
      <c r="CB224" s="5">
        <f t="shared" si="710"/>
        <v>85.494269854354926</v>
      </c>
      <c r="CC224">
        <f t="shared" si="711"/>
        <v>8</v>
      </c>
      <c r="CE224" s="562">
        <f t="shared" si="651"/>
        <v>-50</v>
      </c>
      <c r="CG224" s="173">
        <f t="shared" si="652"/>
        <v>0.16369076536770993</v>
      </c>
      <c r="CH224" s="173">
        <f t="shared" si="653"/>
        <v>1.918731003142541E-2</v>
      </c>
      <c r="CI224" s="170">
        <v>8</v>
      </c>
      <c r="CJ224" s="217">
        <f t="shared" si="712"/>
        <v>0.8</v>
      </c>
      <c r="CK224" s="217">
        <f t="shared" si="654"/>
        <v>0.02</v>
      </c>
      <c r="CL224" s="217">
        <f t="shared" si="655"/>
        <v>12</v>
      </c>
      <c r="CM224" s="217">
        <f t="shared" si="656"/>
        <v>0.16</v>
      </c>
      <c r="CN224" s="541">
        <f t="shared" si="657"/>
        <v>85</v>
      </c>
      <c r="CO224" s="443">
        <f t="shared" si="658"/>
        <v>15.7</v>
      </c>
      <c r="CP224" s="443">
        <f t="shared" si="659"/>
        <v>100.7</v>
      </c>
      <c r="CQ224" s="443"/>
      <c r="CR224" s="217">
        <f t="shared" si="660"/>
        <v>0.15338645418326693</v>
      </c>
      <c r="CS224" s="172">
        <f t="shared" si="661"/>
        <v>321.65744915076539</v>
      </c>
      <c r="CT224" s="172">
        <f t="shared" si="662"/>
        <v>4.3459495351925632</v>
      </c>
      <c r="CU224" s="217">
        <f t="shared" si="663"/>
        <v>21.443829943384358</v>
      </c>
      <c r="CV224" s="217">
        <f t="shared" si="664"/>
        <v>40.207181143845673</v>
      </c>
      <c r="CW224" s="217">
        <f t="shared" si="665"/>
        <v>15</v>
      </c>
      <c r="CX224" s="217">
        <f t="shared" si="666"/>
        <v>1.8653384262796027</v>
      </c>
      <c r="CY224" s="217">
        <f t="shared" si="667"/>
        <v>0.26334189547476744</v>
      </c>
      <c r="CZ224" s="217">
        <f t="shared" si="668"/>
        <v>1.4257363767742188</v>
      </c>
      <c r="DA224" s="197">
        <f t="shared" si="669"/>
        <v>110.43528632903013</v>
      </c>
      <c r="DB224" s="443">
        <f t="shared" si="670"/>
        <v>350</v>
      </c>
      <c r="DD224" s="217">
        <f t="shared" si="671"/>
        <v>9.9999999999999982</v>
      </c>
      <c r="DE224" s="173">
        <f t="shared" si="672"/>
        <v>7.6433121019108263</v>
      </c>
      <c r="DF224" s="173">
        <f t="shared" si="673"/>
        <v>4.1649244760361679</v>
      </c>
      <c r="DG224" s="173"/>
      <c r="DH224" s="173">
        <f t="shared" si="674"/>
        <v>7.6433121019108281</v>
      </c>
      <c r="DI224" s="545">
        <f t="shared" si="675"/>
        <v>20.933333333333337</v>
      </c>
      <c r="DJ224" s="528">
        <f t="shared" si="676"/>
        <v>4.2204568023833167</v>
      </c>
      <c r="DL224" s="173">
        <f t="shared" si="677"/>
        <v>2.4063408300729532</v>
      </c>
      <c r="DM224" s="173">
        <f t="shared" si="678"/>
        <v>10</v>
      </c>
      <c r="DN224" s="173">
        <f t="shared" si="679"/>
        <v>1.0119619047619048</v>
      </c>
      <c r="DP224" s="545">
        <f t="shared" si="680"/>
        <v>800</v>
      </c>
      <c r="DQ224" s="460">
        <f t="shared" si="681"/>
        <v>20.933333333333337</v>
      </c>
      <c r="DS224">
        <f t="shared" si="682"/>
        <v>800</v>
      </c>
      <c r="DT224">
        <f t="shared" si="683"/>
        <v>20.933333333333337</v>
      </c>
      <c r="DV224" s="5">
        <f t="shared" si="684"/>
        <v>47.770700636942664</v>
      </c>
      <c r="DW224" s="5">
        <f t="shared" si="685"/>
        <v>1.4117647058823528</v>
      </c>
      <c r="DX224" s="5">
        <f t="shared" si="686"/>
        <v>46.358935931060309</v>
      </c>
      <c r="DY224" s="173">
        <f t="shared" si="687"/>
        <v>2.9552941176470594E-2</v>
      </c>
      <c r="EA224" s="5">
        <f t="shared" si="713"/>
        <v>7.5294117647058822</v>
      </c>
      <c r="EB224" s="5">
        <f t="shared" si="714"/>
        <v>0.3529411764705882</v>
      </c>
      <c r="EC224" s="5">
        <f t="shared" si="715"/>
        <v>1.8179974874925611</v>
      </c>
      <c r="ED224" s="5"/>
      <c r="EE224" s="173">
        <f t="shared" si="716"/>
        <v>0.99252105227833143</v>
      </c>
      <c r="EF224" s="173">
        <f t="shared" si="717"/>
        <v>5.6875509047495694</v>
      </c>
      <c r="EG224" s="173">
        <f t="shared" si="718"/>
        <v>0.1400698811052051</v>
      </c>
      <c r="EH224" s="173"/>
      <c r="EI224" s="528">
        <f t="shared" si="719"/>
        <v>1.9701960784313726E-2</v>
      </c>
      <c r="EJ224" s="528">
        <f t="shared" si="720"/>
        <v>0.42159733333333343</v>
      </c>
      <c r="EK224" s="528">
        <f t="shared" si="721"/>
        <v>2.6166666666666669E-3</v>
      </c>
      <c r="EL224" s="528">
        <f t="shared" si="722"/>
        <v>2.1227425733333336E-2</v>
      </c>
      <c r="EM224">
        <f t="shared" si="723"/>
        <v>3.8249999999999999E-2</v>
      </c>
      <c r="EN224" s="460">
        <f t="shared" si="724"/>
        <v>40.866666666666667</v>
      </c>
      <c r="EP224" s="460">
        <f t="shared" si="725"/>
        <v>503.39338651764717</v>
      </c>
      <c r="EQ224" s="173">
        <f t="shared" si="726"/>
        <v>0.55999999999999994</v>
      </c>
      <c r="ER224" s="173">
        <f t="shared" si="688"/>
        <v>8.8749999999999992E-3</v>
      </c>
      <c r="ES224" s="528"/>
      <c r="EU224" s="460">
        <f t="shared" si="727"/>
        <v>568.87499999999989</v>
      </c>
      <c r="EV224" s="528">
        <f t="shared" si="728"/>
        <v>2.9552941176470587E-2</v>
      </c>
      <c r="EW224" s="528">
        <f t="shared" si="729"/>
        <v>0.97044705882352922</v>
      </c>
      <c r="EX224" s="528">
        <f t="shared" si="730"/>
        <v>9.8097857964131468E-5</v>
      </c>
      <c r="EY224" s="528">
        <f t="shared" si="731"/>
        <v>3.1700490120052188E-2</v>
      </c>
      <c r="EZ224" s="528"/>
      <c r="FA224" s="625">
        <f t="shared" si="732"/>
        <v>2.0933333333333338E-3</v>
      </c>
      <c r="FB224" s="460">
        <f t="shared" si="733"/>
        <v>1033.8919213113493</v>
      </c>
      <c r="FC224" s="173">
        <f t="shared" si="734"/>
        <v>2.106160307828997</v>
      </c>
      <c r="FD224" s="5">
        <f t="shared" si="735"/>
        <v>12.16</v>
      </c>
      <c r="FE224" s="173">
        <f t="shared" si="736"/>
        <v>0.85236670117374358</v>
      </c>
      <c r="FF224" s="5">
        <f t="shared" si="737"/>
        <v>85.236670117374359</v>
      </c>
      <c r="FG224">
        <f t="shared" si="738"/>
        <v>8</v>
      </c>
      <c r="FI224" s="562">
        <f t="shared" si="689"/>
        <v>-50</v>
      </c>
    </row>
    <row r="225" spans="5:165">
      <c r="E225" s="170">
        <v>9</v>
      </c>
      <c r="F225" s="217">
        <f t="shared" si="690"/>
        <v>0.89999999999999991</v>
      </c>
      <c r="G225" s="217">
        <f t="shared" si="617"/>
        <v>2.2499999999999999E-2</v>
      </c>
      <c r="H225" s="217">
        <f t="shared" si="618"/>
        <v>13.499999999999998</v>
      </c>
      <c r="I225" s="217">
        <f t="shared" si="619"/>
        <v>0.18</v>
      </c>
      <c r="J225" s="541">
        <f t="shared" si="620"/>
        <v>84.727420162931693</v>
      </c>
      <c r="K225" s="443">
        <f t="shared" si="621"/>
        <v>15.846617922801491</v>
      </c>
      <c r="L225" s="172">
        <f t="shared" si="622"/>
        <v>100.57403808573318</v>
      </c>
      <c r="M225" s="443"/>
      <c r="N225" s="217">
        <f t="shared" si="623"/>
        <v>0.15756171497552104</v>
      </c>
      <c r="O225" s="172">
        <f t="shared" si="624"/>
        <v>329.35355985994391</v>
      </c>
      <c r="P225" s="172">
        <f t="shared" si="625"/>
        <v>4.4499325421076863</v>
      </c>
      <c r="Q225" s="217">
        <f t="shared" si="626"/>
        <v>21.956903990662926</v>
      </c>
      <c r="R225" s="217">
        <f t="shared" si="627"/>
        <v>41.169194982492989</v>
      </c>
      <c r="S225" s="217">
        <f t="shared" si="628"/>
        <v>15</v>
      </c>
      <c r="T225" s="217">
        <f t="shared" si="629"/>
        <v>2.0494692703095136</v>
      </c>
      <c r="U225" s="217">
        <f t="shared" si="630"/>
        <v>0.29026767481436777</v>
      </c>
      <c r="V225" s="217">
        <f t="shared" si="631"/>
        <v>1.551979820774672</v>
      </c>
      <c r="W225" s="197">
        <f t="shared" si="632"/>
        <v>111.24831355269215</v>
      </c>
      <c r="X225" s="443">
        <f t="shared" si="691"/>
        <v>350</v>
      </c>
      <c r="Z225" s="217">
        <f t="shared" si="633"/>
        <v>10</v>
      </c>
      <c r="AA225" s="173">
        <f t="shared" si="634"/>
        <v>7.572593760043496</v>
      </c>
      <c r="AB225" s="173">
        <f t="shared" si="635"/>
        <v>4.1567678537392041</v>
      </c>
      <c r="AC225" s="173"/>
      <c r="AD225" s="173">
        <f t="shared" si="636"/>
        <v>7.572593760043496</v>
      </c>
      <c r="AE225" s="545">
        <f t="shared" si="637"/>
        <v>23.769926884202231</v>
      </c>
      <c r="AF225" s="528">
        <f t="shared" si="638"/>
        <v>4.2121914251223949</v>
      </c>
      <c r="AH225" s="173">
        <f t="shared" si="639"/>
        <v>2.5523098781859765</v>
      </c>
      <c r="AI225" s="173">
        <f t="shared" si="640"/>
        <v>10</v>
      </c>
      <c r="AJ225" s="173">
        <f t="shared" si="641"/>
        <v>1.0135828153624014</v>
      </c>
      <c r="AL225" s="545">
        <f t="shared" si="642"/>
        <v>899.99999999999989</v>
      </c>
      <c r="AM225" s="460">
        <f t="shared" si="643"/>
        <v>23.769926884202231</v>
      </c>
      <c r="AO225">
        <f t="shared" si="644"/>
        <v>899.99999999999989</v>
      </c>
      <c r="AP225">
        <f t="shared" si="645"/>
        <v>23.769926884202231</v>
      </c>
      <c r="AR225" s="5">
        <f t="shared" si="616"/>
        <v>42.069965333574984</v>
      </c>
      <c r="AS225" s="5">
        <f t="shared" si="604"/>
        <v>1.4163065483315647</v>
      </c>
      <c r="AT225" s="5">
        <f t="shared" si="605"/>
        <v>40.653658785243422</v>
      </c>
      <c r="AU225" s="173">
        <f t="shared" si="606"/>
        <v>3.3665503099458129E-2</v>
      </c>
      <c r="BA225" s="173">
        <f t="shared" si="692"/>
        <v>1.0593315990041099</v>
      </c>
      <c r="BB225" s="173">
        <f t="shared" si="693"/>
        <v>5.6754867541634457</v>
      </c>
      <c r="BC225" s="173">
        <f t="shared" si="694"/>
        <v>0.13977277182802528</v>
      </c>
      <c r="BD225" s="173"/>
      <c r="BE225" s="528">
        <f t="shared" si="695"/>
        <v>2.2443668732972086E-2</v>
      </c>
      <c r="BF225" s="528">
        <f t="shared" si="646"/>
        <v>0.44824453720253399</v>
      </c>
      <c r="BG225" s="528">
        <f t="shared" si="647"/>
        <v>5.0349114558999201E-2</v>
      </c>
      <c r="BH225" s="528">
        <f t="shared" si="696"/>
        <v>2.4043607016709063E-2</v>
      </c>
      <c r="BI225">
        <f t="shared" si="697"/>
        <v>3.8127339073319264E-2</v>
      </c>
      <c r="BJ225" s="460">
        <f t="shared" si="698"/>
        <v>88.476453632318453</v>
      </c>
      <c r="BK225">
        <f t="shared" si="648"/>
        <v>0.50347644992702423</v>
      </c>
      <c r="BL225" s="460">
        <f t="shared" si="699"/>
        <v>583.20826658453348</v>
      </c>
      <c r="BM225" s="173">
        <f t="shared" si="649"/>
        <v>0.55912499999999987</v>
      </c>
      <c r="BN225" s="173">
        <f t="shared" si="650"/>
        <v>9.9843749999999985E-3</v>
      </c>
      <c r="BQ225" s="460">
        <f t="shared" si="700"/>
        <v>569.10937499999989</v>
      </c>
      <c r="BR225" s="528">
        <f t="shared" si="701"/>
        <v>3.3665503099458129E-2</v>
      </c>
      <c r="BS225" s="528">
        <f t="shared" si="702"/>
        <v>0.96633449690054163</v>
      </c>
      <c r="BT225" s="528">
        <f t="shared" si="703"/>
        <v>9.7682138722446078E-5</v>
      </c>
      <c r="BU225" s="528">
        <f t="shared" si="704"/>
        <v>4.3555160551540101E-2</v>
      </c>
      <c r="BV225" s="528"/>
      <c r="BW225" s="625">
        <f t="shared" si="705"/>
        <v>2.3769926884202233E-3</v>
      </c>
      <c r="BX225" s="460">
        <f t="shared" si="706"/>
        <v>1046.0298353786825</v>
      </c>
      <c r="BY225" s="173">
        <f t="shared" si="707"/>
        <v>2.1983474769632161</v>
      </c>
      <c r="BZ225" s="5">
        <f t="shared" si="708"/>
        <v>13.679999999999998</v>
      </c>
      <c r="CA225" s="173">
        <f t="shared" si="709"/>
        <v>0.86155061286115298</v>
      </c>
      <c r="CB225" s="5">
        <f t="shared" si="710"/>
        <v>86.155061286115298</v>
      </c>
      <c r="CC225">
        <f t="shared" si="711"/>
        <v>9</v>
      </c>
      <c r="CE225" s="562">
        <f t="shared" si="651"/>
        <v>-50</v>
      </c>
      <c r="CG225" s="173">
        <f t="shared" si="652"/>
        <v>0.18415211103867365</v>
      </c>
      <c r="CH225" s="173">
        <f t="shared" si="653"/>
        <v>2.1585723785353589E-2</v>
      </c>
      <c r="CI225" s="170">
        <v>9</v>
      </c>
      <c r="CJ225" s="217">
        <f t="shared" si="712"/>
        <v>0.89999999999999991</v>
      </c>
      <c r="CK225" s="217">
        <f t="shared" si="654"/>
        <v>2.2499999999999999E-2</v>
      </c>
      <c r="CL225" s="217">
        <f t="shared" si="655"/>
        <v>13.499999999999998</v>
      </c>
      <c r="CM225" s="217">
        <f t="shared" si="656"/>
        <v>0.18</v>
      </c>
      <c r="CN225" s="541">
        <f t="shared" si="657"/>
        <v>85</v>
      </c>
      <c r="CO225" s="443">
        <f t="shared" si="658"/>
        <v>15.7</v>
      </c>
      <c r="CP225" s="443">
        <f t="shared" si="659"/>
        <v>100.7</v>
      </c>
      <c r="CQ225" s="443"/>
      <c r="CR225" s="217">
        <f t="shared" si="660"/>
        <v>0.15338645418326693</v>
      </c>
      <c r="CS225" s="172">
        <f t="shared" si="661"/>
        <v>321.65744915076539</v>
      </c>
      <c r="CT225" s="172">
        <f t="shared" si="662"/>
        <v>4.3459495351925632</v>
      </c>
      <c r="CU225" s="217">
        <f t="shared" si="663"/>
        <v>21.443829943384358</v>
      </c>
      <c r="CV225" s="217">
        <f t="shared" si="664"/>
        <v>40.207181143845673</v>
      </c>
      <c r="CW225" s="217">
        <f t="shared" si="665"/>
        <v>15</v>
      </c>
      <c r="CX225" s="217">
        <f t="shared" si="666"/>
        <v>2.0985057295645526</v>
      </c>
      <c r="CY225" s="217">
        <f t="shared" si="667"/>
        <v>0.29625963240911335</v>
      </c>
      <c r="CZ225" s="217">
        <f t="shared" si="668"/>
        <v>1.6039534238709958</v>
      </c>
      <c r="DA225" s="197">
        <f t="shared" si="669"/>
        <v>110.43528632903013</v>
      </c>
      <c r="DB225" s="443">
        <f t="shared" si="670"/>
        <v>350</v>
      </c>
      <c r="DD225" s="217">
        <f t="shared" si="671"/>
        <v>9.9999999999999982</v>
      </c>
      <c r="DE225" s="173">
        <f t="shared" si="672"/>
        <v>7.6433121019108263</v>
      </c>
      <c r="DF225" s="173">
        <f t="shared" si="673"/>
        <v>4.1649244760361679</v>
      </c>
      <c r="DG225" s="173"/>
      <c r="DH225" s="173">
        <f t="shared" si="674"/>
        <v>7.6433121019108281</v>
      </c>
      <c r="DI225" s="545">
        <f t="shared" si="675"/>
        <v>23.55</v>
      </c>
      <c r="DJ225" s="528">
        <f t="shared" si="676"/>
        <v>4.2204568023833167</v>
      </c>
      <c r="DL225" s="173">
        <f t="shared" si="677"/>
        <v>2.5523098781859765</v>
      </c>
      <c r="DM225" s="173">
        <f t="shared" si="678"/>
        <v>10</v>
      </c>
      <c r="DN225" s="173">
        <f t="shared" si="679"/>
        <v>1.0134571428571428</v>
      </c>
      <c r="DP225" s="545">
        <f t="shared" si="680"/>
        <v>899.99999999999989</v>
      </c>
      <c r="DQ225" s="460">
        <f t="shared" si="681"/>
        <v>23.55</v>
      </c>
      <c r="DS225">
        <f t="shared" si="682"/>
        <v>899.99999999999989</v>
      </c>
      <c r="DT225">
        <f t="shared" si="683"/>
        <v>23.55</v>
      </c>
      <c r="DV225" s="5">
        <f t="shared" si="684"/>
        <v>42.462845010615709</v>
      </c>
      <c r="DW225" s="5">
        <f t="shared" si="685"/>
        <v>1.4117647058823528</v>
      </c>
      <c r="DX225" s="5">
        <f t="shared" si="686"/>
        <v>41.051080304733354</v>
      </c>
      <c r="DY225" s="173">
        <f t="shared" si="687"/>
        <v>3.3247058823529407E-2</v>
      </c>
      <c r="EA225" s="5">
        <f t="shared" si="713"/>
        <v>8.470588235294116</v>
      </c>
      <c r="EB225" s="5">
        <f t="shared" si="714"/>
        <v>0.39705882352941169</v>
      </c>
      <c r="EC225" s="5">
        <f t="shared" si="715"/>
        <v>1.8110770722676479</v>
      </c>
      <c r="ED225" s="5"/>
      <c r="EE225" s="173">
        <f t="shared" si="716"/>
        <v>1.0527275498046238</v>
      </c>
      <c r="EF225" s="173">
        <f t="shared" si="717"/>
        <v>5.676715427006684</v>
      </c>
      <c r="EG225" s="173">
        <f t="shared" si="718"/>
        <v>0.13980303090824309</v>
      </c>
      <c r="EH225" s="173"/>
      <c r="EI225" s="528">
        <f t="shared" si="719"/>
        <v>2.2164705882352937E-2</v>
      </c>
      <c r="EJ225" s="528">
        <f t="shared" si="720"/>
        <v>0.47429700000000008</v>
      </c>
      <c r="EK225" s="528">
        <f t="shared" si="721"/>
        <v>2.9437500000000002E-3</v>
      </c>
      <c r="EL225" s="528">
        <f t="shared" si="722"/>
        <v>2.3880853950000003E-2</v>
      </c>
      <c r="EM225">
        <f t="shared" si="723"/>
        <v>3.8249999999999999E-2</v>
      </c>
      <c r="EN225" s="460">
        <f t="shared" si="724"/>
        <v>41.193750000000001</v>
      </c>
      <c r="EP225" s="460">
        <f t="shared" si="725"/>
        <v>561.53630983235303</v>
      </c>
      <c r="EQ225" s="173">
        <f t="shared" si="726"/>
        <v>0.62999999999999989</v>
      </c>
      <c r="ER225" s="173">
        <f t="shared" si="688"/>
        <v>9.9843749999999985E-3</v>
      </c>
      <c r="ES225" s="528"/>
      <c r="EU225" s="460">
        <f t="shared" si="727"/>
        <v>639.98437499999989</v>
      </c>
      <c r="EV225" s="528">
        <f t="shared" si="728"/>
        <v>3.32470588235294E-2</v>
      </c>
      <c r="EW225" s="528">
        <f t="shared" si="729"/>
        <v>0.96675294117647037</v>
      </c>
      <c r="EX225" s="528">
        <f t="shared" si="730"/>
        <v>9.7724437255655852E-5</v>
      </c>
      <c r="EY225" s="528">
        <f t="shared" si="731"/>
        <v>4.255467548430255E-2</v>
      </c>
      <c r="EZ225" s="528"/>
      <c r="FA225" s="625">
        <f t="shared" si="732"/>
        <v>2.3550000000000003E-3</v>
      </c>
      <c r="FB225" s="460">
        <f t="shared" si="733"/>
        <v>1045.0073999215581</v>
      </c>
      <c r="FC225" s="173">
        <f t="shared" si="734"/>
        <v>2.2465280847539111</v>
      </c>
      <c r="FD225" s="5">
        <f t="shared" si="735"/>
        <v>13.679999999999998</v>
      </c>
      <c r="FE225" s="173">
        <f t="shared" si="736"/>
        <v>0.85894426752655162</v>
      </c>
      <c r="FF225" s="5">
        <f t="shared" si="737"/>
        <v>85.894426752655164</v>
      </c>
      <c r="FG225">
        <f t="shared" si="738"/>
        <v>9</v>
      </c>
      <c r="FI225" s="562">
        <f t="shared" si="689"/>
        <v>-50</v>
      </c>
    </row>
    <row r="226" spans="5:165">
      <c r="E226" s="170">
        <v>10</v>
      </c>
      <c r="F226" s="217">
        <f t="shared" si="690"/>
        <v>1</v>
      </c>
      <c r="G226" s="217">
        <f t="shared" si="617"/>
        <v>2.5000000000000001E-2</v>
      </c>
      <c r="H226" s="217">
        <f t="shared" si="618"/>
        <v>15</v>
      </c>
      <c r="I226" s="217">
        <f t="shared" si="619"/>
        <v>0.2</v>
      </c>
      <c r="J226" s="541">
        <f t="shared" si="620"/>
        <v>84.727420162931693</v>
      </c>
      <c r="K226" s="443">
        <f t="shared" si="621"/>
        <v>15.846617922801491</v>
      </c>
      <c r="L226" s="172">
        <f t="shared" si="622"/>
        <v>100.57403808573318</v>
      </c>
      <c r="M226" s="443"/>
      <c r="N226" s="217">
        <f t="shared" si="623"/>
        <v>0.15756171497552104</v>
      </c>
      <c r="O226" s="172">
        <f t="shared" si="624"/>
        <v>329.35355985994391</v>
      </c>
      <c r="P226" s="172">
        <f t="shared" si="625"/>
        <v>4.4499325421076863</v>
      </c>
      <c r="Q226" s="217">
        <f t="shared" si="626"/>
        <v>21.956903990662926</v>
      </c>
      <c r="R226" s="217">
        <f t="shared" si="627"/>
        <v>41.169194982492989</v>
      </c>
      <c r="S226" s="217">
        <f t="shared" si="628"/>
        <v>15</v>
      </c>
      <c r="T226" s="217">
        <f t="shared" si="629"/>
        <v>2.2771880781216822</v>
      </c>
      <c r="U226" s="217">
        <f t="shared" si="630"/>
        <v>0.32251963868263089</v>
      </c>
      <c r="V226" s="217">
        <f t="shared" si="631"/>
        <v>1.7244220230829694</v>
      </c>
      <c r="W226" s="197">
        <f t="shared" si="632"/>
        <v>111.24831355269215</v>
      </c>
      <c r="X226" s="443">
        <f t="shared" si="691"/>
        <v>350</v>
      </c>
      <c r="Z226" s="217">
        <f t="shared" si="633"/>
        <v>10</v>
      </c>
      <c r="AA226" s="173">
        <f t="shared" si="634"/>
        <v>7.572593760043496</v>
      </c>
      <c r="AB226" s="173">
        <f t="shared" si="635"/>
        <v>4.1567678537392041</v>
      </c>
      <c r="AC226" s="173"/>
      <c r="AD226" s="173">
        <f t="shared" si="636"/>
        <v>7.572593760043496</v>
      </c>
      <c r="AE226" s="545">
        <f t="shared" si="637"/>
        <v>26.411029871335817</v>
      </c>
      <c r="AF226" s="528">
        <f t="shared" si="638"/>
        <v>4.2121914251223949</v>
      </c>
      <c r="AH226" s="173">
        <f t="shared" si="639"/>
        <v>2.6903708365381971</v>
      </c>
      <c r="AI226" s="173">
        <f t="shared" si="640"/>
        <v>10</v>
      </c>
      <c r="AJ226" s="173">
        <f t="shared" si="641"/>
        <v>1.0150920170693347</v>
      </c>
      <c r="AL226" s="545">
        <f t="shared" si="642"/>
        <v>1000</v>
      </c>
      <c r="AM226" s="460">
        <f t="shared" si="643"/>
        <v>26.411029871335817</v>
      </c>
      <c r="AO226">
        <f t="shared" si="644"/>
        <v>1000</v>
      </c>
      <c r="AP226">
        <f t="shared" si="645"/>
        <v>26.411029871335817</v>
      </c>
      <c r="AR226" s="5">
        <f t="shared" si="616"/>
        <v>37.862968800217487</v>
      </c>
      <c r="AS226" s="5">
        <f t="shared" si="604"/>
        <v>1.4163065483315647</v>
      </c>
      <c r="AT226" s="5">
        <f t="shared" si="605"/>
        <v>36.446662251885925</v>
      </c>
      <c r="AU226" s="173">
        <f t="shared" si="606"/>
        <v>3.7406114554953476E-2</v>
      </c>
      <c r="BA226" s="173">
        <f t="shared" si="692"/>
        <v>1.1166335500803815</v>
      </c>
      <c r="BB226" s="173">
        <f t="shared" si="693"/>
        <v>5.6644914024268953</v>
      </c>
      <c r="BC226" s="173">
        <f t="shared" si="694"/>
        <v>0.13950198434212122</v>
      </c>
      <c r="BD226" s="173"/>
      <c r="BE226" s="528">
        <f t="shared" si="695"/>
        <v>2.4937409703302316E-2</v>
      </c>
      <c r="BF226" s="528">
        <f t="shared" si="646"/>
        <v>0.49804948578059338</v>
      </c>
      <c r="BG226" s="528">
        <f t="shared" si="647"/>
        <v>5.594346062111024E-2</v>
      </c>
      <c r="BH226" s="528">
        <f t="shared" si="696"/>
        <v>2.6715118907454521E-2</v>
      </c>
      <c r="BI226">
        <f t="shared" si="697"/>
        <v>3.8127339073319264E-2</v>
      </c>
      <c r="BJ226" s="460">
        <f t="shared" si="698"/>
        <v>94.070799694429496</v>
      </c>
      <c r="BK226">
        <f t="shared" si="648"/>
        <v>0.55975171588140593</v>
      </c>
      <c r="BL226" s="460">
        <f t="shared" si="699"/>
        <v>643.7728140857796</v>
      </c>
      <c r="BM226" s="173">
        <f t="shared" si="649"/>
        <v>0.62124999999999997</v>
      </c>
      <c r="BN226" s="173">
        <f t="shared" si="650"/>
        <v>1.1093749999999999E-2</v>
      </c>
      <c r="BQ226" s="460">
        <f t="shared" si="700"/>
        <v>632.34375</v>
      </c>
      <c r="BR226" s="528">
        <f t="shared" si="701"/>
        <v>3.7406114554953469E-2</v>
      </c>
      <c r="BS226" s="528">
        <f t="shared" si="702"/>
        <v>0.96259388544504654</v>
      </c>
      <c r="BT226" s="528">
        <f t="shared" si="703"/>
        <v>9.7304018176947173E-5</v>
      </c>
      <c r="BU226" s="528">
        <f t="shared" si="704"/>
        <v>5.6680457282791107E-2</v>
      </c>
      <c r="BV226" s="528"/>
      <c r="BW226" s="625">
        <f t="shared" si="705"/>
        <v>2.6411029871335821E-3</v>
      </c>
      <c r="BX226" s="460">
        <f t="shared" si="706"/>
        <v>1059.4188642881015</v>
      </c>
      <c r="BY226" s="173">
        <f t="shared" si="707"/>
        <v>2.3355354283738814</v>
      </c>
      <c r="BZ226" s="5">
        <f t="shared" si="708"/>
        <v>15.2</v>
      </c>
      <c r="CA226" s="173">
        <f t="shared" si="709"/>
        <v>0.86681128512364669</v>
      </c>
      <c r="CB226" s="5">
        <f t="shared" si="710"/>
        <v>86.681128512364666</v>
      </c>
      <c r="CC226">
        <f t="shared" si="711"/>
        <v>10</v>
      </c>
      <c r="CE226" s="562">
        <f t="shared" si="651"/>
        <v>-50</v>
      </c>
      <c r="CG226" s="173">
        <f t="shared" si="652"/>
        <v>0.2046134567096374</v>
      </c>
      <c r="CH226" s="173">
        <f t="shared" si="653"/>
        <v>2.3984137539281764E-2</v>
      </c>
      <c r="CI226" s="170">
        <v>10</v>
      </c>
      <c r="CJ226" s="217">
        <f t="shared" si="712"/>
        <v>1</v>
      </c>
      <c r="CK226" s="217">
        <f t="shared" si="654"/>
        <v>2.5000000000000001E-2</v>
      </c>
      <c r="CL226" s="217">
        <f t="shared" si="655"/>
        <v>15</v>
      </c>
      <c r="CM226" s="217">
        <f t="shared" si="656"/>
        <v>0.2</v>
      </c>
      <c r="CN226" s="541">
        <f t="shared" si="657"/>
        <v>85</v>
      </c>
      <c r="CO226" s="443">
        <f t="shared" si="658"/>
        <v>15.7</v>
      </c>
      <c r="CP226" s="443">
        <f t="shared" si="659"/>
        <v>100.7</v>
      </c>
      <c r="CQ226" s="443"/>
      <c r="CR226" s="217">
        <f t="shared" si="660"/>
        <v>0.15338645418326693</v>
      </c>
      <c r="CS226" s="172">
        <f t="shared" si="661"/>
        <v>321.65744915076539</v>
      </c>
      <c r="CT226" s="172">
        <f t="shared" si="662"/>
        <v>4.3459495351925632</v>
      </c>
      <c r="CU226" s="217">
        <f t="shared" si="663"/>
        <v>21.443829943384358</v>
      </c>
      <c r="CV226" s="217">
        <f t="shared" si="664"/>
        <v>40.207181143845673</v>
      </c>
      <c r="CW226" s="217">
        <f t="shared" si="665"/>
        <v>15</v>
      </c>
      <c r="CX226" s="217">
        <f t="shared" si="666"/>
        <v>2.3316730328495034</v>
      </c>
      <c r="CY226" s="217">
        <f t="shared" si="667"/>
        <v>0.32917736934345926</v>
      </c>
      <c r="CZ226" s="217">
        <f t="shared" si="668"/>
        <v>1.7821704709677733</v>
      </c>
      <c r="DA226" s="197">
        <f t="shared" si="669"/>
        <v>110.43528632903013</v>
      </c>
      <c r="DB226" s="443">
        <f t="shared" si="670"/>
        <v>350</v>
      </c>
      <c r="DD226" s="217">
        <f t="shared" si="671"/>
        <v>9.9999999999999982</v>
      </c>
      <c r="DE226" s="173">
        <f t="shared" si="672"/>
        <v>7.6433121019108263</v>
      </c>
      <c r="DF226" s="173">
        <f t="shared" si="673"/>
        <v>4.1649244760361679</v>
      </c>
      <c r="DG226" s="173"/>
      <c r="DH226" s="173">
        <f t="shared" si="674"/>
        <v>7.6433121019108281</v>
      </c>
      <c r="DI226" s="545">
        <f t="shared" si="675"/>
        <v>26.166666666666668</v>
      </c>
      <c r="DJ226" s="528">
        <f t="shared" si="676"/>
        <v>4.2204568023833167</v>
      </c>
      <c r="DL226" s="173">
        <f t="shared" si="677"/>
        <v>2.6903708365381971</v>
      </c>
      <c r="DM226" s="173">
        <f t="shared" si="678"/>
        <v>10</v>
      </c>
      <c r="DN226" s="173">
        <f t="shared" si="679"/>
        <v>1.0149523809523811</v>
      </c>
      <c r="DP226" s="545">
        <f t="shared" si="680"/>
        <v>1000</v>
      </c>
      <c r="DQ226" s="460">
        <f t="shared" si="681"/>
        <v>26.166666666666668</v>
      </c>
      <c r="DS226">
        <f t="shared" si="682"/>
        <v>1000</v>
      </c>
      <c r="DT226">
        <f t="shared" si="683"/>
        <v>26.166666666666668</v>
      </c>
      <c r="DV226" s="5">
        <f t="shared" si="684"/>
        <v>38.216560509554135</v>
      </c>
      <c r="DW226" s="5">
        <f t="shared" si="685"/>
        <v>1.4117647058823528</v>
      </c>
      <c r="DX226" s="5">
        <f t="shared" si="686"/>
        <v>36.80479580367178</v>
      </c>
      <c r="DY226" s="173">
        <f t="shared" si="687"/>
        <v>3.6941176470588234E-2</v>
      </c>
      <c r="EA226" s="5">
        <f t="shared" si="713"/>
        <v>9.4117647058823515</v>
      </c>
      <c r="EB226" s="5">
        <f t="shared" si="714"/>
        <v>0.44117647058823534</v>
      </c>
      <c r="EC226" s="5">
        <f t="shared" si="715"/>
        <v>1.8041566570427345</v>
      </c>
      <c r="ED226" s="5"/>
      <c r="EE226" s="173">
        <f t="shared" si="716"/>
        <v>1.1096722709969857</v>
      </c>
      <c r="EF226" s="173">
        <f t="shared" si="717"/>
        <v>5.6658592273647015</v>
      </c>
      <c r="EG226" s="173">
        <f t="shared" si="718"/>
        <v>0.13953567038372677</v>
      </c>
      <c r="EH226" s="173"/>
      <c r="EI226" s="528">
        <f t="shared" si="719"/>
        <v>2.4627450980392155E-2</v>
      </c>
      <c r="EJ226" s="528">
        <f t="shared" si="720"/>
        <v>0.52699666666666678</v>
      </c>
      <c r="EK226" s="528">
        <f t="shared" si="721"/>
        <v>3.2708333333333335E-3</v>
      </c>
      <c r="EL226" s="528">
        <f t="shared" si="722"/>
        <v>2.6534282166666669E-2</v>
      </c>
      <c r="EM226">
        <f t="shared" si="723"/>
        <v>3.8249999999999999E-2</v>
      </c>
      <c r="EN226" s="460">
        <f t="shared" si="724"/>
        <v>41.520833333333336</v>
      </c>
      <c r="EP226" s="460">
        <f t="shared" si="725"/>
        <v>619.67923314705899</v>
      </c>
      <c r="EQ226" s="173">
        <f t="shared" si="726"/>
        <v>0.7</v>
      </c>
      <c r="ER226" s="173">
        <f t="shared" si="688"/>
        <v>1.1093749999999999E-2</v>
      </c>
      <c r="ES226" s="528"/>
      <c r="EU226" s="460">
        <f t="shared" si="727"/>
        <v>711.09375</v>
      </c>
      <c r="EV226" s="528">
        <f t="shared" si="728"/>
        <v>3.6941176470588227E-2</v>
      </c>
      <c r="EW226" s="528">
        <f t="shared" si="729"/>
        <v>0.96305882352941197</v>
      </c>
      <c r="EX226" s="528">
        <f t="shared" si="730"/>
        <v>9.7351016547180222E-5</v>
      </c>
      <c r="EY226" s="528">
        <f t="shared" si="731"/>
        <v>5.5378477209763376E-2</v>
      </c>
      <c r="EZ226" s="528"/>
      <c r="FA226" s="625">
        <f t="shared" si="732"/>
        <v>2.6166666666666669E-3</v>
      </c>
      <c r="FB226" s="460">
        <f t="shared" si="733"/>
        <v>1058.0924948929776</v>
      </c>
      <c r="FC226" s="173">
        <f t="shared" si="734"/>
        <v>2.388865478040036</v>
      </c>
      <c r="FD226" s="5">
        <f t="shared" si="735"/>
        <v>15.2</v>
      </c>
      <c r="FE226" s="173">
        <f t="shared" si="736"/>
        <v>0.86418308326807258</v>
      </c>
      <c r="FF226" s="5">
        <f t="shared" si="737"/>
        <v>86.418308326807264</v>
      </c>
      <c r="FG226">
        <f t="shared" si="738"/>
        <v>10</v>
      </c>
      <c r="FI226" s="562">
        <f t="shared" si="689"/>
        <v>-50</v>
      </c>
    </row>
    <row r="227" spans="5:165">
      <c r="E227" s="170">
        <v>11</v>
      </c>
      <c r="F227" s="217">
        <f t="shared" si="690"/>
        <v>1.1000000000000001</v>
      </c>
      <c r="G227" s="217">
        <f t="shared" si="617"/>
        <v>2.75E-2</v>
      </c>
      <c r="H227" s="217">
        <f t="shared" si="618"/>
        <v>16.5</v>
      </c>
      <c r="I227" s="217">
        <f t="shared" si="619"/>
        <v>0.22</v>
      </c>
      <c r="J227" s="541">
        <f t="shared" si="620"/>
        <v>84.727420162931693</v>
      </c>
      <c r="K227" s="443">
        <f t="shared" si="621"/>
        <v>15.846617922801491</v>
      </c>
      <c r="L227" s="172">
        <f t="shared" si="622"/>
        <v>100.57403808573318</v>
      </c>
      <c r="M227" s="443"/>
      <c r="N227" s="217">
        <f t="shared" si="623"/>
        <v>0.15756171497552104</v>
      </c>
      <c r="O227" s="172">
        <f t="shared" si="624"/>
        <v>329.35355985994391</v>
      </c>
      <c r="P227" s="172">
        <f t="shared" si="625"/>
        <v>4.4499325421076863</v>
      </c>
      <c r="Q227" s="217">
        <f t="shared" si="626"/>
        <v>21.956903990662926</v>
      </c>
      <c r="R227" s="217">
        <f t="shared" si="627"/>
        <v>41.169194982492989</v>
      </c>
      <c r="S227" s="217">
        <f t="shared" si="628"/>
        <v>15</v>
      </c>
      <c r="T227" s="217">
        <f t="shared" si="629"/>
        <v>2.5049068859338504</v>
      </c>
      <c r="U227" s="217">
        <f t="shared" si="630"/>
        <v>0.35477160255089402</v>
      </c>
      <c r="V227" s="217">
        <f t="shared" si="631"/>
        <v>1.8968642253912662</v>
      </c>
      <c r="W227" s="197">
        <f t="shared" si="632"/>
        <v>111.24831355269215</v>
      </c>
      <c r="X227" s="443">
        <f t="shared" si="691"/>
        <v>350</v>
      </c>
      <c r="Z227" s="217">
        <f t="shared" si="633"/>
        <v>10</v>
      </c>
      <c r="AA227" s="173">
        <f t="shared" si="634"/>
        <v>7.572593760043496</v>
      </c>
      <c r="AB227" s="173">
        <f t="shared" si="635"/>
        <v>4.1567678537392041</v>
      </c>
      <c r="AC227" s="173"/>
      <c r="AD227" s="173">
        <f t="shared" si="636"/>
        <v>7.572593760043496</v>
      </c>
      <c r="AE227" s="545">
        <f t="shared" si="637"/>
        <v>29.052132858469403</v>
      </c>
      <c r="AF227" s="528">
        <f t="shared" si="638"/>
        <v>4.2121914251223949</v>
      </c>
      <c r="AH227" s="173">
        <f t="shared" si="639"/>
        <v>2.8216847382201933</v>
      </c>
      <c r="AI227" s="173">
        <f t="shared" si="640"/>
        <v>10</v>
      </c>
      <c r="AJ227" s="173">
        <f t="shared" si="641"/>
        <v>1.0166012187762683</v>
      </c>
      <c r="AL227" s="545">
        <f t="shared" si="642"/>
        <v>1100</v>
      </c>
      <c r="AM227" s="460">
        <f t="shared" si="643"/>
        <v>29.052132858469403</v>
      </c>
      <c r="AO227">
        <f t="shared" si="644"/>
        <v>1100</v>
      </c>
      <c r="AP227">
        <f t="shared" si="645"/>
        <v>29.052132858469403</v>
      </c>
      <c r="AR227" s="5">
        <f t="shared" si="616"/>
        <v>34.420880727470433</v>
      </c>
      <c r="AS227" s="5">
        <f t="shared" si="604"/>
        <v>1.4163065483315647</v>
      </c>
      <c r="AT227" s="5">
        <f t="shared" si="605"/>
        <v>33.004574179138871</v>
      </c>
      <c r="AU227" s="173">
        <f t="shared" si="606"/>
        <v>4.1146726010448838E-2</v>
      </c>
      <c r="BA227" s="173">
        <f t="shared" si="692"/>
        <v>1.1711351474879523</v>
      </c>
      <c r="BB227" s="173">
        <f t="shared" si="693"/>
        <v>5.6534746660484556</v>
      </c>
      <c r="BC227" s="173">
        <f t="shared" si="694"/>
        <v>0.13923067020699728</v>
      </c>
      <c r="BD227" s="173"/>
      <c r="BE227" s="528">
        <f t="shared" si="695"/>
        <v>2.7431150673632557E-2</v>
      </c>
      <c r="BF227" s="528">
        <f t="shared" si="646"/>
        <v>0.54785443435865289</v>
      </c>
      <c r="BG227" s="528">
        <f t="shared" si="647"/>
        <v>6.1537806683221272E-2</v>
      </c>
      <c r="BH227" s="528">
        <f t="shared" si="696"/>
        <v>2.9386630798199975E-2</v>
      </c>
      <c r="BI227">
        <f t="shared" si="697"/>
        <v>3.8127339073319264E-2</v>
      </c>
      <c r="BJ227" s="460">
        <f t="shared" si="698"/>
        <v>99.665145756540539</v>
      </c>
      <c r="BK227">
        <f t="shared" si="648"/>
        <v>0.61609410697028566</v>
      </c>
      <c r="BL227" s="460">
        <f t="shared" si="699"/>
        <v>704.33736158702584</v>
      </c>
      <c r="BM227" s="173">
        <f t="shared" si="649"/>
        <v>0.68337499999999995</v>
      </c>
      <c r="BN227" s="173">
        <f t="shared" si="650"/>
        <v>1.2203124999999999E-2</v>
      </c>
      <c r="BQ227" s="460">
        <f t="shared" si="700"/>
        <v>695.57812499999989</v>
      </c>
      <c r="BR227" s="528">
        <f t="shared" si="701"/>
        <v>4.1146726010448838E-2</v>
      </c>
      <c r="BS227" s="528">
        <f t="shared" si="702"/>
        <v>0.95885327398955089</v>
      </c>
      <c r="BT227" s="528">
        <f t="shared" si="703"/>
        <v>9.69258976314482E-5</v>
      </c>
      <c r="BU227" s="528">
        <f t="shared" si="704"/>
        <v>7.1930827790991164E-2</v>
      </c>
      <c r="BV227" s="528"/>
      <c r="BW227" s="625">
        <f t="shared" si="705"/>
        <v>2.9052132858469405E-3</v>
      </c>
      <c r="BX227" s="460">
        <f t="shared" si="706"/>
        <v>1074.9329669744693</v>
      </c>
      <c r="BY227" s="173">
        <f t="shared" si="707"/>
        <v>2.4748484535614952</v>
      </c>
      <c r="BZ227" s="5">
        <f t="shared" si="708"/>
        <v>16.72</v>
      </c>
      <c r="CA227" s="173">
        <f t="shared" si="709"/>
        <v>0.87106704908095789</v>
      </c>
      <c r="CB227" s="5">
        <f t="shared" si="710"/>
        <v>87.106704908095793</v>
      </c>
      <c r="CC227">
        <f t="shared" si="711"/>
        <v>11.000000000000002</v>
      </c>
      <c r="CE227" s="562">
        <f t="shared" si="651"/>
        <v>-50</v>
      </c>
      <c r="CG227" s="173">
        <f t="shared" si="652"/>
        <v>0.22507480238060121</v>
      </c>
      <c r="CH227" s="173">
        <f t="shared" si="653"/>
        <v>2.6382551293209943E-2</v>
      </c>
      <c r="CI227" s="170">
        <v>11</v>
      </c>
      <c r="CJ227" s="217">
        <f t="shared" si="712"/>
        <v>1.1000000000000001</v>
      </c>
      <c r="CK227" s="217">
        <f t="shared" si="654"/>
        <v>2.75E-2</v>
      </c>
      <c r="CL227" s="217">
        <f t="shared" si="655"/>
        <v>16.5</v>
      </c>
      <c r="CM227" s="217">
        <f t="shared" si="656"/>
        <v>0.22</v>
      </c>
      <c r="CN227" s="541">
        <f t="shared" si="657"/>
        <v>85</v>
      </c>
      <c r="CO227" s="443">
        <f t="shared" si="658"/>
        <v>15.7</v>
      </c>
      <c r="CP227" s="443">
        <f t="shared" si="659"/>
        <v>100.7</v>
      </c>
      <c r="CQ227" s="443"/>
      <c r="CR227" s="217">
        <f t="shared" si="660"/>
        <v>0.15338645418326693</v>
      </c>
      <c r="CS227" s="172">
        <f t="shared" si="661"/>
        <v>321.65744915076539</v>
      </c>
      <c r="CT227" s="172">
        <f t="shared" si="662"/>
        <v>4.3459495351925632</v>
      </c>
      <c r="CU227" s="217">
        <f t="shared" si="663"/>
        <v>21.443829943384358</v>
      </c>
      <c r="CV227" s="217">
        <f t="shared" si="664"/>
        <v>40.207181143845673</v>
      </c>
      <c r="CW227" s="217">
        <f t="shared" si="665"/>
        <v>15</v>
      </c>
      <c r="CX227" s="217">
        <f t="shared" si="666"/>
        <v>2.5648403361344534</v>
      </c>
      <c r="CY227" s="217">
        <f t="shared" si="667"/>
        <v>0.36209510627780522</v>
      </c>
      <c r="CZ227" s="217">
        <f t="shared" si="668"/>
        <v>1.9603875180645509</v>
      </c>
      <c r="DA227" s="197">
        <f t="shared" si="669"/>
        <v>110.43528632903013</v>
      </c>
      <c r="DB227" s="443">
        <f t="shared" si="670"/>
        <v>350</v>
      </c>
      <c r="DD227" s="217">
        <f t="shared" si="671"/>
        <v>9.9999999999999982</v>
      </c>
      <c r="DE227" s="173">
        <f t="shared" si="672"/>
        <v>7.6433121019108263</v>
      </c>
      <c r="DF227" s="173">
        <f t="shared" si="673"/>
        <v>4.1649244760361679</v>
      </c>
      <c r="DG227" s="173"/>
      <c r="DH227" s="173">
        <f t="shared" si="674"/>
        <v>7.6433121019108281</v>
      </c>
      <c r="DI227" s="545">
        <f t="shared" si="675"/>
        <v>28.783333333333339</v>
      </c>
      <c r="DJ227" s="528">
        <f t="shared" si="676"/>
        <v>4.2204568023833167</v>
      </c>
      <c r="DL227" s="173">
        <f t="shared" si="677"/>
        <v>2.8216847382201933</v>
      </c>
      <c r="DM227" s="173">
        <f t="shared" si="678"/>
        <v>10</v>
      </c>
      <c r="DN227" s="173">
        <f t="shared" si="679"/>
        <v>1.016447619047619</v>
      </c>
      <c r="DP227" s="545">
        <f t="shared" si="680"/>
        <v>1100</v>
      </c>
      <c r="DQ227" s="460">
        <f t="shared" si="681"/>
        <v>28.783333333333339</v>
      </c>
      <c r="DS227">
        <f t="shared" si="682"/>
        <v>1100</v>
      </c>
      <c r="DT227">
        <f t="shared" si="683"/>
        <v>28.783333333333339</v>
      </c>
      <c r="DV227" s="5">
        <f t="shared" si="684"/>
        <v>34.742327735958305</v>
      </c>
      <c r="DW227" s="5">
        <f t="shared" si="685"/>
        <v>1.4117647058823528</v>
      </c>
      <c r="DX227" s="5">
        <f t="shared" si="686"/>
        <v>33.33056303007595</v>
      </c>
      <c r="DY227" s="173">
        <f t="shared" si="687"/>
        <v>4.0635294117647061E-2</v>
      </c>
      <c r="EA227" s="5">
        <f t="shared" si="713"/>
        <v>10.352941176470589</v>
      </c>
      <c r="EB227" s="5">
        <f t="shared" si="714"/>
        <v>0.48529411764705876</v>
      </c>
      <c r="EC227" s="5">
        <f t="shared" si="715"/>
        <v>1.7972362418178209</v>
      </c>
      <c r="ED227" s="5"/>
      <c r="EE227" s="173">
        <f t="shared" si="716"/>
        <v>1.163834096390705</v>
      </c>
      <c r="EF227" s="173">
        <f t="shared" si="717"/>
        <v>5.654982186480499</v>
      </c>
      <c r="EG227" s="173">
        <f t="shared" si="718"/>
        <v>0.13926779659253941</v>
      </c>
      <c r="EH227" s="173"/>
      <c r="EI227" s="528">
        <f t="shared" si="719"/>
        <v>2.7090196078431376E-2</v>
      </c>
      <c r="EJ227" s="528">
        <f t="shared" si="720"/>
        <v>0.57969633333333348</v>
      </c>
      <c r="EK227" s="528">
        <f t="shared" si="721"/>
        <v>3.5979166666666672E-3</v>
      </c>
      <c r="EL227" s="528">
        <f t="shared" si="722"/>
        <v>2.9187710383333339E-2</v>
      </c>
      <c r="EM227">
        <f t="shared" si="723"/>
        <v>3.8249999999999999E-2</v>
      </c>
      <c r="EN227" s="460">
        <f t="shared" si="724"/>
        <v>41.847916666666663</v>
      </c>
      <c r="EP227" s="460">
        <f t="shared" si="725"/>
        <v>677.82215646176485</v>
      </c>
      <c r="EQ227" s="173">
        <f t="shared" si="726"/>
        <v>0.77</v>
      </c>
      <c r="ER227" s="173">
        <f t="shared" si="688"/>
        <v>1.2203124999999999E-2</v>
      </c>
      <c r="ES227" s="528"/>
      <c r="EU227" s="460">
        <f t="shared" si="727"/>
        <v>782.203125</v>
      </c>
      <c r="EV227" s="528">
        <f t="shared" si="728"/>
        <v>4.0635294117647061E-2</v>
      </c>
      <c r="EW227" s="528">
        <f t="shared" si="729"/>
        <v>0.9593647058823529</v>
      </c>
      <c r="EX227" s="528">
        <f t="shared" si="730"/>
        <v>9.6977595838704659E-5</v>
      </c>
      <c r="EY227" s="528">
        <f t="shared" si="731"/>
        <v>7.0278538643904612E-2</v>
      </c>
      <c r="EZ227" s="528"/>
      <c r="FA227" s="625">
        <f t="shared" si="732"/>
        <v>2.8783333333333343E-3</v>
      </c>
      <c r="FB227" s="460">
        <f t="shared" si="733"/>
        <v>1073.2538495730766</v>
      </c>
      <c r="FC227" s="173">
        <f t="shared" si="734"/>
        <v>2.5332791310348415</v>
      </c>
      <c r="FD227" s="5">
        <f t="shared" si="735"/>
        <v>16.72</v>
      </c>
      <c r="FE227" s="173">
        <f t="shared" si="736"/>
        <v>0.86842349743159408</v>
      </c>
      <c r="FF227" s="5">
        <f t="shared" si="737"/>
        <v>86.842349743159403</v>
      </c>
      <c r="FG227">
        <f t="shared" si="738"/>
        <v>11.000000000000002</v>
      </c>
      <c r="FI227" s="562">
        <f t="shared" si="689"/>
        <v>-50</v>
      </c>
    </row>
    <row r="228" spans="5:165">
      <c r="E228" s="170">
        <v>12</v>
      </c>
      <c r="F228" s="217">
        <f t="shared" si="690"/>
        <v>1.2</v>
      </c>
      <c r="G228" s="217">
        <f t="shared" si="617"/>
        <v>0.03</v>
      </c>
      <c r="H228" s="217">
        <f t="shared" si="618"/>
        <v>18</v>
      </c>
      <c r="I228" s="217">
        <f t="shared" si="619"/>
        <v>0.24</v>
      </c>
      <c r="J228" s="541">
        <f t="shared" si="620"/>
        <v>84.727420162931693</v>
      </c>
      <c r="K228" s="443">
        <f t="shared" si="621"/>
        <v>15.846617922801491</v>
      </c>
      <c r="L228" s="172">
        <f t="shared" si="622"/>
        <v>100.57403808573318</v>
      </c>
      <c r="M228" s="443"/>
      <c r="N228" s="217">
        <f t="shared" si="623"/>
        <v>0.15756171497552104</v>
      </c>
      <c r="O228" s="172">
        <f t="shared" si="624"/>
        <v>329.35355985994391</v>
      </c>
      <c r="P228" s="172">
        <f t="shared" si="625"/>
        <v>4.4499325421076863</v>
      </c>
      <c r="Q228" s="217">
        <f t="shared" si="626"/>
        <v>21.956903990662926</v>
      </c>
      <c r="R228" s="217">
        <f t="shared" si="627"/>
        <v>41.169194982492989</v>
      </c>
      <c r="S228" s="217">
        <f t="shared" si="628"/>
        <v>15</v>
      </c>
      <c r="T228" s="217">
        <f t="shared" si="629"/>
        <v>2.7326256937460185</v>
      </c>
      <c r="U228" s="217">
        <f t="shared" si="630"/>
        <v>0.38702356641915714</v>
      </c>
      <c r="V228" s="217">
        <f t="shared" si="631"/>
        <v>2.069306427699563</v>
      </c>
      <c r="W228" s="197">
        <f t="shared" si="632"/>
        <v>111.24831355269215</v>
      </c>
      <c r="X228" s="443">
        <f t="shared" si="691"/>
        <v>350</v>
      </c>
      <c r="Z228" s="217">
        <f t="shared" si="633"/>
        <v>10</v>
      </c>
      <c r="AA228" s="173">
        <f t="shared" si="634"/>
        <v>7.572593760043496</v>
      </c>
      <c r="AB228" s="173">
        <f t="shared" si="635"/>
        <v>4.1567678537392041</v>
      </c>
      <c r="AC228" s="173"/>
      <c r="AD228" s="173">
        <f t="shared" si="636"/>
        <v>7.572593760043496</v>
      </c>
      <c r="AE228" s="545">
        <f t="shared" si="637"/>
        <v>31.693235845602981</v>
      </c>
      <c r="AF228" s="528">
        <f t="shared" si="638"/>
        <v>4.2121914251223949</v>
      </c>
      <c r="AH228" s="173">
        <f t="shared" si="639"/>
        <v>2.9471535904520287</v>
      </c>
      <c r="AI228" s="173">
        <f t="shared" si="640"/>
        <v>10</v>
      </c>
      <c r="AJ228" s="173">
        <f t="shared" si="641"/>
        <v>1.0181104204832017</v>
      </c>
      <c r="AL228" s="545">
        <f t="shared" si="642"/>
        <v>1200</v>
      </c>
      <c r="AM228" s="460">
        <f t="shared" si="643"/>
        <v>31.693235845602981</v>
      </c>
      <c r="AO228">
        <f t="shared" si="644"/>
        <v>1200</v>
      </c>
      <c r="AP228">
        <f t="shared" si="645"/>
        <v>31.693235845602981</v>
      </c>
      <c r="AR228" s="5">
        <f t="shared" si="616"/>
        <v>31.552474000181235</v>
      </c>
      <c r="AS228" s="5">
        <f t="shared" si="604"/>
        <v>1.4163065483315647</v>
      </c>
      <c r="AT228" s="5">
        <f t="shared" si="605"/>
        <v>30.136167451849669</v>
      </c>
      <c r="AU228" s="173">
        <f t="shared" si="606"/>
        <v>4.4887337465944178E-2</v>
      </c>
      <c r="BA228" s="173">
        <f t="shared" si="692"/>
        <v>1.2232107676921991</v>
      </c>
      <c r="BB228" s="173">
        <f t="shared" si="693"/>
        <v>5.6424364197689636</v>
      </c>
      <c r="BC228" s="173">
        <f t="shared" si="694"/>
        <v>0.1389588263378396</v>
      </c>
      <c r="BD228" s="173"/>
      <c r="BE228" s="528">
        <f t="shared" si="695"/>
        <v>2.9924891643962781E-2</v>
      </c>
      <c r="BF228" s="528">
        <f t="shared" si="646"/>
        <v>0.59765938293671206</v>
      </c>
      <c r="BG228" s="528">
        <f t="shared" si="647"/>
        <v>6.7132152745332282E-2</v>
      </c>
      <c r="BH228" s="528">
        <f t="shared" si="696"/>
        <v>3.2058142688945426E-2</v>
      </c>
      <c r="BI228">
        <f t="shared" si="697"/>
        <v>3.8127339073319264E-2</v>
      </c>
      <c r="BJ228" s="460">
        <f t="shared" si="698"/>
        <v>105.25949181865154</v>
      </c>
      <c r="BK228">
        <f t="shared" si="648"/>
        <v>0.67250374336561947</v>
      </c>
      <c r="BL228" s="460">
        <f t="shared" si="699"/>
        <v>764.90190908827174</v>
      </c>
      <c r="BM228" s="173">
        <f t="shared" si="649"/>
        <v>0.74549999999999994</v>
      </c>
      <c r="BN228" s="173">
        <f t="shared" si="650"/>
        <v>1.33125E-2</v>
      </c>
      <c r="BQ228" s="460">
        <f t="shared" si="700"/>
        <v>758.81249999999989</v>
      </c>
      <c r="BR228" s="528">
        <f t="shared" si="701"/>
        <v>4.4887337465944165E-2</v>
      </c>
      <c r="BS228" s="528">
        <f t="shared" si="702"/>
        <v>0.95511266253405602</v>
      </c>
      <c r="BT228" s="528">
        <f t="shared" si="703"/>
        <v>9.6547777085949322E-5</v>
      </c>
      <c r="BU228" s="528">
        <f t="shared" si="704"/>
        <v>8.9410075267658776E-2</v>
      </c>
      <c r="BV228" s="528"/>
      <c r="BW228" s="625">
        <f t="shared" si="705"/>
        <v>3.1693235845602981E-3</v>
      </c>
      <c r="BX228" s="460">
        <f t="shared" si="706"/>
        <v>1092.6759466293051</v>
      </c>
      <c r="BY228" s="173">
        <f t="shared" si="707"/>
        <v>2.6163903557175767</v>
      </c>
      <c r="BZ228" s="5">
        <f t="shared" si="708"/>
        <v>18.239999999999998</v>
      </c>
      <c r="CA228" s="173">
        <f t="shared" si="709"/>
        <v>0.87455210076654899</v>
      </c>
      <c r="CB228" s="5">
        <f t="shared" si="710"/>
        <v>87.455210076654893</v>
      </c>
      <c r="CC228">
        <f t="shared" si="711"/>
        <v>12</v>
      </c>
      <c r="CE228" s="562">
        <f t="shared" si="651"/>
        <v>-50</v>
      </c>
      <c r="CG228" s="173">
        <f t="shared" si="652"/>
        <v>0.2455361480515649</v>
      </c>
      <c r="CH228" s="173">
        <f t="shared" si="653"/>
        <v>2.8780965047138115E-2</v>
      </c>
      <c r="CI228" s="170">
        <v>12</v>
      </c>
      <c r="CJ228" s="217">
        <f t="shared" si="712"/>
        <v>1.2</v>
      </c>
      <c r="CK228" s="217">
        <f t="shared" si="654"/>
        <v>0.03</v>
      </c>
      <c r="CL228" s="217">
        <f t="shared" si="655"/>
        <v>18</v>
      </c>
      <c r="CM228" s="217">
        <f t="shared" si="656"/>
        <v>0.24</v>
      </c>
      <c r="CN228" s="541">
        <f t="shared" si="657"/>
        <v>85</v>
      </c>
      <c r="CO228" s="443">
        <f t="shared" si="658"/>
        <v>15.7</v>
      </c>
      <c r="CP228" s="443">
        <f t="shared" si="659"/>
        <v>100.7</v>
      </c>
      <c r="CQ228" s="443"/>
      <c r="CR228" s="217">
        <f t="shared" si="660"/>
        <v>0.15338645418326693</v>
      </c>
      <c r="CS228" s="172">
        <f t="shared" si="661"/>
        <v>321.65744915076539</v>
      </c>
      <c r="CT228" s="172">
        <f t="shared" si="662"/>
        <v>4.3459495351925632</v>
      </c>
      <c r="CU228" s="217">
        <f t="shared" si="663"/>
        <v>21.443829943384358</v>
      </c>
      <c r="CV228" s="217">
        <f t="shared" si="664"/>
        <v>40.207181143845673</v>
      </c>
      <c r="CW228" s="217">
        <f t="shared" si="665"/>
        <v>15</v>
      </c>
      <c r="CX228" s="217">
        <f t="shared" si="666"/>
        <v>2.7980076394194038</v>
      </c>
      <c r="CY228" s="217">
        <f t="shared" si="667"/>
        <v>0.39501284321215113</v>
      </c>
      <c r="CZ228" s="217">
        <f t="shared" si="668"/>
        <v>2.1386045651613275</v>
      </c>
      <c r="DA228" s="197">
        <f t="shared" si="669"/>
        <v>110.43528632903013</v>
      </c>
      <c r="DB228" s="443">
        <f t="shared" si="670"/>
        <v>350</v>
      </c>
      <c r="DD228" s="217">
        <f t="shared" si="671"/>
        <v>9.9999999999999982</v>
      </c>
      <c r="DE228" s="173">
        <f t="shared" si="672"/>
        <v>7.6433121019108263</v>
      </c>
      <c r="DF228" s="173">
        <f t="shared" si="673"/>
        <v>4.1649244760361679</v>
      </c>
      <c r="DG228" s="173"/>
      <c r="DH228" s="173">
        <f t="shared" si="674"/>
        <v>7.6433121019108281</v>
      </c>
      <c r="DI228" s="545">
        <f t="shared" si="675"/>
        <v>31.4</v>
      </c>
      <c r="DJ228" s="528">
        <f t="shared" si="676"/>
        <v>4.2204568023833167</v>
      </c>
      <c r="DL228" s="173">
        <f t="shared" si="677"/>
        <v>2.9471535904520287</v>
      </c>
      <c r="DM228" s="173">
        <f t="shared" si="678"/>
        <v>10</v>
      </c>
      <c r="DN228" s="173">
        <f t="shared" si="679"/>
        <v>1.017942857142857</v>
      </c>
      <c r="DP228" s="545">
        <f t="shared" si="680"/>
        <v>1200</v>
      </c>
      <c r="DQ228" s="460">
        <f t="shared" si="681"/>
        <v>31.4</v>
      </c>
      <c r="DS228">
        <f t="shared" si="682"/>
        <v>1200</v>
      </c>
      <c r="DT228">
        <f t="shared" si="683"/>
        <v>31.4</v>
      </c>
      <c r="DV228" s="5">
        <f t="shared" si="684"/>
        <v>31.847133757961782</v>
      </c>
      <c r="DW228" s="5">
        <f t="shared" si="685"/>
        <v>1.4117647058823528</v>
      </c>
      <c r="DX228" s="5">
        <f t="shared" si="686"/>
        <v>30.43536905207943</v>
      </c>
      <c r="DY228" s="173">
        <f t="shared" si="687"/>
        <v>4.4329411764705881E-2</v>
      </c>
      <c r="EA228" s="5">
        <f t="shared" si="713"/>
        <v>11.294117647058822</v>
      </c>
      <c r="EB228" s="5">
        <f t="shared" si="714"/>
        <v>0.52941176470588225</v>
      </c>
      <c r="EC228" s="5">
        <f t="shared" si="715"/>
        <v>1.7903158265929076</v>
      </c>
      <c r="ED228" s="5"/>
      <c r="EE228" s="173">
        <f t="shared" si="716"/>
        <v>1.2155850685260696</v>
      </c>
      <c r="EF228" s="173">
        <f t="shared" si="717"/>
        <v>5.6440841838609925</v>
      </c>
      <c r="EG228" s="173">
        <f t="shared" si="718"/>
        <v>0.1389994065672433</v>
      </c>
      <c r="EH228" s="173"/>
      <c r="EI228" s="528">
        <f t="shared" si="719"/>
        <v>2.9552941176470587E-2</v>
      </c>
      <c r="EJ228" s="528">
        <f t="shared" si="720"/>
        <v>0.63239599999999996</v>
      </c>
      <c r="EK228" s="528">
        <f t="shared" si="721"/>
        <v>3.9249999999999997E-3</v>
      </c>
      <c r="EL228" s="528">
        <f t="shared" si="722"/>
        <v>3.1841138600000006E-2</v>
      </c>
      <c r="EM228">
        <f t="shared" si="723"/>
        <v>3.8249999999999999E-2</v>
      </c>
      <c r="EN228" s="460">
        <f t="shared" si="724"/>
        <v>42.174999999999997</v>
      </c>
      <c r="EP228" s="460">
        <f t="shared" si="725"/>
        <v>735.96507977647047</v>
      </c>
      <c r="EQ228" s="173">
        <f t="shared" si="726"/>
        <v>0.84</v>
      </c>
      <c r="ER228" s="173">
        <f t="shared" si="688"/>
        <v>1.33125E-2</v>
      </c>
      <c r="ES228" s="528"/>
      <c r="EU228" s="460">
        <f t="shared" si="727"/>
        <v>853.31249999999989</v>
      </c>
      <c r="EV228" s="528">
        <f t="shared" si="728"/>
        <v>4.4329411764705881E-2</v>
      </c>
      <c r="EW228" s="528">
        <f t="shared" si="729"/>
        <v>0.95567058823529416</v>
      </c>
      <c r="EX228" s="528">
        <f t="shared" si="730"/>
        <v>9.6604175130229002E-5</v>
      </c>
      <c r="EY228" s="528">
        <f t="shared" si="731"/>
        <v>8.7356278564050566E-2</v>
      </c>
      <c r="EZ228" s="528"/>
      <c r="FA228" s="625">
        <f t="shared" si="732"/>
        <v>3.14E-3</v>
      </c>
      <c r="FB228" s="460">
        <f t="shared" si="733"/>
        <v>1090.5928827391806</v>
      </c>
      <c r="FC228" s="173">
        <f t="shared" si="734"/>
        <v>2.6798704625156513</v>
      </c>
      <c r="FD228" s="5">
        <f t="shared" si="735"/>
        <v>18.239999999999998</v>
      </c>
      <c r="FE228" s="173">
        <f t="shared" si="736"/>
        <v>0.87189832425982461</v>
      </c>
      <c r="FF228" s="5">
        <f t="shared" si="737"/>
        <v>87.189832425982459</v>
      </c>
      <c r="FG228">
        <f t="shared" si="738"/>
        <v>12</v>
      </c>
      <c r="FI228" s="562">
        <f t="shared" si="689"/>
        <v>-50</v>
      </c>
    </row>
    <row r="229" spans="5:165">
      <c r="E229" s="170">
        <v>13</v>
      </c>
      <c r="F229" s="217">
        <f t="shared" si="690"/>
        <v>1.3</v>
      </c>
      <c r="G229" s="217">
        <f t="shared" si="617"/>
        <v>3.2500000000000001E-2</v>
      </c>
      <c r="H229" s="217">
        <f t="shared" si="618"/>
        <v>19.5</v>
      </c>
      <c r="I229" s="217">
        <f t="shared" si="619"/>
        <v>0.26</v>
      </c>
      <c r="J229" s="541">
        <f t="shared" si="620"/>
        <v>84.727420162931693</v>
      </c>
      <c r="K229" s="443">
        <f t="shared" si="621"/>
        <v>15.846617922801491</v>
      </c>
      <c r="L229" s="172">
        <f t="shared" si="622"/>
        <v>100.57403808573318</v>
      </c>
      <c r="M229" s="443"/>
      <c r="N229" s="217">
        <f t="shared" si="623"/>
        <v>0.15756171497552104</v>
      </c>
      <c r="O229" s="172">
        <f t="shared" si="624"/>
        <v>329.35355985994391</v>
      </c>
      <c r="P229" s="172">
        <f t="shared" si="625"/>
        <v>4.4499325421076863</v>
      </c>
      <c r="Q229" s="217">
        <f t="shared" si="626"/>
        <v>21.956903990662926</v>
      </c>
      <c r="R229" s="217">
        <f t="shared" si="627"/>
        <v>41.169194982492989</v>
      </c>
      <c r="S229" s="217">
        <f t="shared" si="628"/>
        <v>15</v>
      </c>
      <c r="T229" s="217">
        <f t="shared" si="629"/>
        <v>2.9603445015581871</v>
      </c>
      <c r="U229" s="217">
        <f t="shared" si="630"/>
        <v>0.41927553028742021</v>
      </c>
      <c r="V229" s="217">
        <f t="shared" si="631"/>
        <v>2.24174863000786</v>
      </c>
      <c r="W229" s="197">
        <f t="shared" si="632"/>
        <v>111.24831355269215</v>
      </c>
      <c r="X229" s="443">
        <f t="shared" si="691"/>
        <v>349.52518537864853</v>
      </c>
      <c r="Z229" s="217">
        <f t="shared" si="633"/>
        <v>10</v>
      </c>
      <c r="AA229" s="173">
        <f t="shared" si="634"/>
        <v>7.572593760043496</v>
      </c>
      <c r="AB229" s="173">
        <f t="shared" si="635"/>
        <v>4.1567678537392041</v>
      </c>
      <c r="AC229" s="173"/>
      <c r="AD229" s="173">
        <f t="shared" si="636"/>
        <v>7.572593760043496</v>
      </c>
      <c r="AE229" s="545">
        <f t="shared" si="637"/>
        <v>34.334338832736563</v>
      </c>
      <c r="AF229" s="528">
        <f t="shared" si="638"/>
        <v>4.2121914251223949</v>
      </c>
      <c r="AH229" s="173">
        <f t="shared" si="639"/>
        <v>3.0674947122242622</v>
      </c>
      <c r="AI229" s="173">
        <f t="shared" si="640"/>
        <v>10</v>
      </c>
      <c r="AJ229" s="173">
        <f t="shared" si="641"/>
        <v>1.0196196221901352</v>
      </c>
      <c r="AL229" s="545">
        <f t="shared" si="642"/>
        <v>1300</v>
      </c>
      <c r="AM229" s="460">
        <f t="shared" si="643"/>
        <v>34.334338832736563</v>
      </c>
      <c r="AO229">
        <f t="shared" si="644"/>
        <v>1300</v>
      </c>
      <c r="AP229">
        <f t="shared" si="645"/>
        <v>34.334338832736563</v>
      </c>
      <c r="AR229" s="5">
        <f t="shared" si="616"/>
        <v>29.125360615551909</v>
      </c>
      <c r="AS229" s="5">
        <f t="shared" si="604"/>
        <v>1.4163065483315647</v>
      </c>
      <c r="AT229" s="5">
        <f t="shared" si="605"/>
        <v>27.709054067220343</v>
      </c>
      <c r="AU229" s="173">
        <f t="shared" si="606"/>
        <v>4.8627948921439526E-2</v>
      </c>
      <c r="BA229" s="173">
        <f t="shared" si="692"/>
        <v>1.2731581326428587</v>
      </c>
      <c r="BB229" s="173">
        <f t="shared" si="693"/>
        <v>5.6313765371016249</v>
      </c>
      <c r="BC229" s="173">
        <f t="shared" si="694"/>
        <v>0.1386864496196008</v>
      </c>
      <c r="BD229" s="173"/>
      <c r="BE229" s="528">
        <f t="shared" si="695"/>
        <v>3.2418632614293022E-2</v>
      </c>
      <c r="BF229" s="528">
        <f t="shared" si="646"/>
        <v>0.64746433151477145</v>
      </c>
      <c r="BG229" s="528">
        <f t="shared" si="647"/>
        <v>7.2726498807443321E-2</v>
      </c>
      <c r="BH229" s="528">
        <f t="shared" si="696"/>
        <v>3.4729654579690877E-2</v>
      </c>
      <c r="BI229">
        <f t="shared" si="697"/>
        <v>3.8127339073319264E-2</v>
      </c>
      <c r="BJ229" s="460">
        <f t="shared" si="698"/>
        <v>110.85383788076258</v>
      </c>
      <c r="BK229">
        <f t="shared" si="648"/>
        <v>0.72898074552638858</v>
      </c>
      <c r="BL229" s="460">
        <f t="shared" si="699"/>
        <v>825.46645658951786</v>
      </c>
      <c r="BM229" s="173">
        <f t="shared" si="649"/>
        <v>0.80762499999999993</v>
      </c>
      <c r="BN229" s="173">
        <f t="shared" si="650"/>
        <v>1.4421874999999999E-2</v>
      </c>
      <c r="BQ229" s="460">
        <f t="shared" si="700"/>
        <v>822.046875</v>
      </c>
      <c r="BR229" s="528">
        <f t="shared" si="701"/>
        <v>4.8627948921439533E-2</v>
      </c>
      <c r="BS229" s="528">
        <f t="shared" si="702"/>
        <v>0.9513720510785606</v>
      </c>
      <c r="BT229" s="528">
        <f t="shared" si="703"/>
        <v>9.6169656540450376E-5</v>
      </c>
      <c r="BU229" s="528">
        <f t="shared" si="704"/>
        <v>0.10921737296650155</v>
      </c>
      <c r="BV229" s="528"/>
      <c r="BW229" s="625">
        <f t="shared" si="705"/>
        <v>3.4334338832736565E-3</v>
      </c>
      <c r="BX229" s="460">
        <f t="shared" si="706"/>
        <v>1112.7469765063158</v>
      </c>
      <c r="BY229" s="173">
        <f t="shared" si="707"/>
        <v>2.7602603080958334</v>
      </c>
      <c r="BZ229" s="5">
        <f t="shared" si="708"/>
        <v>19.760000000000002</v>
      </c>
      <c r="CA229" s="173">
        <f t="shared" si="709"/>
        <v>0.87743213131939046</v>
      </c>
      <c r="CB229" s="5">
        <f t="shared" si="710"/>
        <v>87.743213131939044</v>
      </c>
      <c r="CC229">
        <f t="shared" si="711"/>
        <v>13</v>
      </c>
      <c r="CE229" s="562">
        <f t="shared" si="651"/>
        <v>-50</v>
      </c>
      <c r="CG229" s="173">
        <f t="shared" si="652"/>
        <v>0.26599749372252868</v>
      </c>
      <c r="CH229" s="173">
        <f t="shared" si="653"/>
        <v>3.1179378801066297E-2</v>
      </c>
      <c r="CI229" s="170">
        <v>13</v>
      </c>
      <c r="CJ229" s="217">
        <f t="shared" si="712"/>
        <v>1.3</v>
      </c>
      <c r="CK229" s="217">
        <f t="shared" si="654"/>
        <v>3.2500000000000001E-2</v>
      </c>
      <c r="CL229" s="217">
        <f t="shared" si="655"/>
        <v>19.5</v>
      </c>
      <c r="CM229" s="217">
        <f t="shared" si="656"/>
        <v>0.26</v>
      </c>
      <c r="CN229" s="541">
        <f t="shared" si="657"/>
        <v>85</v>
      </c>
      <c r="CO229" s="443">
        <f t="shared" si="658"/>
        <v>15.7</v>
      </c>
      <c r="CP229" s="443">
        <f t="shared" si="659"/>
        <v>100.7</v>
      </c>
      <c r="CQ229" s="443"/>
      <c r="CR229" s="217">
        <f t="shared" si="660"/>
        <v>0.15338645418326693</v>
      </c>
      <c r="CS229" s="172">
        <f t="shared" si="661"/>
        <v>321.65744915076539</v>
      </c>
      <c r="CT229" s="172">
        <f t="shared" si="662"/>
        <v>4.3459495351925632</v>
      </c>
      <c r="CU229" s="217">
        <f t="shared" si="663"/>
        <v>21.443829943384358</v>
      </c>
      <c r="CV229" s="217">
        <f t="shared" si="664"/>
        <v>40.207181143845673</v>
      </c>
      <c r="CW229" s="217">
        <f t="shared" si="665"/>
        <v>15</v>
      </c>
      <c r="CX229" s="217">
        <f t="shared" si="666"/>
        <v>3.0311749427043546</v>
      </c>
      <c r="CY229" s="217">
        <f t="shared" si="667"/>
        <v>0.42793058014649715</v>
      </c>
      <c r="CZ229" s="217">
        <f t="shared" si="668"/>
        <v>2.316821612258106</v>
      </c>
      <c r="DA229" s="197">
        <f t="shared" si="669"/>
        <v>110.43528632903013</v>
      </c>
      <c r="DB229" s="443">
        <f t="shared" si="670"/>
        <v>350</v>
      </c>
      <c r="DD229" s="217">
        <f t="shared" si="671"/>
        <v>9.9999999999999982</v>
      </c>
      <c r="DE229" s="173">
        <f t="shared" si="672"/>
        <v>7.6433121019108263</v>
      </c>
      <c r="DF229" s="173">
        <f t="shared" si="673"/>
        <v>4.1649244760361679</v>
      </c>
      <c r="DG229" s="173"/>
      <c r="DH229" s="173">
        <f t="shared" si="674"/>
        <v>7.6433121019108281</v>
      </c>
      <c r="DI229" s="545">
        <f t="shared" si="675"/>
        <v>34.016666666666673</v>
      </c>
      <c r="DJ229" s="528">
        <f t="shared" si="676"/>
        <v>4.2204568023833167</v>
      </c>
      <c r="DL229" s="173">
        <f t="shared" si="677"/>
        <v>3.0674947122242622</v>
      </c>
      <c r="DM229" s="173">
        <f t="shared" si="678"/>
        <v>10</v>
      </c>
      <c r="DN229" s="173">
        <f t="shared" si="679"/>
        <v>1.0194380952380953</v>
      </c>
      <c r="DP229" s="545">
        <f t="shared" si="680"/>
        <v>1300</v>
      </c>
      <c r="DQ229" s="460">
        <f t="shared" si="681"/>
        <v>34.016666666666673</v>
      </c>
      <c r="DS229">
        <f t="shared" si="682"/>
        <v>1300</v>
      </c>
      <c r="DT229">
        <f t="shared" si="683"/>
        <v>34.016666666666673</v>
      </c>
      <c r="DV229" s="5">
        <f t="shared" si="684"/>
        <v>29.397354238118563</v>
      </c>
      <c r="DW229" s="5">
        <f t="shared" si="685"/>
        <v>1.4117647058823528</v>
      </c>
      <c r="DX229" s="5">
        <f t="shared" si="686"/>
        <v>27.985589532236212</v>
      </c>
      <c r="DY229" s="173">
        <f t="shared" si="687"/>
        <v>4.8023529411764715E-2</v>
      </c>
      <c r="EA229" s="5">
        <f t="shared" si="713"/>
        <v>12.235294117647058</v>
      </c>
      <c r="EB229" s="5">
        <f t="shared" si="714"/>
        <v>0.57352941176470595</v>
      </c>
      <c r="EC229" s="5">
        <f t="shared" si="715"/>
        <v>1.7833954113679937</v>
      </c>
      <c r="ED229" s="5"/>
      <c r="EE229" s="173">
        <f t="shared" si="716"/>
        <v>1.2652210533047143</v>
      </c>
      <c r="EF229" s="173">
        <f t="shared" si="717"/>
        <v>5.633165097847554</v>
      </c>
      <c r="EG229" s="173">
        <f t="shared" si="718"/>
        <v>0.13873049731169665</v>
      </c>
      <c r="EH229" s="173"/>
      <c r="EI229" s="528">
        <f t="shared" si="719"/>
        <v>3.2015686274509819E-2</v>
      </c>
      <c r="EJ229" s="528">
        <f t="shared" si="720"/>
        <v>0.68509566666666688</v>
      </c>
      <c r="EK229" s="528">
        <f t="shared" si="721"/>
        <v>4.2520833333333334E-3</v>
      </c>
      <c r="EL229" s="528">
        <f t="shared" si="722"/>
        <v>3.4494566816666676E-2</v>
      </c>
      <c r="EM229">
        <f t="shared" si="723"/>
        <v>3.8249999999999999E-2</v>
      </c>
      <c r="EN229" s="460">
        <f t="shared" si="724"/>
        <v>42.502083333333331</v>
      </c>
      <c r="EP229" s="460">
        <f t="shared" si="725"/>
        <v>794.10800309117667</v>
      </c>
      <c r="EQ229" s="173">
        <f t="shared" si="726"/>
        <v>0.90999999999999992</v>
      </c>
      <c r="ER229" s="173">
        <f t="shared" si="688"/>
        <v>1.4421874999999999E-2</v>
      </c>
      <c r="ES229" s="528"/>
      <c r="EU229" s="460">
        <f t="shared" si="727"/>
        <v>924.421875</v>
      </c>
      <c r="EV229" s="528">
        <f t="shared" si="728"/>
        <v>4.8023529411764729E-2</v>
      </c>
      <c r="EW229" s="528">
        <f t="shared" si="729"/>
        <v>0.95197647058823531</v>
      </c>
      <c r="EX229" s="528">
        <f t="shared" si="730"/>
        <v>9.6230754421753359E-5</v>
      </c>
      <c r="EY229" s="528">
        <f t="shared" si="731"/>
        <v>0.1067085921618344</v>
      </c>
      <c r="EZ229" s="528"/>
      <c r="FA229" s="625">
        <f t="shared" si="732"/>
        <v>3.4016666666666674E-3</v>
      </c>
      <c r="FB229" s="460">
        <f t="shared" si="733"/>
        <v>1110.2064895829228</v>
      </c>
      <c r="FC229" s="173">
        <f t="shared" si="734"/>
        <v>2.8287363676740997</v>
      </c>
      <c r="FD229" s="5">
        <f t="shared" si="735"/>
        <v>19.760000000000002</v>
      </c>
      <c r="FE229" s="173">
        <f t="shared" si="736"/>
        <v>0.87477226164265653</v>
      </c>
      <c r="FF229" s="5">
        <f t="shared" si="737"/>
        <v>87.477226164265659</v>
      </c>
      <c r="FG229">
        <f t="shared" si="738"/>
        <v>13</v>
      </c>
      <c r="FI229" s="562">
        <f t="shared" si="689"/>
        <v>-50</v>
      </c>
    </row>
    <row r="230" spans="5:165">
      <c r="E230" s="170">
        <v>14</v>
      </c>
      <c r="F230" s="217">
        <f t="shared" si="690"/>
        <v>1.4000000000000001</v>
      </c>
      <c r="G230" s="217">
        <f t="shared" si="617"/>
        <v>3.5000000000000003E-2</v>
      </c>
      <c r="H230" s="217">
        <f t="shared" si="618"/>
        <v>21.000000000000004</v>
      </c>
      <c r="I230" s="217">
        <f t="shared" si="619"/>
        <v>0.28000000000000003</v>
      </c>
      <c r="J230" s="541">
        <f t="shared" si="620"/>
        <v>84.727420162931693</v>
      </c>
      <c r="K230" s="443">
        <f t="shared" si="621"/>
        <v>15.846617922801491</v>
      </c>
      <c r="L230" s="172">
        <f t="shared" si="622"/>
        <v>100.57403808573318</v>
      </c>
      <c r="M230" s="443"/>
      <c r="N230" s="217">
        <f t="shared" si="623"/>
        <v>0.15756171497552104</v>
      </c>
      <c r="O230" s="172">
        <f t="shared" si="624"/>
        <v>329.35355985994391</v>
      </c>
      <c r="P230" s="172">
        <f t="shared" si="625"/>
        <v>4.4499325421076863</v>
      </c>
      <c r="Q230" s="217">
        <f t="shared" si="626"/>
        <v>21.956903990662926</v>
      </c>
      <c r="R230" s="217">
        <f t="shared" si="627"/>
        <v>41.169194982492989</v>
      </c>
      <c r="S230" s="217">
        <f t="shared" si="628"/>
        <v>15</v>
      </c>
      <c r="T230" s="217">
        <f t="shared" si="629"/>
        <v>3.1880633093703556</v>
      </c>
      <c r="U230" s="217">
        <f t="shared" si="630"/>
        <v>0.45152749415568338</v>
      </c>
      <c r="V230" s="217">
        <f t="shared" si="631"/>
        <v>2.4141908323161574</v>
      </c>
      <c r="W230" s="197">
        <f t="shared" si="632"/>
        <v>111.24831355269215</v>
      </c>
      <c r="X230" s="443">
        <f t="shared" si="691"/>
        <v>326.18782729163593</v>
      </c>
      <c r="Z230" s="217">
        <f t="shared" si="633"/>
        <v>10</v>
      </c>
      <c r="AA230" s="173">
        <f t="shared" si="634"/>
        <v>7.572593760043496</v>
      </c>
      <c r="AB230" s="173">
        <f t="shared" si="635"/>
        <v>4.1567678537392041</v>
      </c>
      <c r="AC230" s="173"/>
      <c r="AD230" s="173">
        <f t="shared" si="636"/>
        <v>7.572593760043496</v>
      </c>
      <c r="AE230" s="545">
        <f t="shared" si="637"/>
        <v>36.975441819870149</v>
      </c>
      <c r="AF230" s="528">
        <f t="shared" si="638"/>
        <v>4.2121914251223949</v>
      </c>
      <c r="AH230" s="173">
        <f t="shared" si="639"/>
        <v>3.1832897030168859</v>
      </c>
      <c r="AI230" s="173">
        <f t="shared" si="640"/>
        <v>10</v>
      </c>
      <c r="AJ230" s="173">
        <f t="shared" si="641"/>
        <v>1.0211288238970686</v>
      </c>
      <c r="AL230" s="545">
        <f t="shared" si="642"/>
        <v>1400.0000000000002</v>
      </c>
      <c r="AM230" s="460">
        <f t="shared" si="643"/>
        <v>36.975441819870149</v>
      </c>
      <c r="AO230">
        <f t="shared" si="644"/>
        <v>1400.0000000000002</v>
      </c>
      <c r="AP230">
        <f t="shared" si="645"/>
        <v>36.975441819870149</v>
      </c>
      <c r="AR230" s="5">
        <f t="shared" si="616"/>
        <v>27.044977714441057</v>
      </c>
      <c r="AS230" s="5">
        <f t="shared" si="604"/>
        <v>1.4163065483315647</v>
      </c>
      <c r="AT230" s="5">
        <f t="shared" si="605"/>
        <v>25.628671166109491</v>
      </c>
      <c r="AU230" s="173">
        <f t="shared" si="606"/>
        <v>5.2368560376934874E-2</v>
      </c>
      <c r="BA230" s="173">
        <f t="shared" si="692"/>
        <v>1.3212186341522596</v>
      </c>
      <c r="BB230" s="173">
        <f t="shared" si="693"/>
        <v>5.6202948903151126</v>
      </c>
      <c r="BC230" s="173">
        <f t="shared" si="694"/>
        <v>0.13841353690658398</v>
      </c>
      <c r="BD230" s="173"/>
      <c r="BE230" s="528">
        <f t="shared" si="695"/>
        <v>3.4912373584623249E-2</v>
      </c>
      <c r="BF230" s="528">
        <f t="shared" si="646"/>
        <v>0.69726928009283085</v>
      </c>
      <c r="BG230" s="528">
        <f t="shared" si="647"/>
        <v>7.8320844869554346E-2</v>
      </c>
      <c r="BH230" s="528">
        <f t="shared" si="696"/>
        <v>3.7401166470436335E-2</v>
      </c>
      <c r="BI230">
        <f t="shared" si="697"/>
        <v>3.8127339073319264E-2</v>
      </c>
      <c r="BJ230" s="460">
        <f t="shared" si="698"/>
        <v>116.44818394287361</v>
      </c>
      <c r="BK230">
        <f t="shared" si="648"/>
        <v>0.78552523419945586</v>
      </c>
      <c r="BL230" s="460">
        <f t="shared" si="699"/>
        <v>886.0310040907641</v>
      </c>
      <c r="BM230" s="173">
        <f t="shared" si="649"/>
        <v>0.86974999999999991</v>
      </c>
      <c r="BN230" s="173">
        <f t="shared" si="650"/>
        <v>1.553125E-2</v>
      </c>
      <c r="BQ230" s="460">
        <f t="shared" si="700"/>
        <v>885.28124999999989</v>
      </c>
      <c r="BR230" s="528">
        <f t="shared" si="701"/>
        <v>5.2368560376934867E-2</v>
      </c>
      <c r="BS230" s="528">
        <f t="shared" si="702"/>
        <v>0.94763143962306495</v>
      </c>
      <c r="BT230" s="528">
        <f t="shared" si="703"/>
        <v>9.5791535994951431E-5</v>
      </c>
      <c r="BU230" s="528">
        <f t="shared" si="704"/>
        <v>0.13144783411160418</v>
      </c>
      <c r="BV230" s="528"/>
      <c r="BW230" s="625">
        <f t="shared" si="705"/>
        <v>3.697544181987015E-3</v>
      </c>
      <c r="BX230" s="460">
        <f t="shared" si="706"/>
        <v>1135.2411698295859</v>
      </c>
      <c r="BY230" s="173">
        <f t="shared" si="707"/>
        <v>2.9065534239203497</v>
      </c>
      <c r="BZ230" s="5">
        <f t="shared" si="708"/>
        <v>21.280000000000005</v>
      </c>
      <c r="CA230" s="173">
        <f t="shared" si="709"/>
        <v>0.87982771364828749</v>
      </c>
      <c r="CB230" s="5">
        <f t="shared" si="710"/>
        <v>87.98277136482875</v>
      </c>
      <c r="CC230">
        <f t="shared" si="711"/>
        <v>14.000000000000002</v>
      </c>
      <c r="CE230" s="562">
        <f t="shared" si="651"/>
        <v>-50</v>
      </c>
      <c r="CG230" s="173">
        <f t="shared" si="652"/>
        <v>0.28645883939349243</v>
      </c>
      <c r="CH230" s="173">
        <f t="shared" si="653"/>
        <v>3.3577792554994476E-2</v>
      </c>
      <c r="CI230" s="170">
        <v>14</v>
      </c>
      <c r="CJ230" s="217">
        <f t="shared" si="712"/>
        <v>1.4000000000000001</v>
      </c>
      <c r="CK230" s="217">
        <f t="shared" si="654"/>
        <v>3.5000000000000003E-2</v>
      </c>
      <c r="CL230" s="217">
        <f t="shared" si="655"/>
        <v>21.000000000000004</v>
      </c>
      <c r="CM230" s="217">
        <f t="shared" si="656"/>
        <v>0.28000000000000003</v>
      </c>
      <c r="CN230" s="541">
        <f t="shared" si="657"/>
        <v>85</v>
      </c>
      <c r="CO230" s="443">
        <f t="shared" si="658"/>
        <v>15.7</v>
      </c>
      <c r="CP230" s="443">
        <f t="shared" si="659"/>
        <v>100.7</v>
      </c>
      <c r="CQ230" s="443"/>
      <c r="CR230" s="217">
        <f t="shared" si="660"/>
        <v>0.15338645418326693</v>
      </c>
      <c r="CS230" s="172">
        <f t="shared" si="661"/>
        <v>321.65744915076539</v>
      </c>
      <c r="CT230" s="172">
        <f t="shared" si="662"/>
        <v>4.3459495351925632</v>
      </c>
      <c r="CU230" s="217">
        <f t="shared" si="663"/>
        <v>21.443829943384358</v>
      </c>
      <c r="CV230" s="217">
        <f t="shared" si="664"/>
        <v>40.207181143845673</v>
      </c>
      <c r="CW230" s="217">
        <f t="shared" si="665"/>
        <v>15</v>
      </c>
      <c r="CX230" s="217">
        <f t="shared" si="666"/>
        <v>3.2643422459893054</v>
      </c>
      <c r="CY230" s="217">
        <f t="shared" si="667"/>
        <v>0.46084831708084312</v>
      </c>
      <c r="CZ230" s="217">
        <f t="shared" si="668"/>
        <v>2.4950386593548832</v>
      </c>
      <c r="DA230" s="197">
        <f t="shared" si="669"/>
        <v>110.43528632903013</v>
      </c>
      <c r="DB230" s="443">
        <f t="shared" si="670"/>
        <v>338.30792854124007</v>
      </c>
      <c r="DD230" s="217">
        <f t="shared" si="671"/>
        <v>9.9999999999999982</v>
      </c>
      <c r="DE230" s="173">
        <f t="shared" si="672"/>
        <v>7.6433121019108263</v>
      </c>
      <c r="DF230" s="173">
        <f t="shared" si="673"/>
        <v>4.1649244760361679</v>
      </c>
      <c r="DG230" s="173"/>
      <c r="DH230" s="173">
        <f t="shared" si="674"/>
        <v>7.6433121019108281</v>
      </c>
      <c r="DI230" s="545">
        <f t="shared" si="675"/>
        <v>36.63333333333334</v>
      </c>
      <c r="DJ230" s="528">
        <f t="shared" si="676"/>
        <v>4.2204568023833167</v>
      </c>
      <c r="DL230" s="173">
        <f t="shared" si="677"/>
        <v>3.1832897030168859</v>
      </c>
      <c r="DM230" s="173">
        <f t="shared" si="678"/>
        <v>10</v>
      </c>
      <c r="DN230" s="173">
        <f t="shared" si="679"/>
        <v>1.0209333333333332</v>
      </c>
      <c r="DP230" s="545">
        <f t="shared" si="680"/>
        <v>1400.0000000000002</v>
      </c>
      <c r="DQ230" s="460">
        <f t="shared" si="681"/>
        <v>36.63333333333334</v>
      </c>
      <c r="DS230">
        <f t="shared" si="682"/>
        <v>1400.0000000000002</v>
      </c>
      <c r="DT230">
        <f t="shared" si="683"/>
        <v>36.63333333333334</v>
      </c>
      <c r="DV230" s="5">
        <f t="shared" si="684"/>
        <v>27.297543221110097</v>
      </c>
      <c r="DW230" s="5">
        <f t="shared" si="685"/>
        <v>1.4117647058823528</v>
      </c>
      <c r="DX230" s="5">
        <f t="shared" si="686"/>
        <v>25.885778515227745</v>
      </c>
      <c r="DY230" s="173">
        <f t="shared" si="687"/>
        <v>5.1717647058823528E-2</v>
      </c>
      <c r="EA230" s="5">
        <f t="shared" si="713"/>
        <v>13.176470588235295</v>
      </c>
      <c r="EB230" s="5">
        <f t="shared" si="714"/>
        <v>0.61764705882352944</v>
      </c>
      <c r="EC230" s="5">
        <f t="shared" si="715"/>
        <v>1.7764749961430808</v>
      </c>
      <c r="ED230" s="5"/>
      <c r="EE230" s="173">
        <f t="shared" si="716"/>
        <v>1.3129819376623011</v>
      </c>
      <c r="EF230" s="173">
        <f t="shared" si="717"/>
        <v>5.6222248056001707</v>
      </c>
      <c r="EG230" s="173">
        <f t="shared" si="718"/>
        <v>0.13846106580066306</v>
      </c>
      <c r="EH230" s="173"/>
      <c r="EI230" s="528">
        <f t="shared" si="719"/>
        <v>3.4478431372549016E-2</v>
      </c>
      <c r="EJ230" s="528">
        <f t="shared" si="720"/>
        <v>0.73779533333333347</v>
      </c>
      <c r="EK230" s="528">
        <f t="shared" si="721"/>
        <v>4.5791666666666671E-3</v>
      </c>
      <c r="EL230" s="528">
        <f t="shared" si="722"/>
        <v>3.7147995033333339E-2</v>
      </c>
      <c r="EM230">
        <f t="shared" si="723"/>
        <v>3.8249999999999999E-2</v>
      </c>
      <c r="EN230" s="460">
        <f t="shared" si="724"/>
        <v>42.829166666666666</v>
      </c>
      <c r="EP230" s="460">
        <f t="shared" si="725"/>
        <v>852.25092640588252</v>
      </c>
      <c r="EQ230" s="173">
        <f t="shared" si="726"/>
        <v>0.98</v>
      </c>
      <c r="ER230" s="173">
        <f t="shared" si="688"/>
        <v>1.553125E-2</v>
      </c>
      <c r="ES230" s="528"/>
      <c r="EU230" s="460">
        <f t="shared" si="727"/>
        <v>995.53125</v>
      </c>
      <c r="EV230" s="528">
        <f t="shared" si="728"/>
        <v>5.1717647058823521E-2</v>
      </c>
      <c r="EW230" s="528">
        <f t="shared" si="729"/>
        <v>0.94828235294117635</v>
      </c>
      <c r="EX230" s="528">
        <f t="shared" si="730"/>
        <v>9.5857333713277729E-5</v>
      </c>
      <c r="EY230" s="528">
        <f t="shared" si="731"/>
        <v>0.12842840786029333</v>
      </c>
      <c r="EZ230" s="528"/>
      <c r="FA230" s="625">
        <f t="shared" si="732"/>
        <v>3.6633333333333344E-3</v>
      </c>
      <c r="FB230" s="460">
        <f t="shared" si="733"/>
        <v>1132.1875985273398</v>
      </c>
      <c r="FC230" s="173">
        <f t="shared" si="734"/>
        <v>2.9799697749332226</v>
      </c>
      <c r="FD230" s="5">
        <f t="shared" si="735"/>
        <v>21.280000000000005</v>
      </c>
      <c r="FE230" s="173">
        <f t="shared" si="736"/>
        <v>0.87716514890252262</v>
      </c>
      <c r="FF230" s="5">
        <f t="shared" si="737"/>
        <v>87.716514890252256</v>
      </c>
      <c r="FG230">
        <f t="shared" si="738"/>
        <v>14.000000000000002</v>
      </c>
      <c r="FI230" s="562">
        <f t="shared" si="689"/>
        <v>-50</v>
      </c>
    </row>
    <row r="231" spans="5:165">
      <c r="E231" s="170">
        <v>15</v>
      </c>
      <c r="F231" s="217">
        <f t="shared" si="690"/>
        <v>1.5</v>
      </c>
      <c r="G231" s="217">
        <f t="shared" si="617"/>
        <v>3.7499999999999999E-2</v>
      </c>
      <c r="H231" s="217">
        <f t="shared" si="618"/>
        <v>22.5</v>
      </c>
      <c r="I231" s="217">
        <f t="shared" si="619"/>
        <v>0.3</v>
      </c>
      <c r="J231" s="541">
        <f t="shared" si="620"/>
        <v>84.727420162931693</v>
      </c>
      <c r="K231" s="443">
        <f t="shared" si="621"/>
        <v>15.846617922801491</v>
      </c>
      <c r="L231" s="172">
        <f t="shared" si="622"/>
        <v>100.57403808573318</v>
      </c>
      <c r="M231" s="443"/>
      <c r="N231" s="217">
        <f t="shared" si="623"/>
        <v>0.15756171497552104</v>
      </c>
      <c r="O231" s="172">
        <f t="shared" si="624"/>
        <v>329.35355985994391</v>
      </c>
      <c r="P231" s="172">
        <f t="shared" si="625"/>
        <v>4.4499325421076863</v>
      </c>
      <c r="Q231" s="217">
        <f t="shared" si="626"/>
        <v>21.956903990662926</v>
      </c>
      <c r="R231" s="217">
        <f t="shared" si="627"/>
        <v>41.169194982492989</v>
      </c>
      <c r="S231" s="217">
        <f t="shared" si="628"/>
        <v>15</v>
      </c>
      <c r="T231" s="217">
        <f t="shared" si="629"/>
        <v>3.4157821171825233</v>
      </c>
      <c r="U231" s="217">
        <f t="shared" si="630"/>
        <v>0.4837794580239464</v>
      </c>
      <c r="V231" s="217">
        <f t="shared" si="631"/>
        <v>2.5866330346244539</v>
      </c>
      <c r="W231" s="197">
        <f t="shared" si="632"/>
        <v>111.24831355269215</v>
      </c>
      <c r="X231" s="443">
        <f t="shared" si="691"/>
        <v>305.77182610692444</v>
      </c>
      <c r="Z231" s="217">
        <f t="shared" si="633"/>
        <v>10</v>
      </c>
      <c r="AA231" s="173">
        <f t="shared" si="634"/>
        <v>7.572593760043496</v>
      </c>
      <c r="AB231" s="173">
        <f t="shared" si="635"/>
        <v>4.1567678537392041</v>
      </c>
      <c r="AC231" s="173"/>
      <c r="AD231" s="173">
        <f t="shared" si="636"/>
        <v>7.572593760043496</v>
      </c>
      <c r="AE231" s="545">
        <f t="shared" si="637"/>
        <v>39.616544807003727</v>
      </c>
      <c r="AF231" s="528">
        <f t="shared" si="638"/>
        <v>4.2121914251223949</v>
      </c>
      <c r="AH231" s="173">
        <f t="shared" si="639"/>
        <v>3.295017884191656</v>
      </c>
      <c r="AI231" s="173">
        <f t="shared" si="640"/>
        <v>10</v>
      </c>
      <c r="AJ231" s="173">
        <f t="shared" si="641"/>
        <v>1.0226380256040022</v>
      </c>
      <c r="AL231" s="545">
        <f t="shared" si="642"/>
        <v>1500</v>
      </c>
      <c r="AM231" s="460">
        <f t="shared" si="643"/>
        <v>39.616544807003727</v>
      </c>
      <c r="AO231">
        <f t="shared" si="644"/>
        <v>1500</v>
      </c>
      <c r="AP231">
        <f t="shared" si="645"/>
        <v>39.616544807003727</v>
      </c>
      <c r="AR231" s="5">
        <f t="shared" si="616"/>
        <v>25.241979200144989</v>
      </c>
      <c r="AS231" s="5">
        <f t="shared" si="604"/>
        <v>1.4163065483315647</v>
      </c>
      <c r="AT231" s="5">
        <f t="shared" si="605"/>
        <v>23.825672651813424</v>
      </c>
      <c r="AU231" s="173">
        <f t="shared" si="606"/>
        <v>5.6109171832430214E-2</v>
      </c>
      <c r="BA231" s="173">
        <f t="shared" si="692"/>
        <v>1.3675912136847304</v>
      </c>
      <c r="BB231" s="173">
        <f t="shared" si="693"/>
        <v>5.6091913504163564</v>
      </c>
      <c r="BC231" s="173">
        <f t="shared" si="694"/>
        <v>0.13814008502201852</v>
      </c>
      <c r="BD231" s="173"/>
      <c r="BE231" s="528">
        <f t="shared" si="695"/>
        <v>3.7406114554953476E-2</v>
      </c>
      <c r="BF231" s="528">
        <f t="shared" si="646"/>
        <v>0.74707422867089013</v>
      </c>
      <c r="BG231" s="528">
        <f t="shared" si="647"/>
        <v>8.3915190931665357E-2</v>
      </c>
      <c r="BH231" s="528">
        <f t="shared" si="696"/>
        <v>4.0072678361181779E-2</v>
      </c>
      <c r="BI231">
        <f t="shared" si="697"/>
        <v>3.8127339073319264E-2</v>
      </c>
      <c r="BJ231" s="460">
        <f t="shared" si="698"/>
        <v>122.04253000498463</v>
      </c>
      <c r="BK231">
        <f t="shared" si="648"/>
        <v>0.84213733042042649</v>
      </c>
      <c r="BL231" s="460">
        <f t="shared" si="699"/>
        <v>946.59555159200988</v>
      </c>
      <c r="BM231" s="173">
        <f t="shared" si="649"/>
        <v>0.93187499999999979</v>
      </c>
      <c r="BN231" s="173">
        <f t="shared" si="650"/>
        <v>1.6640624999999999E-2</v>
      </c>
      <c r="BQ231" s="460">
        <f t="shared" si="700"/>
        <v>948.51562499999977</v>
      </c>
      <c r="BR231" s="528">
        <f t="shared" si="701"/>
        <v>5.6109171832430214E-2</v>
      </c>
      <c r="BS231" s="528">
        <f t="shared" si="702"/>
        <v>0.94389082816757008</v>
      </c>
      <c r="BT231" s="528">
        <f t="shared" si="703"/>
        <v>9.5413415449452526E-5</v>
      </c>
      <c r="BU231" s="528">
        <f t="shared" si="704"/>
        <v>0.15619297357176404</v>
      </c>
      <c r="BV231" s="528"/>
      <c r="BW231" s="625">
        <f t="shared" si="705"/>
        <v>3.961654480700373E-3</v>
      </c>
      <c r="BX231" s="460">
        <f t="shared" si="706"/>
        <v>1160.2500414679139</v>
      </c>
      <c r="BY231" s="173">
        <f t="shared" si="707"/>
        <v>3.0553612180599234</v>
      </c>
      <c r="BZ231" s="5">
        <f t="shared" si="708"/>
        <v>22.8</v>
      </c>
      <c r="CA231" s="173">
        <f t="shared" si="709"/>
        <v>0.88182871659415218</v>
      </c>
      <c r="CB231" s="5">
        <f t="shared" si="710"/>
        <v>88.182871659415213</v>
      </c>
      <c r="CC231">
        <f t="shared" si="711"/>
        <v>15</v>
      </c>
      <c r="CE231" s="562">
        <f t="shared" si="651"/>
        <v>-50</v>
      </c>
      <c r="CG231" s="173">
        <f t="shared" si="652"/>
        <v>0.30692018506445617</v>
      </c>
      <c r="CH231" s="173">
        <f t="shared" si="653"/>
        <v>3.5976206308922648E-2</v>
      </c>
      <c r="CI231" s="170">
        <v>15</v>
      </c>
      <c r="CJ231" s="217">
        <f t="shared" si="712"/>
        <v>1.5</v>
      </c>
      <c r="CK231" s="217">
        <f t="shared" si="654"/>
        <v>3.7499999999999999E-2</v>
      </c>
      <c r="CL231" s="217">
        <f t="shared" si="655"/>
        <v>22.5</v>
      </c>
      <c r="CM231" s="217">
        <f t="shared" si="656"/>
        <v>0.3</v>
      </c>
      <c r="CN231" s="541">
        <f t="shared" si="657"/>
        <v>85</v>
      </c>
      <c r="CO231" s="443">
        <f t="shared" si="658"/>
        <v>15.7</v>
      </c>
      <c r="CP231" s="443">
        <f t="shared" si="659"/>
        <v>100.7</v>
      </c>
      <c r="CQ231" s="443"/>
      <c r="CR231" s="217">
        <f t="shared" si="660"/>
        <v>0.15338645418326693</v>
      </c>
      <c r="CS231" s="172">
        <f t="shared" si="661"/>
        <v>321.65744915076539</v>
      </c>
      <c r="CT231" s="172">
        <f t="shared" si="662"/>
        <v>4.3459495351925632</v>
      </c>
      <c r="CU231" s="217">
        <f t="shared" si="663"/>
        <v>21.443829943384358</v>
      </c>
      <c r="CV231" s="217">
        <f t="shared" si="664"/>
        <v>40.207181143845673</v>
      </c>
      <c r="CW231" s="217">
        <f t="shared" si="665"/>
        <v>15</v>
      </c>
      <c r="CX231" s="217">
        <f t="shared" si="666"/>
        <v>3.4975095492742549</v>
      </c>
      <c r="CY231" s="217">
        <f t="shared" si="667"/>
        <v>0.49376605401518892</v>
      </c>
      <c r="CZ231" s="217">
        <f t="shared" si="668"/>
        <v>2.67325570645166</v>
      </c>
      <c r="DA231" s="197">
        <f t="shared" si="669"/>
        <v>110.43528632903013</v>
      </c>
      <c r="DB231" s="443">
        <f t="shared" si="670"/>
        <v>315.75406663849088</v>
      </c>
      <c r="DD231" s="217">
        <f t="shared" si="671"/>
        <v>9.9999999999999982</v>
      </c>
      <c r="DE231" s="173">
        <f t="shared" si="672"/>
        <v>7.6433121019108263</v>
      </c>
      <c r="DF231" s="173">
        <f t="shared" si="673"/>
        <v>4.1649244760361679</v>
      </c>
      <c r="DG231" s="173"/>
      <c r="DH231" s="173">
        <f t="shared" si="674"/>
        <v>7.6433121019108281</v>
      </c>
      <c r="DI231" s="545">
        <f t="shared" si="675"/>
        <v>39.250000000000007</v>
      </c>
      <c r="DJ231" s="528">
        <f t="shared" si="676"/>
        <v>4.2204568023833167</v>
      </c>
      <c r="DL231" s="173">
        <f t="shared" si="677"/>
        <v>3.295017884191656</v>
      </c>
      <c r="DM231" s="173">
        <f t="shared" si="678"/>
        <v>10</v>
      </c>
      <c r="DN231" s="173">
        <f t="shared" si="679"/>
        <v>1.0224285714285715</v>
      </c>
      <c r="DP231" s="545">
        <f t="shared" si="680"/>
        <v>1500</v>
      </c>
      <c r="DQ231" s="460">
        <f t="shared" si="681"/>
        <v>39.250000000000007</v>
      </c>
      <c r="DS231">
        <f t="shared" si="682"/>
        <v>1500</v>
      </c>
      <c r="DT231">
        <f t="shared" si="683"/>
        <v>39.250000000000007</v>
      </c>
      <c r="DV231" s="5">
        <f t="shared" si="684"/>
        <v>25.477707006369421</v>
      </c>
      <c r="DW231" s="5">
        <f t="shared" si="685"/>
        <v>1.4117647058823528</v>
      </c>
      <c r="DX231" s="5">
        <f t="shared" si="686"/>
        <v>24.06594230048707</v>
      </c>
      <c r="DY231" s="173">
        <f t="shared" si="687"/>
        <v>5.5411764705882362E-2</v>
      </c>
      <c r="EA231" s="5">
        <f t="shared" si="713"/>
        <v>14.117647058823527</v>
      </c>
      <c r="EB231" s="5">
        <f t="shared" si="714"/>
        <v>0.66176470588235281</v>
      </c>
      <c r="EC231" s="5">
        <f t="shared" si="715"/>
        <v>1.769554580918167</v>
      </c>
      <c r="ED231" s="5"/>
      <c r="EE231" s="173">
        <f t="shared" si="716"/>
        <v>1.359065422829016</v>
      </c>
      <c r="EF231" s="173">
        <f t="shared" si="717"/>
        <v>5.6112631830813209</v>
      </c>
      <c r="EG231" s="173">
        <f t="shared" si="718"/>
        <v>0.1381911089794145</v>
      </c>
      <c r="EH231" s="173"/>
      <c r="EI231" s="528">
        <f t="shared" si="719"/>
        <v>3.6941176470588241E-2</v>
      </c>
      <c r="EJ231" s="528">
        <f t="shared" si="720"/>
        <v>0.79049500000000017</v>
      </c>
      <c r="EK231" s="528">
        <f t="shared" si="721"/>
        <v>4.9062500000000009E-3</v>
      </c>
      <c r="EL231" s="528">
        <f t="shared" si="722"/>
        <v>3.9801423250000009E-2</v>
      </c>
      <c r="EM231">
        <f t="shared" si="723"/>
        <v>3.8249999999999999E-2</v>
      </c>
      <c r="EN231" s="460">
        <f t="shared" si="724"/>
        <v>43.15625</v>
      </c>
      <c r="EP231" s="460">
        <f t="shared" si="725"/>
        <v>910.39384972058849</v>
      </c>
      <c r="EQ231" s="173">
        <f t="shared" si="726"/>
        <v>1.0499999999999998</v>
      </c>
      <c r="ER231" s="173">
        <f t="shared" si="688"/>
        <v>1.6640624999999999E-2</v>
      </c>
      <c r="ES231" s="528"/>
      <c r="EU231" s="460">
        <f t="shared" si="727"/>
        <v>1066.6406249999998</v>
      </c>
      <c r="EV231" s="528">
        <f t="shared" si="728"/>
        <v>5.5411764705882362E-2</v>
      </c>
      <c r="EW231" s="528">
        <f t="shared" si="729"/>
        <v>0.94458823529411751</v>
      </c>
      <c r="EX231" s="528">
        <f t="shared" si="730"/>
        <v>9.5483913004802085E-5</v>
      </c>
      <c r="EY231" s="528">
        <f t="shared" si="731"/>
        <v>0.15260513838330084</v>
      </c>
      <c r="EZ231" s="528"/>
      <c r="FA231" s="625">
        <f t="shared" si="732"/>
        <v>3.9250000000000014E-3</v>
      </c>
      <c r="FB231" s="460">
        <f t="shared" si="733"/>
        <v>1156.6256222963057</v>
      </c>
      <c r="FC231" s="173">
        <f t="shared" si="734"/>
        <v>3.133660097016894</v>
      </c>
      <c r="FD231" s="5">
        <f t="shared" si="735"/>
        <v>22.8</v>
      </c>
      <c r="FE231" s="173">
        <f t="shared" si="736"/>
        <v>0.87916630027177101</v>
      </c>
      <c r="FF231" s="5">
        <f t="shared" si="737"/>
        <v>87.916630027177106</v>
      </c>
      <c r="FG231">
        <f t="shared" si="738"/>
        <v>15</v>
      </c>
      <c r="FI231" s="562">
        <f t="shared" si="689"/>
        <v>-50</v>
      </c>
    </row>
    <row r="232" spans="5:165">
      <c r="E232" s="170">
        <v>16</v>
      </c>
      <c r="F232" s="217">
        <f t="shared" si="690"/>
        <v>1.6</v>
      </c>
      <c r="G232" s="217">
        <f t="shared" si="617"/>
        <v>0.04</v>
      </c>
      <c r="H232" s="217">
        <f t="shared" si="618"/>
        <v>24</v>
      </c>
      <c r="I232" s="217">
        <f t="shared" si="619"/>
        <v>0.32</v>
      </c>
      <c r="J232" s="541">
        <f t="shared" si="620"/>
        <v>84.727420162931693</v>
      </c>
      <c r="K232" s="443">
        <f t="shared" si="621"/>
        <v>15.846617922801491</v>
      </c>
      <c r="L232" s="172">
        <f t="shared" si="622"/>
        <v>100.57403808573318</v>
      </c>
      <c r="M232" s="443"/>
      <c r="N232" s="217">
        <f t="shared" si="623"/>
        <v>0.15756171497552104</v>
      </c>
      <c r="O232" s="172">
        <f t="shared" si="624"/>
        <v>329.35355985994391</v>
      </c>
      <c r="P232" s="172">
        <f t="shared" si="625"/>
        <v>4.4499325421076863</v>
      </c>
      <c r="Q232" s="217">
        <f t="shared" si="626"/>
        <v>21.956903990662926</v>
      </c>
      <c r="R232" s="217">
        <f t="shared" si="627"/>
        <v>41.169194982492989</v>
      </c>
      <c r="S232" s="217">
        <f t="shared" si="628"/>
        <v>15</v>
      </c>
      <c r="T232" s="217">
        <f t="shared" si="629"/>
        <v>3.6435009249946915</v>
      </c>
      <c r="U232" s="217">
        <f t="shared" si="630"/>
        <v>0.51603142189220941</v>
      </c>
      <c r="V232" s="217">
        <f t="shared" si="631"/>
        <v>2.7590752369327509</v>
      </c>
      <c r="W232" s="197">
        <f t="shared" si="632"/>
        <v>111.24831355269215</v>
      </c>
      <c r="X232" s="443">
        <f t="shared" si="691"/>
        <v>287.76095187194358</v>
      </c>
      <c r="Z232" s="217">
        <f t="shared" si="633"/>
        <v>10</v>
      </c>
      <c r="AA232" s="173">
        <f t="shared" si="634"/>
        <v>7.572593760043496</v>
      </c>
      <c r="AB232" s="173">
        <f t="shared" si="635"/>
        <v>4.1567678537392041</v>
      </c>
      <c r="AC232" s="173"/>
      <c r="AD232" s="173">
        <f t="shared" si="636"/>
        <v>7.572593760043496</v>
      </c>
      <c r="AE232" s="545">
        <f t="shared" si="637"/>
        <v>42.257647794137306</v>
      </c>
      <c r="AF232" s="528">
        <f t="shared" si="638"/>
        <v>4.2121914251223949</v>
      </c>
      <c r="AH232" s="173">
        <f t="shared" si="639"/>
        <v>3.4030798375813021</v>
      </c>
      <c r="AI232" s="173">
        <f t="shared" si="640"/>
        <v>10</v>
      </c>
      <c r="AJ232" s="173">
        <f t="shared" si="641"/>
        <v>1.0241472273109355</v>
      </c>
      <c r="AL232" s="545">
        <f t="shared" si="642"/>
        <v>1600</v>
      </c>
      <c r="AM232" s="460">
        <f t="shared" si="643"/>
        <v>42.257647794137306</v>
      </c>
      <c r="AO232">
        <f t="shared" si="644"/>
        <v>1600</v>
      </c>
      <c r="AP232">
        <f t="shared" si="645"/>
        <v>42.257647794137306</v>
      </c>
      <c r="AR232" s="5">
        <f t="shared" si="616"/>
        <v>23.664355500135926</v>
      </c>
      <c r="AS232" s="5">
        <f t="shared" si="604"/>
        <v>1.4163065483315647</v>
      </c>
      <c r="AT232" s="5">
        <f t="shared" si="605"/>
        <v>22.24804895180436</v>
      </c>
      <c r="AU232" s="173">
        <f t="shared" si="606"/>
        <v>5.9849783287925569E-2</v>
      </c>
      <c r="BA232" s="173">
        <f t="shared" si="692"/>
        <v>1.4124421320054801</v>
      </c>
      <c r="BB232" s="173">
        <f t="shared" si="693"/>
        <v>5.5980657871330122</v>
      </c>
      <c r="BC232" s="173">
        <f t="shared" si="694"/>
        <v>0.13786609075762871</v>
      </c>
      <c r="BD232" s="173"/>
      <c r="BE232" s="528">
        <f t="shared" si="695"/>
        <v>3.9899855525283717E-2</v>
      </c>
      <c r="BF232" s="528">
        <f t="shared" si="646"/>
        <v>0.79687917724894952</v>
      </c>
      <c r="BG232" s="528">
        <f t="shared" si="647"/>
        <v>8.9509536993776381E-2</v>
      </c>
      <c r="BH232" s="528">
        <f t="shared" si="696"/>
        <v>4.274419025192723E-2</v>
      </c>
      <c r="BI232">
        <f t="shared" si="697"/>
        <v>3.8127339073319264E-2</v>
      </c>
      <c r="BJ232" s="460">
        <f t="shared" si="698"/>
        <v>127.63687606709564</v>
      </c>
      <c r="BK232">
        <f t="shared" si="648"/>
        <v>0.89881715551451236</v>
      </c>
      <c r="BL232" s="460">
        <f t="shared" si="699"/>
        <v>1007.1600990932561</v>
      </c>
      <c r="BM232" s="173">
        <f t="shared" si="649"/>
        <v>0.99399999999999988</v>
      </c>
      <c r="BN232" s="173">
        <f t="shared" si="650"/>
        <v>1.7749999999999998E-2</v>
      </c>
      <c r="BQ232" s="460">
        <f t="shared" si="700"/>
        <v>1011.7499999999999</v>
      </c>
      <c r="BR232" s="528">
        <f t="shared" si="701"/>
        <v>5.9849783287925576E-2</v>
      </c>
      <c r="BS232" s="528">
        <f t="shared" si="702"/>
        <v>0.94015021671207455</v>
      </c>
      <c r="BT232" s="528">
        <f t="shared" si="703"/>
        <v>9.503529490395358E-5</v>
      </c>
      <c r="BU232" s="528">
        <f t="shared" si="704"/>
        <v>0.18354108808550235</v>
      </c>
      <c r="BV232" s="528"/>
      <c r="BW232" s="625">
        <f t="shared" si="705"/>
        <v>4.2257647794137314E-3</v>
      </c>
      <c r="BX232" s="460">
        <f t="shared" si="706"/>
        <v>1187.8618881598202</v>
      </c>
      <c r="BY232" s="173">
        <f t="shared" si="707"/>
        <v>3.206771987253076</v>
      </c>
      <c r="BZ232" s="5">
        <f t="shared" si="708"/>
        <v>24.32</v>
      </c>
      <c r="CA232" s="173">
        <f t="shared" si="709"/>
        <v>0.88350352199894533</v>
      </c>
      <c r="CB232" s="5">
        <f t="shared" si="710"/>
        <v>88.35035219989453</v>
      </c>
      <c r="CC232">
        <f t="shared" si="711"/>
        <v>16</v>
      </c>
      <c r="CE232" s="562">
        <f t="shared" si="651"/>
        <v>-50</v>
      </c>
      <c r="CG232" s="173">
        <f t="shared" si="652"/>
        <v>0.32738153073541987</v>
      </c>
      <c r="CH232" s="173">
        <f t="shared" si="653"/>
        <v>3.837462006285082E-2</v>
      </c>
      <c r="CI232" s="170">
        <v>16</v>
      </c>
      <c r="CJ232" s="217">
        <f t="shared" si="712"/>
        <v>1.6</v>
      </c>
      <c r="CK232" s="217">
        <f t="shared" si="654"/>
        <v>0.04</v>
      </c>
      <c r="CL232" s="217">
        <f t="shared" si="655"/>
        <v>24</v>
      </c>
      <c r="CM232" s="217">
        <f t="shared" si="656"/>
        <v>0.32</v>
      </c>
      <c r="CN232" s="541">
        <f t="shared" si="657"/>
        <v>85</v>
      </c>
      <c r="CO232" s="443">
        <f t="shared" si="658"/>
        <v>15.7</v>
      </c>
      <c r="CP232" s="443">
        <f t="shared" si="659"/>
        <v>100.7</v>
      </c>
      <c r="CQ232" s="443"/>
      <c r="CR232" s="217">
        <f t="shared" si="660"/>
        <v>0.15338645418326693</v>
      </c>
      <c r="CS232" s="172">
        <f t="shared" si="661"/>
        <v>321.65744915076539</v>
      </c>
      <c r="CT232" s="172">
        <f t="shared" si="662"/>
        <v>4.3459495351925632</v>
      </c>
      <c r="CU232" s="217">
        <f t="shared" si="663"/>
        <v>21.443829943384358</v>
      </c>
      <c r="CV232" s="217">
        <f t="shared" si="664"/>
        <v>40.207181143845673</v>
      </c>
      <c r="CW232" s="217">
        <f t="shared" si="665"/>
        <v>15</v>
      </c>
      <c r="CX232" s="217">
        <f t="shared" si="666"/>
        <v>3.7306768525592053</v>
      </c>
      <c r="CY232" s="217">
        <f t="shared" si="667"/>
        <v>0.52668379094953488</v>
      </c>
      <c r="CZ232" s="217">
        <f t="shared" si="668"/>
        <v>2.8514727535484377</v>
      </c>
      <c r="DA232" s="197">
        <f t="shared" si="669"/>
        <v>110.43528632903013</v>
      </c>
      <c r="DB232" s="443">
        <f t="shared" si="670"/>
        <v>296.01943747358513</v>
      </c>
      <c r="DD232" s="217">
        <f t="shared" si="671"/>
        <v>9.9999999999999982</v>
      </c>
      <c r="DE232" s="173">
        <f t="shared" si="672"/>
        <v>7.6433121019108263</v>
      </c>
      <c r="DF232" s="173">
        <f t="shared" si="673"/>
        <v>4.1649244760361679</v>
      </c>
      <c r="DG232" s="173"/>
      <c r="DH232" s="173">
        <f t="shared" si="674"/>
        <v>7.6433121019108281</v>
      </c>
      <c r="DI232" s="545">
        <f t="shared" si="675"/>
        <v>41.866666666666674</v>
      </c>
      <c r="DJ232" s="528">
        <f t="shared" si="676"/>
        <v>4.2204568023833167</v>
      </c>
      <c r="DL232" s="173">
        <f t="shared" si="677"/>
        <v>3.4030798375813021</v>
      </c>
      <c r="DM232" s="173">
        <f t="shared" si="678"/>
        <v>10</v>
      </c>
      <c r="DN232" s="173">
        <f t="shared" si="679"/>
        <v>1.0239238095238095</v>
      </c>
      <c r="DP232" s="545">
        <f t="shared" si="680"/>
        <v>1600</v>
      </c>
      <c r="DQ232" s="460">
        <f t="shared" si="681"/>
        <v>41.866666666666674</v>
      </c>
      <c r="DS232">
        <f t="shared" si="682"/>
        <v>1600</v>
      </c>
      <c r="DT232">
        <f t="shared" si="683"/>
        <v>41.866666666666674</v>
      </c>
      <c r="DV232" s="5">
        <f t="shared" si="684"/>
        <v>23.885350318471332</v>
      </c>
      <c r="DW232" s="5">
        <f t="shared" si="685"/>
        <v>1.4117647058823528</v>
      </c>
      <c r="DX232" s="5">
        <f t="shared" si="686"/>
        <v>22.47358561258898</v>
      </c>
      <c r="DY232" s="173">
        <f t="shared" si="687"/>
        <v>5.9105882352941189E-2</v>
      </c>
      <c r="EA232" s="5">
        <f t="shared" si="713"/>
        <v>15.058823529411764</v>
      </c>
      <c r="EB232" s="5">
        <f t="shared" si="714"/>
        <v>0.70588235294117641</v>
      </c>
      <c r="EC232" s="5">
        <f t="shared" si="715"/>
        <v>1.7626341656932534</v>
      </c>
      <c r="ED232" s="5"/>
      <c r="EE232" s="173">
        <f t="shared" si="716"/>
        <v>1.4036367330728323</v>
      </c>
      <c r="EF232" s="173">
        <f t="shared" si="717"/>
        <v>5.6002801050395643</v>
      </c>
      <c r="EG232" s="173">
        <f t="shared" si="718"/>
        <v>0.13792062376332734</v>
      </c>
      <c r="EH232" s="173"/>
      <c r="EI232" s="528">
        <f t="shared" si="719"/>
        <v>3.9403921568627473E-2</v>
      </c>
      <c r="EJ232" s="528">
        <f t="shared" si="720"/>
        <v>0.84319466666666687</v>
      </c>
      <c r="EK232" s="528">
        <f t="shared" si="721"/>
        <v>5.2333333333333338E-3</v>
      </c>
      <c r="EL232" s="528">
        <f t="shared" si="722"/>
        <v>4.2454851466666672E-2</v>
      </c>
      <c r="EM232">
        <f t="shared" si="723"/>
        <v>3.8249999999999999E-2</v>
      </c>
      <c r="EN232" s="460">
        <f t="shared" si="724"/>
        <v>43.483333333333334</v>
      </c>
      <c r="EP232" s="460">
        <f t="shared" si="725"/>
        <v>968.53677303529435</v>
      </c>
      <c r="EQ232" s="173">
        <f t="shared" si="726"/>
        <v>1.1199999999999999</v>
      </c>
      <c r="ER232" s="173">
        <f t="shared" si="688"/>
        <v>1.7749999999999998E-2</v>
      </c>
      <c r="ES232" s="528"/>
      <c r="EU232" s="460">
        <f t="shared" si="727"/>
        <v>1137.7499999999998</v>
      </c>
      <c r="EV232" s="528">
        <f t="shared" si="728"/>
        <v>5.9105882352941203E-2</v>
      </c>
      <c r="EW232" s="528">
        <f t="shared" si="729"/>
        <v>0.94089411764705855</v>
      </c>
      <c r="EX232" s="528">
        <f t="shared" si="730"/>
        <v>9.5110492296326469E-5</v>
      </c>
      <c r="EY232" s="528">
        <f t="shared" si="731"/>
        <v>0.1793250522466083</v>
      </c>
      <c r="EZ232" s="528"/>
      <c r="FA232" s="625">
        <f t="shared" si="732"/>
        <v>4.1866666666666675E-3</v>
      </c>
      <c r="FB232" s="460">
        <f t="shared" si="733"/>
        <v>1183.606829405571</v>
      </c>
      <c r="FC232" s="173">
        <f t="shared" si="734"/>
        <v>3.2898936024408649</v>
      </c>
      <c r="FD232" s="5">
        <f t="shared" si="735"/>
        <v>24.32</v>
      </c>
      <c r="FE232" s="173">
        <f t="shared" si="736"/>
        <v>0.88084366967100436</v>
      </c>
      <c r="FF232" s="5">
        <f t="shared" si="737"/>
        <v>88.084366967100436</v>
      </c>
      <c r="FG232">
        <f t="shared" si="738"/>
        <v>16</v>
      </c>
      <c r="FI232" s="562">
        <f t="shared" si="689"/>
        <v>-50</v>
      </c>
    </row>
    <row r="233" spans="5:165">
      <c r="E233" s="170">
        <v>17</v>
      </c>
      <c r="F233" s="217">
        <f t="shared" si="690"/>
        <v>1.7000000000000002</v>
      </c>
      <c r="G233" s="217">
        <f t="shared" si="617"/>
        <v>4.2500000000000003E-2</v>
      </c>
      <c r="H233" s="217">
        <f t="shared" si="618"/>
        <v>25.500000000000004</v>
      </c>
      <c r="I233" s="217">
        <f t="shared" si="619"/>
        <v>0.34</v>
      </c>
      <c r="J233" s="541">
        <f t="shared" si="620"/>
        <v>84.727420162931693</v>
      </c>
      <c r="K233" s="443">
        <f t="shared" si="621"/>
        <v>15.846617922801491</v>
      </c>
      <c r="L233" s="172">
        <f t="shared" si="622"/>
        <v>100.57403808573318</v>
      </c>
      <c r="M233" s="443"/>
      <c r="N233" s="217">
        <f t="shared" si="623"/>
        <v>0.15756171497552104</v>
      </c>
      <c r="O233" s="172">
        <f t="shared" si="624"/>
        <v>329.35355985994391</v>
      </c>
      <c r="P233" s="172">
        <f t="shared" si="625"/>
        <v>4.4499325421076863</v>
      </c>
      <c r="Q233" s="217">
        <f t="shared" si="626"/>
        <v>21.956903990662926</v>
      </c>
      <c r="R233" s="217">
        <f t="shared" si="627"/>
        <v>41.169194982492989</v>
      </c>
      <c r="S233" s="217">
        <f t="shared" si="628"/>
        <v>15</v>
      </c>
      <c r="T233" s="217">
        <f t="shared" si="629"/>
        <v>3.8712197328068605</v>
      </c>
      <c r="U233" s="217">
        <f t="shared" si="630"/>
        <v>0.54828338576047264</v>
      </c>
      <c r="V233" s="217">
        <f t="shared" si="631"/>
        <v>2.9315174392410484</v>
      </c>
      <c r="W233" s="197">
        <f t="shared" si="632"/>
        <v>111.24831355269215</v>
      </c>
      <c r="X233" s="443">
        <f t="shared" si="691"/>
        <v>271.75383874196143</v>
      </c>
      <c r="Z233" s="217">
        <f t="shared" si="633"/>
        <v>10</v>
      </c>
      <c r="AA233" s="173">
        <f t="shared" si="634"/>
        <v>7.572593760043496</v>
      </c>
      <c r="AB233" s="173">
        <f t="shared" si="635"/>
        <v>4.1567678537392041</v>
      </c>
      <c r="AC233" s="173"/>
      <c r="AD233" s="173">
        <f t="shared" si="636"/>
        <v>7.572593760043496</v>
      </c>
      <c r="AE233" s="545">
        <f t="shared" si="637"/>
        <v>44.898750781270891</v>
      </c>
      <c r="AF233" s="528">
        <f t="shared" si="638"/>
        <v>4.2121914251223949</v>
      </c>
      <c r="AH233" s="173">
        <f t="shared" si="639"/>
        <v>3.5078144056893752</v>
      </c>
      <c r="AI233" s="173">
        <f t="shared" si="640"/>
        <v>10</v>
      </c>
      <c r="AJ233" s="173">
        <f t="shared" si="641"/>
        <v>1.0256564290178691</v>
      </c>
      <c r="AL233" s="545">
        <f t="shared" si="642"/>
        <v>1700.0000000000002</v>
      </c>
      <c r="AM233" s="460">
        <f t="shared" si="643"/>
        <v>44.898750781270891</v>
      </c>
      <c r="AO233">
        <f t="shared" si="644"/>
        <v>1700.0000000000002</v>
      </c>
      <c r="AP233">
        <f t="shared" si="645"/>
        <v>44.898750781270891</v>
      </c>
      <c r="AR233" s="5">
        <f t="shared" si="616"/>
        <v>22.272334588363226</v>
      </c>
      <c r="AS233" s="5">
        <f t="shared" si="604"/>
        <v>1.4163065483315647</v>
      </c>
      <c r="AT233" s="5">
        <f t="shared" si="605"/>
        <v>20.85602804003166</v>
      </c>
      <c r="AU233" s="173">
        <f t="shared" si="606"/>
        <v>6.3590394743420917E-2</v>
      </c>
      <c r="BA233" s="173">
        <f t="shared" si="692"/>
        <v>1.4559120250827993</v>
      </c>
      <c r="BB233" s="173">
        <f t="shared" si="693"/>
        <v>5.5869180688956446</v>
      </c>
      <c r="BC233" s="173">
        <f t="shared" si="694"/>
        <v>0.13759155087319472</v>
      </c>
      <c r="BD233" s="173"/>
      <c r="BE233" s="528">
        <f t="shared" si="695"/>
        <v>4.2393596495613951E-2</v>
      </c>
      <c r="BF233" s="528">
        <f t="shared" si="646"/>
        <v>0.84668412582700892</v>
      </c>
      <c r="BG233" s="528">
        <f t="shared" si="647"/>
        <v>9.5103883055887406E-2</v>
      </c>
      <c r="BH233" s="528">
        <f t="shared" si="696"/>
        <v>4.5415702142672688E-2</v>
      </c>
      <c r="BI233">
        <f t="shared" si="697"/>
        <v>3.8127339073319264E-2</v>
      </c>
      <c r="BJ233" s="460">
        <f t="shared" si="698"/>
        <v>133.23122212920669</v>
      </c>
      <c r="BK233">
        <f t="shared" si="648"/>
        <v>0.95556483109739765</v>
      </c>
      <c r="BL233" s="460">
        <f t="shared" si="699"/>
        <v>1067.724646594502</v>
      </c>
      <c r="BM233" s="173">
        <f t="shared" si="649"/>
        <v>1.056125</v>
      </c>
      <c r="BN233" s="173">
        <f t="shared" si="650"/>
        <v>1.8859375000000001E-2</v>
      </c>
      <c r="BQ233" s="460">
        <f t="shared" si="700"/>
        <v>1074.9843749999998</v>
      </c>
      <c r="BR233" s="528">
        <f t="shared" si="701"/>
        <v>6.359039474342093E-2</v>
      </c>
      <c r="BS233" s="528">
        <f t="shared" si="702"/>
        <v>0.93640960525657913</v>
      </c>
      <c r="BT233" s="528">
        <f t="shared" si="703"/>
        <v>9.4657174358454661E-5</v>
      </c>
      <c r="BU233" s="528">
        <f t="shared" si="704"/>
        <v>0.21357757385176332</v>
      </c>
      <c r="BV233" s="528"/>
      <c r="BW233" s="625">
        <f t="shared" si="705"/>
        <v>4.4898750781270889E-3</v>
      </c>
      <c r="BX233" s="460">
        <f t="shared" si="706"/>
        <v>1218.162106104249</v>
      </c>
      <c r="BY233" s="173">
        <f t="shared" si="707"/>
        <v>3.3608711276987511</v>
      </c>
      <c r="BZ233" s="5">
        <f t="shared" si="708"/>
        <v>25.840000000000003</v>
      </c>
      <c r="CA233" s="173">
        <f t="shared" si="709"/>
        <v>0.884905107351035</v>
      </c>
      <c r="CB233" s="5">
        <f t="shared" si="710"/>
        <v>88.490510735103499</v>
      </c>
      <c r="CC233">
        <f t="shared" si="711"/>
        <v>17</v>
      </c>
      <c r="CE233" s="562">
        <f t="shared" si="651"/>
        <v>-50</v>
      </c>
      <c r="CG233" s="173">
        <f t="shared" si="652"/>
        <v>0.34784287640638373</v>
      </c>
      <c r="CH233" s="173">
        <f t="shared" si="653"/>
        <v>4.0773033816779006E-2</v>
      </c>
      <c r="CI233" s="170">
        <v>17</v>
      </c>
      <c r="CJ233" s="217">
        <f t="shared" si="712"/>
        <v>1.7000000000000002</v>
      </c>
      <c r="CK233" s="217">
        <f t="shared" si="654"/>
        <v>4.2500000000000003E-2</v>
      </c>
      <c r="CL233" s="217">
        <f t="shared" si="655"/>
        <v>25.500000000000004</v>
      </c>
      <c r="CM233" s="217">
        <f t="shared" si="656"/>
        <v>0.34</v>
      </c>
      <c r="CN233" s="541">
        <f t="shared" si="657"/>
        <v>85</v>
      </c>
      <c r="CO233" s="443">
        <f t="shared" si="658"/>
        <v>15.7</v>
      </c>
      <c r="CP233" s="443">
        <f t="shared" si="659"/>
        <v>100.7</v>
      </c>
      <c r="CQ233" s="443"/>
      <c r="CR233" s="217">
        <f t="shared" si="660"/>
        <v>0.15338645418326693</v>
      </c>
      <c r="CS233" s="172">
        <f t="shared" si="661"/>
        <v>321.65744915076539</v>
      </c>
      <c r="CT233" s="172">
        <f t="shared" si="662"/>
        <v>4.3459495351925632</v>
      </c>
      <c r="CU233" s="217">
        <f t="shared" si="663"/>
        <v>21.443829943384358</v>
      </c>
      <c r="CV233" s="217">
        <f t="shared" si="664"/>
        <v>40.207181143845673</v>
      </c>
      <c r="CW233" s="217">
        <f t="shared" si="665"/>
        <v>15</v>
      </c>
      <c r="CX233" s="217">
        <f t="shared" si="666"/>
        <v>3.9638441558441562</v>
      </c>
      <c r="CY233" s="217">
        <f t="shared" si="667"/>
        <v>0.55960152788388084</v>
      </c>
      <c r="CZ233" s="217">
        <f t="shared" si="668"/>
        <v>3.0296898006452149</v>
      </c>
      <c r="DA233" s="197">
        <f t="shared" si="669"/>
        <v>110.43528632903013</v>
      </c>
      <c r="DB233" s="443">
        <f t="shared" si="670"/>
        <v>278.60652938690367</v>
      </c>
      <c r="DD233" s="217">
        <f t="shared" si="671"/>
        <v>9.9999999999999982</v>
      </c>
      <c r="DE233" s="173">
        <f t="shared" si="672"/>
        <v>7.6433121019108263</v>
      </c>
      <c r="DF233" s="173">
        <f t="shared" si="673"/>
        <v>4.1649244760361679</v>
      </c>
      <c r="DG233" s="173"/>
      <c r="DH233" s="173">
        <f t="shared" si="674"/>
        <v>7.6433121019108281</v>
      </c>
      <c r="DI233" s="545">
        <f t="shared" si="675"/>
        <v>44.483333333333341</v>
      </c>
      <c r="DJ233" s="528">
        <f t="shared" si="676"/>
        <v>4.2204568023833167</v>
      </c>
      <c r="DL233" s="173">
        <f t="shared" si="677"/>
        <v>3.5078144056893752</v>
      </c>
      <c r="DM233" s="173">
        <f t="shared" si="678"/>
        <v>10</v>
      </c>
      <c r="DN233" s="173">
        <f t="shared" si="679"/>
        <v>1.0254190476190477</v>
      </c>
      <c r="DP233" s="545">
        <f t="shared" si="680"/>
        <v>1700.0000000000002</v>
      </c>
      <c r="DQ233" s="460">
        <f t="shared" si="681"/>
        <v>44.483333333333341</v>
      </c>
      <c r="DS233">
        <f t="shared" si="682"/>
        <v>1700.0000000000002</v>
      </c>
      <c r="DT233">
        <f t="shared" si="683"/>
        <v>44.483333333333341</v>
      </c>
      <c r="DV233" s="5">
        <f t="shared" si="684"/>
        <v>22.480329711502431</v>
      </c>
      <c r="DW233" s="5">
        <f t="shared" si="685"/>
        <v>1.4117647058823528</v>
      </c>
      <c r="DX233" s="5">
        <f t="shared" si="686"/>
        <v>21.06856500562008</v>
      </c>
      <c r="DY233" s="173">
        <f t="shared" si="687"/>
        <v>6.2800000000000009E-2</v>
      </c>
      <c r="EA233" s="5">
        <f t="shared" si="713"/>
        <v>16</v>
      </c>
      <c r="EB233" s="5">
        <f t="shared" si="714"/>
        <v>0.75</v>
      </c>
      <c r="EC233" s="5">
        <f t="shared" si="715"/>
        <v>1.7557137504683402</v>
      </c>
      <c r="ED233" s="5"/>
      <c r="EE233" s="173">
        <f t="shared" si="716"/>
        <v>1.446835627614047</v>
      </c>
      <c r="EF233" s="173">
        <f t="shared" si="717"/>
        <v>5.5892754449928486</v>
      </c>
      <c r="EG233" s="173">
        <f t="shared" si="718"/>
        <v>0.13764960703747095</v>
      </c>
      <c r="EH233" s="173"/>
      <c r="EI233" s="528">
        <f t="shared" si="719"/>
        <v>4.1866666666666663E-2</v>
      </c>
      <c r="EJ233" s="528">
        <f t="shared" si="720"/>
        <v>0.89589433333333346</v>
      </c>
      <c r="EK233" s="528">
        <f t="shared" si="721"/>
        <v>5.5604166666666675E-3</v>
      </c>
      <c r="EL233" s="528">
        <f t="shared" si="722"/>
        <v>4.5108279683333342E-2</v>
      </c>
      <c r="EM233">
        <f t="shared" si="723"/>
        <v>3.8249999999999999E-2</v>
      </c>
      <c r="EN233" s="460">
        <f t="shared" si="724"/>
        <v>43.810416666666661</v>
      </c>
      <c r="EP233" s="460">
        <f t="shared" si="725"/>
        <v>1026.6796963500001</v>
      </c>
      <c r="EQ233" s="173">
        <f t="shared" si="726"/>
        <v>1.19</v>
      </c>
      <c r="ER233" s="173">
        <f t="shared" si="688"/>
        <v>1.8859375000000001E-2</v>
      </c>
      <c r="ES233" s="528"/>
      <c r="EU233" s="460">
        <f t="shared" si="727"/>
        <v>1208.8593749999998</v>
      </c>
      <c r="EV233" s="528">
        <f t="shared" si="728"/>
        <v>6.2799999999999995E-2</v>
      </c>
      <c r="EW233" s="528">
        <f t="shared" si="729"/>
        <v>0.93720000000000014</v>
      </c>
      <c r="EX233" s="528">
        <f t="shared" si="730"/>
        <v>9.4737071587850852E-5</v>
      </c>
      <c r="EY233" s="528">
        <f t="shared" si="731"/>
        <v>0.20867158405331809</v>
      </c>
      <c r="EZ233" s="528"/>
      <c r="FA233" s="625">
        <f t="shared" si="732"/>
        <v>4.4483333333333345E-3</v>
      </c>
      <c r="FB233" s="460">
        <f t="shared" si="733"/>
        <v>1213.2146544582395</v>
      </c>
      <c r="FC233" s="173">
        <f t="shared" si="734"/>
        <v>3.4487537258082397</v>
      </c>
      <c r="FD233" s="5">
        <f t="shared" si="735"/>
        <v>25.840000000000003</v>
      </c>
      <c r="FE233" s="173">
        <f t="shared" si="736"/>
        <v>0.88224989843902724</v>
      </c>
      <c r="FF233" s="5">
        <f t="shared" si="737"/>
        <v>88.224989843902719</v>
      </c>
      <c r="FG233">
        <f t="shared" si="738"/>
        <v>17</v>
      </c>
      <c r="FI233" s="562">
        <f t="shared" si="689"/>
        <v>-50</v>
      </c>
    </row>
    <row r="234" spans="5:165">
      <c r="E234" s="170">
        <v>18</v>
      </c>
      <c r="F234" s="217">
        <f t="shared" si="690"/>
        <v>1.7999999999999998</v>
      </c>
      <c r="G234" s="217">
        <f t="shared" si="617"/>
        <v>4.4999999999999998E-2</v>
      </c>
      <c r="H234" s="217">
        <f t="shared" si="618"/>
        <v>26.999999999999996</v>
      </c>
      <c r="I234" s="217">
        <f t="shared" si="619"/>
        <v>0.36</v>
      </c>
      <c r="J234" s="541">
        <f t="shared" si="620"/>
        <v>84.727420162931693</v>
      </c>
      <c r="K234" s="443">
        <f t="shared" si="621"/>
        <v>15.846617922801491</v>
      </c>
      <c r="L234" s="172">
        <f t="shared" si="622"/>
        <v>100.57403808573318</v>
      </c>
      <c r="M234" s="443"/>
      <c r="N234" s="217">
        <f t="shared" si="623"/>
        <v>0.15756171497552104</v>
      </c>
      <c r="O234" s="172">
        <f t="shared" si="624"/>
        <v>329.35355985994391</v>
      </c>
      <c r="P234" s="172">
        <f t="shared" si="625"/>
        <v>4.4499325421076863</v>
      </c>
      <c r="Q234" s="217">
        <f t="shared" si="626"/>
        <v>21.956903990662926</v>
      </c>
      <c r="R234" s="217">
        <f t="shared" si="627"/>
        <v>41.169194982492989</v>
      </c>
      <c r="S234" s="217">
        <f t="shared" si="628"/>
        <v>15</v>
      </c>
      <c r="T234" s="217">
        <f t="shared" si="629"/>
        <v>4.0989385406190273</v>
      </c>
      <c r="U234" s="217">
        <f t="shared" si="630"/>
        <v>0.58053534962873554</v>
      </c>
      <c r="V234" s="217">
        <f t="shared" si="631"/>
        <v>3.103959641549344</v>
      </c>
      <c r="W234" s="197">
        <f t="shared" si="632"/>
        <v>111.24831355269215</v>
      </c>
      <c r="X234" s="443">
        <f t="shared" si="691"/>
        <v>257.43372105539066</v>
      </c>
      <c r="Z234" s="217">
        <f t="shared" si="633"/>
        <v>10</v>
      </c>
      <c r="AA234" s="173">
        <f t="shared" si="634"/>
        <v>7.572593760043496</v>
      </c>
      <c r="AB234" s="173">
        <f t="shared" si="635"/>
        <v>4.1567678537392041</v>
      </c>
      <c r="AC234" s="173"/>
      <c r="AD234" s="173">
        <f t="shared" si="636"/>
        <v>7.572593760043496</v>
      </c>
      <c r="AE234" s="545">
        <f t="shared" si="637"/>
        <v>47.539853768404463</v>
      </c>
      <c r="AF234" s="528">
        <f t="shared" si="638"/>
        <v>4.2121914251223949</v>
      </c>
      <c r="AH234" s="173">
        <f t="shared" si="639"/>
        <v>3.60951124510943</v>
      </c>
      <c r="AI234" s="173">
        <f t="shared" si="640"/>
        <v>10</v>
      </c>
      <c r="AJ234" s="173">
        <f t="shared" si="641"/>
        <v>1.0271656307248025</v>
      </c>
      <c r="AL234" s="545">
        <f t="shared" si="642"/>
        <v>1799.9999999999998</v>
      </c>
      <c r="AM234" s="460">
        <f t="shared" si="643"/>
        <v>47.539853768404463</v>
      </c>
      <c r="AO234">
        <f t="shared" si="644"/>
        <v>1799.9999999999998</v>
      </c>
      <c r="AP234">
        <f t="shared" si="645"/>
        <v>47.539853768404463</v>
      </c>
      <c r="AR234" s="5">
        <f t="shared" si="616"/>
        <v>21.034982666787492</v>
      </c>
      <c r="AS234" s="5">
        <f t="shared" si="604"/>
        <v>1.4163065483315647</v>
      </c>
      <c r="AT234" s="5">
        <f t="shared" si="605"/>
        <v>19.618676118455927</v>
      </c>
      <c r="AU234" s="173">
        <f t="shared" si="606"/>
        <v>6.7331006198916257E-2</v>
      </c>
      <c r="BA234" s="173">
        <f t="shared" si="692"/>
        <v>1.4981211143619895</v>
      </c>
      <c r="BB234" s="173">
        <f t="shared" si="693"/>
        <v>5.5757480628195646</v>
      </c>
      <c r="BC234" s="173">
        <f t="shared" si="694"/>
        <v>0.13731646209610537</v>
      </c>
      <c r="BD234" s="173"/>
      <c r="BE234" s="528">
        <f t="shared" si="695"/>
        <v>4.4887337465944185E-2</v>
      </c>
      <c r="BF234" s="528">
        <f t="shared" si="646"/>
        <v>0.89648907440506798</v>
      </c>
      <c r="BG234" s="528">
        <f t="shared" si="647"/>
        <v>0.1006982291179984</v>
      </c>
      <c r="BH234" s="528">
        <f t="shared" si="696"/>
        <v>4.8087214033418126E-2</v>
      </c>
      <c r="BI234">
        <f t="shared" si="697"/>
        <v>3.8127339073319264E-2</v>
      </c>
      <c r="BJ234" s="460">
        <f t="shared" si="698"/>
        <v>138.82556819131767</v>
      </c>
      <c r="BK234">
        <f t="shared" si="648"/>
        <v>1.0123804790761093</v>
      </c>
      <c r="BL234" s="460">
        <f t="shared" si="699"/>
        <v>1128.2891940957477</v>
      </c>
      <c r="BM234" s="173">
        <f t="shared" si="649"/>
        <v>1.1182499999999997</v>
      </c>
      <c r="BN234" s="173">
        <f t="shared" si="650"/>
        <v>1.9968749999999997E-2</v>
      </c>
      <c r="BQ234" s="460">
        <f t="shared" si="700"/>
        <v>1138.2187499999998</v>
      </c>
      <c r="BR234" s="528">
        <f t="shared" si="701"/>
        <v>6.7331006198916271E-2</v>
      </c>
      <c r="BS234" s="528">
        <f t="shared" si="702"/>
        <v>0.9326689938010837</v>
      </c>
      <c r="BT234" s="528">
        <f t="shared" si="703"/>
        <v>9.4279053812955715E-5</v>
      </c>
      <c r="BU234" s="528">
        <f t="shared" si="704"/>
        <v>0.24638519505330234</v>
      </c>
      <c r="BV234" s="528"/>
      <c r="BW234" s="625">
        <f t="shared" si="705"/>
        <v>4.7539853768404465E-3</v>
      </c>
      <c r="BX234" s="460">
        <f t="shared" si="706"/>
        <v>1251.2334594839556</v>
      </c>
      <c r="BY234" s="173">
        <f t="shared" si="707"/>
        <v>3.5177414035797034</v>
      </c>
      <c r="BZ234" s="5">
        <f t="shared" si="708"/>
        <v>27.359999999999996</v>
      </c>
      <c r="CA234" s="173">
        <f t="shared" si="709"/>
        <v>0.88607517118554902</v>
      </c>
      <c r="CB234" s="5">
        <f t="shared" si="710"/>
        <v>88.607517118554895</v>
      </c>
      <c r="CC234">
        <f t="shared" si="711"/>
        <v>18</v>
      </c>
      <c r="CE234" s="562">
        <f t="shared" si="651"/>
        <v>-50</v>
      </c>
      <c r="CG234" s="173">
        <f t="shared" si="652"/>
        <v>0.36830422207734731</v>
      </c>
      <c r="CH234" s="173">
        <f t="shared" si="653"/>
        <v>4.3171447570707178E-2</v>
      </c>
      <c r="CI234" s="170">
        <v>18</v>
      </c>
      <c r="CJ234" s="217">
        <f t="shared" si="712"/>
        <v>1.7999999999999998</v>
      </c>
      <c r="CK234" s="217">
        <f t="shared" si="654"/>
        <v>4.4999999999999998E-2</v>
      </c>
      <c r="CL234" s="217">
        <f t="shared" si="655"/>
        <v>26.999999999999996</v>
      </c>
      <c r="CM234" s="217">
        <f t="shared" si="656"/>
        <v>0.36</v>
      </c>
      <c r="CN234" s="541">
        <f t="shared" si="657"/>
        <v>85</v>
      </c>
      <c r="CO234" s="443">
        <f t="shared" si="658"/>
        <v>15.7</v>
      </c>
      <c r="CP234" s="443">
        <f t="shared" si="659"/>
        <v>100.7</v>
      </c>
      <c r="CQ234" s="443"/>
      <c r="CR234" s="217">
        <f t="shared" si="660"/>
        <v>0.15338645418326693</v>
      </c>
      <c r="CS234" s="172">
        <f t="shared" si="661"/>
        <v>321.65744915076539</v>
      </c>
      <c r="CT234" s="172">
        <f t="shared" si="662"/>
        <v>4.3459495351925632</v>
      </c>
      <c r="CU234" s="217">
        <f t="shared" si="663"/>
        <v>21.443829943384358</v>
      </c>
      <c r="CV234" s="217">
        <f t="shared" si="664"/>
        <v>40.207181143845673</v>
      </c>
      <c r="CW234" s="217">
        <f t="shared" si="665"/>
        <v>15</v>
      </c>
      <c r="CX234" s="217">
        <f t="shared" si="666"/>
        <v>4.1970114591291052</v>
      </c>
      <c r="CY234" s="217">
        <f t="shared" si="667"/>
        <v>0.5925192648182267</v>
      </c>
      <c r="CZ234" s="217">
        <f t="shared" si="668"/>
        <v>3.2079068477419916</v>
      </c>
      <c r="DA234" s="197">
        <f t="shared" si="669"/>
        <v>110.43528632903013</v>
      </c>
      <c r="DB234" s="443">
        <f t="shared" si="670"/>
        <v>263.12838886540908</v>
      </c>
      <c r="DD234" s="217">
        <f t="shared" si="671"/>
        <v>9.9999999999999982</v>
      </c>
      <c r="DE234" s="173">
        <f t="shared" si="672"/>
        <v>7.6433121019108263</v>
      </c>
      <c r="DF234" s="173">
        <f t="shared" si="673"/>
        <v>4.1649244760361679</v>
      </c>
      <c r="DG234" s="173"/>
      <c r="DH234" s="173">
        <f t="shared" si="674"/>
        <v>7.6433121019108281</v>
      </c>
      <c r="DI234" s="545">
        <f t="shared" si="675"/>
        <v>47.1</v>
      </c>
      <c r="DJ234" s="528">
        <f t="shared" si="676"/>
        <v>4.2204568023833167</v>
      </c>
      <c r="DL234" s="173">
        <f t="shared" si="677"/>
        <v>3.60951124510943</v>
      </c>
      <c r="DM234" s="173">
        <f t="shared" si="678"/>
        <v>10</v>
      </c>
      <c r="DN234" s="173">
        <f t="shared" si="679"/>
        <v>1.0269142857142857</v>
      </c>
      <c r="DP234" s="545">
        <f t="shared" si="680"/>
        <v>1799.9999999999998</v>
      </c>
      <c r="DQ234" s="460">
        <f t="shared" si="681"/>
        <v>47.1</v>
      </c>
      <c r="DS234">
        <f t="shared" si="682"/>
        <v>1799.9999999999998</v>
      </c>
      <c r="DT234">
        <f t="shared" si="683"/>
        <v>47.1</v>
      </c>
      <c r="DV234" s="5">
        <f t="shared" si="684"/>
        <v>21.231422505307854</v>
      </c>
      <c r="DW234" s="5">
        <f t="shared" si="685"/>
        <v>1.4117647058823528</v>
      </c>
      <c r="DX234" s="5">
        <f t="shared" si="686"/>
        <v>19.819657799425503</v>
      </c>
      <c r="DY234" s="173">
        <f t="shared" si="687"/>
        <v>6.6494117647058815E-2</v>
      </c>
      <c r="EA234" s="5">
        <f t="shared" si="713"/>
        <v>16.941176470588232</v>
      </c>
      <c r="EB234" s="5">
        <f t="shared" si="714"/>
        <v>0.79411764705882337</v>
      </c>
      <c r="EC234" s="5">
        <f t="shared" si="715"/>
        <v>1.7487933352434266</v>
      </c>
      <c r="ED234" s="5"/>
      <c r="EE234" s="173">
        <f t="shared" si="716"/>
        <v>1.4887815784174971</v>
      </c>
      <c r="EF234" s="173">
        <f t="shared" si="717"/>
        <v>5.5782490752115077</v>
      </c>
      <c r="EG234" s="173">
        <f t="shared" si="718"/>
        <v>0.1373780556561893</v>
      </c>
      <c r="EH234" s="173"/>
      <c r="EI234" s="528">
        <f t="shared" si="719"/>
        <v>4.4329411764705888E-2</v>
      </c>
      <c r="EJ234" s="528">
        <f t="shared" si="720"/>
        <v>0.94859400000000016</v>
      </c>
      <c r="EK234" s="528">
        <f t="shared" si="721"/>
        <v>5.8875000000000004E-3</v>
      </c>
      <c r="EL234" s="528">
        <f t="shared" si="722"/>
        <v>4.7761707900000006E-2</v>
      </c>
      <c r="EM234">
        <f t="shared" si="723"/>
        <v>3.8249999999999999E-2</v>
      </c>
      <c r="EN234" s="460">
        <f t="shared" si="724"/>
        <v>44.137499999999996</v>
      </c>
      <c r="EP234" s="460">
        <f t="shared" si="725"/>
        <v>1084.8226196647061</v>
      </c>
      <c r="EQ234" s="173">
        <f t="shared" si="726"/>
        <v>1.2599999999999998</v>
      </c>
      <c r="ER234" s="173">
        <f t="shared" si="688"/>
        <v>1.9968749999999997E-2</v>
      </c>
      <c r="ES234" s="528"/>
      <c r="EU234" s="460">
        <f t="shared" si="727"/>
        <v>1279.9687499999998</v>
      </c>
      <c r="EV234" s="528">
        <f t="shared" si="728"/>
        <v>6.6494117647058829E-2</v>
      </c>
      <c r="EW234" s="528">
        <f t="shared" si="729"/>
        <v>0.93350588235294119</v>
      </c>
      <c r="EX234" s="528">
        <f t="shared" si="730"/>
        <v>9.4363650879375222E-5</v>
      </c>
      <c r="EY234" s="528">
        <f t="shared" si="731"/>
        <v>0.24072559684914632</v>
      </c>
      <c r="EZ234" s="528"/>
      <c r="FA234" s="625">
        <f t="shared" si="732"/>
        <v>4.7100000000000006E-3</v>
      </c>
      <c r="FB234" s="460">
        <f t="shared" si="733"/>
        <v>1245.5299605000259</v>
      </c>
      <c r="FC234" s="173">
        <f t="shared" si="734"/>
        <v>3.6103213301647319</v>
      </c>
      <c r="FD234" s="5">
        <f t="shared" si="735"/>
        <v>27.359999999999996</v>
      </c>
      <c r="FE234" s="173">
        <f t="shared" si="736"/>
        <v>0.8834264168047774</v>
      </c>
      <c r="FF234" s="5">
        <f t="shared" si="737"/>
        <v>88.34264168047774</v>
      </c>
      <c r="FG234">
        <f t="shared" si="738"/>
        <v>18</v>
      </c>
      <c r="FI234" s="562">
        <f t="shared" si="689"/>
        <v>-50</v>
      </c>
    </row>
    <row r="235" spans="5:165">
      <c r="E235" s="170">
        <v>19</v>
      </c>
      <c r="F235" s="217">
        <f t="shared" si="690"/>
        <v>1.9</v>
      </c>
      <c r="G235" s="217">
        <f t="shared" si="617"/>
        <v>4.7500000000000001E-2</v>
      </c>
      <c r="H235" s="217">
        <f t="shared" si="618"/>
        <v>28.5</v>
      </c>
      <c r="I235" s="217">
        <f t="shared" si="619"/>
        <v>0.38</v>
      </c>
      <c r="J235" s="541">
        <f t="shared" si="620"/>
        <v>84.727420162931693</v>
      </c>
      <c r="K235" s="443">
        <f t="shared" si="621"/>
        <v>15.846617922801491</v>
      </c>
      <c r="L235" s="172">
        <f t="shared" si="622"/>
        <v>100.57403808573318</v>
      </c>
      <c r="M235" s="443"/>
      <c r="N235" s="217">
        <f t="shared" si="623"/>
        <v>0.15756171497552104</v>
      </c>
      <c r="O235" s="172">
        <f t="shared" si="624"/>
        <v>329.35355985994391</v>
      </c>
      <c r="P235" s="172">
        <f t="shared" si="625"/>
        <v>4.4499325421076863</v>
      </c>
      <c r="Q235" s="217">
        <f t="shared" si="626"/>
        <v>21.956903990662926</v>
      </c>
      <c r="R235" s="217">
        <f t="shared" si="627"/>
        <v>41.169194982492989</v>
      </c>
      <c r="S235" s="217">
        <f t="shared" si="628"/>
        <v>15</v>
      </c>
      <c r="T235" s="217">
        <f t="shared" si="629"/>
        <v>4.3266573484311959</v>
      </c>
      <c r="U235" s="217">
        <f t="shared" si="630"/>
        <v>0.61278731349699866</v>
      </c>
      <c r="V235" s="217">
        <f t="shared" si="631"/>
        <v>3.2764018438576419</v>
      </c>
      <c r="W235" s="197">
        <f t="shared" si="632"/>
        <v>111.24831355269215</v>
      </c>
      <c r="X235" s="443">
        <f t="shared" si="691"/>
        <v>244.54725900890222</v>
      </c>
      <c r="Z235" s="217">
        <f t="shared" si="633"/>
        <v>10</v>
      </c>
      <c r="AA235" s="173">
        <f t="shared" si="634"/>
        <v>7.572593760043496</v>
      </c>
      <c r="AB235" s="173">
        <f t="shared" si="635"/>
        <v>4.1567678537392041</v>
      </c>
      <c r="AC235" s="173"/>
      <c r="AD235" s="173">
        <f t="shared" si="636"/>
        <v>7.572593760043496</v>
      </c>
      <c r="AE235" s="545">
        <f t="shared" si="637"/>
        <v>50.180956755538048</v>
      </c>
      <c r="AF235" s="528">
        <f t="shared" si="638"/>
        <v>4.2121914251223949</v>
      </c>
      <c r="AH235" s="173">
        <f t="shared" si="639"/>
        <v>3.7084202772044259</v>
      </c>
      <c r="AI235" s="173">
        <f t="shared" si="640"/>
        <v>10</v>
      </c>
      <c r="AJ235" s="173">
        <f t="shared" si="641"/>
        <v>1.0286748324317361</v>
      </c>
      <c r="AL235" s="545">
        <f t="shared" si="642"/>
        <v>1900</v>
      </c>
      <c r="AM235" s="460">
        <f t="shared" si="643"/>
        <v>50.180956755538048</v>
      </c>
      <c r="AO235">
        <f t="shared" si="644"/>
        <v>1900</v>
      </c>
      <c r="AP235">
        <f t="shared" si="645"/>
        <v>50.180956755538048</v>
      </c>
      <c r="AR235" s="5">
        <f t="shared" si="616"/>
        <v>19.927878315903943</v>
      </c>
      <c r="AS235" s="5">
        <f t="shared" si="604"/>
        <v>1.4163065483315647</v>
      </c>
      <c r="AT235" s="5">
        <f t="shared" si="605"/>
        <v>18.511571767572377</v>
      </c>
      <c r="AU235" s="173">
        <f t="shared" si="606"/>
        <v>7.1071617654411598E-2</v>
      </c>
      <c r="BA235" s="173">
        <f t="shared" si="692"/>
        <v>1.5391731292527555</v>
      </c>
      <c r="BB235" s="173">
        <f t="shared" si="693"/>
        <v>5.5645556346863501</v>
      </c>
      <c r="BC235" s="173">
        <f t="shared" si="694"/>
        <v>0.13704082112090307</v>
      </c>
      <c r="BD235" s="173"/>
      <c r="BE235" s="528">
        <f t="shared" si="695"/>
        <v>4.7381078436274392E-2</v>
      </c>
      <c r="BF235" s="528">
        <f t="shared" si="646"/>
        <v>0.94629402298312737</v>
      </c>
      <c r="BG235" s="528">
        <f t="shared" si="647"/>
        <v>0.10629257518010944</v>
      </c>
      <c r="BH235" s="528">
        <f t="shared" si="696"/>
        <v>5.0758725924163584E-2</v>
      </c>
      <c r="BI235">
        <f t="shared" si="697"/>
        <v>3.8127339073319264E-2</v>
      </c>
      <c r="BJ235" s="460">
        <f t="shared" si="698"/>
        <v>144.41991425342871</v>
      </c>
      <c r="BK235">
        <f t="shared" si="648"/>
        <v>1.06926422164989</v>
      </c>
      <c r="BL235" s="460">
        <f t="shared" si="699"/>
        <v>1188.853741596994</v>
      </c>
      <c r="BM235" s="173">
        <f t="shared" si="649"/>
        <v>1.1803749999999997</v>
      </c>
      <c r="BN235" s="173">
        <f t="shared" si="650"/>
        <v>2.1078125E-2</v>
      </c>
      <c r="BQ235" s="460">
        <f t="shared" si="700"/>
        <v>1201.4531249999998</v>
      </c>
      <c r="BR235" s="528">
        <f t="shared" si="701"/>
        <v>7.1071617654411584E-2</v>
      </c>
      <c r="BS235" s="528">
        <f t="shared" si="702"/>
        <v>0.92892838234558828</v>
      </c>
      <c r="BT235" s="528">
        <f t="shared" si="703"/>
        <v>9.3900933267456756E-5</v>
      </c>
      <c r="BU235" s="528">
        <f t="shared" si="704"/>
        <v>0.28204431331811008</v>
      </c>
      <c r="BV235" s="528"/>
      <c r="BW235" s="625">
        <f t="shared" si="705"/>
        <v>5.0180956755538049E-3</v>
      </c>
      <c r="BX235" s="460">
        <f t="shared" si="706"/>
        <v>1287.1563099269315</v>
      </c>
      <c r="BY235" s="173">
        <f t="shared" si="707"/>
        <v>3.6774631765239247</v>
      </c>
      <c r="BZ235" s="5">
        <f t="shared" si="708"/>
        <v>28.88</v>
      </c>
      <c r="CA235" s="173">
        <f t="shared" si="709"/>
        <v>0.88704699882220495</v>
      </c>
      <c r="CB235" s="5">
        <f t="shared" si="710"/>
        <v>88.704699882220496</v>
      </c>
      <c r="CC235">
        <f t="shared" si="711"/>
        <v>19</v>
      </c>
      <c r="CE235" s="562">
        <f t="shared" si="651"/>
        <v>-50</v>
      </c>
      <c r="CG235" s="173">
        <f t="shared" si="652"/>
        <v>0.38876556774831106</v>
      </c>
      <c r="CH235" s="173">
        <f t="shared" si="653"/>
        <v>4.5569861324635356E-2</v>
      </c>
      <c r="CI235" s="170">
        <v>19</v>
      </c>
      <c r="CJ235" s="217">
        <f t="shared" si="712"/>
        <v>1.9</v>
      </c>
      <c r="CK235" s="217">
        <f t="shared" si="654"/>
        <v>4.7500000000000001E-2</v>
      </c>
      <c r="CL235" s="217">
        <f t="shared" si="655"/>
        <v>28.5</v>
      </c>
      <c r="CM235" s="217">
        <f t="shared" si="656"/>
        <v>0.38</v>
      </c>
      <c r="CN235" s="541">
        <f t="shared" si="657"/>
        <v>85</v>
      </c>
      <c r="CO235" s="443">
        <f t="shared" si="658"/>
        <v>15.7</v>
      </c>
      <c r="CP235" s="443">
        <f t="shared" si="659"/>
        <v>100.7</v>
      </c>
      <c r="CQ235" s="443"/>
      <c r="CR235" s="217">
        <f t="shared" si="660"/>
        <v>0.15338645418326693</v>
      </c>
      <c r="CS235" s="172">
        <f t="shared" si="661"/>
        <v>321.65744915076539</v>
      </c>
      <c r="CT235" s="172">
        <f t="shared" si="662"/>
        <v>4.3459495351925632</v>
      </c>
      <c r="CU235" s="217">
        <f t="shared" si="663"/>
        <v>21.443829943384358</v>
      </c>
      <c r="CV235" s="217">
        <f t="shared" si="664"/>
        <v>40.207181143845673</v>
      </c>
      <c r="CW235" s="217">
        <f t="shared" si="665"/>
        <v>15</v>
      </c>
      <c r="CX235" s="217">
        <f t="shared" si="666"/>
        <v>4.4301787624140561</v>
      </c>
      <c r="CY235" s="217">
        <f t="shared" si="667"/>
        <v>0.62543700175257266</v>
      </c>
      <c r="CZ235" s="217">
        <f t="shared" si="668"/>
        <v>3.3861238948387689</v>
      </c>
      <c r="DA235" s="197">
        <f t="shared" si="669"/>
        <v>110.43528632903013</v>
      </c>
      <c r="DB235" s="443">
        <f t="shared" si="670"/>
        <v>249.27952629354542</v>
      </c>
      <c r="DD235" s="217">
        <f t="shared" si="671"/>
        <v>9.9999999999999982</v>
      </c>
      <c r="DE235" s="173">
        <f t="shared" si="672"/>
        <v>7.6433121019108263</v>
      </c>
      <c r="DF235" s="173">
        <f t="shared" si="673"/>
        <v>4.1649244760361679</v>
      </c>
      <c r="DG235" s="173"/>
      <c r="DH235" s="173">
        <f t="shared" si="674"/>
        <v>7.6433121019108281</v>
      </c>
      <c r="DI235" s="545">
        <f t="shared" si="675"/>
        <v>49.716666666666669</v>
      </c>
      <c r="DJ235" s="528">
        <f t="shared" si="676"/>
        <v>4.2204568023833167</v>
      </c>
      <c r="DL235" s="173">
        <f t="shared" si="677"/>
        <v>3.7084202772044259</v>
      </c>
      <c r="DM235" s="173">
        <f t="shared" si="678"/>
        <v>10</v>
      </c>
      <c r="DN235" s="173">
        <f t="shared" si="679"/>
        <v>1.0284095238095239</v>
      </c>
      <c r="DP235" s="545">
        <f t="shared" si="680"/>
        <v>1900</v>
      </c>
      <c r="DQ235" s="460">
        <f t="shared" si="681"/>
        <v>49.716666666666669</v>
      </c>
      <c r="DS235">
        <f t="shared" si="682"/>
        <v>1900</v>
      </c>
      <c r="DT235">
        <f t="shared" si="683"/>
        <v>49.716666666666669</v>
      </c>
      <c r="DV235" s="5">
        <f t="shared" si="684"/>
        <v>20.11397921555481</v>
      </c>
      <c r="DW235" s="5">
        <f t="shared" si="685"/>
        <v>1.4117647058823528</v>
      </c>
      <c r="DX235" s="5">
        <f t="shared" si="686"/>
        <v>18.702214509672459</v>
      </c>
      <c r="DY235" s="173">
        <f t="shared" si="687"/>
        <v>7.0188235294117648E-2</v>
      </c>
      <c r="EA235" s="5">
        <f t="shared" si="713"/>
        <v>17.882352941176471</v>
      </c>
      <c r="EB235" s="5">
        <f t="shared" si="714"/>
        <v>0.83823529411764686</v>
      </c>
      <c r="EC235" s="5">
        <f t="shared" si="715"/>
        <v>1.741872920018513</v>
      </c>
      <c r="ED235" s="5"/>
      <c r="EE235" s="173">
        <f t="shared" si="716"/>
        <v>1.5295776682265125</v>
      </c>
      <c r="EF235" s="173">
        <f t="shared" si="717"/>
        <v>5.5672008667009738</v>
      </c>
      <c r="EG235" s="173">
        <f t="shared" si="718"/>
        <v>0.137105966442675</v>
      </c>
      <c r="EH235" s="173"/>
      <c r="EI235" s="528">
        <f t="shared" si="719"/>
        <v>4.6792156862745106E-2</v>
      </c>
      <c r="EJ235" s="528">
        <f t="shared" si="720"/>
        <v>1.0012936666666667</v>
      </c>
      <c r="EK235" s="528">
        <f t="shared" si="721"/>
        <v>6.2145833333333332E-3</v>
      </c>
      <c r="EL235" s="528">
        <f t="shared" si="722"/>
        <v>5.0415136116666669E-2</v>
      </c>
      <c r="EM235">
        <f t="shared" si="723"/>
        <v>3.8249999999999999E-2</v>
      </c>
      <c r="EN235" s="460">
        <f t="shared" si="724"/>
        <v>44.464583333333337</v>
      </c>
      <c r="EP235" s="460">
        <f t="shared" si="725"/>
        <v>1142.9655429794118</v>
      </c>
      <c r="EQ235" s="173">
        <f t="shared" si="726"/>
        <v>1.3299999999999998</v>
      </c>
      <c r="ER235" s="173">
        <f t="shared" si="688"/>
        <v>2.1078125E-2</v>
      </c>
      <c r="ES235" s="528"/>
      <c r="EU235" s="460">
        <f t="shared" si="727"/>
        <v>1351.078125</v>
      </c>
      <c r="EV235" s="528">
        <f t="shared" si="728"/>
        <v>7.0188235294117648E-2</v>
      </c>
      <c r="EW235" s="528">
        <f t="shared" si="729"/>
        <v>0.92981176470588212</v>
      </c>
      <c r="EX235" s="528">
        <f t="shared" si="730"/>
        <v>9.3990230170899633E-5</v>
      </c>
      <c r="EY235" s="528">
        <f t="shared" si="731"/>
        <v>0.27556560631299815</v>
      </c>
      <c r="EZ235" s="528"/>
      <c r="FA235" s="625">
        <f t="shared" si="732"/>
        <v>4.9716666666666676E-3</v>
      </c>
      <c r="FB235" s="460">
        <f t="shared" si="733"/>
        <v>1280.6312632098354</v>
      </c>
      <c r="FC235" s="173">
        <f t="shared" si="734"/>
        <v>3.7746749311892471</v>
      </c>
      <c r="FD235" s="5">
        <f t="shared" si="735"/>
        <v>28.88</v>
      </c>
      <c r="FE235" s="173">
        <f t="shared" si="736"/>
        <v>0.88440629284648098</v>
      </c>
      <c r="FF235" s="5">
        <f t="shared" si="737"/>
        <v>88.440629284648097</v>
      </c>
      <c r="FG235">
        <f t="shared" si="738"/>
        <v>19</v>
      </c>
      <c r="FI235" s="562">
        <f t="shared" si="689"/>
        <v>-50</v>
      </c>
    </row>
    <row r="236" spans="5:165">
      <c r="E236" s="170">
        <v>20</v>
      </c>
      <c r="F236" s="217">
        <f t="shared" si="690"/>
        <v>2</v>
      </c>
      <c r="G236" s="217">
        <f t="shared" si="617"/>
        <v>0.05</v>
      </c>
      <c r="H236" s="217">
        <f t="shared" si="618"/>
        <v>30</v>
      </c>
      <c r="I236" s="217">
        <f t="shared" si="619"/>
        <v>0.4</v>
      </c>
      <c r="J236" s="541">
        <f t="shared" si="620"/>
        <v>84.727420162931693</v>
      </c>
      <c r="K236" s="443">
        <f t="shared" si="621"/>
        <v>15.846617922801491</v>
      </c>
      <c r="L236" s="172">
        <f t="shared" si="622"/>
        <v>100.57403808573318</v>
      </c>
      <c r="M236" s="443"/>
      <c r="N236" s="217">
        <f t="shared" si="623"/>
        <v>0.15756171497552104</v>
      </c>
      <c r="O236" s="172">
        <f t="shared" si="624"/>
        <v>329.35355985994391</v>
      </c>
      <c r="P236" s="172">
        <f t="shared" si="625"/>
        <v>4.4499325421076863</v>
      </c>
      <c r="Q236" s="217">
        <f t="shared" si="626"/>
        <v>21.956903990662926</v>
      </c>
      <c r="R236" s="217">
        <f t="shared" si="627"/>
        <v>41.169194982492989</v>
      </c>
      <c r="S236" s="217">
        <f t="shared" si="628"/>
        <v>15</v>
      </c>
      <c r="T236" s="217">
        <f t="shared" si="629"/>
        <v>4.5543761562433644</v>
      </c>
      <c r="U236" s="217">
        <f t="shared" si="630"/>
        <v>0.64503927736526179</v>
      </c>
      <c r="V236" s="217">
        <f t="shared" si="631"/>
        <v>3.4488440461659389</v>
      </c>
      <c r="W236" s="197">
        <f t="shared" si="632"/>
        <v>111.24831355269215</v>
      </c>
      <c r="X236" s="443">
        <f t="shared" si="691"/>
        <v>232.88942075343132</v>
      </c>
      <c r="Z236" s="217">
        <f t="shared" si="633"/>
        <v>10</v>
      </c>
      <c r="AA236" s="173">
        <f t="shared" si="634"/>
        <v>7.572593760043496</v>
      </c>
      <c r="AB236" s="173">
        <f t="shared" si="635"/>
        <v>4.1567678537392041</v>
      </c>
      <c r="AC236" s="173"/>
      <c r="AD236" s="173">
        <f t="shared" si="636"/>
        <v>7.572593760043496</v>
      </c>
      <c r="AE236" s="545">
        <f t="shared" si="637"/>
        <v>52.822059742671634</v>
      </c>
      <c r="AF236" s="528">
        <f t="shared" si="638"/>
        <v>4.2121914251223949</v>
      </c>
      <c r="AH236" s="173">
        <f t="shared" si="639"/>
        <v>3.804758924845367</v>
      </c>
      <c r="AI236" s="173">
        <f t="shared" si="640"/>
        <v>10</v>
      </c>
      <c r="AJ236" s="173">
        <f t="shared" si="641"/>
        <v>1.0301840341386694</v>
      </c>
      <c r="AL236" s="545">
        <f t="shared" si="642"/>
        <v>2000</v>
      </c>
      <c r="AM236" s="460">
        <f t="shared" si="643"/>
        <v>52.822059742671634</v>
      </c>
      <c r="AO236">
        <f t="shared" si="644"/>
        <v>2000</v>
      </c>
      <c r="AP236">
        <f t="shared" si="645"/>
        <v>52.822059742671634</v>
      </c>
      <c r="AR236" s="5">
        <f t="shared" si="616"/>
        <v>18.931484400108744</v>
      </c>
      <c r="AS236" s="5">
        <f t="shared" si="604"/>
        <v>1.4163065483315647</v>
      </c>
      <c r="AT236" s="5">
        <f t="shared" si="605"/>
        <v>17.515177851777178</v>
      </c>
      <c r="AU236" s="173">
        <f t="shared" si="606"/>
        <v>7.4812229109906953E-2</v>
      </c>
      <c r="BA236" s="173">
        <f t="shared" si="692"/>
        <v>1.5791583107244922</v>
      </c>
      <c r="BB236" s="173">
        <f t="shared" si="693"/>
        <v>5.5533406489250323</v>
      </c>
      <c r="BC236" s="173">
        <f t="shared" si="694"/>
        <v>0.13676462460882044</v>
      </c>
      <c r="BD236" s="173"/>
      <c r="BE236" s="528">
        <f t="shared" si="695"/>
        <v>4.987481940660464E-2</v>
      </c>
      <c r="BF236" s="528">
        <f t="shared" si="646"/>
        <v>0.99609897156118676</v>
      </c>
      <c r="BG236" s="528">
        <f t="shared" si="647"/>
        <v>0.11188692124222048</v>
      </c>
      <c r="BH236" s="528">
        <f t="shared" si="696"/>
        <v>5.3430237814909042E-2</v>
      </c>
      <c r="BI236">
        <f t="shared" si="697"/>
        <v>3.8127339073319264E-2</v>
      </c>
      <c r="BJ236" s="460">
        <f t="shared" si="698"/>
        <v>150.01426031553973</v>
      </c>
      <c r="BK236">
        <f t="shared" si="648"/>
        <v>1.1262161813110745</v>
      </c>
      <c r="BL236" s="460">
        <f t="shared" si="699"/>
        <v>1249.4182890982399</v>
      </c>
      <c r="BM236" s="173">
        <f t="shared" si="649"/>
        <v>1.2424999999999999</v>
      </c>
      <c r="BN236" s="173">
        <f t="shared" si="650"/>
        <v>2.2187499999999999E-2</v>
      </c>
      <c r="BQ236" s="460">
        <f t="shared" si="700"/>
        <v>1264.6875</v>
      </c>
      <c r="BR236" s="528">
        <f t="shared" si="701"/>
        <v>7.4812229109906953E-2</v>
      </c>
      <c r="BS236" s="528">
        <f t="shared" si="702"/>
        <v>0.92518777089009296</v>
      </c>
      <c r="BT236" s="528">
        <f t="shared" si="703"/>
        <v>9.3522812721957878E-5</v>
      </c>
      <c r="BU236" s="528">
        <f t="shared" si="704"/>
        <v>0.32063308564332799</v>
      </c>
      <c r="BV236" s="528"/>
      <c r="BW236" s="625">
        <f t="shared" si="705"/>
        <v>5.2822059742671642E-3</v>
      </c>
      <c r="BX236" s="460">
        <f t="shared" si="706"/>
        <v>1326.008814430317</v>
      </c>
      <c r="BY236" s="173">
        <f t="shared" si="707"/>
        <v>3.8401146035285567</v>
      </c>
      <c r="BZ236" s="5">
        <f t="shared" si="708"/>
        <v>30.4</v>
      </c>
      <c r="CA236" s="173">
        <f t="shared" si="709"/>
        <v>0.88784749560584653</v>
      </c>
      <c r="CB236" s="5">
        <f t="shared" si="710"/>
        <v>88.784749560584658</v>
      </c>
      <c r="CC236">
        <f t="shared" si="711"/>
        <v>20</v>
      </c>
      <c r="CE236" s="562">
        <f t="shared" si="651"/>
        <v>-50</v>
      </c>
      <c r="CG236" s="173">
        <f t="shared" si="652"/>
        <v>0.40922691341927481</v>
      </c>
      <c r="CH236" s="173">
        <f t="shared" si="653"/>
        <v>4.7968275078563528E-2</v>
      </c>
      <c r="CI236" s="170">
        <v>20</v>
      </c>
      <c r="CJ236" s="217">
        <f t="shared" si="712"/>
        <v>2</v>
      </c>
      <c r="CK236" s="217">
        <f t="shared" si="654"/>
        <v>0.05</v>
      </c>
      <c r="CL236" s="217">
        <f t="shared" si="655"/>
        <v>30</v>
      </c>
      <c r="CM236" s="217">
        <f t="shared" si="656"/>
        <v>0.4</v>
      </c>
      <c r="CN236" s="541">
        <f t="shared" si="657"/>
        <v>85</v>
      </c>
      <c r="CO236" s="443">
        <f t="shared" si="658"/>
        <v>15.7</v>
      </c>
      <c r="CP236" s="443">
        <f t="shared" si="659"/>
        <v>100.7</v>
      </c>
      <c r="CQ236" s="443"/>
      <c r="CR236" s="217">
        <f t="shared" si="660"/>
        <v>0.15338645418326693</v>
      </c>
      <c r="CS236" s="172">
        <f t="shared" si="661"/>
        <v>321.65744915076539</v>
      </c>
      <c r="CT236" s="172">
        <f t="shared" si="662"/>
        <v>4.3459495351925632</v>
      </c>
      <c r="CU236" s="217">
        <f t="shared" si="663"/>
        <v>21.443829943384358</v>
      </c>
      <c r="CV236" s="217">
        <f t="shared" si="664"/>
        <v>40.207181143845673</v>
      </c>
      <c r="CW236" s="217">
        <f t="shared" si="665"/>
        <v>15</v>
      </c>
      <c r="CX236" s="217">
        <f t="shared" si="666"/>
        <v>4.6633460656990069</v>
      </c>
      <c r="CY236" s="217">
        <f t="shared" si="667"/>
        <v>0.65835473868691852</v>
      </c>
      <c r="CZ236" s="217">
        <f t="shared" si="668"/>
        <v>3.5643409419355465</v>
      </c>
      <c r="DA236" s="197">
        <f t="shared" si="669"/>
        <v>110.43528632903013</v>
      </c>
      <c r="DB236" s="443">
        <f t="shared" si="670"/>
        <v>236.81554997886815</v>
      </c>
      <c r="DD236" s="217">
        <f t="shared" si="671"/>
        <v>9.9999999999999982</v>
      </c>
      <c r="DE236" s="173">
        <f t="shared" si="672"/>
        <v>7.6433121019108263</v>
      </c>
      <c r="DF236" s="173">
        <f t="shared" si="673"/>
        <v>4.1649244760361679</v>
      </c>
      <c r="DG236" s="173"/>
      <c r="DH236" s="173">
        <f t="shared" si="674"/>
        <v>7.6433121019108281</v>
      </c>
      <c r="DI236" s="545">
        <f t="shared" si="675"/>
        <v>52.333333333333336</v>
      </c>
      <c r="DJ236" s="528">
        <f t="shared" si="676"/>
        <v>4.2204568023833167</v>
      </c>
      <c r="DL236" s="173">
        <f t="shared" si="677"/>
        <v>3.804758924845367</v>
      </c>
      <c r="DM236" s="173">
        <f t="shared" si="678"/>
        <v>10</v>
      </c>
      <c r="DN236" s="173">
        <f t="shared" si="679"/>
        <v>1.0299047619047619</v>
      </c>
      <c r="DP236" s="545">
        <f t="shared" si="680"/>
        <v>2000</v>
      </c>
      <c r="DQ236" s="460">
        <f t="shared" si="681"/>
        <v>52.333333333333336</v>
      </c>
      <c r="DS236">
        <f t="shared" si="682"/>
        <v>2000</v>
      </c>
      <c r="DT236">
        <f t="shared" si="683"/>
        <v>52.333333333333336</v>
      </c>
      <c r="DV236" s="5">
        <f t="shared" si="684"/>
        <v>19.108280254777068</v>
      </c>
      <c r="DW236" s="5">
        <f t="shared" si="685"/>
        <v>1.4117647058823528</v>
      </c>
      <c r="DX236" s="5">
        <f t="shared" si="686"/>
        <v>17.696515548894716</v>
      </c>
      <c r="DY236" s="173">
        <f t="shared" si="687"/>
        <v>7.3882352941176468E-2</v>
      </c>
      <c r="EA236" s="5">
        <f t="shared" si="713"/>
        <v>18.823529411764703</v>
      </c>
      <c r="EB236" s="5">
        <f t="shared" si="714"/>
        <v>0.88235294117647067</v>
      </c>
      <c r="EC236" s="5">
        <f t="shared" si="715"/>
        <v>1.7349525047935996</v>
      </c>
      <c r="ED236" s="5"/>
      <c r="EE236" s="173">
        <f t="shared" si="716"/>
        <v>1.5693135754332896</v>
      </c>
      <c r="EF236" s="173">
        <f t="shared" si="717"/>
        <v>5.5561306891841653</v>
      </c>
      <c r="EG236" s="173">
        <f t="shared" si="718"/>
        <v>0.13683333618853555</v>
      </c>
      <c r="EH236" s="173"/>
      <c r="EI236" s="528">
        <f t="shared" si="719"/>
        <v>4.925490196078431E-2</v>
      </c>
      <c r="EJ236" s="528">
        <f t="shared" si="720"/>
        <v>1.0539933333333336</v>
      </c>
      <c r="EK236" s="528">
        <f t="shared" si="721"/>
        <v>6.541666666666667E-3</v>
      </c>
      <c r="EL236" s="528">
        <f t="shared" si="722"/>
        <v>5.3068564333333339E-2</v>
      </c>
      <c r="EM236">
        <f t="shared" si="723"/>
        <v>3.8249999999999999E-2</v>
      </c>
      <c r="EN236" s="460">
        <f t="shared" si="724"/>
        <v>44.791666666666664</v>
      </c>
      <c r="EP236" s="460">
        <f t="shared" si="725"/>
        <v>1201.1084662941178</v>
      </c>
      <c r="EQ236" s="173">
        <f t="shared" si="726"/>
        <v>1.4</v>
      </c>
      <c r="ER236" s="173">
        <f t="shared" si="688"/>
        <v>2.2187499999999999E-2</v>
      </c>
      <c r="ES236" s="528"/>
      <c r="EU236" s="460">
        <f t="shared" si="727"/>
        <v>1422.1875</v>
      </c>
      <c r="EV236" s="528">
        <f t="shared" si="728"/>
        <v>7.3882352941176455E-2</v>
      </c>
      <c r="EW236" s="528">
        <f t="shared" si="729"/>
        <v>0.92611764705882316</v>
      </c>
      <c r="EX236" s="528">
        <f t="shared" si="730"/>
        <v>9.3616809462423962E-5</v>
      </c>
      <c r="EY236" s="528">
        <f t="shared" si="731"/>
        <v>0.31326797413446666</v>
      </c>
      <c r="EZ236" s="528"/>
      <c r="FA236" s="625">
        <f t="shared" si="732"/>
        <v>5.2333333333333338E-3</v>
      </c>
      <c r="FB236" s="460">
        <f t="shared" si="733"/>
        <v>1318.5949242772622</v>
      </c>
      <c r="FC236" s="173">
        <f t="shared" si="734"/>
        <v>3.9418908905713796</v>
      </c>
      <c r="FD236" s="5">
        <f t="shared" si="735"/>
        <v>30.4</v>
      </c>
      <c r="FE236" s="173">
        <f t="shared" si="736"/>
        <v>0.8852162537254572</v>
      </c>
      <c r="FF236" s="5">
        <f t="shared" si="737"/>
        <v>88.521625372545714</v>
      </c>
      <c r="FG236">
        <f t="shared" si="738"/>
        <v>20</v>
      </c>
      <c r="FI236" s="562">
        <f t="shared" si="689"/>
        <v>-50</v>
      </c>
    </row>
    <row r="237" spans="5:165">
      <c r="E237" s="170">
        <v>21</v>
      </c>
      <c r="F237" s="217">
        <f t="shared" si="690"/>
        <v>2.1</v>
      </c>
      <c r="G237" s="217">
        <f t="shared" si="617"/>
        <v>5.2499999999999998E-2</v>
      </c>
      <c r="H237" s="217">
        <f t="shared" si="618"/>
        <v>31.5</v>
      </c>
      <c r="I237" s="217">
        <f t="shared" si="619"/>
        <v>0.42</v>
      </c>
      <c r="J237" s="541">
        <f t="shared" si="620"/>
        <v>84.727420162931693</v>
      </c>
      <c r="K237" s="443">
        <f t="shared" si="621"/>
        <v>15.846617922801491</v>
      </c>
      <c r="L237" s="172">
        <f t="shared" si="622"/>
        <v>100.57403808573318</v>
      </c>
      <c r="M237" s="443"/>
      <c r="N237" s="217">
        <f t="shared" si="623"/>
        <v>0.15756171497552104</v>
      </c>
      <c r="O237" s="172">
        <f t="shared" si="624"/>
        <v>329.35355985994391</v>
      </c>
      <c r="P237" s="172">
        <f t="shared" si="625"/>
        <v>4.4499325421076863</v>
      </c>
      <c r="Q237" s="217">
        <f t="shared" si="626"/>
        <v>21.956903990662926</v>
      </c>
      <c r="R237" s="217">
        <f t="shared" si="627"/>
        <v>41.169194982492989</v>
      </c>
      <c r="S237" s="217">
        <f t="shared" si="628"/>
        <v>15</v>
      </c>
      <c r="T237" s="217">
        <f t="shared" si="629"/>
        <v>4.782094964055533</v>
      </c>
      <c r="U237" s="217">
        <f t="shared" si="630"/>
        <v>0.67729124123352502</v>
      </c>
      <c r="V237" s="217">
        <f t="shared" si="631"/>
        <v>3.6212862484742359</v>
      </c>
      <c r="W237" s="197">
        <f t="shared" si="632"/>
        <v>111.24831355269215</v>
      </c>
      <c r="X237" s="443">
        <f t="shared" si="691"/>
        <v>222.29249185723432</v>
      </c>
      <c r="Z237" s="217">
        <f t="shared" si="633"/>
        <v>10</v>
      </c>
      <c r="AA237" s="173">
        <f t="shared" si="634"/>
        <v>7.572593760043496</v>
      </c>
      <c r="AB237" s="173">
        <f t="shared" si="635"/>
        <v>4.1567678537392041</v>
      </c>
      <c r="AC237" s="173"/>
      <c r="AD237" s="173">
        <f t="shared" si="636"/>
        <v>7.572593760043496</v>
      </c>
      <c r="AE237" s="545">
        <f t="shared" si="637"/>
        <v>55.463162729805212</v>
      </c>
      <c r="AF237" s="528">
        <f t="shared" si="638"/>
        <v>4.2121914251223949</v>
      </c>
      <c r="AH237" s="173">
        <f t="shared" si="639"/>
        <v>3.8987177379235853</v>
      </c>
      <c r="AI237" s="173">
        <f t="shared" si="640"/>
        <v>10</v>
      </c>
      <c r="AJ237" s="173">
        <f t="shared" si="641"/>
        <v>1.031693235845603</v>
      </c>
      <c r="AL237" s="545">
        <f t="shared" si="642"/>
        <v>2100</v>
      </c>
      <c r="AM237" s="460">
        <f t="shared" si="643"/>
        <v>55.463162729805212</v>
      </c>
      <c r="AO237">
        <f t="shared" si="644"/>
        <v>2100</v>
      </c>
      <c r="AP237">
        <f t="shared" si="645"/>
        <v>55.463162729805212</v>
      </c>
      <c r="AR237" s="5">
        <f t="shared" si="616"/>
        <v>18.029985142960708</v>
      </c>
      <c r="AS237" s="5">
        <f t="shared" si="604"/>
        <v>1.4163065483315647</v>
      </c>
      <c r="AT237" s="5">
        <f t="shared" si="605"/>
        <v>16.613678594629143</v>
      </c>
      <c r="AU237" s="173">
        <f t="shared" si="606"/>
        <v>7.8552840565402293E-2</v>
      </c>
      <c r="BA237" s="173">
        <f t="shared" si="692"/>
        <v>1.6181557461649798</v>
      </c>
      <c r="BB237" s="173">
        <f t="shared" si="693"/>
        <v>5.5421029685929319</v>
      </c>
      <c r="BC237" s="173">
        <f t="shared" si="694"/>
        <v>0.13648786918730832</v>
      </c>
      <c r="BD237" s="173"/>
      <c r="BE237" s="528">
        <f t="shared" si="695"/>
        <v>5.2368560376934853E-2</v>
      </c>
      <c r="BF237" s="528">
        <f t="shared" si="646"/>
        <v>1.0459039201392462</v>
      </c>
      <c r="BG237" s="528">
        <f t="shared" si="647"/>
        <v>0.11748126730433149</v>
      </c>
      <c r="BH237" s="528">
        <f t="shared" si="696"/>
        <v>5.6101749705654493E-2</v>
      </c>
      <c r="BI237">
        <f t="shared" si="697"/>
        <v>3.8127339073319264E-2</v>
      </c>
      <c r="BJ237" s="460">
        <f t="shared" si="698"/>
        <v>155.60860637765074</v>
      </c>
      <c r="BK237">
        <f t="shared" si="648"/>
        <v>1.1832364808459679</v>
      </c>
      <c r="BL237" s="460">
        <f t="shared" si="699"/>
        <v>1309.9828365994861</v>
      </c>
      <c r="BM237" s="173">
        <f t="shared" si="649"/>
        <v>1.3046249999999999</v>
      </c>
      <c r="BN237" s="173">
        <f t="shared" si="650"/>
        <v>2.3296874999999998E-2</v>
      </c>
      <c r="BQ237" s="460">
        <f t="shared" si="700"/>
        <v>1327.921875</v>
      </c>
      <c r="BR237" s="528">
        <f t="shared" si="701"/>
        <v>7.8552840565402279E-2</v>
      </c>
      <c r="BS237" s="528">
        <f t="shared" si="702"/>
        <v>0.92144715943459765</v>
      </c>
      <c r="BT237" s="528">
        <f t="shared" si="703"/>
        <v>9.3144692176458932E-5</v>
      </c>
      <c r="BU237" s="528">
        <f t="shared" si="704"/>
        <v>0.36222763653836915</v>
      </c>
      <c r="BV237" s="528"/>
      <c r="BW237" s="625">
        <f t="shared" si="705"/>
        <v>5.5463162729805218E-3</v>
      </c>
      <c r="BX237" s="460">
        <f t="shared" si="706"/>
        <v>1367.8670975035261</v>
      </c>
      <c r="BY237" s="173">
        <f t="shared" si="707"/>
        <v>4.0057718091030123</v>
      </c>
      <c r="BZ237" s="5">
        <f t="shared" si="708"/>
        <v>31.92</v>
      </c>
      <c r="CA237" s="173">
        <f t="shared" si="709"/>
        <v>0.8884986568865304</v>
      </c>
      <c r="CB237" s="5">
        <f t="shared" si="710"/>
        <v>88.84986568865304</v>
      </c>
      <c r="CC237">
        <f t="shared" si="711"/>
        <v>21.000000000000004</v>
      </c>
      <c r="CE237" s="562">
        <f t="shared" si="651"/>
        <v>-50</v>
      </c>
      <c r="CG237" s="173">
        <f t="shared" si="652"/>
        <v>0.42968825909023861</v>
      </c>
      <c r="CH237" s="173">
        <f t="shared" si="653"/>
        <v>5.0366688832491707E-2</v>
      </c>
      <c r="CI237" s="170">
        <v>21</v>
      </c>
      <c r="CJ237" s="217">
        <f t="shared" si="712"/>
        <v>2.1</v>
      </c>
      <c r="CK237" s="217">
        <f t="shared" si="654"/>
        <v>5.2499999999999998E-2</v>
      </c>
      <c r="CL237" s="217">
        <f t="shared" si="655"/>
        <v>31.5</v>
      </c>
      <c r="CM237" s="217">
        <f t="shared" si="656"/>
        <v>0.42</v>
      </c>
      <c r="CN237" s="541">
        <f t="shared" si="657"/>
        <v>85</v>
      </c>
      <c r="CO237" s="443">
        <f t="shared" si="658"/>
        <v>15.7</v>
      </c>
      <c r="CP237" s="443">
        <f t="shared" si="659"/>
        <v>100.7</v>
      </c>
      <c r="CQ237" s="443"/>
      <c r="CR237" s="217">
        <f t="shared" si="660"/>
        <v>0.15338645418326693</v>
      </c>
      <c r="CS237" s="172">
        <f t="shared" si="661"/>
        <v>321.65744915076539</v>
      </c>
      <c r="CT237" s="172">
        <f t="shared" si="662"/>
        <v>4.3459495351925632</v>
      </c>
      <c r="CU237" s="217">
        <f t="shared" si="663"/>
        <v>21.443829943384358</v>
      </c>
      <c r="CV237" s="217">
        <f t="shared" si="664"/>
        <v>40.207181143845673</v>
      </c>
      <c r="CW237" s="217">
        <f t="shared" si="665"/>
        <v>15</v>
      </c>
      <c r="CX237" s="217">
        <f t="shared" si="666"/>
        <v>4.8965133689839577</v>
      </c>
      <c r="CY237" s="217">
        <f t="shared" si="667"/>
        <v>0.69127247562126459</v>
      </c>
      <c r="CZ237" s="217">
        <f t="shared" si="668"/>
        <v>3.7425579890323246</v>
      </c>
      <c r="DA237" s="197">
        <f t="shared" si="669"/>
        <v>110.43528632903013</v>
      </c>
      <c r="DB237" s="443">
        <f t="shared" si="670"/>
        <v>225.53861902749344</v>
      </c>
      <c r="DD237" s="217">
        <f t="shared" si="671"/>
        <v>9.9999999999999982</v>
      </c>
      <c r="DE237" s="173">
        <f t="shared" si="672"/>
        <v>7.6433121019108263</v>
      </c>
      <c r="DF237" s="173">
        <f t="shared" si="673"/>
        <v>4.1649244760361679</v>
      </c>
      <c r="DG237" s="173"/>
      <c r="DH237" s="173">
        <f t="shared" si="674"/>
        <v>7.6433121019108281</v>
      </c>
      <c r="DI237" s="545">
        <f t="shared" si="675"/>
        <v>54.95000000000001</v>
      </c>
      <c r="DJ237" s="528">
        <f t="shared" si="676"/>
        <v>4.2204568023833167</v>
      </c>
      <c r="DL237" s="173">
        <f t="shared" si="677"/>
        <v>3.8987177379235853</v>
      </c>
      <c r="DM237" s="173">
        <f t="shared" si="678"/>
        <v>10</v>
      </c>
      <c r="DN237" s="173">
        <f t="shared" si="679"/>
        <v>1.0314000000000001</v>
      </c>
      <c r="DP237" s="545">
        <f t="shared" si="680"/>
        <v>2100</v>
      </c>
      <c r="DQ237" s="460">
        <f t="shared" si="681"/>
        <v>54.95000000000001</v>
      </c>
      <c r="DS237">
        <f t="shared" si="682"/>
        <v>2100</v>
      </c>
      <c r="DT237">
        <f t="shared" si="683"/>
        <v>54.95000000000001</v>
      </c>
      <c r="DV237" s="5">
        <f t="shared" si="684"/>
        <v>18.198362147406733</v>
      </c>
      <c r="DW237" s="5">
        <f t="shared" si="685"/>
        <v>1.4117647058823528</v>
      </c>
      <c r="DX237" s="5">
        <f t="shared" si="686"/>
        <v>16.786597441524382</v>
      </c>
      <c r="DY237" s="173">
        <f t="shared" si="687"/>
        <v>7.7576470588235288E-2</v>
      </c>
      <c r="EA237" s="5">
        <f t="shared" si="713"/>
        <v>19.764705882352938</v>
      </c>
      <c r="EB237" s="5">
        <f t="shared" si="714"/>
        <v>0.92647058823529405</v>
      </c>
      <c r="EC237" s="5">
        <f t="shared" si="715"/>
        <v>1.7280320895686863</v>
      </c>
      <c r="ED237" s="5"/>
      <c r="EE237" s="173">
        <f t="shared" si="716"/>
        <v>1.6080678943816946</v>
      </c>
      <c r="EF237" s="173">
        <f t="shared" si="717"/>
        <v>5.5450384110835662</v>
      </c>
      <c r="EG237" s="173">
        <f t="shared" si="718"/>
        <v>0.13656016165335216</v>
      </c>
      <c r="EH237" s="173"/>
      <c r="EI237" s="528">
        <f t="shared" si="719"/>
        <v>5.1717647058823542E-2</v>
      </c>
      <c r="EJ237" s="528">
        <f t="shared" si="720"/>
        <v>1.1066930000000001</v>
      </c>
      <c r="EK237" s="528">
        <f t="shared" si="721"/>
        <v>6.8687500000000007E-3</v>
      </c>
      <c r="EL237" s="528">
        <f t="shared" si="722"/>
        <v>5.5721992550000009E-2</v>
      </c>
      <c r="EM237">
        <f t="shared" si="723"/>
        <v>3.8249999999999999E-2</v>
      </c>
      <c r="EN237" s="460">
        <f t="shared" si="724"/>
        <v>45.118749999999999</v>
      </c>
      <c r="EP237" s="460">
        <f t="shared" si="725"/>
        <v>1259.2513896088237</v>
      </c>
      <c r="EQ237" s="173">
        <f t="shared" si="726"/>
        <v>1.47</v>
      </c>
      <c r="ER237" s="173">
        <f t="shared" si="688"/>
        <v>2.3296874999999998E-2</v>
      </c>
      <c r="ES237" s="528"/>
      <c r="EU237" s="460">
        <f t="shared" si="727"/>
        <v>1493.296875</v>
      </c>
      <c r="EV237" s="528">
        <f t="shared" si="728"/>
        <v>7.7576470588235302E-2</v>
      </c>
      <c r="EW237" s="528">
        <f t="shared" si="729"/>
        <v>0.92242352941176475</v>
      </c>
      <c r="EX237" s="528">
        <f t="shared" si="730"/>
        <v>9.3243388753948386E-5</v>
      </c>
      <c r="EY237" s="528">
        <f t="shared" si="731"/>
        <v>0.35390707620273343</v>
      </c>
      <c r="EZ237" s="528"/>
      <c r="FA237" s="625">
        <f t="shared" si="732"/>
        <v>5.4950000000000016E-3</v>
      </c>
      <c r="FB237" s="460">
        <f t="shared" si="733"/>
        <v>1359.4953195914875</v>
      </c>
      <c r="FC237" s="173">
        <f t="shared" si="734"/>
        <v>4.1120435842003111</v>
      </c>
      <c r="FD237" s="5">
        <f t="shared" si="735"/>
        <v>31.92</v>
      </c>
      <c r="FE237" s="173">
        <f t="shared" si="736"/>
        <v>0.88587814691689049</v>
      </c>
      <c r="FF237" s="5">
        <f t="shared" si="737"/>
        <v>88.587814691689047</v>
      </c>
      <c r="FG237">
        <f t="shared" si="738"/>
        <v>21.000000000000004</v>
      </c>
      <c r="FI237" s="562">
        <f t="shared" si="689"/>
        <v>-50</v>
      </c>
    </row>
    <row r="238" spans="5:165">
      <c r="E238" s="170">
        <v>22</v>
      </c>
      <c r="F238" s="217">
        <f t="shared" si="690"/>
        <v>2.2000000000000002</v>
      </c>
      <c r="G238" s="217">
        <f t="shared" si="617"/>
        <v>5.5E-2</v>
      </c>
      <c r="H238" s="217">
        <f t="shared" si="618"/>
        <v>33</v>
      </c>
      <c r="I238" s="217">
        <f t="shared" si="619"/>
        <v>0.44</v>
      </c>
      <c r="J238" s="541">
        <f t="shared" si="620"/>
        <v>84.727420162931693</v>
      </c>
      <c r="K238" s="443">
        <f t="shared" si="621"/>
        <v>15.846617922801491</v>
      </c>
      <c r="L238" s="172">
        <f t="shared" si="622"/>
        <v>100.57403808573318</v>
      </c>
      <c r="M238" s="443"/>
      <c r="N238" s="217">
        <f t="shared" si="623"/>
        <v>0.15756171497552104</v>
      </c>
      <c r="O238" s="172">
        <f t="shared" si="624"/>
        <v>329.35355985994391</v>
      </c>
      <c r="P238" s="172">
        <f t="shared" si="625"/>
        <v>4.4499325421076863</v>
      </c>
      <c r="Q238" s="217">
        <f t="shared" si="626"/>
        <v>21.956903990662926</v>
      </c>
      <c r="R238" s="217">
        <f t="shared" si="627"/>
        <v>41.169194982492989</v>
      </c>
      <c r="S238" s="217">
        <f t="shared" si="628"/>
        <v>15</v>
      </c>
      <c r="T238" s="217">
        <f t="shared" si="629"/>
        <v>5.0098137718677007</v>
      </c>
      <c r="U238" s="217">
        <f t="shared" si="630"/>
        <v>0.70954320510178803</v>
      </c>
      <c r="V238" s="217">
        <f t="shared" si="631"/>
        <v>3.7937284507825324</v>
      </c>
      <c r="W238" s="197">
        <f t="shared" si="632"/>
        <v>111.24831355269215</v>
      </c>
      <c r="X238" s="443">
        <f t="shared" si="691"/>
        <v>212.61795472708613</v>
      </c>
      <c r="Z238" s="217">
        <f t="shared" si="633"/>
        <v>10</v>
      </c>
      <c r="AA238" s="173">
        <f t="shared" si="634"/>
        <v>7.572593760043496</v>
      </c>
      <c r="AB238" s="173">
        <f t="shared" si="635"/>
        <v>4.1567678537392041</v>
      </c>
      <c r="AC238" s="173"/>
      <c r="AD238" s="173">
        <f t="shared" si="636"/>
        <v>7.572593760043496</v>
      </c>
      <c r="AE238" s="545">
        <f t="shared" si="637"/>
        <v>58.104265716938805</v>
      </c>
      <c r="AF238" s="528">
        <f t="shared" si="638"/>
        <v>4.2121914251223949</v>
      </c>
      <c r="AH238" s="173">
        <f t="shared" si="639"/>
        <v>3.990464825532174</v>
      </c>
      <c r="AI238" s="173">
        <f t="shared" si="640"/>
        <v>10</v>
      </c>
      <c r="AJ238" s="173">
        <f t="shared" si="641"/>
        <v>1.0332024375525364</v>
      </c>
      <c r="AL238" s="545">
        <f t="shared" si="642"/>
        <v>2200</v>
      </c>
      <c r="AM238" s="460">
        <f t="shared" si="643"/>
        <v>58.104265716938805</v>
      </c>
      <c r="AO238">
        <f t="shared" si="644"/>
        <v>2200</v>
      </c>
      <c r="AP238">
        <f t="shared" si="645"/>
        <v>58.104265716938805</v>
      </c>
      <c r="AR238" s="5">
        <f t="shared" si="616"/>
        <v>17.210440363735216</v>
      </c>
      <c r="AS238" s="5">
        <f t="shared" si="604"/>
        <v>1.4163065483315647</v>
      </c>
      <c r="AT238" s="5">
        <f t="shared" si="605"/>
        <v>15.794133815403651</v>
      </c>
      <c r="AU238" s="173">
        <f t="shared" si="606"/>
        <v>8.2293452020897676E-2</v>
      </c>
      <c r="BA238" s="173">
        <f t="shared" si="692"/>
        <v>1.6562352089492771</v>
      </c>
      <c r="BB238" s="173">
        <f t="shared" si="693"/>
        <v>5.5308424553561526</v>
      </c>
      <c r="BC238" s="173">
        <f t="shared" si="694"/>
        <v>0.13621055144955546</v>
      </c>
      <c r="BD238" s="173"/>
      <c r="BE238" s="528">
        <f t="shared" si="695"/>
        <v>5.4862301347265115E-2</v>
      </c>
      <c r="BF238" s="528">
        <f t="shared" si="646"/>
        <v>1.0957088687173058</v>
      </c>
      <c r="BG238" s="528">
        <f t="shared" si="647"/>
        <v>0.12307561336644254</v>
      </c>
      <c r="BH238" s="528">
        <f t="shared" si="696"/>
        <v>5.8773261596399951E-2</v>
      </c>
      <c r="BI238">
        <f t="shared" si="697"/>
        <v>3.8127339073319264E-2</v>
      </c>
      <c r="BJ238" s="460">
        <f t="shared" si="698"/>
        <v>161.20295243976179</v>
      </c>
      <c r="BK238">
        <f t="shared" si="648"/>
        <v>1.2403252433357292</v>
      </c>
      <c r="BL238" s="460">
        <f t="shared" si="699"/>
        <v>1370.5473841007324</v>
      </c>
      <c r="BM238" s="173">
        <f t="shared" si="649"/>
        <v>1.3667499999999999</v>
      </c>
      <c r="BN238" s="173">
        <f t="shared" si="650"/>
        <v>2.4406249999999997E-2</v>
      </c>
      <c r="BQ238" s="460">
        <f t="shared" si="700"/>
        <v>1391.1562499999998</v>
      </c>
      <c r="BR238" s="528">
        <f t="shared" si="701"/>
        <v>8.2293452020897676E-2</v>
      </c>
      <c r="BS238" s="528">
        <f t="shared" si="702"/>
        <v>0.91770654797910223</v>
      </c>
      <c r="BT238" s="528">
        <f t="shared" si="703"/>
        <v>9.2766571630959973E-5</v>
      </c>
      <c r="BU238" s="528">
        <f t="shared" si="704"/>
        <v>0.40690220885897349</v>
      </c>
      <c r="BV238" s="528"/>
      <c r="BW238" s="625">
        <f t="shared" si="705"/>
        <v>5.8104265716938811E-3</v>
      </c>
      <c r="BX238" s="460">
        <f t="shared" si="706"/>
        <v>1412.8054020022983</v>
      </c>
      <c r="BY238" s="173">
        <f t="shared" si="707"/>
        <v>4.1745090361030313</v>
      </c>
      <c r="BZ238" s="5">
        <f t="shared" si="708"/>
        <v>33.44</v>
      </c>
      <c r="CA238" s="173">
        <f t="shared" si="709"/>
        <v>0.88901864883850357</v>
      </c>
      <c r="CB238" s="5">
        <f t="shared" si="710"/>
        <v>88.901864883850351</v>
      </c>
      <c r="CC238">
        <f t="shared" si="711"/>
        <v>22.000000000000004</v>
      </c>
      <c r="CE238" s="562">
        <f t="shared" si="651"/>
        <v>-50</v>
      </c>
      <c r="CG238" s="173">
        <f t="shared" si="652"/>
        <v>0.45014960476120242</v>
      </c>
      <c r="CH238" s="173">
        <f t="shared" si="653"/>
        <v>5.2765102586419886E-2</v>
      </c>
      <c r="CI238" s="170">
        <v>22</v>
      </c>
      <c r="CJ238" s="217">
        <f t="shared" si="712"/>
        <v>2.2000000000000002</v>
      </c>
      <c r="CK238" s="217">
        <f t="shared" si="654"/>
        <v>5.5E-2</v>
      </c>
      <c r="CL238" s="217">
        <f t="shared" si="655"/>
        <v>33</v>
      </c>
      <c r="CM238" s="217">
        <f t="shared" si="656"/>
        <v>0.44</v>
      </c>
      <c r="CN238" s="541">
        <f t="shared" si="657"/>
        <v>85</v>
      </c>
      <c r="CO238" s="443">
        <f t="shared" si="658"/>
        <v>15.7</v>
      </c>
      <c r="CP238" s="443">
        <f t="shared" si="659"/>
        <v>100.7</v>
      </c>
      <c r="CQ238" s="443"/>
      <c r="CR238" s="217">
        <f t="shared" si="660"/>
        <v>0.15338645418326693</v>
      </c>
      <c r="CS238" s="172">
        <f t="shared" si="661"/>
        <v>321.65744915076539</v>
      </c>
      <c r="CT238" s="172">
        <f t="shared" si="662"/>
        <v>4.3459495351925632</v>
      </c>
      <c r="CU238" s="217">
        <f t="shared" si="663"/>
        <v>21.443829943384358</v>
      </c>
      <c r="CV238" s="217">
        <f t="shared" si="664"/>
        <v>40.207181143845673</v>
      </c>
      <c r="CW238" s="217">
        <f t="shared" si="665"/>
        <v>15</v>
      </c>
      <c r="CX238" s="217">
        <f t="shared" si="666"/>
        <v>5.1296806722689068</v>
      </c>
      <c r="CY238" s="217">
        <f t="shared" si="667"/>
        <v>0.72419021255561045</v>
      </c>
      <c r="CZ238" s="217">
        <f t="shared" si="668"/>
        <v>3.9207750361291018</v>
      </c>
      <c r="DA238" s="197">
        <f t="shared" si="669"/>
        <v>110.43528632903013</v>
      </c>
      <c r="DB238" s="443">
        <f t="shared" si="670"/>
        <v>215.28686361715285</v>
      </c>
      <c r="DD238" s="217">
        <f t="shared" si="671"/>
        <v>9.9999999999999982</v>
      </c>
      <c r="DE238" s="173">
        <f t="shared" si="672"/>
        <v>7.6433121019108263</v>
      </c>
      <c r="DF238" s="173">
        <f t="shared" si="673"/>
        <v>4.1649244760361679</v>
      </c>
      <c r="DG238" s="173"/>
      <c r="DH238" s="173">
        <f t="shared" si="674"/>
        <v>7.6433121019108281</v>
      </c>
      <c r="DI238" s="545">
        <f t="shared" si="675"/>
        <v>57.566666666666677</v>
      </c>
      <c r="DJ238" s="528">
        <f t="shared" si="676"/>
        <v>4.2204568023833167</v>
      </c>
      <c r="DL238" s="173">
        <f t="shared" si="677"/>
        <v>3.990464825532174</v>
      </c>
      <c r="DM238" s="173">
        <f t="shared" si="678"/>
        <v>10</v>
      </c>
      <c r="DN238" s="173">
        <f t="shared" si="679"/>
        <v>1.0328952380952381</v>
      </c>
      <c r="DP238" s="545">
        <f t="shared" si="680"/>
        <v>2200</v>
      </c>
      <c r="DQ238" s="460">
        <f t="shared" si="681"/>
        <v>57.566666666666677</v>
      </c>
      <c r="DS238">
        <f t="shared" si="682"/>
        <v>2200</v>
      </c>
      <c r="DT238">
        <f t="shared" si="683"/>
        <v>57.566666666666677</v>
      </c>
      <c r="DV238" s="5">
        <f t="shared" si="684"/>
        <v>17.371163867979153</v>
      </c>
      <c r="DW238" s="5">
        <f t="shared" si="685"/>
        <v>1.4117647058823528</v>
      </c>
      <c r="DX238" s="5">
        <f t="shared" si="686"/>
        <v>15.959399162096799</v>
      </c>
      <c r="DY238" s="173">
        <f t="shared" si="687"/>
        <v>8.1270588235294122E-2</v>
      </c>
      <c r="EA238" s="5">
        <f t="shared" si="713"/>
        <v>20.705882352941178</v>
      </c>
      <c r="EB238" s="5">
        <f t="shared" si="714"/>
        <v>0.97058823529411753</v>
      </c>
      <c r="EC238" s="5">
        <f t="shared" si="715"/>
        <v>1.7211116743437724</v>
      </c>
      <c r="ED238" s="5"/>
      <c r="EE238" s="173">
        <f t="shared" si="716"/>
        <v>1.6459099634679708</v>
      </c>
      <c r="EF238" s="173">
        <f t="shared" si="717"/>
        <v>5.533923899502974</v>
      </c>
      <c r="EG238" s="173">
        <f t="shared" si="718"/>
        <v>0.13628643956423014</v>
      </c>
      <c r="EH238" s="173"/>
      <c r="EI238" s="528">
        <f t="shared" si="719"/>
        <v>5.4180392156862739E-2</v>
      </c>
      <c r="EJ238" s="528">
        <f t="shared" si="720"/>
        <v>1.159392666666667</v>
      </c>
      <c r="EK238" s="528">
        <f t="shared" si="721"/>
        <v>7.1958333333333345E-3</v>
      </c>
      <c r="EL238" s="528">
        <f t="shared" si="722"/>
        <v>5.8375420766666679E-2</v>
      </c>
      <c r="EM238">
        <f t="shared" si="723"/>
        <v>3.8249999999999999E-2</v>
      </c>
      <c r="EN238" s="460">
        <f t="shared" si="724"/>
        <v>45.445833333333333</v>
      </c>
      <c r="EP238" s="460">
        <f t="shared" si="725"/>
        <v>1317.3943129235295</v>
      </c>
      <c r="EQ238" s="173">
        <f t="shared" si="726"/>
        <v>1.54</v>
      </c>
      <c r="ER238" s="173">
        <f t="shared" si="688"/>
        <v>2.4406249999999997E-2</v>
      </c>
      <c r="ES238" s="528"/>
      <c r="EU238" s="460">
        <f t="shared" si="727"/>
        <v>1564.40625</v>
      </c>
      <c r="EV238" s="528">
        <f t="shared" si="728"/>
        <v>8.1270588235294094E-2</v>
      </c>
      <c r="EW238" s="528">
        <f t="shared" si="729"/>
        <v>0.91872941176470613</v>
      </c>
      <c r="EX238" s="528">
        <f t="shared" si="730"/>
        <v>9.2869968045472784E-5</v>
      </c>
      <c r="EY238" s="528">
        <f t="shared" si="731"/>
        <v>0.39755544997588593</v>
      </c>
      <c r="EZ238" s="528"/>
      <c r="FA238" s="625">
        <f t="shared" si="732"/>
        <v>5.7566666666666686E-3</v>
      </c>
      <c r="FB238" s="460">
        <f t="shared" si="733"/>
        <v>1403.4049866105984</v>
      </c>
      <c r="FC238" s="173">
        <f t="shared" si="734"/>
        <v>4.2852055495341279</v>
      </c>
      <c r="FD238" s="5">
        <f t="shared" si="735"/>
        <v>33.44</v>
      </c>
      <c r="FE238" s="173">
        <f t="shared" si="736"/>
        <v>0.88641001454829593</v>
      </c>
      <c r="FF238" s="5">
        <f t="shared" si="737"/>
        <v>88.641001454829592</v>
      </c>
      <c r="FG238">
        <f t="shared" si="738"/>
        <v>22.000000000000004</v>
      </c>
      <c r="FI238" s="562">
        <f t="shared" si="689"/>
        <v>-50</v>
      </c>
    </row>
    <row r="239" spans="5:165">
      <c r="E239" s="170">
        <v>23</v>
      </c>
      <c r="F239" s="217">
        <f t="shared" si="690"/>
        <v>2.3000000000000003</v>
      </c>
      <c r="G239" s="217">
        <f t="shared" si="617"/>
        <v>5.7500000000000002E-2</v>
      </c>
      <c r="H239" s="217">
        <f t="shared" si="618"/>
        <v>34.500000000000007</v>
      </c>
      <c r="I239" s="217">
        <f t="shared" si="619"/>
        <v>0.46</v>
      </c>
      <c r="J239" s="541">
        <f t="shared" si="620"/>
        <v>84.727420162931693</v>
      </c>
      <c r="K239" s="443">
        <f t="shared" si="621"/>
        <v>15.846617922801491</v>
      </c>
      <c r="L239" s="172">
        <f t="shared" si="622"/>
        <v>100.57403808573318</v>
      </c>
      <c r="M239" s="443"/>
      <c r="N239" s="217">
        <f t="shared" si="623"/>
        <v>0.15756171497552104</v>
      </c>
      <c r="O239" s="172">
        <f t="shared" si="624"/>
        <v>329.35355985994391</v>
      </c>
      <c r="P239" s="172">
        <f t="shared" si="625"/>
        <v>4.4499325421076863</v>
      </c>
      <c r="Q239" s="217">
        <f t="shared" si="626"/>
        <v>21.956903990662926</v>
      </c>
      <c r="R239" s="217">
        <f t="shared" si="627"/>
        <v>41.169194982492989</v>
      </c>
      <c r="S239" s="217">
        <f t="shared" si="628"/>
        <v>15</v>
      </c>
      <c r="T239" s="217">
        <f t="shared" si="629"/>
        <v>5.2375325796798702</v>
      </c>
      <c r="U239" s="217">
        <f t="shared" si="630"/>
        <v>0.74179516897005138</v>
      </c>
      <c r="V239" s="217">
        <f t="shared" si="631"/>
        <v>3.9661706530908303</v>
      </c>
      <c r="W239" s="197">
        <f t="shared" si="632"/>
        <v>111.24831355269215</v>
      </c>
      <c r="X239" s="443">
        <f t="shared" si="691"/>
        <v>203.75040011588641</v>
      </c>
      <c r="Z239" s="217">
        <f t="shared" si="633"/>
        <v>10</v>
      </c>
      <c r="AA239" s="173">
        <f t="shared" si="634"/>
        <v>7.572593760043496</v>
      </c>
      <c r="AB239" s="173">
        <f t="shared" si="635"/>
        <v>4.1567678537392041</v>
      </c>
      <c r="AC239" s="173"/>
      <c r="AD239" s="173">
        <f t="shared" si="636"/>
        <v>7.572593760043496</v>
      </c>
      <c r="AE239" s="545">
        <f t="shared" si="637"/>
        <v>60.745368704072391</v>
      </c>
      <c r="AF239" s="528">
        <f t="shared" si="638"/>
        <v>4.2121914251223949</v>
      </c>
      <c r="AH239" s="173">
        <f t="shared" si="639"/>
        <v>4.0801493903555848</v>
      </c>
      <c r="AI239" s="173">
        <f t="shared" si="640"/>
        <v>10</v>
      </c>
      <c r="AJ239" s="173">
        <f t="shared" si="641"/>
        <v>1.03471163925947</v>
      </c>
      <c r="AL239" s="545">
        <f t="shared" si="642"/>
        <v>2300.0000000000005</v>
      </c>
      <c r="AM239" s="460">
        <f t="shared" si="643"/>
        <v>60.745368704072391</v>
      </c>
      <c r="AO239">
        <f t="shared" si="644"/>
        <v>2300.0000000000005</v>
      </c>
      <c r="AP239">
        <f t="shared" si="645"/>
        <v>60.745368704072391</v>
      </c>
      <c r="AR239" s="5">
        <f t="shared" si="616"/>
        <v>16.462160347920641</v>
      </c>
      <c r="AS239" s="5">
        <f t="shared" si="604"/>
        <v>1.4163065483315647</v>
      </c>
      <c r="AT239" s="5">
        <f t="shared" si="605"/>
        <v>15.045853799589075</v>
      </c>
      <c r="AU239" s="173">
        <f t="shared" si="606"/>
        <v>8.603406347639303E-2</v>
      </c>
      <c r="BA239" s="173">
        <f t="shared" si="692"/>
        <v>1.693458625381727</v>
      </c>
      <c r="BB239" s="173">
        <f t="shared" si="693"/>
        <v>5.5195589694697134</v>
      </c>
      <c r="BC239" s="173">
        <f t="shared" si="694"/>
        <v>0.13593266795399922</v>
      </c>
      <c r="BD239" s="173"/>
      <c r="BE239" s="528">
        <f t="shared" si="695"/>
        <v>5.7356042317595363E-2</v>
      </c>
      <c r="BF239" s="528">
        <f t="shared" si="646"/>
        <v>1.1455138172953652</v>
      </c>
      <c r="BG239" s="528">
        <f t="shared" si="647"/>
        <v>0.12866995942855358</v>
      </c>
      <c r="BH239" s="528">
        <f t="shared" si="696"/>
        <v>6.1444773487145415E-2</v>
      </c>
      <c r="BI239">
        <f t="shared" si="697"/>
        <v>3.8127339073319264E-2</v>
      </c>
      <c r="BJ239" s="460">
        <f t="shared" si="698"/>
        <v>166.79729850187286</v>
      </c>
      <c r="BK239">
        <f t="shared" si="648"/>
        <v>1.2974825921572553</v>
      </c>
      <c r="BL239" s="460">
        <f t="shared" si="699"/>
        <v>1431.111931601979</v>
      </c>
      <c r="BM239" s="173">
        <f t="shared" si="649"/>
        <v>1.4288750000000001</v>
      </c>
      <c r="BN239" s="173">
        <f t="shared" si="650"/>
        <v>2.5515625E-2</v>
      </c>
      <c r="BQ239" s="460">
        <f t="shared" si="700"/>
        <v>1454.390625</v>
      </c>
      <c r="BR239" s="528">
        <f t="shared" si="701"/>
        <v>8.6034063476393044E-2</v>
      </c>
      <c r="BS239" s="528">
        <f t="shared" si="702"/>
        <v>0.9139659365236068</v>
      </c>
      <c r="BT239" s="528">
        <f t="shared" si="703"/>
        <v>9.2388451085461041E-5</v>
      </c>
      <c r="BU239" s="528">
        <f t="shared" si="704"/>
        <v>0.45472929685315266</v>
      </c>
      <c r="BV239" s="528"/>
      <c r="BW239" s="625">
        <f t="shared" si="705"/>
        <v>6.0745368704072395E-3</v>
      </c>
      <c r="BX239" s="460">
        <f t="shared" si="706"/>
        <v>1460.8962221746451</v>
      </c>
      <c r="BY239" s="173">
        <f t="shared" si="707"/>
        <v>4.3463987787766243</v>
      </c>
      <c r="BZ239" s="5">
        <f t="shared" si="708"/>
        <v>34.960000000000008</v>
      </c>
      <c r="CA239" s="173">
        <f t="shared" si="709"/>
        <v>0.88942261530396294</v>
      </c>
      <c r="CB239" s="5">
        <f t="shared" si="710"/>
        <v>88.942261530396294</v>
      </c>
      <c r="CC239">
        <f t="shared" si="711"/>
        <v>23.000000000000004</v>
      </c>
      <c r="CE239" s="562">
        <f t="shared" si="651"/>
        <v>-50</v>
      </c>
      <c r="CG239" s="173">
        <f t="shared" si="652"/>
        <v>0.47061095043216622</v>
      </c>
      <c r="CH239" s="173">
        <f t="shared" si="653"/>
        <v>5.5163516340348065E-2</v>
      </c>
      <c r="CI239" s="170">
        <v>23</v>
      </c>
      <c r="CJ239" s="217">
        <f t="shared" si="712"/>
        <v>2.3000000000000003</v>
      </c>
      <c r="CK239" s="217">
        <f t="shared" si="654"/>
        <v>5.7500000000000002E-2</v>
      </c>
      <c r="CL239" s="217">
        <f t="shared" si="655"/>
        <v>34.500000000000007</v>
      </c>
      <c r="CM239" s="217">
        <f t="shared" si="656"/>
        <v>0.46</v>
      </c>
      <c r="CN239" s="541">
        <f t="shared" si="657"/>
        <v>85</v>
      </c>
      <c r="CO239" s="443">
        <f t="shared" si="658"/>
        <v>15.7</v>
      </c>
      <c r="CP239" s="443">
        <f t="shared" si="659"/>
        <v>100.7</v>
      </c>
      <c r="CQ239" s="443"/>
      <c r="CR239" s="217">
        <f t="shared" si="660"/>
        <v>0.15338645418326693</v>
      </c>
      <c r="CS239" s="172">
        <f t="shared" si="661"/>
        <v>321.65744915076539</v>
      </c>
      <c r="CT239" s="172">
        <f t="shared" si="662"/>
        <v>4.3459495351925632</v>
      </c>
      <c r="CU239" s="217">
        <f t="shared" si="663"/>
        <v>21.443829943384358</v>
      </c>
      <c r="CV239" s="217">
        <f t="shared" si="664"/>
        <v>40.207181143845673</v>
      </c>
      <c r="CW239" s="217">
        <f t="shared" si="665"/>
        <v>15</v>
      </c>
      <c r="CX239" s="217">
        <f t="shared" si="666"/>
        <v>5.3628479755538594</v>
      </c>
      <c r="CY239" s="217">
        <f t="shared" si="667"/>
        <v>0.75710794948995652</v>
      </c>
      <c r="CZ239" s="217">
        <f t="shared" si="668"/>
        <v>4.0989920832258795</v>
      </c>
      <c r="DA239" s="197">
        <f t="shared" si="669"/>
        <v>110.43528632903013</v>
      </c>
      <c r="DB239" s="443">
        <f t="shared" si="670"/>
        <v>205.92656519901573</v>
      </c>
      <c r="DD239" s="217">
        <f t="shared" si="671"/>
        <v>9.9999999999999982</v>
      </c>
      <c r="DE239" s="173">
        <f t="shared" si="672"/>
        <v>7.6433121019108263</v>
      </c>
      <c r="DF239" s="173">
        <f t="shared" si="673"/>
        <v>4.1649244760361679</v>
      </c>
      <c r="DG239" s="173"/>
      <c r="DH239" s="173">
        <f t="shared" si="674"/>
        <v>7.6433121019108281</v>
      </c>
      <c r="DI239" s="545">
        <f t="shared" si="675"/>
        <v>60.183333333333344</v>
      </c>
      <c r="DJ239" s="528">
        <f t="shared" si="676"/>
        <v>4.2204568023833167</v>
      </c>
      <c r="DL239" s="173">
        <f t="shared" si="677"/>
        <v>4.0801493903555848</v>
      </c>
      <c r="DM239" s="173">
        <f t="shared" si="678"/>
        <v>10</v>
      </c>
      <c r="DN239" s="173">
        <f t="shared" si="679"/>
        <v>1.0343904761904761</v>
      </c>
      <c r="DP239" s="545">
        <f t="shared" si="680"/>
        <v>2300.0000000000005</v>
      </c>
      <c r="DQ239" s="460">
        <f t="shared" si="681"/>
        <v>60.183333333333344</v>
      </c>
      <c r="DS239">
        <f t="shared" si="682"/>
        <v>2300.0000000000005</v>
      </c>
      <c r="DT239">
        <f t="shared" si="683"/>
        <v>60.183333333333344</v>
      </c>
      <c r="DV239" s="5">
        <f t="shared" si="684"/>
        <v>16.61589587371919</v>
      </c>
      <c r="DW239" s="5">
        <f t="shared" si="685"/>
        <v>1.4117647058823528</v>
      </c>
      <c r="DX239" s="5">
        <f t="shared" si="686"/>
        <v>15.204131167836836</v>
      </c>
      <c r="DY239" s="173">
        <f t="shared" si="687"/>
        <v>8.4964705882352942E-2</v>
      </c>
      <c r="EA239" s="5">
        <f t="shared" si="713"/>
        <v>21.647058823529413</v>
      </c>
      <c r="EB239" s="5">
        <f t="shared" si="714"/>
        <v>1.0147058823529411</v>
      </c>
      <c r="EC239" s="5">
        <f t="shared" si="715"/>
        <v>1.7141912591188591</v>
      </c>
      <c r="ED239" s="5"/>
      <c r="EE239" s="173">
        <f t="shared" si="716"/>
        <v>1.6829013229375922</v>
      </c>
      <c r="EF239" s="173">
        <f t="shared" si="717"/>
        <v>5.5227870202089306</v>
      </c>
      <c r="EG239" s="173">
        <f t="shared" si="718"/>
        <v>0.13601216661534152</v>
      </c>
      <c r="EH239" s="173"/>
      <c r="EI239" s="528">
        <f t="shared" si="719"/>
        <v>5.6643137254901957E-2</v>
      </c>
      <c r="EJ239" s="528">
        <f t="shared" si="720"/>
        <v>1.2120923333333335</v>
      </c>
      <c r="EK239" s="528">
        <f t="shared" si="721"/>
        <v>7.5229166666666682E-3</v>
      </c>
      <c r="EL239" s="528">
        <f t="shared" si="722"/>
        <v>6.1028848983333349E-2</v>
      </c>
      <c r="EM239">
        <f t="shared" si="723"/>
        <v>3.8249999999999999E-2</v>
      </c>
      <c r="EN239" s="460">
        <f t="shared" si="724"/>
        <v>45.772916666666667</v>
      </c>
      <c r="EP239" s="460">
        <f t="shared" si="725"/>
        <v>1375.5372362382352</v>
      </c>
      <c r="EQ239" s="173">
        <f t="shared" si="726"/>
        <v>1.61</v>
      </c>
      <c r="ER239" s="173">
        <f t="shared" si="688"/>
        <v>2.5515625E-2</v>
      </c>
      <c r="ES239" s="528"/>
      <c r="EU239" s="460">
        <f t="shared" si="727"/>
        <v>1635.515625</v>
      </c>
      <c r="EV239" s="528">
        <f t="shared" si="728"/>
        <v>8.4964705882352928E-2</v>
      </c>
      <c r="EW239" s="528">
        <f t="shared" si="729"/>
        <v>0.91503529411764706</v>
      </c>
      <c r="EX239" s="528">
        <f t="shared" si="730"/>
        <v>9.2496547336997113E-5</v>
      </c>
      <c r="EY239" s="528">
        <f t="shared" si="731"/>
        <v>0.44428392447072984</v>
      </c>
      <c r="EZ239" s="528"/>
      <c r="FA239" s="625">
        <f t="shared" si="732"/>
        <v>6.0183333333333347E-3</v>
      </c>
      <c r="FB239" s="460">
        <f t="shared" si="733"/>
        <v>1450.3947543514</v>
      </c>
      <c r="FC239" s="173">
        <f t="shared" si="734"/>
        <v>4.461447615589635</v>
      </c>
      <c r="FD239" s="5">
        <f t="shared" si="735"/>
        <v>34.960000000000008</v>
      </c>
      <c r="FE239" s="173">
        <f t="shared" si="736"/>
        <v>0.88682689537191661</v>
      </c>
      <c r="FF239" s="5">
        <f t="shared" si="737"/>
        <v>88.682689537191663</v>
      </c>
      <c r="FG239">
        <f t="shared" si="738"/>
        <v>23.000000000000004</v>
      </c>
      <c r="FI239" s="562">
        <f t="shared" si="689"/>
        <v>-50</v>
      </c>
    </row>
    <row r="240" spans="5:165">
      <c r="E240" s="170">
        <v>24</v>
      </c>
      <c r="F240" s="217">
        <f t="shared" si="690"/>
        <v>2.4</v>
      </c>
      <c r="G240" s="217">
        <f t="shared" si="617"/>
        <v>0.06</v>
      </c>
      <c r="H240" s="217">
        <f t="shared" si="618"/>
        <v>36</v>
      </c>
      <c r="I240" s="217">
        <f t="shared" si="619"/>
        <v>0.48</v>
      </c>
      <c r="J240" s="541">
        <f t="shared" si="620"/>
        <v>84.727420162931693</v>
      </c>
      <c r="K240" s="443">
        <f t="shared" si="621"/>
        <v>15.846617922801491</v>
      </c>
      <c r="L240" s="172">
        <f t="shared" si="622"/>
        <v>100.57403808573318</v>
      </c>
      <c r="M240" s="443"/>
      <c r="N240" s="217">
        <f t="shared" si="623"/>
        <v>0.15756171497552104</v>
      </c>
      <c r="O240" s="172">
        <f t="shared" si="624"/>
        <v>329.35355985994391</v>
      </c>
      <c r="P240" s="172">
        <f t="shared" si="625"/>
        <v>4.4499325421076863</v>
      </c>
      <c r="Q240" s="217">
        <f t="shared" si="626"/>
        <v>21.956903990662926</v>
      </c>
      <c r="R240" s="217">
        <f t="shared" si="627"/>
        <v>41.169194982492989</v>
      </c>
      <c r="S240" s="217">
        <f t="shared" si="628"/>
        <v>15</v>
      </c>
      <c r="T240" s="217">
        <f t="shared" si="629"/>
        <v>5.465251387492037</v>
      </c>
      <c r="U240" s="217">
        <f t="shared" si="630"/>
        <v>0.77404713283831428</v>
      </c>
      <c r="V240" s="217">
        <f t="shared" si="631"/>
        <v>4.1386128553991259</v>
      </c>
      <c r="W240" s="197">
        <f t="shared" si="632"/>
        <v>111.24831355269215</v>
      </c>
      <c r="X240" s="443">
        <f t="shared" si="691"/>
        <v>195.59290121006936</v>
      </c>
      <c r="Z240" s="217">
        <f t="shared" si="633"/>
        <v>10</v>
      </c>
      <c r="AA240" s="173">
        <f t="shared" si="634"/>
        <v>7.572593760043496</v>
      </c>
      <c r="AB240" s="173">
        <f t="shared" si="635"/>
        <v>4.1567678537392041</v>
      </c>
      <c r="AC240" s="173"/>
      <c r="AD240" s="173">
        <f t="shared" si="636"/>
        <v>7.572593760043496</v>
      </c>
      <c r="AE240" s="545">
        <f t="shared" si="637"/>
        <v>63.386471691205962</v>
      </c>
      <c r="AF240" s="528">
        <f t="shared" si="638"/>
        <v>4.2121914251223949</v>
      </c>
      <c r="AH240" s="173">
        <f t="shared" si="639"/>
        <v>4.1679045780138217</v>
      </c>
      <c r="AI240" s="173">
        <f t="shared" si="640"/>
        <v>10</v>
      </c>
      <c r="AJ240" s="173">
        <f t="shared" si="641"/>
        <v>1.0362208409664033</v>
      </c>
      <c r="AL240" s="545">
        <f t="shared" si="642"/>
        <v>2400</v>
      </c>
      <c r="AM240" s="460">
        <f t="shared" si="643"/>
        <v>63.386471691205962</v>
      </c>
      <c r="AO240">
        <f t="shared" si="644"/>
        <v>2400</v>
      </c>
      <c r="AP240">
        <f t="shared" si="645"/>
        <v>63.386471691205962</v>
      </c>
      <c r="AR240" s="5">
        <f t="shared" si="616"/>
        <v>15.776237000090617</v>
      </c>
      <c r="AS240" s="5">
        <f t="shared" si="604"/>
        <v>1.4163065483315647</v>
      </c>
      <c r="AT240" s="5">
        <f t="shared" si="605"/>
        <v>14.359930451759052</v>
      </c>
      <c r="AU240" s="173">
        <f t="shared" si="606"/>
        <v>8.9774674931888357E-2</v>
      </c>
      <c r="BA240" s="173">
        <f t="shared" si="692"/>
        <v>1.7298812573111133</v>
      </c>
      <c r="BB240" s="173">
        <f t="shared" si="693"/>
        <v>5.5082523697573125</v>
      </c>
      <c r="BC240" s="173">
        <f t="shared" si="694"/>
        <v>0.13565421522382717</v>
      </c>
      <c r="BD240" s="173"/>
      <c r="BE240" s="528">
        <f t="shared" si="695"/>
        <v>5.9849783287925569E-2</v>
      </c>
      <c r="BF240" s="528">
        <f t="shared" si="646"/>
        <v>1.1953187658734241</v>
      </c>
      <c r="BG240" s="528">
        <f t="shared" si="647"/>
        <v>0.13426430549066456</v>
      </c>
      <c r="BH240" s="528">
        <f t="shared" si="696"/>
        <v>6.4116285377890853E-2</v>
      </c>
      <c r="BI240">
        <f t="shared" si="697"/>
        <v>3.8127339073319264E-2</v>
      </c>
      <c r="BJ240" s="460">
        <f t="shared" si="698"/>
        <v>172.39164456398382</v>
      </c>
      <c r="BK240">
        <f t="shared" si="648"/>
        <v>1.3547086509840711</v>
      </c>
      <c r="BL240" s="460">
        <f t="shared" si="699"/>
        <v>1491.6764791032244</v>
      </c>
      <c r="BM240" s="173">
        <f t="shared" si="649"/>
        <v>1.4909999999999999</v>
      </c>
      <c r="BN240" s="173">
        <f t="shared" si="650"/>
        <v>2.6624999999999999E-2</v>
      </c>
      <c r="BQ240" s="460">
        <f t="shared" si="700"/>
        <v>1517.6249999999998</v>
      </c>
      <c r="BR240" s="528">
        <f t="shared" si="701"/>
        <v>8.9774674931888343E-2</v>
      </c>
      <c r="BS240" s="528">
        <f t="shared" si="702"/>
        <v>0.91022532506811149</v>
      </c>
      <c r="BT240" s="528">
        <f t="shared" si="703"/>
        <v>9.2010330539962136E-5</v>
      </c>
      <c r="BU240" s="528">
        <f t="shared" si="704"/>
        <v>0.50577976422528959</v>
      </c>
      <c r="BV240" s="528"/>
      <c r="BW240" s="625">
        <f t="shared" si="705"/>
        <v>6.3386471691205962E-3</v>
      </c>
      <c r="BX240" s="460">
        <f t="shared" si="706"/>
        <v>1512.2104217249498</v>
      </c>
      <c r="BY240" s="173">
        <f t="shared" si="707"/>
        <v>4.521511900828175</v>
      </c>
      <c r="BZ240" s="5">
        <f t="shared" si="708"/>
        <v>36.479999999999997</v>
      </c>
      <c r="CA240" s="173">
        <f t="shared" si="709"/>
        <v>0.88972328845422777</v>
      </c>
      <c r="CB240" s="5">
        <f t="shared" si="710"/>
        <v>88.97232884542278</v>
      </c>
      <c r="CC240">
        <f t="shared" si="711"/>
        <v>24</v>
      </c>
      <c r="CE240" s="562">
        <f t="shared" si="651"/>
        <v>-50</v>
      </c>
      <c r="CG240" s="173">
        <f t="shared" si="652"/>
        <v>0.4910722961031298</v>
      </c>
      <c r="CH240" s="173">
        <f t="shared" si="653"/>
        <v>5.756193009427623E-2</v>
      </c>
      <c r="CI240" s="170">
        <v>24</v>
      </c>
      <c r="CJ240" s="217">
        <f t="shared" si="712"/>
        <v>2.4</v>
      </c>
      <c r="CK240" s="217">
        <f t="shared" si="654"/>
        <v>0.06</v>
      </c>
      <c r="CL240" s="217">
        <f t="shared" si="655"/>
        <v>36</v>
      </c>
      <c r="CM240" s="217">
        <f t="shared" si="656"/>
        <v>0.48</v>
      </c>
      <c r="CN240" s="541">
        <f t="shared" si="657"/>
        <v>85</v>
      </c>
      <c r="CO240" s="443">
        <f t="shared" si="658"/>
        <v>15.7</v>
      </c>
      <c r="CP240" s="443">
        <f t="shared" si="659"/>
        <v>100.7</v>
      </c>
      <c r="CQ240" s="443"/>
      <c r="CR240" s="217">
        <f t="shared" si="660"/>
        <v>0.15338645418326693</v>
      </c>
      <c r="CS240" s="172">
        <f t="shared" si="661"/>
        <v>321.65744915076539</v>
      </c>
      <c r="CT240" s="172">
        <f t="shared" si="662"/>
        <v>4.3459495351925632</v>
      </c>
      <c r="CU240" s="217">
        <f t="shared" si="663"/>
        <v>21.443829943384358</v>
      </c>
      <c r="CV240" s="217">
        <f t="shared" si="664"/>
        <v>40.207181143845673</v>
      </c>
      <c r="CW240" s="217">
        <f t="shared" si="665"/>
        <v>15</v>
      </c>
      <c r="CX240" s="217">
        <f t="shared" si="666"/>
        <v>5.5960152788388076</v>
      </c>
      <c r="CY240" s="217">
        <f t="shared" si="667"/>
        <v>0.79002568642430226</v>
      </c>
      <c r="CZ240" s="217">
        <f t="shared" si="668"/>
        <v>4.2772091303226549</v>
      </c>
      <c r="DA240" s="197">
        <f t="shared" si="669"/>
        <v>110.43528632903013</v>
      </c>
      <c r="DB240" s="443">
        <f t="shared" si="670"/>
        <v>197.34629164905681</v>
      </c>
      <c r="DD240" s="217">
        <f t="shared" si="671"/>
        <v>9.9999999999999982</v>
      </c>
      <c r="DE240" s="173">
        <f t="shared" si="672"/>
        <v>7.6433121019108263</v>
      </c>
      <c r="DF240" s="173">
        <f t="shared" si="673"/>
        <v>4.1649244760361679</v>
      </c>
      <c r="DG240" s="173"/>
      <c r="DH240" s="173">
        <f t="shared" si="674"/>
        <v>7.6433121019108281</v>
      </c>
      <c r="DI240" s="545">
        <f t="shared" si="675"/>
        <v>62.8</v>
      </c>
      <c r="DJ240" s="528">
        <f t="shared" si="676"/>
        <v>4.2204568023833167</v>
      </c>
      <c r="DL240" s="173">
        <f t="shared" si="677"/>
        <v>4.1679045780138217</v>
      </c>
      <c r="DM240" s="173">
        <f t="shared" si="678"/>
        <v>10</v>
      </c>
      <c r="DN240" s="173">
        <f t="shared" si="679"/>
        <v>1.0358857142857143</v>
      </c>
      <c r="DP240" s="545">
        <f t="shared" si="680"/>
        <v>2400</v>
      </c>
      <c r="DQ240" s="460">
        <f t="shared" si="681"/>
        <v>62.8</v>
      </c>
      <c r="DS240">
        <f t="shared" si="682"/>
        <v>2400</v>
      </c>
      <c r="DT240">
        <f t="shared" si="683"/>
        <v>62.8</v>
      </c>
      <c r="DV240" s="5">
        <f t="shared" si="684"/>
        <v>15.923566878980891</v>
      </c>
      <c r="DW240" s="5">
        <f t="shared" si="685"/>
        <v>1.4117647058823528</v>
      </c>
      <c r="DX240" s="5">
        <f t="shared" si="686"/>
        <v>14.511802173098538</v>
      </c>
      <c r="DY240" s="173">
        <f t="shared" si="687"/>
        <v>8.8658823529411762E-2</v>
      </c>
      <c r="EA240" s="5">
        <f t="shared" si="713"/>
        <v>22.588235294117645</v>
      </c>
      <c r="EB240" s="5">
        <f t="shared" si="714"/>
        <v>1.0588235294117645</v>
      </c>
      <c r="EC240" s="5">
        <f t="shared" si="715"/>
        <v>1.7072708438939455</v>
      </c>
      <c r="ED240" s="5"/>
      <c r="EE240" s="173">
        <f t="shared" si="716"/>
        <v>1.7190968901277959</v>
      </c>
      <c r="EF240" s="173">
        <f t="shared" si="717"/>
        <v>5.5116276376118041</v>
      </c>
      <c r="EG240" s="173">
        <f t="shared" si="718"/>
        <v>0.13573733946745936</v>
      </c>
      <c r="EH240" s="173"/>
      <c r="EI240" s="528">
        <f t="shared" si="719"/>
        <v>5.9105882352941182E-2</v>
      </c>
      <c r="EJ240" s="528">
        <f t="shared" si="720"/>
        <v>1.2647919999999999</v>
      </c>
      <c r="EK240" s="528">
        <f t="shared" si="721"/>
        <v>7.8499999999999993E-3</v>
      </c>
      <c r="EL240" s="528">
        <f t="shared" si="722"/>
        <v>6.3682277200000012E-2</v>
      </c>
      <c r="EM240">
        <f t="shared" si="723"/>
        <v>3.8249999999999999E-2</v>
      </c>
      <c r="EN240" s="460">
        <f t="shared" si="724"/>
        <v>46.1</v>
      </c>
      <c r="EP240" s="460">
        <f t="shared" si="725"/>
        <v>1433.6801595529409</v>
      </c>
      <c r="EQ240" s="173">
        <f t="shared" si="726"/>
        <v>1.68</v>
      </c>
      <c r="ER240" s="173">
        <f t="shared" si="688"/>
        <v>2.6624999999999999E-2</v>
      </c>
      <c r="ES240" s="528"/>
      <c r="EU240" s="460">
        <f t="shared" si="727"/>
        <v>1706.6249999999998</v>
      </c>
      <c r="EV240" s="528">
        <f t="shared" si="728"/>
        <v>8.8658823529411762E-2</v>
      </c>
      <c r="EW240" s="528">
        <f t="shared" si="729"/>
        <v>0.91134117647058821</v>
      </c>
      <c r="EX240" s="528">
        <f t="shared" si="730"/>
        <v>9.212312662852151E-5</v>
      </c>
      <c r="EY240" s="528">
        <f t="shared" si="731"/>
        <v>0.4941617356148893</v>
      </c>
      <c r="EZ240" s="528"/>
      <c r="FA240" s="625">
        <f t="shared" si="732"/>
        <v>6.28E-3</v>
      </c>
      <c r="FB240" s="460">
        <f t="shared" si="733"/>
        <v>1500.5338587415179</v>
      </c>
      <c r="FC240" s="173">
        <f t="shared" si="734"/>
        <v>4.640839018294459</v>
      </c>
      <c r="FD240" s="5">
        <f t="shared" si="735"/>
        <v>36.479999999999997</v>
      </c>
      <c r="FE240" s="173">
        <f t="shared" si="736"/>
        <v>0.88714143171471349</v>
      </c>
      <c r="FF240" s="5">
        <f t="shared" si="737"/>
        <v>88.714143171471349</v>
      </c>
      <c r="FG240">
        <f t="shared" si="738"/>
        <v>24</v>
      </c>
      <c r="FI240" s="562">
        <f t="shared" si="689"/>
        <v>-50</v>
      </c>
    </row>
    <row r="241" spans="5:165">
      <c r="E241" s="170">
        <v>25</v>
      </c>
      <c r="F241" s="217">
        <f t="shared" si="690"/>
        <v>2.5</v>
      </c>
      <c r="G241" s="217">
        <f t="shared" si="617"/>
        <v>6.25E-2</v>
      </c>
      <c r="H241" s="217">
        <f t="shared" si="618"/>
        <v>37.5</v>
      </c>
      <c r="I241" s="217">
        <f t="shared" si="619"/>
        <v>0.5</v>
      </c>
      <c r="J241" s="541">
        <f t="shared" si="620"/>
        <v>84.727420162931693</v>
      </c>
      <c r="K241" s="443">
        <f t="shared" si="621"/>
        <v>15.846617922801491</v>
      </c>
      <c r="L241" s="172">
        <f t="shared" si="622"/>
        <v>100.57403808573318</v>
      </c>
      <c r="M241" s="443"/>
      <c r="N241" s="217">
        <f t="shared" si="623"/>
        <v>0.15756171497552104</v>
      </c>
      <c r="O241" s="172">
        <f t="shared" si="624"/>
        <v>329.35355985994391</v>
      </c>
      <c r="P241" s="172">
        <f t="shared" si="625"/>
        <v>4.4499325421076863</v>
      </c>
      <c r="Q241" s="217">
        <f t="shared" si="626"/>
        <v>21.956903990662926</v>
      </c>
      <c r="R241" s="217">
        <f t="shared" si="627"/>
        <v>41.169194982492989</v>
      </c>
      <c r="S241" s="217">
        <f t="shared" si="628"/>
        <v>15</v>
      </c>
      <c r="T241" s="217">
        <f t="shared" si="629"/>
        <v>5.6929701953042056</v>
      </c>
      <c r="U241" s="217">
        <f t="shared" si="630"/>
        <v>0.80629909670657718</v>
      </c>
      <c r="V241" s="217">
        <f t="shared" si="631"/>
        <v>4.3110550577074234</v>
      </c>
      <c r="W241" s="197">
        <f t="shared" si="632"/>
        <v>111.24831355269215</v>
      </c>
      <c r="X241" s="443">
        <f t="shared" si="691"/>
        <v>188.0634561777097</v>
      </c>
      <c r="Z241" s="217">
        <f t="shared" si="633"/>
        <v>10</v>
      </c>
      <c r="AA241" s="173">
        <f t="shared" si="634"/>
        <v>7.572593760043496</v>
      </c>
      <c r="AB241" s="173">
        <f t="shared" si="635"/>
        <v>4.1567678537392041</v>
      </c>
      <c r="AC241" s="173"/>
      <c r="AD241" s="173">
        <f t="shared" si="636"/>
        <v>7.572593760043496</v>
      </c>
      <c r="AE241" s="545">
        <f t="shared" si="637"/>
        <v>66.027574678339548</v>
      </c>
      <c r="AF241" s="528">
        <f t="shared" si="638"/>
        <v>4.2121914251223949</v>
      </c>
      <c r="AH241" s="173">
        <f t="shared" si="639"/>
        <v>4.2538497969766276</v>
      </c>
      <c r="AI241" s="173">
        <f t="shared" si="640"/>
        <v>10</v>
      </c>
      <c r="AJ241" s="173">
        <f t="shared" si="641"/>
        <v>1.0377300426733369</v>
      </c>
      <c r="AL241" s="545">
        <f t="shared" si="642"/>
        <v>2500</v>
      </c>
      <c r="AM241" s="460">
        <f t="shared" si="643"/>
        <v>66.027574678339548</v>
      </c>
      <c r="AO241">
        <f t="shared" si="644"/>
        <v>2500</v>
      </c>
      <c r="AP241">
        <f t="shared" si="645"/>
        <v>66.027574678339548</v>
      </c>
      <c r="AR241" s="5">
        <f t="shared" si="616"/>
        <v>15.145187520086992</v>
      </c>
      <c r="AS241" s="5">
        <f t="shared" si="604"/>
        <v>1.4163065483315647</v>
      </c>
      <c r="AT241" s="5">
        <f t="shared" si="605"/>
        <v>13.728880971755427</v>
      </c>
      <c r="AU241" s="173">
        <f t="shared" si="606"/>
        <v>9.3515286387383711E-2</v>
      </c>
      <c r="BA241" s="173">
        <f t="shared" si="692"/>
        <v>1.76555266500685</v>
      </c>
      <c r="BB241" s="173">
        <f t="shared" si="693"/>
        <v>5.4969225135907216</v>
      </c>
      <c r="BC241" s="173">
        <f t="shared" si="694"/>
        <v>0.13537518974646956</v>
      </c>
      <c r="BD241" s="173"/>
      <c r="BE241" s="528">
        <f t="shared" si="695"/>
        <v>6.2343524258255803E-2</v>
      </c>
      <c r="BF241" s="528">
        <f t="shared" si="646"/>
        <v>1.2451237144514835</v>
      </c>
      <c r="BG241" s="528">
        <f t="shared" si="647"/>
        <v>0.1398586515527756</v>
      </c>
      <c r="BH241" s="528">
        <f t="shared" si="696"/>
        <v>6.6787797268636304E-2</v>
      </c>
      <c r="BI241">
        <f t="shared" si="697"/>
        <v>3.8127339073319264E-2</v>
      </c>
      <c r="BJ241" s="460">
        <f t="shared" si="698"/>
        <v>177.98599062609489</v>
      </c>
      <c r="BK241">
        <f t="shared" si="648"/>
        <v>1.4120035437872231</v>
      </c>
      <c r="BL241" s="460">
        <f t="shared" si="699"/>
        <v>1552.2410266044703</v>
      </c>
      <c r="BM241" s="173">
        <f t="shared" si="649"/>
        <v>1.5531249999999999</v>
      </c>
      <c r="BN241" s="173">
        <f t="shared" si="650"/>
        <v>2.7734374999999999E-2</v>
      </c>
      <c r="BQ241" s="460">
        <f t="shared" si="700"/>
        <v>1580.859375</v>
      </c>
      <c r="BR241" s="528">
        <f t="shared" si="701"/>
        <v>9.3515286387383698E-2</v>
      </c>
      <c r="BS241" s="528">
        <f t="shared" si="702"/>
        <v>0.90648471361261607</v>
      </c>
      <c r="BT241" s="528">
        <f t="shared" si="703"/>
        <v>9.163220999446319E-5</v>
      </c>
      <c r="BU241" s="528">
        <f t="shared" si="704"/>
        <v>0.56012294947968277</v>
      </c>
      <c r="BV241" s="528"/>
      <c r="BW241" s="625">
        <f t="shared" si="705"/>
        <v>6.6027574678339555E-3</v>
      </c>
      <c r="BX241" s="460">
        <f t="shared" si="706"/>
        <v>1566.817339157511</v>
      </c>
      <c r="BY241" s="173">
        <f t="shared" si="707"/>
        <v>4.6999177407619825</v>
      </c>
      <c r="BZ241" s="5">
        <f t="shared" si="708"/>
        <v>38</v>
      </c>
      <c r="CA241" s="173">
        <f t="shared" si="709"/>
        <v>0.88993145679352514</v>
      </c>
      <c r="CB241" s="5">
        <f t="shared" si="710"/>
        <v>88.993145679352509</v>
      </c>
      <c r="CC241">
        <f t="shared" si="711"/>
        <v>25</v>
      </c>
      <c r="CE241" s="562">
        <f t="shared" si="651"/>
        <v>-50</v>
      </c>
      <c r="CG241" s="173">
        <f t="shared" si="652"/>
        <v>0.51153364177409355</v>
      </c>
      <c r="CH241" s="173">
        <f t="shared" si="653"/>
        <v>5.9960343848204409E-2</v>
      </c>
      <c r="CI241" s="170">
        <v>25</v>
      </c>
      <c r="CJ241" s="217">
        <f t="shared" si="712"/>
        <v>2.5</v>
      </c>
      <c r="CK241" s="217">
        <f t="shared" si="654"/>
        <v>6.25E-2</v>
      </c>
      <c r="CL241" s="217">
        <f t="shared" si="655"/>
        <v>37.5</v>
      </c>
      <c r="CM241" s="217">
        <f t="shared" si="656"/>
        <v>0.5</v>
      </c>
      <c r="CN241" s="541">
        <f t="shared" si="657"/>
        <v>85</v>
      </c>
      <c r="CO241" s="443">
        <f t="shared" si="658"/>
        <v>15.7</v>
      </c>
      <c r="CP241" s="443">
        <f t="shared" si="659"/>
        <v>100.7</v>
      </c>
      <c r="CQ241" s="443"/>
      <c r="CR241" s="217">
        <f t="shared" si="660"/>
        <v>0.15338645418326693</v>
      </c>
      <c r="CS241" s="172">
        <f t="shared" si="661"/>
        <v>321.65744915076539</v>
      </c>
      <c r="CT241" s="172">
        <f t="shared" si="662"/>
        <v>4.3459495351925632</v>
      </c>
      <c r="CU241" s="217">
        <f t="shared" si="663"/>
        <v>21.443829943384358</v>
      </c>
      <c r="CV241" s="217">
        <f t="shared" si="664"/>
        <v>40.207181143845673</v>
      </c>
      <c r="CW241" s="217">
        <f t="shared" si="665"/>
        <v>15</v>
      </c>
      <c r="CX241" s="217">
        <f t="shared" si="666"/>
        <v>5.8291825821237584</v>
      </c>
      <c r="CY241" s="217">
        <f t="shared" si="667"/>
        <v>0.82294342335864823</v>
      </c>
      <c r="CZ241" s="217">
        <f t="shared" si="668"/>
        <v>4.455426177419433</v>
      </c>
      <c r="DA241" s="197">
        <f t="shared" si="669"/>
        <v>110.43528632903013</v>
      </c>
      <c r="DB241" s="443">
        <f t="shared" si="670"/>
        <v>189.45243998309454</v>
      </c>
      <c r="DD241" s="217">
        <f t="shared" si="671"/>
        <v>9.9999999999999982</v>
      </c>
      <c r="DE241" s="173">
        <f t="shared" si="672"/>
        <v>7.6433121019108263</v>
      </c>
      <c r="DF241" s="173">
        <f t="shared" si="673"/>
        <v>4.1649244760361679</v>
      </c>
      <c r="DG241" s="173"/>
      <c r="DH241" s="173">
        <f t="shared" si="674"/>
        <v>7.6433121019108281</v>
      </c>
      <c r="DI241" s="545">
        <f t="shared" si="675"/>
        <v>65.416666666666671</v>
      </c>
      <c r="DJ241" s="528">
        <f t="shared" si="676"/>
        <v>4.2204568023833167</v>
      </c>
      <c r="DL241" s="173">
        <f t="shared" si="677"/>
        <v>4.2538497969766276</v>
      </c>
      <c r="DM241" s="173">
        <f t="shared" si="678"/>
        <v>10</v>
      </c>
      <c r="DN241" s="173">
        <f t="shared" si="679"/>
        <v>1.0373809523809523</v>
      </c>
      <c r="DP241" s="545">
        <f t="shared" si="680"/>
        <v>2500</v>
      </c>
      <c r="DQ241" s="460">
        <f t="shared" si="681"/>
        <v>65.416666666666671</v>
      </c>
      <c r="DS241">
        <f t="shared" si="682"/>
        <v>2500</v>
      </c>
      <c r="DT241">
        <f t="shared" si="683"/>
        <v>65.416666666666671</v>
      </c>
      <c r="DV241" s="5">
        <f t="shared" si="684"/>
        <v>15.286624203821654</v>
      </c>
      <c r="DW241" s="5">
        <f t="shared" si="685"/>
        <v>1.4117647058823528</v>
      </c>
      <c r="DX241" s="5">
        <f t="shared" si="686"/>
        <v>13.874859497939301</v>
      </c>
      <c r="DY241" s="173">
        <f t="shared" si="687"/>
        <v>9.2352941176470596E-2</v>
      </c>
      <c r="EA241" s="5">
        <f t="shared" si="713"/>
        <v>23.52941176470588</v>
      </c>
      <c r="EB241" s="5">
        <f t="shared" si="714"/>
        <v>1.1029411764705883</v>
      </c>
      <c r="EC241" s="5">
        <f t="shared" si="715"/>
        <v>1.7003504286690319</v>
      </c>
      <c r="ED241" s="5"/>
      <c r="EE241" s="173">
        <f t="shared" si="716"/>
        <v>1.7545459163410402</v>
      </c>
      <c r="EF241" s="173">
        <f t="shared" si="717"/>
        <v>5.5004456147465284</v>
      </c>
      <c r="EG241" s="173">
        <f t="shared" si="718"/>
        <v>0.13546195474748315</v>
      </c>
      <c r="EH241" s="173"/>
      <c r="EI241" s="528">
        <f t="shared" si="719"/>
        <v>6.1568627450980407E-2</v>
      </c>
      <c r="EJ241" s="528">
        <f t="shared" si="720"/>
        <v>1.3174916666666669</v>
      </c>
      <c r="EK241" s="528">
        <f t="shared" si="721"/>
        <v>8.1770833333333331E-3</v>
      </c>
      <c r="EL241" s="528">
        <f t="shared" si="722"/>
        <v>6.6335705416666668E-2</v>
      </c>
      <c r="EM241">
        <f t="shared" si="723"/>
        <v>3.8249999999999999E-2</v>
      </c>
      <c r="EN241" s="460">
        <f t="shared" si="724"/>
        <v>46.427083333333336</v>
      </c>
      <c r="EP241" s="460">
        <f t="shared" si="725"/>
        <v>1491.8230828676471</v>
      </c>
      <c r="EQ241" s="173">
        <f t="shared" si="726"/>
        <v>1.75</v>
      </c>
      <c r="ER241" s="173">
        <f t="shared" si="688"/>
        <v>2.7734374999999999E-2</v>
      </c>
      <c r="ES241" s="528"/>
      <c r="EU241" s="460">
        <f t="shared" si="727"/>
        <v>1777.734375</v>
      </c>
      <c r="EV241" s="528">
        <f t="shared" si="728"/>
        <v>9.235294117647061E-2</v>
      </c>
      <c r="EW241" s="528">
        <f t="shared" si="729"/>
        <v>0.90764705882352936</v>
      </c>
      <c r="EX241" s="528">
        <f t="shared" si="730"/>
        <v>9.1749705920045866E-5</v>
      </c>
      <c r="EY241" s="528">
        <f t="shared" si="731"/>
        <v>0.54725662917055806</v>
      </c>
      <c r="EZ241" s="528"/>
      <c r="FA241" s="625">
        <f t="shared" si="732"/>
        <v>6.5416666666666679E-3</v>
      </c>
      <c r="FB241" s="460">
        <f t="shared" si="733"/>
        <v>1553.8900455431449</v>
      </c>
      <c r="FC241" s="173">
        <f t="shared" si="734"/>
        <v>4.823447503410792</v>
      </c>
      <c r="FD241" s="5">
        <f t="shared" si="735"/>
        <v>38</v>
      </c>
      <c r="FE241" s="173">
        <f t="shared" si="736"/>
        <v>0.88736433462003228</v>
      </c>
      <c r="FF241" s="5">
        <f t="shared" si="737"/>
        <v>88.736433462003234</v>
      </c>
      <c r="FG241">
        <f t="shared" si="738"/>
        <v>25</v>
      </c>
      <c r="FI241" s="562">
        <f t="shared" si="689"/>
        <v>-50</v>
      </c>
    </row>
    <row r="242" spans="5:165">
      <c r="E242" s="170">
        <v>26</v>
      </c>
      <c r="F242" s="217">
        <f t="shared" si="690"/>
        <v>2.6</v>
      </c>
      <c r="G242" s="217">
        <f t="shared" si="617"/>
        <v>6.5000000000000002E-2</v>
      </c>
      <c r="H242" s="217">
        <f t="shared" si="618"/>
        <v>39</v>
      </c>
      <c r="I242" s="217">
        <f t="shared" si="619"/>
        <v>0.52</v>
      </c>
      <c r="J242" s="541">
        <f t="shared" si="620"/>
        <v>84.727420162931693</v>
      </c>
      <c r="K242" s="443">
        <f t="shared" si="621"/>
        <v>15.846617922801491</v>
      </c>
      <c r="L242" s="172">
        <f t="shared" si="622"/>
        <v>100.57403808573318</v>
      </c>
      <c r="M242" s="443"/>
      <c r="N242" s="217">
        <f t="shared" si="623"/>
        <v>0.15756171497552104</v>
      </c>
      <c r="O242" s="172">
        <f t="shared" si="624"/>
        <v>329.35355985994391</v>
      </c>
      <c r="P242" s="172">
        <f t="shared" si="625"/>
        <v>4.4499325421076863</v>
      </c>
      <c r="Q242" s="217">
        <f t="shared" si="626"/>
        <v>21.956903990662926</v>
      </c>
      <c r="R242" s="217">
        <f t="shared" si="627"/>
        <v>41.169194982492989</v>
      </c>
      <c r="S242" s="217">
        <f t="shared" si="628"/>
        <v>15</v>
      </c>
      <c r="T242" s="217">
        <f t="shared" si="629"/>
        <v>5.9206890031163741</v>
      </c>
      <c r="U242" s="217">
        <f t="shared" si="630"/>
        <v>0.83855106057484041</v>
      </c>
      <c r="V242" s="217">
        <f t="shared" si="631"/>
        <v>4.4834972600157199</v>
      </c>
      <c r="W242" s="197">
        <f t="shared" si="632"/>
        <v>111.24831355269215</v>
      </c>
      <c r="X242" s="443">
        <f t="shared" si="691"/>
        <v>181.09222193351872</v>
      </c>
      <c r="Z242" s="217">
        <f t="shared" si="633"/>
        <v>10</v>
      </c>
      <c r="AA242" s="173">
        <f t="shared" si="634"/>
        <v>7.572593760043496</v>
      </c>
      <c r="AB242" s="173">
        <f t="shared" si="635"/>
        <v>4.1567678537392041</v>
      </c>
      <c r="AC242" s="173"/>
      <c r="AD242" s="173">
        <f t="shared" si="636"/>
        <v>7.572593760043496</v>
      </c>
      <c r="AE242" s="545">
        <f t="shared" si="637"/>
        <v>68.668677665473126</v>
      </c>
      <c r="AF242" s="528">
        <f t="shared" si="638"/>
        <v>4.2121914251223949</v>
      </c>
      <c r="AH242" s="173">
        <f t="shared" si="639"/>
        <v>4.3380926245353058</v>
      </c>
      <c r="AI242" s="173">
        <f t="shared" si="640"/>
        <v>10</v>
      </c>
      <c r="AJ242" s="173">
        <f t="shared" si="641"/>
        <v>1.0392392443802703</v>
      </c>
      <c r="AL242" s="545">
        <f t="shared" si="642"/>
        <v>2600</v>
      </c>
      <c r="AM242" s="460">
        <f t="shared" si="643"/>
        <v>68.668677665473126</v>
      </c>
      <c r="AO242">
        <f t="shared" si="644"/>
        <v>2600</v>
      </c>
      <c r="AP242">
        <f t="shared" si="645"/>
        <v>68.668677665473126</v>
      </c>
      <c r="AR242" s="5">
        <f t="shared" si="616"/>
        <v>14.562680307775954</v>
      </c>
      <c r="AS242" s="5">
        <f t="shared" si="604"/>
        <v>1.4163065483315647</v>
      </c>
      <c r="AT242" s="5">
        <f t="shared" si="605"/>
        <v>13.146373759444391</v>
      </c>
      <c r="AU242" s="173">
        <f t="shared" si="606"/>
        <v>9.7255897842879052E-2</v>
      </c>
      <c r="BA242" s="173">
        <f t="shared" si="692"/>
        <v>1.8005174982291345</v>
      </c>
      <c r="BB242" s="173">
        <f t="shared" si="693"/>
        <v>5.4855692568687919</v>
      </c>
      <c r="BC242" s="173">
        <f t="shared" si="694"/>
        <v>0.13509558797308244</v>
      </c>
      <c r="BD242" s="173"/>
      <c r="BE242" s="528">
        <f t="shared" si="695"/>
        <v>6.483726522858603E-2</v>
      </c>
      <c r="BF242" s="528">
        <f t="shared" si="646"/>
        <v>1.2949286630295429</v>
      </c>
      <c r="BG242" s="528">
        <f t="shared" si="647"/>
        <v>0.14545299761488664</v>
      </c>
      <c r="BH242" s="528">
        <f t="shared" si="696"/>
        <v>6.9459309159381755E-2</v>
      </c>
      <c r="BI242">
        <f t="shared" si="697"/>
        <v>3.8127339073319264E-2</v>
      </c>
      <c r="BJ242" s="460">
        <f t="shared" si="698"/>
        <v>183.5803366882059</v>
      </c>
      <c r="BK242">
        <f t="shared" si="648"/>
        <v>1.4693673948361705</v>
      </c>
      <c r="BL242" s="460">
        <f t="shared" si="699"/>
        <v>1612.8055741057165</v>
      </c>
      <c r="BM242" s="173">
        <f t="shared" si="649"/>
        <v>1.6152499999999999</v>
      </c>
      <c r="BN242" s="173">
        <f t="shared" si="650"/>
        <v>2.8843749999999998E-2</v>
      </c>
      <c r="BQ242" s="460">
        <f t="shared" si="700"/>
        <v>1644.09375</v>
      </c>
      <c r="BR242" s="528">
        <f t="shared" si="701"/>
        <v>9.7255897842879052E-2</v>
      </c>
      <c r="BS242" s="528">
        <f t="shared" si="702"/>
        <v>0.90274410215712086</v>
      </c>
      <c r="BT242" s="528">
        <f t="shared" si="703"/>
        <v>9.1254089448964285E-5</v>
      </c>
      <c r="BU242" s="528">
        <f t="shared" si="704"/>
        <v>0.61782676038394824</v>
      </c>
      <c r="BV242" s="528"/>
      <c r="BW242" s="625">
        <f t="shared" si="705"/>
        <v>6.8668677665473131E-3</v>
      </c>
      <c r="BX242" s="460">
        <f t="shared" si="706"/>
        <v>1624.7848822399444</v>
      </c>
      <c r="BY242" s="173">
        <f t="shared" si="707"/>
        <v>4.8816842063456605</v>
      </c>
      <c r="BZ242" s="5">
        <f t="shared" si="708"/>
        <v>39.520000000000003</v>
      </c>
      <c r="CA242" s="173">
        <f t="shared" si="709"/>
        <v>0.89005632796136158</v>
      </c>
      <c r="CB242" s="5">
        <f t="shared" si="710"/>
        <v>89.005632796136155</v>
      </c>
      <c r="CC242">
        <f t="shared" si="711"/>
        <v>26</v>
      </c>
      <c r="CE242" s="562">
        <f t="shared" si="651"/>
        <v>-50</v>
      </c>
      <c r="CG242" s="173">
        <f t="shared" si="652"/>
        <v>0.53199498744505735</v>
      </c>
      <c r="CH242" s="173">
        <f t="shared" si="653"/>
        <v>6.2358757602132595E-2</v>
      </c>
      <c r="CI242" s="170">
        <v>26</v>
      </c>
      <c r="CJ242" s="217">
        <f t="shared" si="712"/>
        <v>2.6</v>
      </c>
      <c r="CK242" s="217">
        <f t="shared" si="654"/>
        <v>6.5000000000000002E-2</v>
      </c>
      <c r="CL242" s="217">
        <f t="shared" si="655"/>
        <v>39</v>
      </c>
      <c r="CM242" s="217">
        <f t="shared" si="656"/>
        <v>0.52</v>
      </c>
      <c r="CN242" s="541">
        <f t="shared" si="657"/>
        <v>85</v>
      </c>
      <c r="CO242" s="443">
        <f t="shared" si="658"/>
        <v>15.7</v>
      </c>
      <c r="CP242" s="443">
        <f t="shared" si="659"/>
        <v>100.7</v>
      </c>
      <c r="CQ242" s="443"/>
      <c r="CR242" s="217">
        <f t="shared" si="660"/>
        <v>0.15338645418326693</v>
      </c>
      <c r="CS242" s="172">
        <f t="shared" si="661"/>
        <v>321.65744915076539</v>
      </c>
      <c r="CT242" s="172">
        <f t="shared" si="662"/>
        <v>4.3459495351925632</v>
      </c>
      <c r="CU242" s="217">
        <f t="shared" si="663"/>
        <v>21.443829943384358</v>
      </c>
      <c r="CV242" s="217">
        <f t="shared" si="664"/>
        <v>40.207181143845673</v>
      </c>
      <c r="CW242" s="217">
        <f t="shared" si="665"/>
        <v>15</v>
      </c>
      <c r="CX242" s="217">
        <f t="shared" si="666"/>
        <v>6.0623498854087092</v>
      </c>
      <c r="CY242" s="217">
        <f t="shared" si="667"/>
        <v>0.85586116029299431</v>
      </c>
      <c r="CZ242" s="217">
        <f t="shared" si="668"/>
        <v>4.633643224516212</v>
      </c>
      <c r="DA242" s="197">
        <f t="shared" si="669"/>
        <v>110.43528632903013</v>
      </c>
      <c r="DB242" s="443">
        <f t="shared" si="670"/>
        <v>182.16580767605237</v>
      </c>
      <c r="DD242" s="217">
        <f t="shared" si="671"/>
        <v>9.9999999999999982</v>
      </c>
      <c r="DE242" s="173">
        <f t="shared" si="672"/>
        <v>7.6433121019108263</v>
      </c>
      <c r="DF242" s="173">
        <f t="shared" si="673"/>
        <v>4.1649244760361679</v>
      </c>
      <c r="DG242" s="173"/>
      <c r="DH242" s="173">
        <f t="shared" si="674"/>
        <v>7.6433121019108281</v>
      </c>
      <c r="DI242" s="545">
        <f t="shared" si="675"/>
        <v>68.033333333333346</v>
      </c>
      <c r="DJ242" s="528">
        <f t="shared" si="676"/>
        <v>4.2204568023833167</v>
      </c>
      <c r="DL242" s="173">
        <f t="shared" si="677"/>
        <v>4.3380926245353058</v>
      </c>
      <c r="DM242" s="173">
        <f t="shared" si="678"/>
        <v>10</v>
      </c>
      <c r="DN242" s="173">
        <f t="shared" si="679"/>
        <v>1.0388761904761905</v>
      </c>
      <c r="DP242" s="545">
        <f t="shared" si="680"/>
        <v>2600</v>
      </c>
      <c r="DQ242" s="460">
        <f t="shared" si="681"/>
        <v>68.033333333333346</v>
      </c>
      <c r="DS242">
        <f t="shared" si="682"/>
        <v>2600</v>
      </c>
      <c r="DT242">
        <f t="shared" si="683"/>
        <v>68.033333333333346</v>
      </c>
      <c r="DV242" s="5">
        <f t="shared" si="684"/>
        <v>14.698677119059282</v>
      </c>
      <c r="DW242" s="5">
        <f t="shared" si="685"/>
        <v>1.4117647058823528</v>
      </c>
      <c r="DX242" s="5">
        <f t="shared" si="686"/>
        <v>13.286912413176928</v>
      </c>
      <c r="DY242" s="173">
        <f t="shared" si="687"/>
        <v>9.604705882352943E-2</v>
      </c>
      <c r="EA242" s="5">
        <f t="shared" si="713"/>
        <v>24.470588235294116</v>
      </c>
      <c r="EB242" s="5">
        <f t="shared" si="714"/>
        <v>1.1470588235294119</v>
      </c>
      <c r="EC242" s="5">
        <f t="shared" si="715"/>
        <v>1.693430013444118</v>
      </c>
      <c r="ED242" s="5"/>
      <c r="EE242" s="173">
        <f t="shared" si="716"/>
        <v>1.7892927729834995</v>
      </c>
      <c r="EF242" s="173">
        <f t="shared" si="717"/>
        <v>5.48924081325299</v>
      </c>
      <c r="EG242" s="173">
        <f t="shared" si="718"/>
        <v>0.135186009047956</v>
      </c>
      <c r="EH242" s="173"/>
      <c r="EI242" s="528">
        <f t="shared" si="719"/>
        <v>6.4031372549019624E-2</v>
      </c>
      <c r="EJ242" s="528">
        <f t="shared" si="720"/>
        <v>1.3701913333333338</v>
      </c>
      <c r="EK242" s="528">
        <f t="shared" si="721"/>
        <v>8.5041666666666668E-3</v>
      </c>
      <c r="EL242" s="528">
        <f t="shared" si="722"/>
        <v>6.8989133633333352E-2</v>
      </c>
      <c r="EM242">
        <f t="shared" si="723"/>
        <v>3.8249999999999999E-2</v>
      </c>
      <c r="EN242" s="460">
        <f t="shared" si="724"/>
        <v>46.754166666666663</v>
      </c>
      <c r="EP242" s="460">
        <f t="shared" si="725"/>
        <v>1549.9660061823533</v>
      </c>
      <c r="EQ242" s="173">
        <f t="shared" si="726"/>
        <v>1.8199999999999998</v>
      </c>
      <c r="ER242" s="173">
        <f t="shared" si="688"/>
        <v>2.8843749999999998E-2</v>
      </c>
      <c r="ES242" s="528"/>
      <c r="EU242" s="460">
        <f t="shared" si="727"/>
        <v>1848.84375</v>
      </c>
      <c r="EV242" s="528">
        <f t="shared" si="728"/>
        <v>9.6047058823529444E-2</v>
      </c>
      <c r="EW242" s="528">
        <f t="shared" si="729"/>
        <v>0.9039529411764704</v>
      </c>
      <c r="EX242" s="528">
        <f t="shared" si="730"/>
        <v>9.1376285211570209E-5</v>
      </c>
      <c r="EY242" s="528">
        <f t="shared" si="731"/>
        <v>0.60363495302802295</v>
      </c>
      <c r="EZ242" s="528"/>
      <c r="FA242" s="625">
        <f t="shared" si="732"/>
        <v>6.8033333333333348E-3</v>
      </c>
      <c r="FB242" s="460">
        <f t="shared" si="733"/>
        <v>1610.5296626465677</v>
      </c>
      <c r="FC242" s="173">
        <f t="shared" si="734"/>
        <v>5.0093394188289206</v>
      </c>
      <c r="FD242" s="5">
        <f t="shared" si="735"/>
        <v>39.520000000000003</v>
      </c>
      <c r="FE242" s="173">
        <f t="shared" si="736"/>
        <v>0.88750474441777238</v>
      </c>
      <c r="FF242" s="5">
        <f t="shared" si="737"/>
        <v>88.750474441777243</v>
      </c>
      <c r="FG242">
        <f t="shared" si="738"/>
        <v>26</v>
      </c>
      <c r="FI242" s="562">
        <f t="shared" si="689"/>
        <v>-50</v>
      </c>
    </row>
    <row r="243" spans="5:165">
      <c r="E243" s="170">
        <v>27</v>
      </c>
      <c r="F243" s="217">
        <f t="shared" si="690"/>
        <v>2.7</v>
      </c>
      <c r="G243" s="217">
        <f t="shared" si="617"/>
        <v>6.7500000000000004E-2</v>
      </c>
      <c r="H243" s="217">
        <f t="shared" si="618"/>
        <v>40.5</v>
      </c>
      <c r="I243" s="217">
        <f t="shared" si="619"/>
        <v>0.54</v>
      </c>
      <c r="J243" s="541">
        <f t="shared" si="620"/>
        <v>84.727420162931693</v>
      </c>
      <c r="K243" s="443">
        <f t="shared" si="621"/>
        <v>15.846617922801491</v>
      </c>
      <c r="L243" s="172">
        <f t="shared" si="622"/>
        <v>100.57403808573318</v>
      </c>
      <c r="M243" s="443"/>
      <c r="N243" s="217">
        <f t="shared" si="623"/>
        <v>0.15756171497552104</v>
      </c>
      <c r="O243" s="172">
        <f t="shared" si="624"/>
        <v>329.35355985994391</v>
      </c>
      <c r="P243" s="172">
        <f t="shared" si="625"/>
        <v>4.4499325421076863</v>
      </c>
      <c r="Q243" s="217">
        <f t="shared" si="626"/>
        <v>21.956903990662926</v>
      </c>
      <c r="R243" s="217">
        <f t="shared" si="627"/>
        <v>41.169194982492989</v>
      </c>
      <c r="S243" s="217">
        <f t="shared" si="628"/>
        <v>15</v>
      </c>
      <c r="T243" s="217">
        <f t="shared" si="629"/>
        <v>6.1484078109285418</v>
      </c>
      <c r="U243" s="217">
        <f t="shared" si="630"/>
        <v>0.87080302444310353</v>
      </c>
      <c r="V243" s="217">
        <f t="shared" si="631"/>
        <v>4.6559394623240173</v>
      </c>
      <c r="W243" s="197">
        <f t="shared" si="632"/>
        <v>111.24831355269215</v>
      </c>
      <c r="X243" s="443">
        <f t="shared" si="691"/>
        <v>174.6193411543677</v>
      </c>
      <c r="Z243" s="217">
        <f t="shared" si="633"/>
        <v>10</v>
      </c>
      <c r="AA243" s="173">
        <f t="shared" si="634"/>
        <v>7.572593760043496</v>
      </c>
      <c r="AB243" s="173">
        <f t="shared" si="635"/>
        <v>4.1567678537392041</v>
      </c>
      <c r="AC243" s="173"/>
      <c r="AD243" s="173">
        <f t="shared" si="636"/>
        <v>7.572593760043496</v>
      </c>
      <c r="AE243" s="545">
        <f t="shared" si="637"/>
        <v>71.309780652606719</v>
      </c>
      <c r="AF243" s="528">
        <f t="shared" si="638"/>
        <v>4.2121914251223949</v>
      </c>
      <c r="AH243" s="173">
        <f t="shared" si="639"/>
        <v>4.4207303856780431</v>
      </c>
      <c r="AI243" s="173">
        <f t="shared" si="640"/>
        <v>10</v>
      </c>
      <c r="AJ243" s="173">
        <f t="shared" si="641"/>
        <v>1.0407484460872038</v>
      </c>
      <c r="AL243" s="545">
        <f t="shared" si="642"/>
        <v>2700</v>
      </c>
      <c r="AM243" s="460">
        <f t="shared" si="643"/>
        <v>71.309780652606719</v>
      </c>
      <c r="AO243">
        <f t="shared" si="644"/>
        <v>2700</v>
      </c>
      <c r="AP243">
        <f t="shared" si="645"/>
        <v>71.309780652606719</v>
      </c>
      <c r="AR243" s="5">
        <f t="shared" si="616"/>
        <v>14.023321777858325</v>
      </c>
      <c r="AS243" s="5">
        <f t="shared" ref="AS243:AS306" si="739">L*AI243/J243*1000000</f>
        <v>1.4163065483315647</v>
      </c>
      <c r="AT243" s="5">
        <f t="shared" ref="AT243:AT306" si="740">AR243-AS243</f>
        <v>12.607015229526759</v>
      </c>
      <c r="AU243" s="173">
        <f t="shared" ref="AU243:AU306" si="741">AS243/AR243</f>
        <v>0.10099650929837441</v>
      </c>
      <c r="BA243" s="173">
        <f t="shared" si="692"/>
        <v>1.8348161515382988</v>
      </c>
      <c r="BB243" s="173">
        <f t="shared" si="693"/>
        <v>5.4741924539960705</v>
      </c>
      <c r="BC243" s="173">
        <f t="shared" si="694"/>
        <v>0.13481540631802089</v>
      </c>
      <c r="BD243" s="173"/>
      <c r="BE243" s="528">
        <f t="shared" si="695"/>
        <v>6.7331006198916271E-2</v>
      </c>
      <c r="BF243" s="528">
        <f t="shared" si="646"/>
        <v>1.3447336116076025</v>
      </c>
      <c r="BG243" s="528">
        <f t="shared" si="647"/>
        <v>0.15104734367699765</v>
      </c>
      <c r="BH243" s="528">
        <f t="shared" si="696"/>
        <v>7.213082105012722E-2</v>
      </c>
      <c r="BI243">
        <f t="shared" si="697"/>
        <v>3.8127339073319264E-2</v>
      </c>
      <c r="BJ243" s="460">
        <f t="shared" si="698"/>
        <v>189.17468275031689</v>
      </c>
      <c r="BK243">
        <f t="shared" si="648"/>
        <v>1.5268003286996872</v>
      </c>
      <c r="BL243" s="460">
        <f t="shared" si="699"/>
        <v>1673.370121606963</v>
      </c>
      <c r="BM243" s="173">
        <f t="shared" si="649"/>
        <v>1.6773749999999998</v>
      </c>
      <c r="BN243" s="173">
        <f t="shared" si="650"/>
        <v>2.9953125000000001E-2</v>
      </c>
      <c r="BQ243" s="460">
        <f t="shared" si="700"/>
        <v>1707.3281249999998</v>
      </c>
      <c r="BR243" s="528">
        <f t="shared" si="701"/>
        <v>0.10099650929837441</v>
      </c>
      <c r="BS243" s="528">
        <f t="shared" si="702"/>
        <v>0.89900349070162555</v>
      </c>
      <c r="BT243" s="528">
        <f t="shared" si="703"/>
        <v>9.0875968903465326E-5</v>
      </c>
      <c r="BU243" s="528">
        <f t="shared" si="704"/>
        <v>0.67895775906378497</v>
      </c>
      <c r="BV243" s="528"/>
      <c r="BW243" s="625">
        <f t="shared" si="705"/>
        <v>7.1309780652606724E-3</v>
      </c>
      <c r="BX243" s="460">
        <f t="shared" si="706"/>
        <v>1686.1796130979492</v>
      </c>
      <c r="BY243" s="173">
        <f t="shared" si="707"/>
        <v>5.0668778597049124</v>
      </c>
      <c r="BZ243" s="5">
        <f t="shared" si="708"/>
        <v>41.04</v>
      </c>
      <c r="CA243" s="173">
        <f t="shared" si="709"/>
        <v>0.89010581295219071</v>
      </c>
      <c r="CB243" s="5">
        <f t="shared" si="710"/>
        <v>89.010581295219069</v>
      </c>
      <c r="CC243">
        <f t="shared" si="711"/>
        <v>27</v>
      </c>
      <c r="CE243" s="562">
        <f t="shared" si="651"/>
        <v>-50</v>
      </c>
      <c r="CG243" s="173">
        <f t="shared" si="652"/>
        <v>0.55245633311602116</v>
      </c>
      <c r="CH243" s="173">
        <f t="shared" si="653"/>
        <v>6.4757171356060766E-2</v>
      </c>
      <c r="CI243" s="170">
        <v>27</v>
      </c>
      <c r="CJ243" s="217">
        <f t="shared" si="712"/>
        <v>2.7</v>
      </c>
      <c r="CK243" s="217">
        <f t="shared" si="654"/>
        <v>6.7500000000000004E-2</v>
      </c>
      <c r="CL243" s="217">
        <f t="shared" si="655"/>
        <v>40.5</v>
      </c>
      <c r="CM243" s="217">
        <f t="shared" si="656"/>
        <v>0.54</v>
      </c>
      <c r="CN243" s="541">
        <f t="shared" si="657"/>
        <v>85</v>
      </c>
      <c r="CO243" s="443">
        <f t="shared" si="658"/>
        <v>15.7</v>
      </c>
      <c r="CP243" s="443">
        <f t="shared" si="659"/>
        <v>100.7</v>
      </c>
      <c r="CQ243" s="443"/>
      <c r="CR243" s="217">
        <f t="shared" si="660"/>
        <v>0.15338645418326693</v>
      </c>
      <c r="CS243" s="172">
        <f t="shared" si="661"/>
        <v>321.65744915076539</v>
      </c>
      <c r="CT243" s="172">
        <f t="shared" si="662"/>
        <v>4.3459495351925632</v>
      </c>
      <c r="CU243" s="217">
        <f t="shared" si="663"/>
        <v>21.443829943384358</v>
      </c>
      <c r="CV243" s="217">
        <f t="shared" si="664"/>
        <v>40.207181143845673</v>
      </c>
      <c r="CW243" s="217">
        <f t="shared" si="665"/>
        <v>15</v>
      </c>
      <c r="CX243" s="217">
        <f t="shared" si="666"/>
        <v>6.2955171886936592</v>
      </c>
      <c r="CY243" s="217">
        <f t="shared" si="667"/>
        <v>0.88877889722734016</v>
      </c>
      <c r="CZ243" s="217">
        <f t="shared" si="668"/>
        <v>4.8118602716129883</v>
      </c>
      <c r="DA243" s="197">
        <f t="shared" si="669"/>
        <v>110.43528632903013</v>
      </c>
      <c r="DB243" s="443">
        <f t="shared" si="670"/>
        <v>175.41892591027269</v>
      </c>
      <c r="DD243" s="217">
        <f t="shared" si="671"/>
        <v>9.9999999999999982</v>
      </c>
      <c r="DE243" s="173">
        <f t="shared" si="672"/>
        <v>7.6433121019108263</v>
      </c>
      <c r="DF243" s="173">
        <f t="shared" si="673"/>
        <v>4.1649244760361679</v>
      </c>
      <c r="DG243" s="173"/>
      <c r="DH243" s="173">
        <f t="shared" si="674"/>
        <v>7.6433121019108281</v>
      </c>
      <c r="DI243" s="545">
        <f t="shared" si="675"/>
        <v>70.65000000000002</v>
      </c>
      <c r="DJ243" s="528">
        <f t="shared" si="676"/>
        <v>4.2204568023833167</v>
      </c>
      <c r="DL243" s="173">
        <f t="shared" si="677"/>
        <v>4.4207303856780431</v>
      </c>
      <c r="DM243" s="173">
        <f t="shared" si="678"/>
        <v>10</v>
      </c>
      <c r="DN243" s="173">
        <f t="shared" si="679"/>
        <v>1.0403714285714285</v>
      </c>
      <c r="DP243" s="545">
        <f t="shared" si="680"/>
        <v>2700</v>
      </c>
      <c r="DQ243" s="460">
        <f t="shared" si="681"/>
        <v>70.65000000000002</v>
      </c>
      <c r="DS243">
        <f t="shared" si="682"/>
        <v>2700</v>
      </c>
      <c r="DT243">
        <f t="shared" si="683"/>
        <v>70.65000000000002</v>
      </c>
      <c r="DV243" s="5">
        <f t="shared" si="684"/>
        <v>14.154281670205233</v>
      </c>
      <c r="DW243" s="5">
        <f t="shared" si="685"/>
        <v>1.4117647058823528</v>
      </c>
      <c r="DX243" s="5">
        <f t="shared" si="686"/>
        <v>12.74251696432288</v>
      </c>
      <c r="DY243" s="173">
        <f t="shared" si="687"/>
        <v>9.974117647058825E-2</v>
      </c>
      <c r="EA243" s="5">
        <f t="shared" si="713"/>
        <v>25.411764705882351</v>
      </c>
      <c r="EB243" s="5">
        <f t="shared" si="714"/>
        <v>1.1911764705882353</v>
      </c>
      <c r="EC243" s="5">
        <f t="shared" si="715"/>
        <v>1.6865095982192044</v>
      </c>
      <c r="ED243" s="5"/>
      <c r="EE243" s="173">
        <f t="shared" si="716"/>
        <v>1.8233776027891047</v>
      </c>
      <c r="EF243" s="173">
        <f t="shared" si="717"/>
        <v>5.4780130933560569</v>
      </c>
      <c r="EG243" s="173">
        <f t="shared" si="718"/>
        <v>0.1349094989265727</v>
      </c>
      <c r="EH243" s="173"/>
      <c r="EI243" s="528">
        <f t="shared" si="719"/>
        <v>6.6494117647058842E-2</v>
      </c>
      <c r="EJ243" s="528">
        <f t="shared" si="720"/>
        <v>1.4228910000000003</v>
      </c>
      <c r="EK243" s="528">
        <f t="shared" si="721"/>
        <v>8.8312500000000023E-3</v>
      </c>
      <c r="EL243" s="528">
        <f t="shared" si="722"/>
        <v>7.1642561850000022E-2</v>
      </c>
      <c r="EM243">
        <f t="shared" si="723"/>
        <v>3.8249999999999999E-2</v>
      </c>
      <c r="EN243" s="460">
        <f t="shared" si="724"/>
        <v>47.081250000000004</v>
      </c>
      <c r="EP243" s="460">
        <f t="shared" si="725"/>
        <v>1608.1089294970591</v>
      </c>
      <c r="EQ243" s="173">
        <f t="shared" si="726"/>
        <v>1.89</v>
      </c>
      <c r="ER243" s="173">
        <f t="shared" si="688"/>
        <v>2.9953125000000001E-2</v>
      </c>
      <c r="ES243" s="528"/>
      <c r="EU243" s="460">
        <f t="shared" si="727"/>
        <v>1919.953125</v>
      </c>
      <c r="EV243" s="528">
        <f t="shared" si="728"/>
        <v>9.9741176470588264E-2</v>
      </c>
      <c r="EW243" s="528">
        <f t="shared" si="729"/>
        <v>0.90025882352941178</v>
      </c>
      <c r="EX243" s="528">
        <f t="shared" si="730"/>
        <v>9.1002864503094593E-5</v>
      </c>
      <c r="EY243" s="528">
        <f t="shared" si="731"/>
        <v>0.66336174034575923</v>
      </c>
      <c r="EZ243" s="528"/>
      <c r="FA243" s="625">
        <f t="shared" si="732"/>
        <v>7.0650000000000027E-3</v>
      </c>
      <c r="FB243" s="460">
        <f t="shared" si="733"/>
        <v>1670.5177432102626</v>
      </c>
      <c r="FC243" s="173">
        <f t="shared" si="734"/>
        <v>5.1985797977073211</v>
      </c>
      <c r="FD243" s="5">
        <f t="shared" si="735"/>
        <v>41.04</v>
      </c>
      <c r="FE243" s="173">
        <f t="shared" si="736"/>
        <v>0.8875705131850723</v>
      </c>
      <c r="FF243" s="5">
        <f t="shared" si="737"/>
        <v>88.757051318507223</v>
      </c>
      <c r="FG243">
        <f t="shared" si="738"/>
        <v>27</v>
      </c>
      <c r="FI243" s="562">
        <f t="shared" si="689"/>
        <v>-50</v>
      </c>
    </row>
    <row r="244" spans="5:165">
      <c r="E244" s="170">
        <v>28</v>
      </c>
      <c r="F244" s="217">
        <f t="shared" si="690"/>
        <v>2.8000000000000003</v>
      </c>
      <c r="G244" s="217">
        <f t="shared" si="617"/>
        <v>7.0000000000000007E-2</v>
      </c>
      <c r="H244" s="217">
        <f t="shared" si="618"/>
        <v>42.000000000000007</v>
      </c>
      <c r="I244" s="217">
        <f t="shared" si="619"/>
        <v>0.56000000000000005</v>
      </c>
      <c r="J244" s="541">
        <f t="shared" si="620"/>
        <v>84.727420162931693</v>
      </c>
      <c r="K244" s="443">
        <f t="shared" si="621"/>
        <v>15.846617922801491</v>
      </c>
      <c r="L244" s="172">
        <f t="shared" si="622"/>
        <v>100.57403808573318</v>
      </c>
      <c r="M244" s="443"/>
      <c r="N244" s="217">
        <f t="shared" si="623"/>
        <v>0.15756171497552104</v>
      </c>
      <c r="O244" s="172">
        <f t="shared" si="624"/>
        <v>329.35355985994391</v>
      </c>
      <c r="P244" s="172">
        <f t="shared" si="625"/>
        <v>4.4499325421076863</v>
      </c>
      <c r="Q244" s="217">
        <f t="shared" si="626"/>
        <v>21.956903990662926</v>
      </c>
      <c r="R244" s="217">
        <f t="shared" si="627"/>
        <v>41.169194982492989</v>
      </c>
      <c r="S244" s="217">
        <f t="shared" si="628"/>
        <v>15</v>
      </c>
      <c r="T244" s="217">
        <f t="shared" si="629"/>
        <v>6.3761266187407113</v>
      </c>
      <c r="U244" s="217">
        <f t="shared" si="630"/>
        <v>0.90305498831136677</v>
      </c>
      <c r="V244" s="217">
        <f t="shared" si="631"/>
        <v>4.8283816646323148</v>
      </c>
      <c r="W244" s="197">
        <f t="shared" si="632"/>
        <v>111.24831355269215</v>
      </c>
      <c r="X244" s="443">
        <f t="shared" si="691"/>
        <v>168.59321923360932</v>
      </c>
      <c r="Z244" s="217">
        <f t="shared" si="633"/>
        <v>10</v>
      </c>
      <c r="AA244" s="173">
        <f t="shared" si="634"/>
        <v>7.572593760043496</v>
      </c>
      <c r="AB244" s="173">
        <f t="shared" si="635"/>
        <v>4.1567678537392041</v>
      </c>
      <c r="AC244" s="173"/>
      <c r="AD244" s="173">
        <f t="shared" si="636"/>
        <v>7.572593760043496</v>
      </c>
      <c r="AE244" s="545">
        <f t="shared" si="637"/>
        <v>73.950883639740297</v>
      </c>
      <c r="AF244" s="528">
        <f t="shared" si="638"/>
        <v>4.2121914251223949</v>
      </c>
      <c r="AH244" s="173">
        <f t="shared" si="639"/>
        <v>4.5018514709691022</v>
      </c>
      <c r="AI244" s="173">
        <f t="shared" si="640"/>
        <v>10</v>
      </c>
      <c r="AJ244" s="173">
        <f t="shared" si="641"/>
        <v>1.0422576477941372</v>
      </c>
      <c r="AL244" s="545">
        <f t="shared" si="642"/>
        <v>2800.0000000000005</v>
      </c>
      <c r="AM244" s="460">
        <f t="shared" si="643"/>
        <v>73.950883639740297</v>
      </c>
      <c r="AO244">
        <f t="shared" si="644"/>
        <v>2800.0000000000005</v>
      </c>
      <c r="AP244">
        <f t="shared" si="645"/>
        <v>73.950883639740297</v>
      </c>
      <c r="AR244" s="5">
        <f t="shared" si="616"/>
        <v>13.522488857220528</v>
      </c>
      <c r="AS244" s="5">
        <f t="shared" si="739"/>
        <v>1.4163065483315647</v>
      </c>
      <c r="AT244" s="5">
        <f t="shared" si="740"/>
        <v>12.106182308888965</v>
      </c>
      <c r="AU244" s="173">
        <f t="shared" si="741"/>
        <v>0.10473712075386975</v>
      </c>
      <c r="BA244" s="173">
        <f t="shared" si="692"/>
        <v>1.8684853112781821</v>
      </c>
      <c r="BB244" s="173">
        <f t="shared" si="693"/>
        <v>5.4627919578610173</v>
      </c>
      <c r="BC244" s="173">
        <f t="shared" si="694"/>
        <v>0.13453464115830271</v>
      </c>
      <c r="BD244" s="173"/>
      <c r="BE244" s="528">
        <f t="shared" si="695"/>
        <v>6.9824747169246498E-2</v>
      </c>
      <c r="BF244" s="528">
        <f t="shared" si="646"/>
        <v>1.3945385601856617</v>
      </c>
      <c r="BG244" s="528">
        <f t="shared" si="647"/>
        <v>0.15664168973910869</v>
      </c>
      <c r="BH244" s="528">
        <f t="shared" si="696"/>
        <v>7.4802332940872671E-2</v>
      </c>
      <c r="BI244">
        <f t="shared" si="697"/>
        <v>3.8127339073319264E-2</v>
      </c>
      <c r="BJ244" s="460">
        <f t="shared" si="698"/>
        <v>194.76902881242796</v>
      </c>
      <c r="BK244">
        <f t="shared" si="648"/>
        <v>1.5843024702467607</v>
      </c>
      <c r="BL244" s="460">
        <f t="shared" si="699"/>
        <v>1733.9346691082089</v>
      </c>
      <c r="BM244" s="173">
        <f t="shared" si="649"/>
        <v>1.7394999999999998</v>
      </c>
      <c r="BN244" s="173">
        <f t="shared" si="650"/>
        <v>3.10625E-2</v>
      </c>
      <c r="BQ244" s="460">
        <f t="shared" si="700"/>
        <v>1770.5624999999998</v>
      </c>
      <c r="BR244" s="528">
        <f t="shared" si="701"/>
        <v>0.10473712075386975</v>
      </c>
      <c r="BS244" s="528">
        <f t="shared" si="702"/>
        <v>0.89526287924613024</v>
      </c>
      <c r="BT244" s="528">
        <f t="shared" si="703"/>
        <v>9.0497848357966407E-5</v>
      </c>
      <c r="BU244" s="528">
        <f t="shared" si="704"/>
        <v>0.74358123898079709</v>
      </c>
      <c r="BV244" s="528"/>
      <c r="BW244" s="625">
        <f t="shared" si="705"/>
        <v>7.3950883639740299E-3</v>
      </c>
      <c r="BX244" s="460">
        <f t="shared" si="706"/>
        <v>1751.066825193129</v>
      </c>
      <c r="BY244" s="173">
        <f t="shared" si="707"/>
        <v>5.2555639943013377</v>
      </c>
      <c r="BZ244" s="5">
        <f t="shared" si="708"/>
        <v>42.560000000000009</v>
      </c>
      <c r="CA244" s="173">
        <f t="shared" si="709"/>
        <v>0.89008675093892653</v>
      </c>
      <c r="CB244" s="5">
        <f t="shared" si="710"/>
        <v>89.008675093892649</v>
      </c>
      <c r="CC244">
        <f t="shared" si="711"/>
        <v>28.000000000000004</v>
      </c>
      <c r="CE244" s="562">
        <f t="shared" si="651"/>
        <v>-50</v>
      </c>
      <c r="CG244" s="173">
        <f t="shared" si="652"/>
        <v>0.57291767878698485</v>
      </c>
      <c r="CH244" s="173">
        <f t="shared" si="653"/>
        <v>6.7155585109988952E-2</v>
      </c>
      <c r="CI244" s="170">
        <v>28</v>
      </c>
      <c r="CJ244" s="217">
        <f t="shared" si="712"/>
        <v>2.8000000000000003</v>
      </c>
      <c r="CK244" s="217">
        <f t="shared" si="654"/>
        <v>7.0000000000000007E-2</v>
      </c>
      <c r="CL244" s="217">
        <f t="shared" si="655"/>
        <v>42.000000000000007</v>
      </c>
      <c r="CM244" s="217">
        <f t="shared" si="656"/>
        <v>0.56000000000000005</v>
      </c>
      <c r="CN244" s="541">
        <f t="shared" si="657"/>
        <v>85</v>
      </c>
      <c r="CO244" s="443">
        <f t="shared" si="658"/>
        <v>15.7</v>
      </c>
      <c r="CP244" s="443">
        <f t="shared" si="659"/>
        <v>100.7</v>
      </c>
      <c r="CQ244" s="443"/>
      <c r="CR244" s="217">
        <f t="shared" si="660"/>
        <v>0.15338645418326693</v>
      </c>
      <c r="CS244" s="172">
        <f t="shared" si="661"/>
        <v>321.65744915076539</v>
      </c>
      <c r="CT244" s="172">
        <f t="shared" si="662"/>
        <v>4.3459495351925632</v>
      </c>
      <c r="CU244" s="217">
        <f t="shared" si="663"/>
        <v>21.443829943384358</v>
      </c>
      <c r="CV244" s="217">
        <f t="shared" si="664"/>
        <v>40.207181143845673</v>
      </c>
      <c r="CW244" s="217">
        <f t="shared" si="665"/>
        <v>15</v>
      </c>
      <c r="CX244" s="217">
        <f t="shared" si="666"/>
        <v>6.5286844919786109</v>
      </c>
      <c r="CY244" s="217">
        <f t="shared" si="667"/>
        <v>0.92169663416168623</v>
      </c>
      <c r="CZ244" s="217">
        <f t="shared" si="668"/>
        <v>4.9900773187097665</v>
      </c>
      <c r="DA244" s="197">
        <f t="shared" si="669"/>
        <v>110.43528632903013</v>
      </c>
      <c r="DB244" s="443">
        <f t="shared" si="670"/>
        <v>169.15396427062004</v>
      </c>
      <c r="DD244" s="217">
        <f t="shared" si="671"/>
        <v>9.9999999999999982</v>
      </c>
      <c r="DE244" s="173">
        <f t="shared" si="672"/>
        <v>7.6433121019108263</v>
      </c>
      <c r="DF244" s="173">
        <f t="shared" si="673"/>
        <v>4.1649244760361679</v>
      </c>
      <c r="DG244" s="173"/>
      <c r="DH244" s="173">
        <f t="shared" si="674"/>
        <v>7.6433121019108281</v>
      </c>
      <c r="DI244" s="545">
        <f t="shared" si="675"/>
        <v>73.26666666666668</v>
      </c>
      <c r="DJ244" s="528">
        <f t="shared" si="676"/>
        <v>4.2204568023833167</v>
      </c>
      <c r="DL244" s="173">
        <f t="shared" si="677"/>
        <v>4.5018514709691022</v>
      </c>
      <c r="DM244" s="173">
        <f t="shared" si="678"/>
        <v>10</v>
      </c>
      <c r="DN244" s="173">
        <f t="shared" si="679"/>
        <v>1.0418666666666667</v>
      </c>
      <c r="DP244" s="545">
        <f t="shared" si="680"/>
        <v>2800.0000000000005</v>
      </c>
      <c r="DQ244" s="460">
        <f t="shared" si="681"/>
        <v>73.26666666666668</v>
      </c>
      <c r="DS244">
        <f t="shared" si="682"/>
        <v>2800.0000000000005</v>
      </c>
      <c r="DT244">
        <f t="shared" si="683"/>
        <v>73.26666666666668</v>
      </c>
      <c r="DV244" s="5">
        <f t="shared" si="684"/>
        <v>13.648771610555048</v>
      </c>
      <c r="DW244" s="5">
        <f t="shared" si="685"/>
        <v>1.4117647058823528</v>
      </c>
      <c r="DX244" s="5">
        <f t="shared" si="686"/>
        <v>12.237006904672695</v>
      </c>
      <c r="DY244" s="173">
        <f t="shared" si="687"/>
        <v>0.10343529411764706</v>
      </c>
      <c r="EA244" s="5">
        <f t="shared" si="713"/>
        <v>26.352941176470591</v>
      </c>
      <c r="EB244" s="5">
        <f t="shared" si="714"/>
        <v>1.2352941176470589</v>
      </c>
      <c r="EC244" s="5">
        <f t="shared" si="715"/>
        <v>1.6795891829942917</v>
      </c>
      <c r="ED244" s="5"/>
      <c r="EE244" s="173">
        <f t="shared" si="716"/>
        <v>1.856836863392932</v>
      </c>
      <c r="EF244" s="173">
        <f t="shared" si="717"/>
        <v>5.4667623138452281</v>
      </c>
      <c r="EG244" s="173">
        <f t="shared" si="718"/>
        <v>0.13463242090567859</v>
      </c>
      <c r="EH244" s="173"/>
      <c r="EI244" s="528">
        <f t="shared" si="719"/>
        <v>6.8956862745098033E-2</v>
      </c>
      <c r="EJ244" s="528">
        <f t="shared" si="720"/>
        <v>1.4755906666666669</v>
      </c>
      <c r="EK244" s="528">
        <f t="shared" si="721"/>
        <v>9.1583333333333343E-3</v>
      </c>
      <c r="EL244" s="528">
        <f t="shared" si="722"/>
        <v>7.4295990066666678E-2</v>
      </c>
      <c r="EM244">
        <f t="shared" si="723"/>
        <v>3.8249999999999999E-2</v>
      </c>
      <c r="EN244" s="460">
        <f t="shared" si="724"/>
        <v>47.408333333333331</v>
      </c>
      <c r="EP244" s="460">
        <f t="shared" si="725"/>
        <v>1666.2518528117648</v>
      </c>
      <c r="EQ244" s="173">
        <f t="shared" si="726"/>
        <v>1.96</v>
      </c>
      <c r="ER244" s="173">
        <f t="shared" si="688"/>
        <v>3.10625E-2</v>
      </c>
      <c r="ES244" s="528"/>
      <c r="EU244" s="460">
        <f t="shared" si="727"/>
        <v>1991.0625</v>
      </c>
      <c r="EV244" s="528">
        <f t="shared" si="728"/>
        <v>0.10343529411764706</v>
      </c>
      <c r="EW244" s="528">
        <f t="shared" si="729"/>
        <v>0.89656470588235293</v>
      </c>
      <c r="EX244" s="528">
        <f t="shared" si="730"/>
        <v>9.0629443794619017E-5</v>
      </c>
      <c r="EY244" s="528">
        <f t="shared" si="731"/>
        <v>0.72650078476004176</v>
      </c>
      <c r="EZ244" s="528"/>
      <c r="FA244" s="625">
        <f t="shared" si="732"/>
        <v>7.3266666666666688E-3</v>
      </c>
      <c r="FB244" s="460">
        <f t="shared" si="733"/>
        <v>1733.918080870503</v>
      </c>
      <c r="FC244" s="173">
        <f t="shared" si="734"/>
        <v>5.3912324336822683</v>
      </c>
      <c r="FD244" s="5">
        <f t="shared" si="735"/>
        <v>42.560000000000009</v>
      </c>
      <c r="FE244" s="173">
        <f t="shared" si="736"/>
        <v>0.88756842817046522</v>
      </c>
      <c r="FF244" s="5">
        <f t="shared" si="737"/>
        <v>88.756842817046518</v>
      </c>
      <c r="FG244">
        <f t="shared" si="738"/>
        <v>28.000000000000004</v>
      </c>
      <c r="FI244" s="562">
        <f t="shared" si="689"/>
        <v>-50</v>
      </c>
    </row>
    <row r="245" spans="5:165">
      <c r="E245" s="170">
        <v>29</v>
      </c>
      <c r="F245" s="217">
        <f t="shared" si="690"/>
        <v>2.9</v>
      </c>
      <c r="G245" s="217">
        <f t="shared" si="617"/>
        <v>7.2499999999999995E-2</v>
      </c>
      <c r="H245" s="217">
        <f t="shared" si="618"/>
        <v>43.5</v>
      </c>
      <c r="I245" s="217">
        <f t="shared" si="619"/>
        <v>0.57999999999999996</v>
      </c>
      <c r="J245" s="541">
        <f t="shared" si="620"/>
        <v>84.727420162931693</v>
      </c>
      <c r="K245" s="443">
        <f t="shared" si="621"/>
        <v>15.846617922801491</v>
      </c>
      <c r="L245" s="172">
        <f t="shared" si="622"/>
        <v>100.57403808573318</v>
      </c>
      <c r="M245" s="443"/>
      <c r="N245" s="217">
        <f t="shared" si="623"/>
        <v>0.15756171497552104</v>
      </c>
      <c r="O245" s="172">
        <f t="shared" si="624"/>
        <v>329.35355985994391</v>
      </c>
      <c r="P245" s="172">
        <f t="shared" si="625"/>
        <v>4.4499325421076863</v>
      </c>
      <c r="Q245" s="217">
        <f t="shared" si="626"/>
        <v>21.956903990662926</v>
      </c>
      <c r="R245" s="217">
        <f t="shared" si="627"/>
        <v>41.169194982492989</v>
      </c>
      <c r="S245" s="217">
        <f t="shared" si="628"/>
        <v>15</v>
      </c>
      <c r="T245" s="217">
        <f t="shared" si="629"/>
        <v>6.6038454265528781</v>
      </c>
      <c r="U245" s="217">
        <f t="shared" si="630"/>
        <v>0.93530695217962967</v>
      </c>
      <c r="V245" s="217">
        <f t="shared" si="631"/>
        <v>5.0008238669406113</v>
      </c>
      <c r="W245" s="197">
        <f t="shared" si="632"/>
        <v>111.24831355269215</v>
      </c>
      <c r="X245" s="443">
        <f t="shared" si="691"/>
        <v>162.9691461081616</v>
      </c>
      <c r="Z245" s="217">
        <f t="shared" si="633"/>
        <v>10</v>
      </c>
      <c r="AA245" s="173">
        <f t="shared" si="634"/>
        <v>7.572593760043496</v>
      </c>
      <c r="AB245" s="173">
        <f t="shared" si="635"/>
        <v>4.1567678537392041</v>
      </c>
      <c r="AC245" s="173"/>
      <c r="AD245" s="173">
        <f t="shared" si="636"/>
        <v>7.572593760043496</v>
      </c>
      <c r="AE245" s="545">
        <f t="shared" si="637"/>
        <v>76.591986626873876</v>
      </c>
      <c r="AF245" s="528">
        <f t="shared" si="638"/>
        <v>4.2121914251223949</v>
      </c>
      <c r="AH245" s="173">
        <f t="shared" si="639"/>
        <v>4.5815364443029578</v>
      </c>
      <c r="AI245" s="173">
        <f t="shared" si="640"/>
        <v>10</v>
      </c>
      <c r="AJ245" s="173">
        <f t="shared" si="641"/>
        <v>1.0437668495010708</v>
      </c>
      <c r="AL245" s="545">
        <f t="shared" si="642"/>
        <v>2900</v>
      </c>
      <c r="AM245" s="460">
        <f t="shared" si="643"/>
        <v>76.591986626873876</v>
      </c>
      <c r="AO245">
        <f t="shared" si="644"/>
        <v>2900</v>
      </c>
      <c r="AP245">
        <f t="shared" si="645"/>
        <v>76.591986626873876</v>
      </c>
      <c r="AR245" s="5">
        <f t="shared" si="616"/>
        <v>13.056196138006028</v>
      </c>
      <c r="AS245" s="5">
        <f t="shared" si="739"/>
        <v>1.4163065483315647</v>
      </c>
      <c r="AT245" s="5">
        <f t="shared" si="740"/>
        <v>11.639889589674464</v>
      </c>
      <c r="AU245" s="173">
        <f t="shared" si="741"/>
        <v>0.1084777322093651</v>
      </c>
      <c r="BA245" s="173">
        <f t="shared" si="692"/>
        <v>1.9015584153474845</v>
      </c>
      <c r="BB245" s="173">
        <f t="shared" si="693"/>
        <v>5.4513676198138121</v>
      </c>
      <c r="BC245" s="173">
        <f t="shared" si="694"/>
        <v>0.13425328883306176</v>
      </c>
      <c r="BD245" s="173"/>
      <c r="BE245" s="528">
        <f t="shared" si="695"/>
        <v>7.2318488139576739E-2</v>
      </c>
      <c r="BF245" s="528">
        <f t="shared" si="646"/>
        <v>1.4443435087637211</v>
      </c>
      <c r="BG245" s="528">
        <f t="shared" si="647"/>
        <v>0.1622360358012197</v>
      </c>
      <c r="BH245" s="528">
        <f t="shared" si="696"/>
        <v>7.7473844831618122E-2</v>
      </c>
      <c r="BI245">
        <f t="shared" si="697"/>
        <v>3.8127339073319264E-2</v>
      </c>
      <c r="BJ245" s="460">
        <f t="shared" si="698"/>
        <v>200.36337487453898</v>
      </c>
      <c r="BK245">
        <f t="shared" si="648"/>
        <v>1.6418739446474999</v>
      </c>
      <c r="BL245" s="460">
        <f t="shared" si="699"/>
        <v>1794.4992166094548</v>
      </c>
      <c r="BM245" s="173">
        <f t="shared" si="649"/>
        <v>1.8016249999999998</v>
      </c>
      <c r="BN245" s="173">
        <f t="shared" si="650"/>
        <v>3.2171874999999996E-2</v>
      </c>
      <c r="BQ245" s="460">
        <f t="shared" si="700"/>
        <v>1833.7968749999998</v>
      </c>
      <c r="BR245" s="528">
        <f t="shared" si="701"/>
        <v>0.10847773220936509</v>
      </c>
      <c r="BS245" s="528">
        <f t="shared" si="702"/>
        <v>0.89152226779063526</v>
      </c>
      <c r="BT245" s="528">
        <f t="shared" si="703"/>
        <v>9.0119727812467529E-5</v>
      </c>
      <c r="BU245" s="528">
        <f t="shared" si="704"/>
        <v>0.81176129483793558</v>
      </c>
      <c r="BV245" s="528"/>
      <c r="BW245" s="625">
        <f t="shared" si="705"/>
        <v>7.6591986626873875E-3</v>
      </c>
      <c r="BX245" s="460">
        <f t="shared" si="706"/>
        <v>1819.5106132284359</v>
      </c>
      <c r="BY245" s="173">
        <f t="shared" si="707"/>
        <v>5.4478067048378902</v>
      </c>
      <c r="BZ245" s="5">
        <f t="shared" si="708"/>
        <v>44.08</v>
      </c>
      <c r="CA245" s="173">
        <f t="shared" si="709"/>
        <v>0.89000508871098982</v>
      </c>
      <c r="CB245" s="5">
        <f t="shared" si="710"/>
        <v>89.000508871098987</v>
      </c>
      <c r="CC245">
        <f t="shared" si="711"/>
        <v>28.999999999999996</v>
      </c>
      <c r="CE245" s="562">
        <f t="shared" si="651"/>
        <v>-50</v>
      </c>
      <c r="CG245" s="173">
        <f t="shared" si="652"/>
        <v>0.59337902445794866</v>
      </c>
      <c r="CH245" s="173">
        <f t="shared" si="653"/>
        <v>6.955399886391711E-2</v>
      </c>
      <c r="CI245" s="170">
        <v>29</v>
      </c>
      <c r="CJ245" s="217">
        <f t="shared" si="712"/>
        <v>2.9</v>
      </c>
      <c r="CK245" s="217">
        <f t="shared" si="654"/>
        <v>7.2499999999999995E-2</v>
      </c>
      <c r="CL245" s="217">
        <f t="shared" si="655"/>
        <v>43.5</v>
      </c>
      <c r="CM245" s="217">
        <f t="shared" si="656"/>
        <v>0.57999999999999996</v>
      </c>
      <c r="CN245" s="541">
        <f t="shared" si="657"/>
        <v>85</v>
      </c>
      <c r="CO245" s="443">
        <f t="shared" si="658"/>
        <v>15.7</v>
      </c>
      <c r="CP245" s="443">
        <f t="shared" si="659"/>
        <v>100.7</v>
      </c>
      <c r="CQ245" s="443"/>
      <c r="CR245" s="217">
        <f t="shared" si="660"/>
        <v>0.15338645418326693</v>
      </c>
      <c r="CS245" s="172">
        <f t="shared" si="661"/>
        <v>321.65744915076539</v>
      </c>
      <c r="CT245" s="172">
        <f t="shared" si="662"/>
        <v>4.3459495351925632</v>
      </c>
      <c r="CU245" s="217">
        <f t="shared" si="663"/>
        <v>21.443829943384358</v>
      </c>
      <c r="CV245" s="217">
        <f t="shared" si="664"/>
        <v>40.207181143845673</v>
      </c>
      <c r="CW245" s="217">
        <f t="shared" si="665"/>
        <v>15</v>
      </c>
      <c r="CX245" s="217">
        <f t="shared" si="666"/>
        <v>6.7618517952635591</v>
      </c>
      <c r="CY245" s="217">
        <f t="shared" si="667"/>
        <v>0.95461437109603176</v>
      </c>
      <c r="CZ245" s="217">
        <f t="shared" si="668"/>
        <v>5.1682943658065419</v>
      </c>
      <c r="DA245" s="197">
        <f t="shared" si="669"/>
        <v>110.43528632903013</v>
      </c>
      <c r="DB245" s="443">
        <f t="shared" si="670"/>
        <v>163.32106895094356</v>
      </c>
      <c r="DD245" s="217">
        <f t="shared" si="671"/>
        <v>9.9999999999999982</v>
      </c>
      <c r="DE245" s="173">
        <f t="shared" si="672"/>
        <v>7.6433121019108263</v>
      </c>
      <c r="DF245" s="173">
        <f t="shared" si="673"/>
        <v>4.1649244760361679</v>
      </c>
      <c r="DG245" s="173"/>
      <c r="DH245" s="173">
        <f t="shared" si="674"/>
        <v>7.6433121019108281</v>
      </c>
      <c r="DI245" s="545">
        <f t="shared" si="675"/>
        <v>75.88333333333334</v>
      </c>
      <c r="DJ245" s="528">
        <f t="shared" si="676"/>
        <v>4.2204568023833167</v>
      </c>
      <c r="DL245" s="173">
        <f t="shared" si="677"/>
        <v>4.5815364443029578</v>
      </c>
      <c r="DM245" s="173">
        <f t="shared" si="678"/>
        <v>10</v>
      </c>
      <c r="DN245" s="173">
        <f t="shared" si="679"/>
        <v>1.0433619047619047</v>
      </c>
      <c r="DP245" s="545">
        <f t="shared" si="680"/>
        <v>2900</v>
      </c>
      <c r="DQ245" s="460">
        <f t="shared" si="681"/>
        <v>75.88333333333334</v>
      </c>
      <c r="DS245">
        <f t="shared" si="682"/>
        <v>2900</v>
      </c>
      <c r="DT245">
        <f t="shared" si="683"/>
        <v>75.88333333333334</v>
      </c>
      <c r="DV245" s="5">
        <f t="shared" si="684"/>
        <v>13.178124313639357</v>
      </c>
      <c r="DW245" s="5">
        <f t="shared" si="685"/>
        <v>1.4117647058823528</v>
      </c>
      <c r="DX245" s="5">
        <f t="shared" si="686"/>
        <v>11.766359607757003</v>
      </c>
      <c r="DY245" s="173">
        <f t="shared" si="687"/>
        <v>0.10712941176470589</v>
      </c>
      <c r="EA245" s="5">
        <f t="shared" si="713"/>
        <v>27.294117647058822</v>
      </c>
      <c r="EB245" s="5">
        <f t="shared" si="714"/>
        <v>1.2794117647058822</v>
      </c>
      <c r="EC245" s="5">
        <f t="shared" si="715"/>
        <v>1.6726687677693777</v>
      </c>
      <c r="ED245" s="5"/>
      <c r="EE245" s="173">
        <f t="shared" si="716"/>
        <v>1.8897037842362656</v>
      </c>
      <c r="EF245" s="173">
        <f t="shared" si="717"/>
        <v>5.4554883320539203</v>
      </c>
      <c r="EG245" s="173">
        <f t="shared" si="718"/>
        <v>0.13435477147175931</v>
      </c>
      <c r="EH245" s="173"/>
      <c r="EI245" s="528">
        <f t="shared" si="719"/>
        <v>7.1419607843137251E-2</v>
      </c>
      <c r="EJ245" s="528">
        <f t="shared" si="720"/>
        <v>1.5282903333333335</v>
      </c>
      <c r="EK245" s="528">
        <f t="shared" si="721"/>
        <v>9.485416666666668E-3</v>
      </c>
      <c r="EL245" s="528">
        <f t="shared" si="722"/>
        <v>7.6949418283333348E-2</v>
      </c>
      <c r="EM245">
        <f t="shared" si="723"/>
        <v>3.8249999999999999E-2</v>
      </c>
      <c r="EN245" s="460">
        <f t="shared" si="724"/>
        <v>47.735416666666666</v>
      </c>
      <c r="EP245" s="460">
        <f t="shared" si="725"/>
        <v>1724.3947761264706</v>
      </c>
      <c r="EQ245" s="173">
        <f t="shared" si="726"/>
        <v>2.0299999999999998</v>
      </c>
      <c r="ER245" s="173">
        <f t="shared" si="688"/>
        <v>3.2171874999999996E-2</v>
      </c>
      <c r="ES245" s="528"/>
      <c r="EU245" s="460">
        <f t="shared" si="727"/>
        <v>2062.1718749999995</v>
      </c>
      <c r="EV245" s="528">
        <f t="shared" si="728"/>
        <v>0.10712941176470588</v>
      </c>
      <c r="EW245" s="528">
        <f t="shared" si="729"/>
        <v>0.89287058823529397</v>
      </c>
      <c r="EX245" s="528">
        <f t="shared" si="730"/>
        <v>9.0256023086143346E-5</v>
      </c>
      <c r="EY245" s="528">
        <f t="shared" si="731"/>
        <v>0.79311470868459866</v>
      </c>
      <c r="EZ245" s="528"/>
      <c r="FA245" s="625">
        <f t="shared" si="732"/>
        <v>7.5883333333333349E-3</v>
      </c>
      <c r="FB245" s="460">
        <f t="shared" si="733"/>
        <v>1800.793298041018</v>
      </c>
      <c r="FC245" s="173">
        <f t="shared" si="734"/>
        <v>5.5873599491674879</v>
      </c>
      <c r="FD245" s="5">
        <f t="shared" si="735"/>
        <v>44.08</v>
      </c>
      <c r="FE245" s="173">
        <f t="shared" si="736"/>
        <v>0.88750439010879745</v>
      </c>
      <c r="FF245" s="5">
        <f t="shared" si="737"/>
        <v>88.750439010879745</v>
      </c>
      <c r="FG245">
        <f t="shared" si="738"/>
        <v>28.999999999999996</v>
      </c>
      <c r="FI245" s="562">
        <f t="shared" si="689"/>
        <v>-50</v>
      </c>
    </row>
    <row r="246" spans="5:165">
      <c r="E246" s="170">
        <v>30</v>
      </c>
      <c r="F246" s="217">
        <f t="shared" si="690"/>
        <v>3</v>
      </c>
      <c r="G246" s="217">
        <f t="shared" si="617"/>
        <v>7.4999999999999997E-2</v>
      </c>
      <c r="H246" s="217">
        <f t="shared" si="618"/>
        <v>45</v>
      </c>
      <c r="I246" s="217">
        <f t="shared" si="619"/>
        <v>0.6</v>
      </c>
      <c r="J246" s="541">
        <f t="shared" si="620"/>
        <v>84.727420162931693</v>
      </c>
      <c r="K246" s="443">
        <f t="shared" si="621"/>
        <v>15.846617922801491</v>
      </c>
      <c r="L246" s="172">
        <f t="shared" si="622"/>
        <v>100.57403808573318</v>
      </c>
      <c r="M246" s="443"/>
      <c r="N246" s="217">
        <f t="shared" si="623"/>
        <v>0.15756171497552104</v>
      </c>
      <c r="O246" s="172">
        <f t="shared" si="624"/>
        <v>329.35355985994391</v>
      </c>
      <c r="P246" s="172">
        <f t="shared" si="625"/>
        <v>4.4499325421076863</v>
      </c>
      <c r="Q246" s="217">
        <f t="shared" si="626"/>
        <v>21.956903990662926</v>
      </c>
      <c r="R246" s="217">
        <f t="shared" si="627"/>
        <v>41.169194982492989</v>
      </c>
      <c r="S246" s="217">
        <f t="shared" si="628"/>
        <v>15</v>
      </c>
      <c r="T246" s="217">
        <f t="shared" si="629"/>
        <v>6.8315642343650467</v>
      </c>
      <c r="U246" s="217">
        <f t="shared" si="630"/>
        <v>0.96755891604789279</v>
      </c>
      <c r="V246" s="217">
        <f t="shared" si="631"/>
        <v>5.1732660692489079</v>
      </c>
      <c r="W246" s="197">
        <f t="shared" si="632"/>
        <v>111.24831355269215</v>
      </c>
      <c r="X246" s="443">
        <f t="shared" si="691"/>
        <v>157.70818502620952</v>
      </c>
      <c r="Z246" s="217">
        <f t="shared" si="633"/>
        <v>10</v>
      </c>
      <c r="AA246" s="173">
        <f t="shared" si="634"/>
        <v>7.572593760043496</v>
      </c>
      <c r="AB246" s="173">
        <f t="shared" si="635"/>
        <v>4.1567678537392041</v>
      </c>
      <c r="AC246" s="173"/>
      <c r="AD246" s="173">
        <f t="shared" si="636"/>
        <v>7.572593760043496</v>
      </c>
      <c r="AE246" s="545">
        <f t="shared" si="637"/>
        <v>79.233089614007454</v>
      </c>
      <c r="AF246" s="528">
        <f t="shared" si="638"/>
        <v>4.2121914251223949</v>
      </c>
      <c r="AH246" s="173">
        <f t="shared" si="639"/>
        <v>4.6598589800857404</v>
      </c>
      <c r="AI246" s="173">
        <f t="shared" si="640"/>
        <v>10</v>
      </c>
      <c r="AJ246" s="173">
        <f t="shared" si="641"/>
        <v>1.0452760512080044</v>
      </c>
      <c r="AL246" s="545">
        <f t="shared" si="642"/>
        <v>3000</v>
      </c>
      <c r="AM246" s="460">
        <f t="shared" si="643"/>
        <v>79.233089614007454</v>
      </c>
      <c r="AO246">
        <f t="shared" si="644"/>
        <v>3000</v>
      </c>
      <c r="AP246">
        <f t="shared" si="645"/>
        <v>79.233089614007454</v>
      </c>
      <c r="AR246" s="5">
        <f t="shared" si="616"/>
        <v>12.620989600072495</v>
      </c>
      <c r="AS246" s="5">
        <f t="shared" si="739"/>
        <v>1.4163065483315647</v>
      </c>
      <c r="AT246" s="5">
        <f t="shared" si="740"/>
        <v>11.204683051740929</v>
      </c>
      <c r="AU246" s="173">
        <f t="shared" si="741"/>
        <v>0.11221834366486043</v>
      </c>
      <c r="BA246" s="173">
        <f t="shared" si="692"/>
        <v>1.9340660421752269</v>
      </c>
      <c r="BB246" s="173">
        <f t="shared" si="693"/>
        <v>5.4399192896437345</v>
      </c>
      <c r="BC246" s="173">
        <f t="shared" si="694"/>
        <v>0.13397134564299082</v>
      </c>
      <c r="BD246" s="173"/>
      <c r="BE246" s="528">
        <f t="shared" si="695"/>
        <v>7.4812229109906939E-2</v>
      </c>
      <c r="BF246" s="528">
        <f t="shared" si="646"/>
        <v>1.4941484573417803</v>
      </c>
      <c r="BG246" s="528">
        <f t="shared" si="647"/>
        <v>0.16783038186333071</v>
      </c>
      <c r="BH246" s="528">
        <f t="shared" si="696"/>
        <v>8.0145356722363559E-2</v>
      </c>
      <c r="BI246">
        <f t="shared" si="697"/>
        <v>3.8127339073319264E-2</v>
      </c>
      <c r="BJ246" s="460">
        <f t="shared" si="698"/>
        <v>205.95772093664999</v>
      </c>
      <c r="BK246">
        <f t="shared" si="648"/>
        <v>1.6995148773740418</v>
      </c>
      <c r="BL246" s="460">
        <f t="shared" si="699"/>
        <v>1855.0637641107007</v>
      </c>
      <c r="BM246" s="173">
        <f t="shared" si="649"/>
        <v>1.8637499999999996</v>
      </c>
      <c r="BN246" s="173">
        <f t="shared" si="650"/>
        <v>3.3281249999999998E-2</v>
      </c>
      <c r="BQ246" s="460">
        <f t="shared" si="700"/>
        <v>1897.0312499999995</v>
      </c>
      <c r="BR246" s="528">
        <f t="shared" si="701"/>
        <v>0.1122183436648604</v>
      </c>
      <c r="BS246" s="528">
        <f t="shared" si="702"/>
        <v>0.88778165633513972</v>
      </c>
      <c r="BT246" s="528">
        <f t="shared" si="703"/>
        <v>8.974160726696857E-5</v>
      </c>
      <c r="BU246" s="528">
        <f t="shared" si="704"/>
        <v>0.88356088629028384</v>
      </c>
      <c r="BV246" s="528"/>
      <c r="BW246" s="625">
        <f t="shared" si="705"/>
        <v>7.9233089614007459E-3</v>
      </c>
      <c r="BX246" s="460">
        <f t="shared" si="706"/>
        <v>1891.5739368589518</v>
      </c>
      <c r="BY246" s="173">
        <f t="shared" si="707"/>
        <v>5.6436689509696514</v>
      </c>
      <c r="BZ246" s="5">
        <f t="shared" si="708"/>
        <v>45.6</v>
      </c>
      <c r="CA246" s="173">
        <f t="shared" si="709"/>
        <v>0.88986602508166313</v>
      </c>
      <c r="CB246" s="5">
        <f t="shared" si="710"/>
        <v>88.986602508166314</v>
      </c>
      <c r="CC246">
        <f t="shared" si="711"/>
        <v>30</v>
      </c>
      <c r="CE246" s="562">
        <f t="shared" si="651"/>
        <v>-50</v>
      </c>
      <c r="CG246" s="173">
        <f t="shared" si="652"/>
        <v>0.61384037012891235</v>
      </c>
      <c r="CH246" s="173">
        <f t="shared" si="653"/>
        <v>7.1952412617845296E-2</v>
      </c>
      <c r="CI246" s="170">
        <v>30</v>
      </c>
      <c r="CJ246" s="217">
        <f t="shared" si="712"/>
        <v>3</v>
      </c>
      <c r="CK246" s="217">
        <f t="shared" si="654"/>
        <v>7.4999999999999997E-2</v>
      </c>
      <c r="CL246" s="217">
        <f t="shared" si="655"/>
        <v>45</v>
      </c>
      <c r="CM246" s="217">
        <f t="shared" si="656"/>
        <v>0.6</v>
      </c>
      <c r="CN246" s="541">
        <f t="shared" si="657"/>
        <v>85</v>
      </c>
      <c r="CO246" s="443">
        <f t="shared" si="658"/>
        <v>15.7</v>
      </c>
      <c r="CP246" s="443">
        <f t="shared" si="659"/>
        <v>100.7</v>
      </c>
      <c r="CQ246" s="443"/>
      <c r="CR246" s="217">
        <f t="shared" si="660"/>
        <v>0.15338645418326693</v>
      </c>
      <c r="CS246" s="172">
        <f t="shared" si="661"/>
        <v>321.65744915076539</v>
      </c>
      <c r="CT246" s="172">
        <f t="shared" si="662"/>
        <v>4.3459495351925632</v>
      </c>
      <c r="CU246" s="217">
        <f t="shared" si="663"/>
        <v>21.443829943384358</v>
      </c>
      <c r="CV246" s="217">
        <f t="shared" si="664"/>
        <v>40.207181143845673</v>
      </c>
      <c r="CW246" s="217">
        <f t="shared" si="665"/>
        <v>15</v>
      </c>
      <c r="CX246" s="217">
        <f t="shared" si="666"/>
        <v>6.9950190985485099</v>
      </c>
      <c r="CY246" s="217">
        <f t="shared" si="667"/>
        <v>0.98753210803037783</v>
      </c>
      <c r="CZ246" s="217">
        <f t="shared" si="668"/>
        <v>5.34651141290332</v>
      </c>
      <c r="DA246" s="197">
        <f t="shared" si="669"/>
        <v>110.43528632903013</v>
      </c>
      <c r="DB246" s="443">
        <f t="shared" si="670"/>
        <v>157.87703331924544</v>
      </c>
      <c r="DD246" s="217">
        <f t="shared" si="671"/>
        <v>9.9999999999999982</v>
      </c>
      <c r="DE246" s="173">
        <f t="shared" si="672"/>
        <v>7.6433121019108263</v>
      </c>
      <c r="DF246" s="173">
        <f t="shared" si="673"/>
        <v>4.1649244760361679</v>
      </c>
      <c r="DG246" s="173"/>
      <c r="DH246" s="173">
        <f t="shared" si="674"/>
        <v>7.6433121019108281</v>
      </c>
      <c r="DI246" s="545">
        <f t="shared" si="675"/>
        <v>78.500000000000014</v>
      </c>
      <c r="DJ246" s="528">
        <f t="shared" si="676"/>
        <v>4.2204568023833167</v>
      </c>
      <c r="DL246" s="173">
        <f t="shared" si="677"/>
        <v>4.6598589800857404</v>
      </c>
      <c r="DM246" s="173">
        <f t="shared" si="678"/>
        <v>10</v>
      </c>
      <c r="DN246" s="173">
        <f t="shared" si="679"/>
        <v>1.0448571428571429</v>
      </c>
      <c r="DP246" s="545">
        <f t="shared" si="680"/>
        <v>3000</v>
      </c>
      <c r="DQ246" s="460">
        <f t="shared" si="681"/>
        <v>78.500000000000014</v>
      </c>
      <c r="DS246">
        <f t="shared" si="682"/>
        <v>3000</v>
      </c>
      <c r="DT246">
        <f t="shared" si="683"/>
        <v>78.500000000000014</v>
      </c>
      <c r="DV246" s="5">
        <f t="shared" si="684"/>
        <v>12.738853503184711</v>
      </c>
      <c r="DW246" s="5">
        <f t="shared" si="685"/>
        <v>1.4117647058823528</v>
      </c>
      <c r="DX246" s="5">
        <f t="shared" si="686"/>
        <v>11.327088797302357</v>
      </c>
      <c r="DY246" s="173">
        <f t="shared" si="687"/>
        <v>0.11082352941176472</v>
      </c>
      <c r="EA246" s="5">
        <f t="shared" si="713"/>
        <v>28.235294117647054</v>
      </c>
      <c r="EB246" s="5">
        <f t="shared" si="714"/>
        <v>1.3235294117647056</v>
      </c>
      <c r="EC246" s="5">
        <f t="shared" si="715"/>
        <v>1.6657483525444641</v>
      </c>
      <c r="ED246" s="5"/>
      <c r="EE246" s="173">
        <f t="shared" si="716"/>
        <v>1.9220087531171195</v>
      </c>
      <c r="EF246" s="173">
        <f t="shared" si="717"/>
        <v>5.4441910038383581</v>
      </c>
      <c r="EG246" s="173">
        <f t="shared" si="718"/>
        <v>0.13407654707492114</v>
      </c>
      <c r="EH246" s="173"/>
      <c r="EI246" s="528">
        <f t="shared" si="719"/>
        <v>7.3882352941176496E-2</v>
      </c>
      <c r="EJ246" s="528">
        <f t="shared" si="720"/>
        <v>1.5809900000000003</v>
      </c>
      <c r="EK246" s="528">
        <f t="shared" si="721"/>
        <v>9.8125000000000018E-3</v>
      </c>
      <c r="EL246" s="528">
        <f t="shared" si="722"/>
        <v>7.9602846500000018E-2</v>
      </c>
      <c r="EM246">
        <f t="shared" si="723"/>
        <v>3.8249999999999999E-2</v>
      </c>
      <c r="EN246" s="460">
        <f t="shared" si="724"/>
        <v>48.0625</v>
      </c>
      <c r="EP246" s="460">
        <f t="shared" si="725"/>
        <v>1782.5376994411768</v>
      </c>
      <c r="EQ246" s="173">
        <f t="shared" si="726"/>
        <v>2.0999999999999996</v>
      </c>
      <c r="ER246" s="173">
        <f t="shared" si="688"/>
        <v>3.3281249999999998E-2</v>
      </c>
      <c r="ES246" s="528"/>
      <c r="EU246" s="460">
        <f t="shared" si="727"/>
        <v>2133.2812499999995</v>
      </c>
      <c r="EV246" s="528">
        <f t="shared" si="728"/>
        <v>0.11082352941176474</v>
      </c>
      <c r="EW246" s="528">
        <f t="shared" si="729"/>
        <v>0.88917647058823523</v>
      </c>
      <c r="EX246" s="528">
        <f t="shared" si="730"/>
        <v>8.988260237766773E-5</v>
      </c>
      <c r="EY246" s="528">
        <f t="shared" si="731"/>
        <v>0.86326502555794893</v>
      </c>
      <c r="EZ246" s="528"/>
      <c r="FA246" s="625">
        <f t="shared" si="732"/>
        <v>7.8500000000000028E-3</v>
      </c>
      <c r="FB246" s="460">
        <f t="shared" si="733"/>
        <v>1871.2049081603266</v>
      </c>
      <c r="FC246" s="173">
        <f t="shared" si="734"/>
        <v>5.7870238576015032</v>
      </c>
      <c r="FD246" s="5">
        <f t="shared" si="735"/>
        <v>45.6</v>
      </c>
      <c r="FE246" s="173">
        <f t="shared" si="736"/>
        <v>0.88738355671972913</v>
      </c>
      <c r="FF246" s="5">
        <f t="shared" si="737"/>
        <v>88.738355671972911</v>
      </c>
      <c r="FG246">
        <f t="shared" si="738"/>
        <v>30</v>
      </c>
      <c r="FI246" s="562">
        <f t="shared" si="689"/>
        <v>-50</v>
      </c>
    </row>
    <row r="247" spans="5:165">
      <c r="E247" s="170">
        <v>31</v>
      </c>
      <c r="F247" s="217">
        <f t="shared" si="690"/>
        <v>3.1</v>
      </c>
      <c r="G247" s="217">
        <f t="shared" si="617"/>
        <v>7.7499999999999999E-2</v>
      </c>
      <c r="H247" s="217">
        <f t="shared" si="618"/>
        <v>46.5</v>
      </c>
      <c r="I247" s="217">
        <f t="shared" si="619"/>
        <v>0.62</v>
      </c>
      <c r="J247" s="541">
        <f t="shared" si="620"/>
        <v>84.727420162931693</v>
      </c>
      <c r="K247" s="443">
        <f t="shared" si="621"/>
        <v>15.846617922801491</v>
      </c>
      <c r="L247" s="172">
        <f t="shared" si="622"/>
        <v>100.57403808573318</v>
      </c>
      <c r="M247" s="443"/>
      <c r="N247" s="217">
        <f t="shared" si="623"/>
        <v>0.15756171497552104</v>
      </c>
      <c r="O247" s="172">
        <f t="shared" si="624"/>
        <v>329.35355985994391</v>
      </c>
      <c r="P247" s="172">
        <f t="shared" si="625"/>
        <v>4.4499325421076863</v>
      </c>
      <c r="Q247" s="217">
        <f t="shared" si="626"/>
        <v>21.956903990662926</v>
      </c>
      <c r="R247" s="217">
        <f t="shared" si="627"/>
        <v>41.169194982492989</v>
      </c>
      <c r="S247" s="217">
        <f t="shared" si="628"/>
        <v>15</v>
      </c>
      <c r="T247" s="217">
        <f t="shared" si="629"/>
        <v>7.0592830421772144</v>
      </c>
      <c r="U247" s="217">
        <f t="shared" si="630"/>
        <v>0.9998108799161558</v>
      </c>
      <c r="V247" s="217">
        <f t="shared" si="631"/>
        <v>5.3457082715572053</v>
      </c>
      <c r="W247" s="197">
        <f t="shared" si="632"/>
        <v>111.24831355269215</v>
      </c>
      <c r="X247" s="443">
        <f t="shared" si="691"/>
        <v>152.77626982038626</v>
      </c>
      <c r="Z247" s="217">
        <f t="shared" si="633"/>
        <v>10</v>
      </c>
      <c r="AA247" s="173">
        <f t="shared" si="634"/>
        <v>7.572593760043496</v>
      </c>
      <c r="AB247" s="173">
        <f t="shared" si="635"/>
        <v>4.1567678537392041</v>
      </c>
      <c r="AC247" s="173"/>
      <c r="AD247" s="173">
        <f t="shared" si="636"/>
        <v>7.572593760043496</v>
      </c>
      <c r="AE247" s="545">
        <f t="shared" si="637"/>
        <v>81.874192601141033</v>
      </c>
      <c r="AF247" s="528">
        <f t="shared" si="638"/>
        <v>4.2121914251223949</v>
      </c>
      <c r="AH247" s="173">
        <f t="shared" si="639"/>
        <v>4.7368866608876381</v>
      </c>
      <c r="AI247" s="173">
        <f t="shared" si="640"/>
        <v>10</v>
      </c>
      <c r="AJ247" s="173">
        <f t="shared" si="641"/>
        <v>1.0467852529149377</v>
      </c>
      <c r="AL247" s="545">
        <f t="shared" si="642"/>
        <v>3100</v>
      </c>
      <c r="AM247" s="460">
        <f t="shared" si="643"/>
        <v>81.874192601141033</v>
      </c>
      <c r="AO247">
        <f t="shared" si="644"/>
        <v>3100</v>
      </c>
      <c r="AP247">
        <f t="shared" si="645"/>
        <v>81.874192601141033</v>
      </c>
      <c r="AR247" s="5">
        <f t="shared" si="616"/>
        <v>12.213860903295963</v>
      </c>
      <c r="AS247" s="5">
        <f t="shared" si="739"/>
        <v>1.4163065483315647</v>
      </c>
      <c r="AT247" s="5">
        <f t="shared" si="740"/>
        <v>10.797554354964397</v>
      </c>
      <c r="AU247" s="173">
        <f t="shared" si="741"/>
        <v>0.11595895512035578</v>
      </c>
      <c r="BA247" s="173">
        <f t="shared" si="692"/>
        <v>1.9660362417849422</v>
      </c>
      <c r="BB247" s="173">
        <f t="shared" si="693"/>
        <v>5.4284468155561285</v>
      </c>
      <c r="BC247" s="173">
        <f t="shared" si="694"/>
        <v>0.13368880784977447</v>
      </c>
      <c r="BD247" s="173"/>
      <c r="BE247" s="528">
        <f t="shared" si="695"/>
        <v>7.7305970080237194E-2</v>
      </c>
      <c r="BF247" s="528">
        <f t="shared" si="646"/>
        <v>1.5439534059198396</v>
      </c>
      <c r="BG247" s="528">
        <f t="shared" si="647"/>
        <v>0.17342472792544175</v>
      </c>
      <c r="BH247" s="528">
        <f t="shared" si="696"/>
        <v>8.281686861310901E-2</v>
      </c>
      <c r="BI247">
        <f t="shared" si="697"/>
        <v>3.8127339073319264E-2</v>
      </c>
      <c r="BJ247" s="460">
        <f t="shared" si="698"/>
        <v>211.55206699876101</v>
      </c>
      <c r="BK247">
        <f t="shared" si="648"/>
        <v>1.7572253942014628</v>
      </c>
      <c r="BL247" s="460">
        <f t="shared" si="699"/>
        <v>1915.6283116119469</v>
      </c>
      <c r="BM247" s="173">
        <f t="shared" si="649"/>
        <v>1.9258749999999998</v>
      </c>
      <c r="BN247" s="173">
        <f t="shared" si="650"/>
        <v>3.4390625000000001E-2</v>
      </c>
      <c r="BQ247" s="460">
        <f t="shared" si="700"/>
        <v>1960.2656249999998</v>
      </c>
      <c r="BR247" s="528">
        <f t="shared" si="701"/>
        <v>0.11595895512035578</v>
      </c>
      <c r="BS247" s="528">
        <f t="shared" si="702"/>
        <v>0.88404104487964408</v>
      </c>
      <c r="BT247" s="528">
        <f t="shared" si="703"/>
        <v>8.9363486721469597E-5</v>
      </c>
      <c r="BU247" s="528">
        <f t="shared" si="704"/>
        <v>0.95904189620367564</v>
      </c>
      <c r="BV247" s="528"/>
      <c r="BW247" s="625">
        <f t="shared" si="705"/>
        <v>8.1874192601141035E-3</v>
      </c>
      <c r="BX247" s="460">
        <f t="shared" si="706"/>
        <v>1967.318678950511</v>
      </c>
      <c r="BY247" s="173">
        <f t="shared" si="707"/>
        <v>5.8432126155624573</v>
      </c>
      <c r="BZ247" s="5">
        <f t="shared" si="708"/>
        <v>47.12</v>
      </c>
      <c r="CA247" s="173">
        <f t="shared" si="709"/>
        <v>0.88967412800322621</v>
      </c>
      <c r="CB247" s="5">
        <f t="shared" si="710"/>
        <v>88.96741280032262</v>
      </c>
      <c r="CC247">
        <f t="shared" si="711"/>
        <v>31</v>
      </c>
      <c r="CE247" s="562">
        <f t="shared" si="651"/>
        <v>-50</v>
      </c>
      <c r="CG247" s="173">
        <f t="shared" si="652"/>
        <v>0.63430171579987593</v>
      </c>
      <c r="CH247" s="173">
        <f t="shared" si="653"/>
        <v>7.4350826371773468E-2</v>
      </c>
      <c r="CI247" s="170">
        <v>31</v>
      </c>
      <c r="CJ247" s="217">
        <f t="shared" si="712"/>
        <v>3.1</v>
      </c>
      <c r="CK247" s="217">
        <f t="shared" si="654"/>
        <v>7.7499999999999999E-2</v>
      </c>
      <c r="CL247" s="217">
        <f t="shared" si="655"/>
        <v>46.5</v>
      </c>
      <c r="CM247" s="217">
        <f t="shared" si="656"/>
        <v>0.62</v>
      </c>
      <c r="CN247" s="541">
        <f t="shared" si="657"/>
        <v>85</v>
      </c>
      <c r="CO247" s="443">
        <f t="shared" si="658"/>
        <v>15.7</v>
      </c>
      <c r="CP247" s="443">
        <f t="shared" si="659"/>
        <v>100.7</v>
      </c>
      <c r="CQ247" s="443"/>
      <c r="CR247" s="217">
        <f t="shared" si="660"/>
        <v>0.15338645418326693</v>
      </c>
      <c r="CS247" s="172">
        <f t="shared" si="661"/>
        <v>321.65744915076539</v>
      </c>
      <c r="CT247" s="172">
        <f t="shared" si="662"/>
        <v>4.3459495351925632</v>
      </c>
      <c r="CU247" s="217">
        <f t="shared" si="663"/>
        <v>21.443829943384358</v>
      </c>
      <c r="CV247" s="217">
        <f t="shared" si="664"/>
        <v>40.207181143845673</v>
      </c>
      <c r="CW247" s="217">
        <f t="shared" si="665"/>
        <v>15</v>
      </c>
      <c r="CX247" s="217">
        <f t="shared" si="666"/>
        <v>7.2281864018334598</v>
      </c>
      <c r="CY247" s="217">
        <f t="shared" si="667"/>
        <v>1.0204498449647239</v>
      </c>
      <c r="CZ247" s="217">
        <f t="shared" si="668"/>
        <v>5.5247284600000972</v>
      </c>
      <c r="DA247" s="197">
        <f t="shared" si="669"/>
        <v>110.43528632903013</v>
      </c>
      <c r="DB247" s="443">
        <f t="shared" si="670"/>
        <v>152.78422579281815</v>
      </c>
      <c r="DD247" s="217">
        <f t="shared" si="671"/>
        <v>9.9999999999999982</v>
      </c>
      <c r="DE247" s="173">
        <f t="shared" si="672"/>
        <v>7.6433121019108263</v>
      </c>
      <c r="DF247" s="173">
        <f t="shared" si="673"/>
        <v>4.1649244760361679</v>
      </c>
      <c r="DG247" s="173"/>
      <c r="DH247" s="173">
        <f t="shared" si="674"/>
        <v>7.6433121019108281</v>
      </c>
      <c r="DI247" s="545">
        <f t="shared" si="675"/>
        <v>81.116666666666674</v>
      </c>
      <c r="DJ247" s="528">
        <f t="shared" si="676"/>
        <v>4.2204568023833167</v>
      </c>
      <c r="DL247" s="173">
        <f t="shared" si="677"/>
        <v>4.7368866608876381</v>
      </c>
      <c r="DM247" s="173">
        <f t="shared" si="678"/>
        <v>10</v>
      </c>
      <c r="DN247" s="173">
        <f t="shared" si="679"/>
        <v>1.0463523809523809</v>
      </c>
      <c r="DP247" s="545">
        <f t="shared" si="680"/>
        <v>3100</v>
      </c>
      <c r="DQ247" s="460">
        <f t="shared" si="681"/>
        <v>81.116666666666674</v>
      </c>
      <c r="DS247">
        <f t="shared" si="682"/>
        <v>3100</v>
      </c>
      <c r="DT247">
        <f t="shared" si="683"/>
        <v>81.116666666666674</v>
      </c>
      <c r="DV247" s="5">
        <f t="shared" si="684"/>
        <v>12.327922745017464</v>
      </c>
      <c r="DW247" s="5">
        <f t="shared" si="685"/>
        <v>1.4117647058823528</v>
      </c>
      <c r="DX247" s="5">
        <f t="shared" si="686"/>
        <v>10.916158039135111</v>
      </c>
      <c r="DY247" s="173">
        <f t="shared" si="687"/>
        <v>0.11451764705882353</v>
      </c>
      <c r="EA247" s="5">
        <f t="shared" si="713"/>
        <v>29.17647058823529</v>
      </c>
      <c r="EB247" s="5">
        <f t="shared" si="714"/>
        <v>1.3676470588235294</v>
      </c>
      <c r="EC247" s="5">
        <f t="shared" si="715"/>
        <v>1.6588279373195514</v>
      </c>
      <c r="ED247" s="5"/>
      <c r="EE247" s="173">
        <f t="shared" si="716"/>
        <v>1.9537796451905174</v>
      </c>
      <c r="EF247" s="173">
        <f t="shared" si="717"/>
        <v>5.4328701835560693</v>
      </c>
      <c r="EG247" s="173">
        <f t="shared" si="718"/>
        <v>0.13379774412836126</v>
      </c>
      <c r="EH247" s="173"/>
      <c r="EI247" s="528">
        <f t="shared" si="719"/>
        <v>7.6345098039215686E-2</v>
      </c>
      <c r="EJ247" s="528">
        <f t="shared" si="720"/>
        <v>1.6336896666666669</v>
      </c>
      <c r="EK247" s="528">
        <f t="shared" si="721"/>
        <v>1.0139583333333334E-2</v>
      </c>
      <c r="EL247" s="528">
        <f t="shared" si="722"/>
        <v>8.2256274716666675E-2</v>
      </c>
      <c r="EM247">
        <f t="shared" si="723"/>
        <v>3.8249999999999999E-2</v>
      </c>
      <c r="EN247" s="460">
        <f t="shared" si="724"/>
        <v>48.389583333333334</v>
      </c>
      <c r="EP247" s="460">
        <f t="shared" si="725"/>
        <v>1840.6806227558825</v>
      </c>
      <c r="EQ247" s="173">
        <f t="shared" si="726"/>
        <v>2.17</v>
      </c>
      <c r="ER247" s="173">
        <f t="shared" si="688"/>
        <v>3.4390625000000001E-2</v>
      </c>
      <c r="ES247" s="528"/>
      <c r="EU247" s="460">
        <f t="shared" si="727"/>
        <v>2204.390625</v>
      </c>
      <c r="EV247" s="528">
        <f t="shared" si="728"/>
        <v>0.11451764705882352</v>
      </c>
      <c r="EW247" s="528">
        <f t="shared" si="729"/>
        <v>0.88548235294117672</v>
      </c>
      <c r="EX247" s="528">
        <f t="shared" si="730"/>
        <v>8.9509181669192154E-5</v>
      </c>
      <c r="EY247" s="528">
        <f t="shared" si="731"/>
        <v>0.93701219676377678</v>
      </c>
      <c r="EZ247" s="528"/>
      <c r="FA247" s="625">
        <f t="shared" si="732"/>
        <v>8.1116666666666681E-3</v>
      </c>
      <c r="FB247" s="460">
        <f t="shared" si="733"/>
        <v>1945.2133726121131</v>
      </c>
      <c r="FC247" s="173">
        <f t="shared" si="734"/>
        <v>5.9902846203679951</v>
      </c>
      <c r="FD247" s="5">
        <f t="shared" si="735"/>
        <v>47.12</v>
      </c>
      <c r="FE247" s="173">
        <f t="shared" si="736"/>
        <v>0.88721045908176699</v>
      </c>
      <c r="FF247" s="5">
        <f t="shared" si="737"/>
        <v>88.721045908176706</v>
      </c>
      <c r="FG247">
        <f t="shared" si="738"/>
        <v>31</v>
      </c>
      <c r="FI247" s="562">
        <f t="shared" si="689"/>
        <v>-50</v>
      </c>
    </row>
    <row r="248" spans="5:165">
      <c r="E248" s="170">
        <v>32</v>
      </c>
      <c r="F248" s="217">
        <f t="shared" si="690"/>
        <v>3.2</v>
      </c>
      <c r="G248" s="217">
        <f t="shared" ref="G248:G279" si="742">IF(PLOT_TYPE=1, E248/100*Iout2, min_I*EXP(Q248*rr/100))</f>
        <v>0.08</v>
      </c>
      <c r="H248" s="217">
        <f t="shared" ref="H248:H279" si="743">F248*Vout</f>
        <v>48</v>
      </c>
      <c r="I248" s="217">
        <f t="shared" ref="I248:I279" si="744">Vout2*G248</f>
        <v>0.64</v>
      </c>
      <c r="J248" s="541">
        <f t="shared" ref="J248:J279" si="745">VIN_max-(F248/CG248/Nps+G248/CH248/(Nps/Nsec1sec2))*(Rdcr_pri+RON/1000)</f>
        <v>84.727420162931693</v>
      </c>
      <c r="K248" s="443">
        <f t="shared" ref="K248:K279" si="746">MAX((S248+Vfwd2+Rdcr_sec*F248/CG248)*Nps,(Vout2+Vfwd22+Rdcr_sec2*G248/CH248)*Nps/Nsec1sec2)</f>
        <v>15.846617922801491</v>
      </c>
      <c r="L248" s="172">
        <f t="shared" ref="L248:L279" si="747">MAX((Vout+Vfwd2+F248/CG248*Rdcr_sec)*Nps+J248, (Vout2+Vfwd22+G248/CH248*Rdcr_sec2)*Nps/Nsec1sec2+J248)</f>
        <v>100.57403808573318</v>
      </c>
      <c r="M248" s="443"/>
      <c r="N248" s="217">
        <f t="shared" ref="N248:N279" si="748">MAX((Vout+Vfwd2+F248/CG248*Rdcr_sec)*Nps/((Vout+Vfwd2+F248/CG248*Rdcr_sec)*Nps+J248), (Vout2+Vfwd22+G248/CH248*Rdcr_sec2)*Nps/Nsec1sec2/((Vout2+Vfwd22+G248/CH248*Rdcr_sec2)*Nps/Nsec1sec2+J248))</f>
        <v>0.15756171497552104</v>
      </c>
      <c r="O248" s="172">
        <f t="shared" ref="O248:O279" si="749">N248*J248*Isw_max*0.5*Efficiency*Pout/(Pout+Pout2)</f>
        <v>329.35355985994391</v>
      </c>
      <c r="P248" s="172">
        <f t="shared" ref="P248:P279" si="750">N248*J248*Isw_max*0.5*Efficiency*(Pout2/Pout_total)</f>
        <v>4.4499325421076863</v>
      </c>
      <c r="Q248" s="217">
        <f t="shared" si="626"/>
        <v>21.956903990662926</v>
      </c>
      <c r="R248" s="217">
        <f t="shared" ref="R248:R279" si="751">O248/Vout2</f>
        <v>41.169194982492989</v>
      </c>
      <c r="S248" s="217">
        <f t="shared" ref="S248:S279" si="752">MIN(Vout,O248/F248)</f>
        <v>15</v>
      </c>
      <c r="T248" s="217">
        <f t="shared" ref="T248:T279" si="753">MIN(2*(Vout*F248+Vout2*G248)/(Efficiency*J248*N248), Isw_max)</f>
        <v>7.2870018499893829</v>
      </c>
      <c r="U248" s="217">
        <f t="shared" si="630"/>
        <v>1.0320628437844188</v>
      </c>
      <c r="V248" s="217">
        <f t="shared" si="631"/>
        <v>5.5181504738655018</v>
      </c>
      <c r="W248" s="197">
        <f t="shared" si="632"/>
        <v>111.24831355269215</v>
      </c>
      <c r="X248" s="443">
        <f t="shared" si="691"/>
        <v>148.14346642724306</v>
      </c>
      <c r="Z248" s="217">
        <f t="shared" si="633"/>
        <v>10</v>
      </c>
      <c r="AA248" s="173">
        <f t="shared" si="634"/>
        <v>7.572593760043496</v>
      </c>
      <c r="AB248" s="173">
        <f t="shared" ref="AB248:AB279" si="754">0.5*AA248*Z248*Nps*W248/1000*(Pout/(Pout+Pout2))</f>
        <v>4.1567678537392041</v>
      </c>
      <c r="AC248" s="173"/>
      <c r="AD248" s="173">
        <f t="shared" si="636"/>
        <v>7.572593760043496</v>
      </c>
      <c r="AE248" s="545">
        <f t="shared" ref="AE248:AE279" si="755">MAX(10, F248/(0.5*AD248/1000000*Isw_min*Nps)/1000*Pout_total/Pout)</f>
        <v>84.515295588274611</v>
      </c>
      <c r="AF248" s="528">
        <f t="shared" ref="AF248:AF279" si="756">0.5*AD248/1000000*Isw_min*Nps*W248*1000*(Pout/Pout_total)</f>
        <v>4.2121914251223949</v>
      </c>
      <c r="AH248" s="173">
        <f t="shared" ref="AH248:AH279" si="757">SQRT((H248+I248)/(0.5*L*Fsw_DCM))</f>
        <v>4.8126816601459064</v>
      </c>
      <c r="AI248" s="173">
        <f t="shared" ref="AI248:AI279" si="758">MAX(IF(F248&gt;AB248,T248,AH248),Isw_min)</f>
        <v>10</v>
      </c>
      <c r="AJ248" s="173">
        <f t="shared" ref="AJ248:AJ279" si="759">IF(F248&gt;AF248, (AI248-Isw_min)/1.08*0.8+1.2, AE248*0.2/350+1)</f>
        <v>1.0482944546218711</v>
      </c>
      <c r="AL248" s="545">
        <f t="shared" ref="AL248:AL279" si="760">F248*1000</f>
        <v>3200</v>
      </c>
      <c r="AM248" s="460">
        <f t="shared" ref="AM248:AM279" si="761">IF(F248&gt;AF248, X248, AE248)</f>
        <v>84.515295588274611</v>
      </c>
      <c r="AO248">
        <f t="shared" si="644"/>
        <v>3200</v>
      </c>
      <c r="AP248">
        <f t="shared" si="645"/>
        <v>84.515295588274611</v>
      </c>
      <c r="AR248" s="5">
        <f t="shared" si="616"/>
        <v>11.832177750067963</v>
      </c>
      <c r="AS248" s="5">
        <f t="shared" si="739"/>
        <v>1.4163065483315647</v>
      </c>
      <c r="AT248" s="5">
        <f t="shared" si="740"/>
        <v>10.415871201736397</v>
      </c>
      <c r="AU248" s="173">
        <f t="shared" si="741"/>
        <v>0.11969956657585114</v>
      </c>
      <c r="BA248" s="173">
        <f t="shared" si="692"/>
        <v>1.9974948191493191</v>
      </c>
      <c r="BB248" s="173">
        <f t="shared" si="693"/>
        <v>5.4169500441489182</v>
      </c>
      <c r="BC248" s="173">
        <f t="shared" si="694"/>
        <v>0.13340567167551062</v>
      </c>
      <c r="BD248" s="173"/>
      <c r="BE248" s="528">
        <f t="shared" si="695"/>
        <v>7.9799711050567435E-2</v>
      </c>
      <c r="BF248" s="528">
        <f t="shared" ref="BF248:BF279" si="762">0.5*L248*AI248*AM248*1000*Tfall</f>
        <v>1.593758354497899</v>
      </c>
      <c r="BG248" s="528">
        <f t="shared" ref="BG248:BG279" si="763">Qg*Vdd*AM248*1000*0+Qg*J248*AM248*1000</f>
        <v>0.17901907398755276</v>
      </c>
      <c r="BH248" s="528">
        <f t="shared" si="696"/>
        <v>8.5488380503854461E-2</v>
      </c>
      <c r="BI248">
        <f t="shared" si="697"/>
        <v>3.8127339073319264E-2</v>
      </c>
      <c r="BJ248" s="460">
        <f t="shared" si="698"/>
        <v>217.14641306087202</v>
      </c>
      <c r="BK248">
        <f t="shared" ref="BK248:BK279" si="764">(BF248+BG248*0+BH248+BI248*0+BE248*(1+RdsonTC*(Ta-25)))/(1-BE248*RdsonTC*ThetaJA)</f>
        <v>1.815005621208694</v>
      </c>
      <c r="BL248" s="460">
        <f t="shared" si="699"/>
        <v>1976.192859113193</v>
      </c>
      <c r="BM248" s="173">
        <f t="shared" ref="BM248:BM279" si="765">Vfwd2*F248*(1+Diode_TC/1000*(Ta-25))</f>
        <v>1.9879999999999998</v>
      </c>
      <c r="BN248" s="173">
        <f t="shared" ref="BN248:BN279" si="766">Vfwd22*G248*(1+Diode_TC/1000*(Ta-25))</f>
        <v>3.5499999999999997E-2</v>
      </c>
      <c r="BQ248" s="460">
        <f t="shared" si="700"/>
        <v>2023.4999999999998</v>
      </c>
      <c r="BR248" s="528">
        <f t="shared" si="701"/>
        <v>0.11969956657585114</v>
      </c>
      <c r="BS248" s="528">
        <f t="shared" si="702"/>
        <v>0.88030043342414899</v>
      </c>
      <c r="BT248" s="528">
        <f t="shared" si="703"/>
        <v>8.8985366175970692E-5</v>
      </c>
      <c r="BU248" s="528">
        <f t="shared" si="704"/>
        <v>1.0382651840929287</v>
      </c>
      <c r="BV248" s="528"/>
      <c r="BW248" s="625">
        <f t="shared" si="705"/>
        <v>8.4515295588274628E-3</v>
      </c>
      <c r="BX248" s="460">
        <f t="shared" si="706"/>
        <v>2046.8056990179325</v>
      </c>
      <c r="BY248" s="173">
        <f t="shared" si="707"/>
        <v>6.046498558131125</v>
      </c>
      <c r="BZ248" s="5">
        <f t="shared" si="708"/>
        <v>48.64</v>
      </c>
      <c r="CA248" s="173">
        <f t="shared" si="709"/>
        <v>0.88943343023317234</v>
      </c>
      <c r="CB248" s="5">
        <f t="shared" si="710"/>
        <v>88.94334302331724</v>
      </c>
      <c r="CC248">
        <f t="shared" si="711"/>
        <v>32</v>
      </c>
      <c r="CE248" s="562">
        <f t="shared" ref="CE248:CE279" si="767">IF(ABS(F248-Ioutmax_Vinmax)&lt;Iout/200, AM248, -50)</f>
        <v>-50</v>
      </c>
      <c r="CG248" s="173">
        <f t="shared" ref="CG248:CG279" si="768">MIN(SQRT(2*DT248*1000*Ls1_*CL248)/CW248, 1-DY248)</f>
        <v>0.65476306147083974</v>
      </c>
      <c r="CH248" s="173">
        <f t="shared" ref="CH248:CH279" si="769">MIN(SQRT(2*DT248*1000*Ls2_*CM248)/Vout2, 1-DY248)</f>
        <v>7.674924012570164E-2</v>
      </c>
      <c r="CI248" s="170">
        <v>32</v>
      </c>
      <c r="CJ248" s="217">
        <f t="shared" si="712"/>
        <v>3.2</v>
      </c>
      <c r="CK248" s="217">
        <f t="shared" si="654"/>
        <v>0.08</v>
      </c>
      <c r="CL248" s="217">
        <f t="shared" si="655"/>
        <v>48</v>
      </c>
      <c r="CM248" s="217">
        <f t="shared" si="656"/>
        <v>0.64</v>
      </c>
      <c r="CN248" s="541">
        <f t="shared" si="657"/>
        <v>85</v>
      </c>
      <c r="CO248" s="443">
        <f t="shared" ref="CO248:CO279" si="770">(CW248+Vfwd2)*Nps</f>
        <v>15.7</v>
      </c>
      <c r="CP248" s="443">
        <f t="shared" ref="CP248:CP279" si="771">(Vout+Vfwd2)*Nps+CN248</f>
        <v>100.7</v>
      </c>
      <c r="CQ248" s="443"/>
      <c r="CR248" s="217">
        <f t="shared" si="660"/>
        <v>0.15338645418326693</v>
      </c>
      <c r="CS248" s="172">
        <f t="shared" si="661"/>
        <v>321.65744915076539</v>
      </c>
      <c r="CT248" s="172">
        <f t="shared" si="662"/>
        <v>4.3459495351925632</v>
      </c>
      <c r="CU248" s="217">
        <f t="shared" si="663"/>
        <v>21.443829943384358</v>
      </c>
      <c r="CV248" s="217">
        <f t="shared" si="664"/>
        <v>40.207181143845673</v>
      </c>
      <c r="CW248" s="217">
        <f t="shared" si="665"/>
        <v>15</v>
      </c>
      <c r="CX248" s="217">
        <f t="shared" si="666"/>
        <v>7.4613537051184107</v>
      </c>
      <c r="CY248" s="217">
        <f t="shared" si="667"/>
        <v>1.0533675818990698</v>
      </c>
      <c r="CZ248" s="217">
        <f t="shared" si="668"/>
        <v>5.7029455070968753</v>
      </c>
      <c r="DA248" s="197">
        <f t="shared" si="669"/>
        <v>110.43528632903013</v>
      </c>
      <c r="DB248" s="443">
        <f t="shared" si="670"/>
        <v>148.00971873679256</v>
      </c>
      <c r="DD248" s="217">
        <f t="shared" si="671"/>
        <v>9.9999999999999982</v>
      </c>
      <c r="DE248" s="173">
        <f t="shared" si="672"/>
        <v>7.6433121019108263</v>
      </c>
      <c r="DF248" s="173">
        <f t="shared" si="673"/>
        <v>4.1649244760361679</v>
      </c>
      <c r="DG248" s="173"/>
      <c r="DH248" s="173">
        <f t="shared" si="674"/>
        <v>7.6433121019108281</v>
      </c>
      <c r="DI248" s="545">
        <f t="shared" si="675"/>
        <v>83.733333333333348</v>
      </c>
      <c r="DJ248" s="528">
        <f t="shared" si="676"/>
        <v>4.2204568023833167</v>
      </c>
      <c r="DL248" s="173">
        <f t="shared" si="677"/>
        <v>4.8126816601459064</v>
      </c>
      <c r="DM248" s="173">
        <f t="shared" si="678"/>
        <v>10</v>
      </c>
      <c r="DN248" s="173">
        <f t="shared" si="679"/>
        <v>1.0478476190476191</v>
      </c>
      <c r="DP248" s="545">
        <f t="shared" si="680"/>
        <v>3200</v>
      </c>
      <c r="DQ248" s="460">
        <f t="shared" si="681"/>
        <v>83.733333333333348</v>
      </c>
      <c r="DS248">
        <f t="shared" si="682"/>
        <v>3200</v>
      </c>
      <c r="DT248">
        <f t="shared" si="683"/>
        <v>83.733333333333348</v>
      </c>
      <c r="DV248" s="5">
        <f t="shared" si="684"/>
        <v>11.942675159235666</v>
      </c>
      <c r="DW248" s="5">
        <f t="shared" si="685"/>
        <v>1.4117647058823528</v>
      </c>
      <c r="DX248" s="5">
        <f t="shared" si="686"/>
        <v>10.530910453353313</v>
      </c>
      <c r="DY248" s="173">
        <f t="shared" si="687"/>
        <v>0.11821176470588238</v>
      </c>
      <c r="EA248" s="5">
        <f t="shared" si="713"/>
        <v>30.117647058823529</v>
      </c>
      <c r="EB248" s="5">
        <f t="shared" si="714"/>
        <v>1.4117647058823528</v>
      </c>
      <c r="EC248" s="5">
        <f t="shared" si="715"/>
        <v>1.6519075220946373</v>
      </c>
      <c r="ED248" s="5"/>
      <c r="EE248" s="173">
        <f t="shared" si="716"/>
        <v>1.9850421045566629</v>
      </c>
      <c r="EF248" s="173">
        <f t="shared" si="717"/>
        <v>5.4215257240439785</v>
      </c>
      <c r="EG248" s="173">
        <f t="shared" si="718"/>
        <v>0.13351835900782819</v>
      </c>
      <c r="EH248" s="173"/>
      <c r="EI248" s="528">
        <f t="shared" si="719"/>
        <v>7.8807843137254904E-2</v>
      </c>
      <c r="EJ248" s="528">
        <f t="shared" si="720"/>
        <v>1.6863893333333337</v>
      </c>
      <c r="EK248" s="528">
        <f t="shared" si="721"/>
        <v>1.0466666666666668E-2</v>
      </c>
      <c r="EL248" s="528">
        <f t="shared" si="722"/>
        <v>8.4909702933333345E-2</v>
      </c>
      <c r="EM248">
        <f t="shared" si="723"/>
        <v>3.8249999999999999E-2</v>
      </c>
      <c r="EN248" s="460">
        <f t="shared" si="724"/>
        <v>48.716666666666669</v>
      </c>
      <c r="EP248" s="460">
        <f t="shared" si="725"/>
        <v>1898.8235460705887</v>
      </c>
      <c r="EQ248" s="173">
        <f t="shared" si="726"/>
        <v>2.2399999999999998</v>
      </c>
      <c r="ER248" s="173">
        <f t="shared" ref="ER248:ER279" si="772">Vfwd22*CK248*(1+Diode_TC/1000*(Ta-25))</f>
        <v>3.5499999999999997E-2</v>
      </c>
      <c r="ES248" s="528"/>
      <c r="EU248" s="460">
        <f t="shared" si="727"/>
        <v>2275.4999999999995</v>
      </c>
      <c r="EV248" s="528">
        <f t="shared" si="728"/>
        <v>0.11821176470588235</v>
      </c>
      <c r="EW248" s="528">
        <f t="shared" si="729"/>
        <v>0.88178823529411754</v>
      </c>
      <c r="EX248" s="528">
        <f t="shared" si="730"/>
        <v>8.913576096071647E-5</v>
      </c>
      <c r="EY248" s="528">
        <f t="shared" si="731"/>
        <v>1.0144156838416705</v>
      </c>
      <c r="EZ248" s="528"/>
      <c r="FA248" s="625">
        <f t="shared" si="732"/>
        <v>8.3733333333333351E-3</v>
      </c>
      <c r="FB248" s="460">
        <f t="shared" si="733"/>
        <v>2022.8781529359642</v>
      </c>
      <c r="FC248" s="173">
        <f t="shared" si="734"/>
        <v>6.1972016990065519</v>
      </c>
      <c r="FD248" s="5">
        <f t="shared" si="735"/>
        <v>48.64</v>
      </c>
      <c r="FE248" s="173">
        <f t="shared" si="736"/>
        <v>0.88698909668983295</v>
      </c>
      <c r="FF248" s="5">
        <f t="shared" si="737"/>
        <v>88.698909668983291</v>
      </c>
      <c r="FG248">
        <f t="shared" si="738"/>
        <v>32</v>
      </c>
      <c r="FI248" s="562">
        <f t="shared" si="689"/>
        <v>-50</v>
      </c>
    </row>
    <row r="249" spans="5:165">
      <c r="E249" s="170">
        <v>33</v>
      </c>
      <c r="F249" s="217">
        <f t="shared" ref="F249:F280" si="773">IF(PLOT_TYPE=1, E249/100*Iout_max, min_I*EXP(O249*rr/100))</f>
        <v>3.3000000000000003</v>
      </c>
      <c r="G249" s="217">
        <f t="shared" si="742"/>
        <v>8.2500000000000004E-2</v>
      </c>
      <c r="H249" s="217">
        <f t="shared" si="743"/>
        <v>49.500000000000007</v>
      </c>
      <c r="I249" s="217">
        <f t="shared" si="744"/>
        <v>0.66</v>
      </c>
      <c r="J249" s="541">
        <f t="shared" si="745"/>
        <v>84.727420162931693</v>
      </c>
      <c r="K249" s="443">
        <f t="shared" si="746"/>
        <v>15.846617922801491</v>
      </c>
      <c r="L249" s="172">
        <f t="shared" si="747"/>
        <v>100.57403808573318</v>
      </c>
      <c r="M249" s="443"/>
      <c r="N249" s="217">
        <f t="shared" si="748"/>
        <v>0.15756171497552104</v>
      </c>
      <c r="O249" s="172">
        <f t="shared" si="749"/>
        <v>329.35355985994391</v>
      </c>
      <c r="P249" s="172">
        <f t="shared" si="750"/>
        <v>4.4499325421076863</v>
      </c>
      <c r="Q249" s="217">
        <f t="shared" si="626"/>
        <v>21.956903990662926</v>
      </c>
      <c r="R249" s="217">
        <f t="shared" si="751"/>
        <v>41.169194982492989</v>
      </c>
      <c r="S249" s="217">
        <f t="shared" si="752"/>
        <v>15</v>
      </c>
      <c r="T249" s="217">
        <f t="shared" si="753"/>
        <v>7.5147206578015524</v>
      </c>
      <c r="U249" s="217">
        <f t="shared" si="630"/>
        <v>1.0643148076526823</v>
      </c>
      <c r="V249" s="217">
        <f t="shared" si="631"/>
        <v>5.6905926761737993</v>
      </c>
      <c r="W249" s="197">
        <f t="shared" si="632"/>
        <v>111.24831355269215</v>
      </c>
      <c r="X249" s="443">
        <f t="shared" si="691"/>
        <v>143.78336481477041</v>
      </c>
      <c r="Z249" s="217">
        <f t="shared" si="633"/>
        <v>10</v>
      </c>
      <c r="AA249" s="173">
        <f t="shared" si="634"/>
        <v>7.572593760043496</v>
      </c>
      <c r="AB249" s="173">
        <f t="shared" si="754"/>
        <v>4.1567678537392041</v>
      </c>
      <c r="AC249" s="173"/>
      <c r="AD249" s="173">
        <f t="shared" si="636"/>
        <v>7.572593760043496</v>
      </c>
      <c r="AE249" s="545">
        <f t="shared" si="755"/>
        <v>87.156398575408204</v>
      </c>
      <c r="AF249" s="528">
        <f t="shared" si="756"/>
        <v>4.2121914251223949</v>
      </c>
      <c r="AH249" s="173">
        <f t="shared" si="757"/>
        <v>4.8873013295390626</v>
      </c>
      <c r="AI249" s="173">
        <f t="shared" si="758"/>
        <v>10</v>
      </c>
      <c r="AJ249" s="173">
        <f t="shared" si="759"/>
        <v>1.0498036563288047</v>
      </c>
      <c r="AL249" s="545">
        <f t="shared" si="760"/>
        <v>3300.0000000000005</v>
      </c>
      <c r="AM249" s="460">
        <f t="shared" si="761"/>
        <v>87.156398575408204</v>
      </c>
      <c r="AO249">
        <f t="shared" si="644"/>
        <v>3300.0000000000005</v>
      </c>
      <c r="AP249">
        <f t="shared" si="645"/>
        <v>87.156398575408204</v>
      </c>
      <c r="AR249" s="5">
        <f t="shared" si="616"/>
        <v>11.473626909156811</v>
      </c>
      <c r="AS249" s="5">
        <f t="shared" si="739"/>
        <v>1.4163065483315647</v>
      </c>
      <c r="AT249" s="5">
        <f t="shared" si="740"/>
        <v>10.057320360825248</v>
      </c>
      <c r="AU249" s="173">
        <f t="shared" si="741"/>
        <v>0.12344017803134649</v>
      </c>
      <c r="BA249" s="173">
        <f t="shared" si="692"/>
        <v>2.0284655779788037</v>
      </c>
      <c r="BB249" s="173">
        <f t="shared" si="693"/>
        <v>5.4054288203886705</v>
      </c>
      <c r="BC249" s="173">
        <f t="shared" si="694"/>
        <v>0.13312193330212099</v>
      </c>
      <c r="BD249" s="173"/>
      <c r="BE249" s="528">
        <f t="shared" si="695"/>
        <v>8.2293452020897648E-2</v>
      </c>
      <c r="BF249" s="528">
        <f t="shared" si="762"/>
        <v>1.6435633030759582</v>
      </c>
      <c r="BG249" s="528">
        <f t="shared" si="763"/>
        <v>0.1846134200496638</v>
      </c>
      <c r="BH249" s="528">
        <f t="shared" si="696"/>
        <v>8.8159892394599926E-2</v>
      </c>
      <c r="BI249">
        <f t="shared" si="697"/>
        <v>3.8127339073319264E-2</v>
      </c>
      <c r="BJ249" s="460">
        <f t="shared" si="698"/>
        <v>222.74075912298309</v>
      </c>
      <c r="BK249">
        <f t="shared" si="764"/>
        <v>1.8728556847794391</v>
      </c>
      <c r="BL249" s="460">
        <f t="shared" si="699"/>
        <v>2036.7574066144387</v>
      </c>
      <c r="BM249" s="173">
        <f t="shared" si="765"/>
        <v>2.050125</v>
      </c>
      <c r="BN249" s="173">
        <f t="shared" si="766"/>
        <v>3.6609375E-2</v>
      </c>
      <c r="BQ249" s="460">
        <f t="shared" si="700"/>
        <v>2086.734375</v>
      </c>
      <c r="BR249" s="528">
        <f t="shared" si="701"/>
        <v>0.12344017803134645</v>
      </c>
      <c r="BS249" s="528">
        <f t="shared" si="702"/>
        <v>0.87655982196865356</v>
      </c>
      <c r="BT249" s="528">
        <f t="shared" si="703"/>
        <v>8.860724563047176E-5</v>
      </c>
      <c r="BU249" s="528">
        <f t="shared" si="704"/>
        <v>1.1212906352803562</v>
      </c>
      <c r="BV249" s="528"/>
      <c r="BW249" s="625">
        <f t="shared" si="705"/>
        <v>8.7156398575408221E-3</v>
      </c>
      <c r="BX249" s="460">
        <f t="shared" si="706"/>
        <v>2130.0948823835279</v>
      </c>
      <c r="BY249" s="173">
        <f t="shared" si="707"/>
        <v>6.2535866639979671</v>
      </c>
      <c r="BZ249" s="5">
        <f t="shared" si="708"/>
        <v>50.160000000000004</v>
      </c>
      <c r="CA249" s="173">
        <f t="shared" si="709"/>
        <v>0.88914750800645548</v>
      </c>
      <c r="CB249" s="5">
        <f t="shared" si="710"/>
        <v>88.91475080064555</v>
      </c>
      <c r="CC249">
        <f t="shared" si="711"/>
        <v>33</v>
      </c>
      <c r="CE249" s="562">
        <f t="shared" si="767"/>
        <v>-50</v>
      </c>
      <c r="CG249" s="173">
        <f t="shared" si="768"/>
        <v>0.67522440714180354</v>
      </c>
      <c r="CH249" s="173">
        <f t="shared" si="769"/>
        <v>7.9147653879629826E-2</v>
      </c>
      <c r="CI249" s="170">
        <v>33</v>
      </c>
      <c r="CJ249" s="217">
        <f t="shared" si="712"/>
        <v>3.3000000000000003</v>
      </c>
      <c r="CK249" s="217">
        <f t="shared" si="654"/>
        <v>8.2500000000000004E-2</v>
      </c>
      <c r="CL249" s="217">
        <f t="shared" si="655"/>
        <v>49.500000000000007</v>
      </c>
      <c r="CM249" s="217">
        <f t="shared" si="656"/>
        <v>0.66</v>
      </c>
      <c r="CN249" s="541">
        <f t="shared" si="657"/>
        <v>85</v>
      </c>
      <c r="CO249" s="443">
        <f t="shared" si="770"/>
        <v>15.7</v>
      </c>
      <c r="CP249" s="443">
        <f t="shared" si="771"/>
        <v>100.7</v>
      </c>
      <c r="CQ249" s="443"/>
      <c r="CR249" s="217">
        <f t="shared" si="660"/>
        <v>0.15338645418326693</v>
      </c>
      <c r="CS249" s="172">
        <f t="shared" si="661"/>
        <v>321.65744915076539</v>
      </c>
      <c r="CT249" s="172">
        <f t="shared" si="662"/>
        <v>4.3459495351925632</v>
      </c>
      <c r="CU249" s="217">
        <f t="shared" si="663"/>
        <v>21.443829943384358</v>
      </c>
      <c r="CV249" s="217">
        <f t="shared" si="664"/>
        <v>40.207181143845673</v>
      </c>
      <c r="CW249" s="217">
        <f t="shared" si="665"/>
        <v>15</v>
      </c>
      <c r="CX249" s="217">
        <f t="shared" si="666"/>
        <v>7.6945210084033615</v>
      </c>
      <c r="CY249" s="217">
        <f t="shared" si="667"/>
        <v>1.0862853188334158</v>
      </c>
      <c r="CZ249" s="217">
        <f t="shared" si="668"/>
        <v>5.8811625541936525</v>
      </c>
      <c r="DA249" s="197">
        <f t="shared" si="669"/>
        <v>110.43528632903013</v>
      </c>
      <c r="DB249" s="443">
        <f t="shared" si="670"/>
        <v>143.52457574476853</v>
      </c>
      <c r="DD249" s="217">
        <f t="shared" si="671"/>
        <v>9.9999999999999982</v>
      </c>
      <c r="DE249" s="173">
        <f t="shared" si="672"/>
        <v>7.6433121019108263</v>
      </c>
      <c r="DF249" s="173">
        <f t="shared" si="673"/>
        <v>4.1649244760361679</v>
      </c>
      <c r="DG249" s="173"/>
      <c r="DH249" s="173">
        <f t="shared" si="674"/>
        <v>7.6433121019108281</v>
      </c>
      <c r="DI249" s="545">
        <f t="shared" si="675"/>
        <v>86.350000000000009</v>
      </c>
      <c r="DJ249" s="528">
        <f t="shared" si="676"/>
        <v>4.2204568023833167</v>
      </c>
      <c r="DL249" s="173">
        <f t="shared" si="677"/>
        <v>4.8873013295390626</v>
      </c>
      <c r="DM249" s="173">
        <f t="shared" si="678"/>
        <v>10</v>
      </c>
      <c r="DN249" s="173">
        <f t="shared" si="679"/>
        <v>1.0493428571428571</v>
      </c>
      <c r="DP249" s="545">
        <f t="shared" si="680"/>
        <v>3300.0000000000005</v>
      </c>
      <c r="DQ249" s="460">
        <f t="shared" si="681"/>
        <v>86.350000000000009</v>
      </c>
      <c r="DS249">
        <f t="shared" si="682"/>
        <v>3300.0000000000005</v>
      </c>
      <c r="DT249">
        <f t="shared" si="683"/>
        <v>86.350000000000009</v>
      </c>
      <c r="DV249" s="5">
        <f t="shared" si="684"/>
        <v>11.580775911986104</v>
      </c>
      <c r="DW249" s="5">
        <f t="shared" si="685"/>
        <v>1.4117647058823528</v>
      </c>
      <c r="DX249" s="5">
        <f t="shared" si="686"/>
        <v>10.16901120610375</v>
      </c>
      <c r="DY249" s="173">
        <f t="shared" si="687"/>
        <v>0.12190588235294116</v>
      </c>
      <c r="EA249" s="5">
        <f t="shared" si="713"/>
        <v>31.058823529411768</v>
      </c>
      <c r="EB249" s="5">
        <f t="shared" si="714"/>
        <v>1.4558823529411764</v>
      </c>
      <c r="EC249" s="5">
        <f t="shared" si="715"/>
        <v>1.6449871068697244</v>
      </c>
      <c r="ED249" s="5"/>
      <c r="EE249" s="173">
        <f t="shared" si="716"/>
        <v>2.0158197865297152</v>
      </c>
      <c r="EF249" s="173">
        <f t="shared" si="717"/>
        <v>5.4101574765960949</v>
      </c>
      <c r="EG249" s="173">
        <f t="shared" si="718"/>
        <v>0.13323838805107246</v>
      </c>
      <c r="EH249" s="173"/>
      <c r="EI249" s="528">
        <f t="shared" si="719"/>
        <v>8.1270588235294136E-2</v>
      </c>
      <c r="EJ249" s="528">
        <f t="shared" si="720"/>
        <v>1.7390890000000003</v>
      </c>
      <c r="EK249" s="528">
        <f t="shared" si="721"/>
        <v>1.079375E-2</v>
      </c>
      <c r="EL249" s="528">
        <f t="shared" si="722"/>
        <v>8.7563131150000015E-2</v>
      </c>
      <c r="EM249">
        <f t="shared" si="723"/>
        <v>3.8249999999999999E-2</v>
      </c>
      <c r="EN249" s="460">
        <f t="shared" si="724"/>
        <v>49.043749999999996</v>
      </c>
      <c r="EP249" s="460">
        <f t="shared" si="725"/>
        <v>1956.9664693852944</v>
      </c>
      <c r="EQ249" s="173">
        <f t="shared" si="726"/>
        <v>2.31</v>
      </c>
      <c r="ER249" s="173">
        <f t="shared" si="772"/>
        <v>3.6609375E-2</v>
      </c>
      <c r="ES249" s="528"/>
      <c r="EU249" s="460">
        <f t="shared" si="727"/>
        <v>2346.609375</v>
      </c>
      <c r="EV249" s="528">
        <f t="shared" si="728"/>
        <v>0.1219058823529412</v>
      </c>
      <c r="EW249" s="528">
        <f t="shared" si="729"/>
        <v>0.87809411764705869</v>
      </c>
      <c r="EX249" s="528">
        <f t="shared" si="730"/>
        <v>8.8762340252240853E-5</v>
      </c>
      <c r="EY249" s="528">
        <f t="shared" si="731"/>
        <v>1.095533996516419</v>
      </c>
      <c r="EZ249" s="528"/>
      <c r="FA249" s="625">
        <f t="shared" si="732"/>
        <v>8.6350000000000003E-3</v>
      </c>
      <c r="FB249" s="460">
        <f t="shared" si="733"/>
        <v>2104.2577588566714</v>
      </c>
      <c r="FC249" s="173">
        <f t="shared" si="734"/>
        <v>6.4078336032419658</v>
      </c>
      <c r="FD249" s="5">
        <f t="shared" si="735"/>
        <v>50.160000000000004</v>
      </c>
      <c r="FE249" s="173">
        <f t="shared" si="736"/>
        <v>0.88672301562429412</v>
      </c>
      <c r="FF249" s="5">
        <f t="shared" si="737"/>
        <v>88.672301562429411</v>
      </c>
      <c r="FG249">
        <f t="shared" si="738"/>
        <v>33</v>
      </c>
      <c r="FI249" s="562">
        <f t="shared" si="689"/>
        <v>-50</v>
      </c>
    </row>
    <row r="250" spans="5:165">
      <c r="E250" s="170">
        <v>34</v>
      </c>
      <c r="F250" s="217">
        <f t="shared" si="773"/>
        <v>3.4000000000000004</v>
      </c>
      <c r="G250" s="217">
        <f t="shared" si="742"/>
        <v>8.5000000000000006E-2</v>
      </c>
      <c r="H250" s="217">
        <f t="shared" si="743"/>
        <v>51.000000000000007</v>
      </c>
      <c r="I250" s="217">
        <f t="shared" si="744"/>
        <v>0.68</v>
      </c>
      <c r="J250" s="541">
        <f t="shared" si="745"/>
        <v>84.727420162931693</v>
      </c>
      <c r="K250" s="443">
        <f t="shared" si="746"/>
        <v>15.846617922801491</v>
      </c>
      <c r="L250" s="172">
        <f t="shared" si="747"/>
        <v>100.57403808573318</v>
      </c>
      <c r="M250" s="443"/>
      <c r="N250" s="217">
        <f t="shared" si="748"/>
        <v>0.15756171497552104</v>
      </c>
      <c r="O250" s="172">
        <f t="shared" si="749"/>
        <v>329.35355985994391</v>
      </c>
      <c r="P250" s="172">
        <f t="shared" si="750"/>
        <v>4.4499325421076863</v>
      </c>
      <c r="Q250" s="217">
        <f t="shared" si="626"/>
        <v>21.956903990662926</v>
      </c>
      <c r="R250" s="217">
        <f t="shared" si="751"/>
        <v>41.169194982492989</v>
      </c>
      <c r="S250" s="217">
        <f t="shared" si="752"/>
        <v>15</v>
      </c>
      <c r="T250" s="217">
        <f t="shared" si="753"/>
        <v>7.742439465613721</v>
      </c>
      <c r="U250" s="217">
        <f t="shared" si="630"/>
        <v>1.0965667715209453</v>
      </c>
      <c r="V250" s="217">
        <f t="shared" si="631"/>
        <v>5.8630348784820967</v>
      </c>
      <c r="W250" s="197">
        <f t="shared" si="632"/>
        <v>111.24831355269215</v>
      </c>
      <c r="X250" s="443">
        <f t="shared" si="691"/>
        <v>139.67257521926169</v>
      </c>
      <c r="Z250" s="217">
        <f t="shared" si="633"/>
        <v>10</v>
      </c>
      <c r="AA250" s="173">
        <f t="shared" si="634"/>
        <v>7.572593760043496</v>
      </c>
      <c r="AB250" s="173">
        <f t="shared" si="754"/>
        <v>4.1567678537392041</v>
      </c>
      <c r="AC250" s="173"/>
      <c r="AD250" s="173">
        <f t="shared" si="636"/>
        <v>7.572593760043496</v>
      </c>
      <c r="AE250" s="545">
        <f t="shared" si="755"/>
        <v>89.797501562541783</v>
      </c>
      <c r="AF250" s="528">
        <f t="shared" si="756"/>
        <v>4.2121914251223949</v>
      </c>
      <c r="AH250" s="173">
        <f t="shared" si="757"/>
        <v>4.960798706813633</v>
      </c>
      <c r="AI250" s="173">
        <f t="shared" si="758"/>
        <v>10</v>
      </c>
      <c r="AJ250" s="173">
        <f t="shared" si="759"/>
        <v>1.0513128580357383</v>
      </c>
      <c r="AL250" s="545">
        <f t="shared" si="760"/>
        <v>3400.0000000000005</v>
      </c>
      <c r="AM250" s="460">
        <f t="shared" si="761"/>
        <v>89.797501562541783</v>
      </c>
      <c r="AO250">
        <f t="shared" si="644"/>
        <v>3400.0000000000005</v>
      </c>
      <c r="AP250">
        <f t="shared" si="645"/>
        <v>89.797501562541783</v>
      </c>
      <c r="AR250" s="5">
        <f t="shared" si="616"/>
        <v>11.136167294181613</v>
      </c>
      <c r="AS250" s="5">
        <f t="shared" si="739"/>
        <v>1.4163065483315647</v>
      </c>
      <c r="AT250" s="5">
        <f t="shared" si="740"/>
        <v>9.719860745850049</v>
      </c>
      <c r="AU250" s="173">
        <f t="shared" si="741"/>
        <v>0.12718078948684183</v>
      </c>
      <c r="BA250" s="173">
        <f t="shared" si="692"/>
        <v>2.0589705314941722</v>
      </c>
      <c r="BB250" s="173">
        <f t="shared" si="693"/>
        <v>5.3938829875862107</v>
      </c>
      <c r="BC250" s="173">
        <f t="shared" si="694"/>
        <v>0.13283758887075062</v>
      </c>
      <c r="BD250" s="173"/>
      <c r="BE250" s="528">
        <f t="shared" si="695"/>
        <v>8.4787192991227889E-2</v>
      </c>
      <c r="BF250" s="528">
        <f t="shared" si="762"/>
        <v>1.6933682516540178</v>
      </c>
      <c r="BG250" s="528">
        <f t="shared" si="763"/>
        <v>0.19020776611177481</v>
      </c>
      <c r="BH250" s="528">
        <f t="shared" si="696"/>
        <v>9.0831404285345377E-2</v>
      </c>
      <c r="BI250">
        <f t="shared" si="697"/>
        <v>3.8127339073319264E-2</v>
      </c>
      <c r="BJ250" s="460">
        <f t="shared" si="698"/>
        <v>228.33510518509408</v>
      </c>
      <c r="BK250">
        <f t="shared" si="764"/>
        <v>1.9307757116030968</v>
      </c>
      <c r="BL250" s="460">
        <f t="shared" si="699"/>
        <v>2097.321954115685</v>
      </c>
      <c r="BM250" s="173">
        <f t="shared" si="765"/>
        <v>2.11225</v>
      </c>
      <c r="BN250" s="173">
        <f t="shared" si="766"/>
        <v>3.7718750000000002E-2</v>
      </c>
      <c r="BQ250" s="460">
        <f t="shared" si="700"/>
        <v>2149.9687499999995</v>
      </c>
      <c r="BR250" s="528">
        <f t="shared" si="701"/>
        <v>0.12718078948684183</v>
      </c>
      <c r="BS250" s="528">
        <f t="shared" si="702"/>
        <v>0.87281921051315836</v>
      </c>
      <c r="BT250" s="528">
        <f t="shared" si="703"/>
        <v>8.8229125084972855E-5</v>
      </c>
      <c r="BU250" s="528">
        <f t="shared" si="704"/>
        <v>1.2081772062396234</v>
      </c>
      <c r="BV250" s="528"/>
      <c r="BW250" s="625">
        <f t="shared" si="705"/>
        <v>8.9797501562541779E-3</v>
      </c>
      <c r="BX250" s="460">
        <f t="shared" si="706"/>
        <v>2217.2451855209629</v>
      </c>
      <c r="BY250" s="173">
        <f t="shared" si="707"/>
        <v>6.4645358896366485</v>
      </c>
      <c r="BZ250" s="5">
        <f t="shared" si="708"/>
        <v>51.680000000000007</v>
      </c>
      <c r="CA250" s="173">
        <f t="shared" si="709"/>
        <v>0.88881954614089798</v>
      </c>
      <c r="CB250" s="5">
        <f t="shared" si="710"/>
        <v>88.881954614089793</v>
      </c>
      <c r="CC250">
        <f t="shared" si="711"/>
        <v>34</v>
      </c>
      <c r="CE250" s="562">
        <f t="shared" si="767"/>
        <v>-50</v>
      </c>
      <c r="CG250" s="173">
        <f t="shared" si="768"/>
        <v>0.69568575281276746</v>
      </c>
      <c r="CH250" s="173">
        <f t="shared" si="769"/>
        <v>8.1546067633558011E-2</v>
      </c>
      <c r="CI250" s="170">
        <v>34</v>
      </c>
      <c r="CJ250" s="217">
        <f t="shared" si="712"/>
        <v>3.4000000000000004</v>
      </c>
      <c r="CK250" s="217">
        <f t="shared" si="654"/>
        <v>8.5000000000000006E-2</v>
      </c>
      <c r="CL250" s="217">
        <f t="shared" si="655"/>
        <v>51.000000000000007</v>
      </c>
      <c r="CM250" s="217">
        <f t="shared" si="656"/>
        <v>0.68</v>
      </c>
      <c r="CN250" s="541">
        <f t="shared" si="657"/>
        <v>85</v>
      </c>
      <c r="CO250" s="443">
        <f t="shared" si="770"/>
        <v>15.7</v>
      </c>
      <c r="CP250" s="443">
        <f t="shared" si="771"/>
        <v>100.7</v>
      </c>
      <c r="CQ250" s="443"/>
      <c r="CR250" s="217">
        <f t="shared" si="660"/>
        <v>0.15338645418326693</v>
      </c>
      <c r="CS250" s="172">
        <f t="shared" si="661"/>
        <v>321.65744915076539</v>
      </c>
      <c r="CT250" s="172">
        <f t="shared" si="662"/>
        <v>4.3459495351925632</v>
      </c>
      <c r="CU250" s="217">
        <f t="shared" si="663"/>
        <v>21.443829943384358</v>
      </c>
      <c r="CV250" s="217">
        <f t="shared" si="664"/>
        <v>40.207181143845673</v>
      </c>
      <c r="CW250" s="217">
        <f t="shared" si="665"/>
        <v>15</v>
      </c>
      <c r="CX250" s="217">
        <f t="shared" si="666"/>
        <v>7.9276883116883123</v>
      </c>
      <c r="CY250" s="217">
        <f t="shared" si="667"/>
        <v>1.1192030557677617</v>
      </c>
      <c r="CZ250" s="217">
        <f t="shared" si="668"/>
        <v>6.0593796012904297</v>
      </c>
      <c r="DA250" s="197">
        <f t="shared" si="669"/>
        <v>110.43528632903013</v>
      </c>
      <c r="DB250" s="443">
        <f t="shared" si="670"/>
        <v>139.30326469345184</v>
      </c>
      <c r="DD250" s="217">
        <f t="shared" si="671"/>
        <v>9.9999999999999982</v>
      </c>
      <c r="DE250" s="173">
        <f t="shared" si="672"/>
        <v>7.6433121019108263</v>
      </c>
      <c r="DF250" s="173">
        <f t="shared" si="673"/>
        <v>4.1649244760361679</v>
      </c>
      <c r="DG250" s="173"/>
      <c r="DH250" s="173">
        <f t="shared" si="674"/>
        <v>7.6433121019108281</v>
      </c>
      <c r="DI250" s="545">
        <f t="shared" si="675"/>
        <v>88.966666666666683</v>
      </c>
      <c r="DJ250" s="528">
        <f t="shared" si="676"/>
        <v>4.2204568023833167</v>
      </c>
      <c r="DL250" s="173">
        <f t="shared" si="677"/>
        <v>4.960798706813633</v>
      </c>
      <c r="DM250" s="173">
        <f t="shared" si="678"/>
        <v>10</v>
      </c>
      <c r="DN250" s="173">
        <f t="shared" si="679"/>
        <v>1.0508380952380953</v>
      </c>
      <c r="DP250" s="545">
        <f t="shared" si="680"/>
        <v>3400.0000000000005</v>
      </c>
      <c r="DQ250" s="460">
        <f t="shared" si="681"/>
        <v>88.966666666666683</v>
      </c>
      <c r="DS250">
        <f t="shared" si="682"/>
        <v>3400.0000000000005</v>
      </c>
      <c r="DT250">
        <f t="shared" si="683"/>
        <v>88.966666666666683</v>
      </c>
      <c r="DV250" s="5">
        <f t="shared" si="684"/>
        <v>11.240164855751216</v>
      </c>
      <c r="DW250" s="5">
        <f t="shared" si="685"/>
        <v>1.4117647058823528</v>
      </c>
      <c r="DX250" s="5">
        <f t="shared" si="686"/>
        <v>9.8284001498688625</v>
      </c>
      <c r="DY250" s="173">
        <f t="shared" si="687"/>
        <v>0.12560000000000002</v>
      </c>
      <c r="EA250" s="5">
        <f t="shared" si="713"/>
        <v>32</v>
      </c>
      <c r="EB250" s="5">
        <f t="shared" si="714"/>
        <v>1.5</v>
      </c>
      <c r="EC250" s="5">
        <f t="shared" si="715"/>
        <v>1.6380666916448106</v>
      </c>
      <c r="ED250" s="5"/>
      <c r="EE250" s="173">
        <f t="shared" si="716"/>
        <v>2.0461345670963742</v>
      </c>
      <c r="EF250" s="173">
        <f t="shared" si="717"/>
        <v>5.3987652909407604</v>
      </c>
      <c r="EG250" s="173">
        <f t="shared" si="718"/>
        <v>0.13295782755728619</v>
      </c>
      <c r="EH250" s="173"/>
      <c r="EI250" s="528">
        <f t="shared" si="719"/>
        <v>8.3733333333333326E-2</v>
      </c>
      <c r="EJ250" s="528">
        <f t="shared" si="720"/>
        <v>1.7917886666666669</v>
      </c>
      <c r="EK250" s="528">
        <f t="shared" si="721"/>
        <v>1.1120833333333335E-2</v>
      </c>
      <c r="EL250" s="528">
        <f t="shared" si="722"/>
        <v>9.0216559366666685E-2</v>
      </c>
      <c r="EM250">
        <f t="shared" si="723"/>
        <v>3.8249999999999999E-2</v>
      </c>
      <c r="EN250" s="460">
        <f t="shared" si="724"/>
        <v>49.370833333333337</v>
      </c>
      <c r="EP250" s="460">
        <f t="shared" si="725"/>
        <v>2015.1093926999999</v>
      </c>
      <c r="EQ250" s="173">
        <f t="shared" si="726"/>
        <v>2.38</v>
      </c>
      <c r="ER250" s="173">
        <f t="shared" si="772"/>
        <v>3.7718750000000002E-2</v>
      </c>
      <c r="ES250" s="528"/>
      <c r="EU250" s="460">
        <f t="shared" si="727"/>
        <v>2417.7187499999995</v>
      </c>
      <c r="EV250" s="528">
        <f t="shared" si="728"/>
        <v>0.12559999999999999</v>
      </c>
      <c r="EW250" s="528">
        <f t="shared" si="729"/>
        <v>0.87440000000000018</v>
      </c>
      <c r="EX250" s="528">
        <f t="shared" si="730"/>
        <v>8.8388919543765251E-5</v>
      </c>
      <c r="EY250" s="528">
        <f t="shared" si="731"/>
        <v>1.1804247370003182</v>
      </c>
      <c r="EZ250" s="528"/>
      <c r="FA250" s="625">
        <f t="shared" si="732"/>
        <v>8.896666666666669E-3</v>
      </c>
      <c r="FB250" s="460">
        <f t="shared" si="733"/>
        <v>2189.4097925865294</v>
      </c>
      <c r="FC250" s="173">
        <f t="shared" si="734"/>
        <v>6.6222379352865293</v>
      </c>
      <c r="FD250" s="5">
        <f t="shared" si="735"/>
        <v>51.680000000000007</v>
      </c>
      <c r="FE250" s="173">
        <f t="shared" si="736"/>
        <v>0.88641537323769659</v>
      </c>
      <c r="FF250" s="5">
        <f t="shared" si="737"/>
        <v>88.641537323769654</v>
      </c>
      <c r="FG250">
        <f t="shared" si="738"/>
        <v>34</v>
      </c>
      <c r="FI250" s="562">
        <f t="shared" si="689"/>
        <v>-50</v>
      </c>
    </row>
    <row r="251" spans="5:165">
      <c r="E251" s="170">
        <v>35</v>
      </c>
      <c r="F251" s="217">
        <f t="shared" si="773"/>
        <v>3.5</v>
      </c>
      <c r="G251" s="217">
        <f t="shared" si="742"/>
        <v>8.7499999999999994E-2</v>
      </c>
      <c r="H251" s="217">
        <f t="shared" si="743"/>
        <v>52.5</v>
      </c>
      <c r="I251" s="217">
        <f t="shared" si="744"/>
        <v>0.7</v>
      </c>
      <c r="J251" s="541">
        <f t="shared" si="745"/>
        <v>84.727420162931693</v>
      </c>
      <c r="K251" s="443">
        <f t="shared" si="746"/>
        <v>15.846617922801491</v>
      </c>
      <c r="L251" s="172">
        <f t="shared" si="747"/>
        <v>100.57403808573318</v>
      </c>
      <c r="M251" s="443"/>
      <c r="N251" s="217">
        <f t="shared" si="748"/>
        <v>0.15756171497552104</v>
      </c>
      <c r="O251" s="172">
        <f t="shared" si="749"/>
        <v>329.35355985994391</v>
      </c>
      <c r="P251" s="172">
        <f t="shared" si="750"/>
        <v>4.4499325421076863</v>
      </c>
      <c r="Q251" s="217">
        <f t="shared" si="626"/>
        <v>21.956903990662926</v>
      </c>
      <c r="R251" s="217">
        <f t="shared" si="751"/>
        <v>41.169194982492989</v>
      </c>
      <c r="S251" s="217">
        <f t="shared" si="752"/>
        <v>15</v>
      </c>
      <c r="T251" s="217">
        <f t="shared" si="753"/>
        <v>7.9701582734258887</v>
      </c>
      <c r="U251" s="217">
        <f t="shared" si="630"/>
        <v>1.1288187353892083</v>
      </c>
      <c r="V251" s="217">
        <f t="shared" si="631"/>
        <v>6.0354770807903932</v>
      </c>
      <c r="W251" s="197">
        <f t="shared" si="632"/>
        <v>111.24831355269215</v>
      </c>
      <c r="X251" s="443">
        <f t="shared" si="691"/>
        <v>135.79030839621717</v>
      </c>
      <c r="Z251" s="217">
        <f t="shared" si="633"/>
        <v>10</v>
      </c>
      <c r="AA251" s="173">
        <f t="shared" si="634"/>
        <v>7.572593760043496</v>
      </c>
      <c r="AB251" s="173">
        <f t="shared" si="754"/>
        <v>4.1567678537392041</v>
      </c>
      <c r="AC251" s="173"/>
      <c r="AD251" s="173">
        <f t="shared" si="636"/>
        <v>7.572593760043496</v>
      </c>
      <c r="AE251" s="545">
        <f t="shared" si="755"/>
        <v>92.438604549675361</v>
      </c>
      <c r="AF251" s="528">
        <f t="shared" si="756"/>
        <v>4.2121914251223949</v>
      </c>
      <c r="AH251" s="173">
        <f t="shared" si="757"/>
        <v>5.0332229568471663</v>
      </c>
      <c r="AI251" s="173">
        <f t="shared" si="758"/>
        <v>10</v>
      </c>
      <c r="AJ251" s="173">
        <f t="shared" si="759"/>
        <v>1.0528220597426716</v>
      </c>
      <c r="AL251" s="545">
        <f t="shared" si="760"/>
        <v>3500</v>
      </c>
      <c r="AM251" s="460">
        <f t="shared" si="761"/>
        <v>92.438604549675361</v>
      </c>
      <c r="AO251">
        <f t="shared" si="644"/>
        <v>3500</v>
      </c>
      <c r="AP251">
        <f t="shared" si="645"/>
        <v>92.438604549675361</v>
      </c>
      <c r="AR251" s="5">
        <f t="shared" si="616"/>
        <v>10.817991085776423</v>
      </c>
      <c r="AS251" s="5">
        <f t="shared" si="739"/>
        <v>1.4163065483315647</v>
      </c>
      <c r="AT251" s="5">
        <f t="shared" si="740"/>
        <v>9.4016845374448579</v>
      </c>
      <c r="AU251" s="173">
        <f t="shared" si="741"/>
        <v>0.13092140094233717</v>
      </c>
      <c r="BA251" s="173">
        <f t="shared" si="692"/>
        <v>2.0890300854889348</v>
      </c>
      <c r="BB251" s="173">
        <f t="shared" si="693"/>
        <v>5.382312387371754</v>
      </c>
      <c r="BC251" s="173">
        <f t="shared" si="694"/>
        <v>0.13255263448115537</v>
      </c>
      <c r="BD251" s="173"/>
      <c r="BE251" s="528">
        <f t="shared" si="695"/>
        <v>8.7280933961558116E-2</v>
      </c>
      <c r="BF251" s="528">
        <f t="shared" si="762"/>
        <v>1.7431732002320768</v>
      </c>
      <c r="BG251" s="528">
        <f t="shared" si="763"/>
        <v>0.19580211217388585</v>
      </c>
      <c r="BH251" s="528">
        <f t="shared" si="696"/>
        <v>9.3502916176090828E-2</v>
      </c>
      <c r="BI251">
        <f t="shared" si="697"/>
        <v>3.8127339073319264E-2</v>
      </c>
      <c r="BJ251" s="460">
        <f t="shared" si="698"/>
        <v>233.92945124720509</v>
      </c>
      <c r="BK251">
        <f t="shared" si="764"/>
        <v>1.9887658286756831</v>
      </c>
      <c r="BL251" s="460">
        <f t="shared" si="699"/>
        <v>2157.8865016169311</v>
      </c>
      <c r="BM251" s="173">
        <f t="shared" si="765"/>
        <v>2.1743749999999995</v>
      </c>
      <c r="BN251" s="173">
        <f t="shared" si="766"/>
        <v>3.8828124999999998E-2</v>
      </c>
      <c r="BQ251" s="460">
        <f t="shared" si="700"/>
        <v>2213.2031249999995</v>
      </c>
      <c r="BR251" s="528">
        <f t="shared" si="701"/>
        <v>0.13092140094233717</v>
      </c>
      <c r="BS251" s="528">
        <f t="shared" si="702"/>
        <v>0.86907859905766283</v>
      </c>
      <c r="BT251" s="528">
        <f t="shared" si="703"/>
        <v>8.7851004539473896E-5</v>
      </c>
      <c r="BU251" s="528">
        <f t="shared" si="704"/>
        <v>1.2989829665270141</v>
      </c>
      <c r="BV251" s="528"/>
      <c r="BW251" s="625">
        <f t="shared" si="705"/>
        <v>9.2438604549675372E-3</v>
      </c>
      <c r="BX251" s="460">
        <f t="shared" si="706"/>
        <v>2308.314677986521</v>
      </c>
      <c r="BY251" s="173">
        <f t="shared" si="707"/>
        <v>6.6794043046034517</v>
      </c>
      <c r="BZ251" s="5">
        <f t="shared" si="708"/>
        <v>53.2</v>
      </c>
      <c r="CA251" s="173">
        <f t="shared" si="709"/>
        <v>0.8884523922344707</v>
      </c>
      <c r="CB251" s="5">
        <f t="shared" si="710"/>
        <v>88.845239223447066</v>
      </c>
      <c r="CC251">
        <f t="shared" si="711"/>
        <v>35</v>
      </c>
      <c r="CE251" s="562">
        <f t="shared" si="767"/>
        <v>-50</v>
      </c>
      <c r="CG251" s="173">
        <f t="shared" si="768"/>
        <v>0.71614709848373104</v>
      </c>
      <c r="CH251" s="173">
        <f t="shared" si="769"/>
        <v>8.3944481387486169E-2</v>
      </c>
      <c r="CI251" s="170">
        <v>35</v>
      </c>
      <c r="CJ251" s="217">
        <f t="shared" si="712"/>
        <v>3.5</v>
      </c>
      <c r="CK251" s="217">
        <f t="shared" si="654"/>
        <v>8.7499999999999994E-2</v>
      </c>
      <c r="CL251" s="217">
        <f t="shared" si="655"/>
        <v>52.5</v>
      </c>
      <c r="CM251" s="217">
        <f t="shared" si="656"/>
        <v>0.7</v>
      </c>
      <c r="CN251" s="541">
        <f t="shared" si="657"/>
        <v>85</v>
      </c>
      <c r="CO251" s="443">
        <f t="shared" si="770"/>
        <v>15.7</v>
      </c>
      <c r="CP251" s="443">
        <f t="shared" si="771"/>
        <v>100.7</v>
      </c>
      <c r="CQ251" s="443"/>
      <c r="CR251" s="217">
        <f t="shared" si="660"/>
        <v>0.15338645418326693</v>
      </c>
      <c r="CS251" s="172">
        <f t="shared" si="661"/>
        <v>321.65744915076539</v>
      </c>
      <c r="CT251" s="172">
        <f t="shared" si="662"/>
        <v>4.3459495351925632</v>
      </c>
      <c r="CU251" s="217">
        <f t="shared" si="663"/>
        <v>21.443829943384358</v>
      </c>
      <c r="CV251" s="217">
        <f t="shared" si="664"/>
        <v>40.207181143845673</v>
      </c>
      <c r="CW251" s="217">
        <f t="shared" si="665"/>
        <v>15</v>
      </c>
      <c r="CX251" s="217">
        <f t="shared" si="666"/>
        <v>8.1608556149732614</v>
      </c>
      <c r="CY251" s="217">
        <f t="shared" si="667"/>
        <v>1.1521207927021075</v>
      </c>
      <c r="CZ251" s="217">
        <f t="shared" si="668"/>
        <v>6.237596648387207</v>
      </c>
      <c r="DA251" s="197">
        <f t="shared" si="669"/>
        <v>110.43528632903013</v>
      </c>
      <c r="DB251" s="443">
        <f t="shared" si="670"/>
        <v>135.32317141649608</v>
      </c>
      <c r="DD251" s="217">
        <f t="shared" si="671"/>
        <v>9.9999999999999982</v>
      </c>
      <c r="DE251" s="173">
        <f t="shared" si="672"/>
        <v>7.6433121019108263</v>
      </c>
      <c r="DF251" s="173">
        <f t="shared" si="673"/>
        <v>4.1649244760361679</v>
      </c>
      <c r="DG251" s="173"/>
      <c r="DH251" s="173">
        <f t="shared" si="674"/>
        <v>7.6433121019108281</v>
      </c>
      <c r="DI251" s="545">
        <f t="shared" si="675"/>
        <v>91.583333333333343</v>
      </c>
      <c r="DJ251" s="528">
        <f t="shared" si="676"/>
        <v>4.2204568023833167</v>
      </c>
      <c r="DL251" s="173">
        <f t="shared" si="677"/>
        <v>5.0332229568471663</v>
      </c>
      <c r="DM251" s="173">
        <f t="shared" si="678"/>
        <v>10</v>
      </c>
      <c r="DN251" s="173">
        <f t="shared" si="679"/>
        <v>1.0523333333333333</v>
      </c>
      <c r="DP251" s="545">
        <f t="shared" si="680"/>
        <v>3500</v>
      </c>
      <c r="DQ251" s="460">
        <f t="shared" si="681"/>
        <v>91.583333333333343</v>
      </c>
      <c r="DS251">
        <f t="shared" si="682"/>
        <v>3500</v>
      </c>
      <c r="DT251">
        <f t="shared" si="683"/>
        <v>91.583333333333343</v>
      </c>
      <c r="DV251" s="5">
        <f t="shared" si="684"/>
        <v>10.919017288444039</v>
      </c>
      <c r="DW251" s="5">
        <f t="shared" si="685"/>
        <v>1.4117647058823528</v>
      </c>
      <c r="DX251" s="5">
        <f t="shared" si="686"/>
        <v>9.5072525825616854</v>
      </c>
      <c r="DY251" s="173">
        <f t="shared" si="687"/>
        <v>0.12929411764705884</v>
      </c>
      <c r="EA251" s="5">
        <f t="shared" si="713"/>
        <v>32.941176470588232</v>
      </c>
      <c r="EB251" s="5">
        <f t="shared" si="714"/>
        <v>1.5441176470588232</v>
      </c>
      <c r="EC251" s="5">
        <f t="shared" si="715"/>
        <v>1.631146276419897</v>
      </c>
      <c r="ED251" s="5"/>
      <c r="EE251" s="173">
        <f t="shared" si="716"/>
        <v>2.0760067248370433</v>
      </c>
      <c r="EF251" s="173">
        <f t="shared" si="717"/>
        <v>5.3873490152174766</v>
      </c>
      <c r="EG251" s="173">
        <f t="shared" si="718"/>
        <v>0.13267667378653236</v>
      </c>
      <c r="EH251" s="173"/>
      <c r="EI251" s="528">
        <f t="shared" si="719"/>
        <v>8.6196078431372544E-2</v>
      </c>
      <c r="EJ251" s="528">
        <f t="shared" si="720"/>
        <v>1.8444883333333335</v>
      </c>
      <c r="EK251" s="528">
        <f t="shared" si="721"/>
        <v>1.1447916666666667E-2</v>
      </c>
      <c r="EL251" s="528">
        <f t="shared" si="722"/>
        <v>9.2869987583333341E-2</v>
      </c>
      <c r="EM251">
        <f t="shared" si="723"/>
        <v>3.8249999999999999E-2</v>
      </c>
      <c r="EN251" s="460">
        <f t="shared" si="724"/>
        <v>49.697916666666671</v>
      </c>
      <c r="EP251" s="460">
        <f t="shared" si="725"/>
        <v>2073.2523160147061</v>
      </c>
      <c r="EQ251" s="173">
        <f t="shared" si="726"/>
        <v>2.4499999999999997</v>
      </c>
      <c r="ER251" s="173">
        <f t="shared" si="772"/>
        <v>3.8828124999999998E-2</v>
      </c>
      <c r="ES251" s="528"/>
      <c r="EU251" s="460">
        <f t="shared" si="727"/>
        <v>2488.828125</v>
      </c>
      <c r="EV251" s="528">
        <f t="shared" si="728"/>
        <v>0.12929411764705881</v>
      </c>
      <c r="EW251" s="528">
        <f t="shared" si="729"/>
        <v>0.87070588235294133</v>
      </c>
      <c r="EX251" s="528">
        <f t="shared" si="730"/>
        <v>8.8015498835289621E-5</v>
      </c>
      <c r="EY251" s="528">
        <f t="shared" si="731"/>
        <v>1.2691446409612468</v>
      </c>
      <c r="EZ251" s="528"/>
      <c r="FA251" s="625">
        <f t="shared" si="732"/>
        <v>9.1583333333333343E-3</v>
      </c>
      <c r="FB251" s="460">
        <f t="shared" si="733"/>
        <v>2278.3909897934154</v>
      </c>
      <c r="FC251" s="173">
        <f t="shared" si="734"/>
        <v>6.8404714308081207</v>
      </c>
      <c r="FD251" s="5">
        <f t="shared" si="735"/>
        <v>53.2</v>
      </c>
      <c r="FE251" s="173">
        <f t="shared" si="736"/>
        <v>0.88606899200164968</v>
      </c>
      <c r="FF251" s="5">
        <f t="shared" si="737"/>
        <v>88.606899200164975</v>
      </c>
      <c r="FG251">
        <f t="shared" si="738"/>
        <v>35</v>
      </c>
      <c r="FI251" s="562">
        <f t="shared" si="689"/>
        <v>-50</v>
      </c>
    </row>
    <row r="252" spans="5:165">
      <c r="E252" s="170">
        <v>36</v>
      </c>
      <c r="F252" s="217">
        <f t="shared" si="773"/>
        <v>3.5999999999999996</v>
      </c>
      <c r="G252" s="217">
        <f t="shared" si="742"/>
        <v>0.09</v>
      </c>
      <c r="H252" s="217">
        <f t="shared" si="743"/>
        <v>53.999999999999993</v>
      </c>
      <c r="I252" s="217">
        <f t="shared" si="744"/>
        <v>0.72</v>
      </c>
      <c r="J252" s="541">
        <f t="shared" si="745"/>
        <v>84.727420162931693</v>
      </c>
      <c r="K252" s="443">
        <f t="shared" si="746"/>
        <v>15.846617922801491</v>
      </c>
      <c r="L252" s="172">
        <f t="shared" si="747"/>
        <v>100.57403808573318</v>
      </c>
      <c r="M252" s="443"/>
      <c r="N252" s="217">
        <f t="shared" si="748"/>
        <v>0.15756171497552104</v>
      </c>
      <c r="O252" s="172">
        <f t="shared" si="749"/>
        <v>329.35355985994391</v>
      </c>
      <c r="P252" s="172">
        <f t="shared" si="750"/>
        <v>4.4499325421076863</v>
      </c>
      <c r="Q252" s="217">
        <f t="shared" si="626"/>
        <v>21.956903990662926</v>
      </c>
      <c r="R252" s="217">
        <f t="shared" si="751"/>
        <v>41.169194982492989</v>
      </c>
      <c r="S252" s="217">
        <f t="shared" si="752"/>
        <v>15</v>
      </c>
      <c r="T252" s="217">
        <f t="shared" si="753"/>
        <v>8.1978770812380546</v>
      </c>
      <c r="U252" s="217">
        <f t="shared" si="630"/>
        <v>1.1610706992574711</v>
      </c>
      <c r="V252" s="217">
        <f t="shared" si="631"/>
        <v>6.207919283098688</v>
      </c>
      <c r="W252" s="197">
        <f t="shared" si="632"/>
        <v>111.24831355269215</v>
      </c>
      <c r="X252" s="443">
        <f t="shared" si="691"/>
        <v>132.11802398088378</v>
      </c>
      <c r="Z252" s="217">
        <f t="shared" si="633"/>
        <v>10</v>
      </c>
      <c r="AA252" s="173">
        <f t="shared" si="634"/>
        <v>7.572593760043496</v>
      </c>
      <c r="AB252" s="173">
        <f t="shared" si="754"/>
        <v>4.1567678537392041</v>
      </c>
      <c r="AC252" s="173"/>
      <c r="AD252" s="173">
        <f t="shared" si="636"/>
        <v>7.572593760043496</v>
      </c>
      <c r="AE252" s="545">
        <f t="shared" si="755"/>
        <v>95.079707536808925</v>
      </c>
      <c r="AF252" s="528">
        <f t="shared" si="756"/>
        <v>4.2121914251223949</v>
      </c>
      <c r="AH252" s="173">
        <f t="shared" si="757"/>
        <v>5.1046197563719531</v>
      </c>
      <c r="AI252" s="173">
        <f t="shared" si="758"/>
        <v>10</v>
      </c>
      <c r="AJ252" s="173">
        <f t="shared" si="759"/>
        <v>1.054331261449605</v>
      </c>
      <c r="AL252" s="545">
        <f t="shared" si="760"/>
        <v>3599.9999999999995</v>
      </c>
      <c r="AM252" s="460">
        <f t="shared" si="761"/>
        <v>95.079707536808925</v>
      </c>
      <c r="AO252">
        <f t="shared" si="644"/>
        <v>3599.9999999999995</v>
      </c>
      <c r="AP252">
        <f t="shared" si="645"/>
        <v>95.079707536808925</v>
      </c>
      <c r="AR252" s="5">
        <f t="shared" si="616"/>
        <v>10.517491333393746</v>
      </c>
      <c r="AS252" s="5">
        <f t="shared" si="739"/>
        <v>1.4163065483315647</v>
      </c>
      <c r="AT252" s="5">
        <f t="shared" si="740"/>
        <v>9.1011847850621805</v>
      </c>
      <c r="AU252" s="173">
        <f t="shared" si="741"/>
        <v>0.13466201239783251</v>
      </c>
      <c r="BA252" s="173">
        <f t="shared" si="692"/>
        <v>2.1186631980082198</v>
      </c>
      <c r="BB252" s="173">
        <f t="shared" si="693"/>
        <v>5.3707168596695656</v>
      </c>
      <c r="BC252" s="173">
        <f t="shared" si="694"/>
        <v>0.13226706619107795</v>
      </c>
      <c r="BD252" s="173"/>
      <c r="BE252" s="528">
        <f t="shared" si="695"/>
        <v>8.9774674931888343E-2</v>
      </c>
      <c r="BF252" s="528">
        <f t="shared" si="762"/>
        <v>1.792978148810136</v>
      </c>
      <c r="BG252" s="528">
        <f t="shared" si="763"/>
        <v>0.20139645823599681</v>
      </c>
      <c r="BH252" s="528">
        <f t="shared" si="696"/>
        <v>9.6174428066836251E-2</v>
      </c>
      <c r="BI252">
        <f t="shared" si="697"/>
        <v>3.8127339073319264E-2</v>
      </c>
      <c r="BJ252" s="460">
        <f t="shared" si="698"/>
        <v>239.52379730931605</v>
      </c>
      <c r="BK252">
        <f t="shared" si="764"/>
        <v>2.0468261633007629</v>
      </c>
      <c r="BL252" s="460">
        <f t="shared" si="699"/>
        <v>2218.4510491181768</v>
      </c>
      <c r="BM252" s="173">
        <f t="shared" si="765"/>
        <v>2.2364999999999995</v>
      </c>
      <c r="BN252" s="173">
        <f t="shared" si="766"/>
        <v>3.9937499999999994E-2</v>
      </c>
      <c r="BQ252" s="460">
        <f t="shared" si="700"/>
        <v>2276.4374999999995</v>
      </c>
      <c r="BR252" s="528">
        <f t="shared" si="701"/>
        <v>0.13466201239783251</v>
      </c>
      <c r="BS252" s="528">
        <f t="shared" si="702"/>
        <v>0.86533798760216751</v>
      </c>
      <c r="BT252" s="528">
        <f t="shared" si="703"/>
        <v>8.7472883993974991E-5</v>
      </c>
      <c r="BU252" s="528">
        <f t="shared" si="704"/>
        <v>1.3937651376492839</v>
      </c>
      <c r="BV252" s="528"/>
      <c r="BW252" s="625">
        <f t="shared" si="705"/>
        <v>9.507970753680893E-3</v>
      </c>
      <c r="BX252" s="460">
        <f t="shared" si="706"/>
        <v>2403.3605812869587</v>
      </c>
      <c r="BY252" s="173">
        <f t="shared" si="707"/>
        <v>6.8982491304051345</v>
      </c>
      <c r="BZ252" s="5">
        <f t="shared" si="708"/>
        <v>54.719999999999992</v>
      </c>
      <c r="CA252" s="173">
        <f t="shared" si="709"/>
        <v>0.88804860203336677</v>
      </c>
      <c r="CB252" s="5">
        <f t="shared" si="710"/>
        <v>88.804860203336673</v>
      </c>
      <c r="CC252">
        <f t="shared" si="711"/>
        <v>36</v>
      </c>
      <c r="CE252" s="562">
        <f t="shared" si="767"/>
        <v>-50</v>
      </c>
      <c r="CG252" s="173">
        <f t="shared" si="768"/>
        <v>0.73660844415469462</v>
      </c>
      <c r="CH252" s="173">
        <f t="shared" si="769"/>
        <v>8.6342895141414355E-2</v>
      </c>
      <c r="CI252" s="170">
        <v>36</v>
      </c>
      <c r="CJ252" s="217">
        <f t="shared" si="712"/>
        <v>3.5999999999999996</v>
      </c>
      <c r="CK252" s="217">
        <f t="shared" si="654"/>
        <v>0.09</v>
      </c>
      <c r="CL252" s="217">
        <f t="shared" si="655"/>
        <v>53.999999999999993</v>
      </c>
      <c r="CM252" s="217">
        <f t="shared" si="656"/>
        <v>0.72</v>
      </c>
      <c r="CN252" s="541">
        <f t="shared" si="657"/>
        <v>85</v>
      </c>
      <c r="CO252" s="443">
        <f t="shared" si="770"/>
        <v>15.7</v>
      </c>
      <c r="CP252" s="443">
        <f t="shared" si="771"/>
        <v>100.7</v>
      </c>
      <c r="CQ252" s="443"/>
      <c r="CR252" s="217">
        <f t="shared" si="660"/>
        <v>0.15338645418326693</v>
      </c>
      <c r="CS252" s="172">
        <f t="shared" si="661"/>
        <v>321.65744915076539</v>
      </c>
      <c r="CT252" s="172">
        <f t="shared" si="662"/>
        <v>4.3459495351925632</v>
      </c>
      <c r="CU252" s="217">
        <f t="shared" si="663"/>
        <v>21.443829943384358</v>
      </c>
      <c r="CV252" s="217">
        <f t="shared" si="664"/>
        <v>40.207181143845673</v>
      </c>
      <c r="CW252" s="217">
        <f t="shared" si="665"/>
        <v>15</v>
      </c>
      <c r="CX252" s="217">
        <f t="shared" si="666"/>
        <v>8.3940229182582105</v>
      </c>
      <c r="CY252" s="217">
        <f t="shared" si="667"/>
        <v>1.1850385296364534</v>
      </c>
      <c r="CZ252" s="217">
        <f t="shared" si="668"/>
        <v>6.4158136954839833</v>
      </c>
      <c r="DA252" s="197">
        <f t="shared" si="669"/>
        <v>110.43528632903013</v>
      </c>
      <c r="DB252" s="443">
        <f t="shared" si="670"/>
        <v>131.56419443270454</v>
      </c>
      <c r="DD252" s="217">
        <f t="shared" si="671"/>
        <v>9.9999999999999982</v>
      </c>
      <c r="DE252" s="173">
        <f t="shared" si="672"/>
        <v>7.6433121019108263</v>
      </c>
      <c r="DF252" s="173">
        <f t="shared" si="673"/>
        <v>4.1649244760361679</v>
      </c>
      <c r="DG252" s="173"/>
      <c r="DH252" s="173">
        <f t="shared" si="674"/>
        <v>7.6433121019108281</v>
      </c>
      <c r="DI252" s="545">
        <f t="shared" si="675"/>
        <v>94.2</v>
      </c>
      <c r="DJ252" s="528">
        <f t="shared" si="676"/>
        <v>4.2204568023833167</v>
      </c>
      <c r="DL252" s="173">
        <f t="shared" si="677"/>
        <v>5.1046197563719531</v>
      </c>
      <c r="DM252" s="173">
        <f t="shared" si="678"/>
        <v>10</v>
      </c>
      <c r="DN252" s="173">
        <f t="shared" si="679"/>
        <v>1.0538285714285713</v>
      </c>
      <c r="DP252" s="545">
        <f t="shared" si="680"/>
        <v>3599.9999999999995</v>
      </c>
      <c r="DQ252" s="460">
        <f t="shared" si="681"/>
        <v>94.2</v>
      </c>
      <c r="DS252">
        <f t="shared" si="682"/>
        <v>3599.9999999999995</v>
      </c>
      <c r="DT252">
        <f t="shared" si="683"/>
        <v>94.2</v>
      </c>
      <c r="DV252" s="5">
        <f t="shared" si="684"/>
        <v>10.615711252653927</v>
      </c>
      <c r="DW252" s="5">
        <f t="shared" si="685"/>
        <v>1.4117647058823528</v>
      </c>
      <c r="DX252" s="5">
        <f t="shared" si="686"/>
        <v>9.203946546771574</v>
      </c>
      <c r="DY252" s="173">
        <f t="shared" si="687"/>
        <v>0.13298823529411763</v>
      </c>
      <c r="EA252" s="5">
        <f t="shared" si="713"/>
        <v>33.882352941176464</v>
      </c>
      <c r="EB252" s="5">
        <f t="shared" si="714"/>
        <v>1.5882352941176467</v>
      </c>
      <c r="EC252" s="5">
        <f t="shared" si="715"/>
        <v>1.6242258611949836</v>
      </c>
      <c r="ED252" s="5"/>
      <c r="EE252" s="173">
        <f t="shared" si="716"/>
        <v>2.1054550996092476</v>
      </c>
      <c r="EF252" s="173">
        <f t="shared" si="717"/>
        <v>5.375908495953289</v>
      </c>
      <c r="EG252" s="173">
        <f t="shared" si="718"/>
        <v>0.13239492295916336</v>
      </c>
      <c r="EH252" s="173"/>
      <c r="EI252" s="528">
        <f t="shared" si="719"/>
        <v>8.8658823529411748E-2</v>
      </c>
      <c r="EJ252" s="528">
        <f t="shared" si="720"/>
        <v>1.8971880000000003</v>
      </c>
      <c r="EK252" s="528">
        <f t="shared" si="721"/>
        <v>1.1775000000000001E-2</v>
      </c>
      <c r="EL252" s="528">
        <f t="shared" si="722"/>
        <v>9.5523415800000011E-2</v>
      </c>
      <c r="EM252">
        <f t="shared" si="723"/>
        <v>3.8249999999999999E-2</v>
      </c>
      <c r="EN252" s="460">
        <f t="shared" si="724"/>
        <v>50.024999999999999</v>
      </c>
      <c r="EP252" s="460">
        <f t="shared" si="725"/>
        <v>2131.3952393294121</v>
      </c>
      <c r="EQ252" s="173">
        <f t="shared" si="726"/>
        <v>2.5199999999999996</v>
      </c>
      <c r="ER252" s="173">
        <f t="shared" si="772"/>
        <v>3.9937499999999994E-2</v>
      </c>
      <c r="ES252" s="528"/>
      <c r="EU252" s="460">
        <f t="shared" si="727"/>
        <v>2559.9374999999995</v>
      </c>
      <c r="EV252" s="528">
        <f t="shared" si="728"/>
        <v>0.1329882352941176</v>
      </c>
      <c r="EW252" s="528">
        <f t="shared" si="729"/>
        <v>0.86701176470588259</v>
      </c>
      <c r="EX252" s="528">
        <f t="shared" si="730"/>
        <v>8.7642078126814004E-5</v>
      </c>
      <c r="EY252" s="528">
        <f t="shared" si="731"/>
        <v>1.3617496154976798</v>
      </c>
      <c r="EZ252" s="528"/>
      <c r="FA252" s="625">
        <f t="shared" si="732"/>
        <v>9.4200000000000013E-3</v>
      </c>
      <c r="FB252" s="460">
        <f t="shared" si="733"/>
        <v>2371.2572575758068</v>
      </c>
      <c r="FC252" s="173">
        <f t="shared" si="734"/>
        <v>7.0625899969052188</v>
      </c>
      <c r="FD252" s="5">
        <f t="shared" si="735"/>
        <v>54.719999999999992</v>
      </c>
      <c r="FE252" s="173">
        <f t="shared" si="736"/>
        <v>0.88568640458001202</v>
      </c>
      <c r="FF252" s="5">
        <f t="shared" si="737"/>
        <v>88.568640458001198</v>
      </c>
      <c r="FG252">
        <f t="shared" si="738"/>
        <v>36</v>
      </c>
      <c r="FI252" s="562">
        <f t="shared" si="689"/>
        <v>-50</v>
      </c>
    </row>
    <row r="253" spans="5:165">
      <c r="E253" s="170">
        <v>37</v>
      </c>
      <c r="F253" s="217">
        <f t="shared" si="773"/>
        <v>3.7</v>
      </c>
      <c r="G253" s="217">
        <f t="shared" si="742"/>
        <v>9.2499999999999999E-2</v>
      </c>
      <c r="H253" s="217">
        <f t="shared" si="743"/>
        <v>55.5</v>
      </c>
      <c r="I253" s="217">
        <f t="shared" si="744"/>
        <v>0.74</v>
      </c>
      <c r="J253" s="541">
        <f t="shared" si="745"/>
        <v>84.727420162931693</v>
      </c>
      <c r="K253" s="443">
        <f t="shared" si="746"/>
        <v>15.846617922801491</v>
      </c>
      <c r="L253" s="172">
        <f t="shared" si="747"/>
        <v>100.57403808573318</v>
      </c>
      <c r="M253" s="443"/>
      <c r="N253" s="217">
        <f t="shared" si="748"/>
        <v>0.15756171497552104</v>
      </c>
      <c r="O253" s="172">
        <f t="shared" si="749"/>
        <v>329.35355985994391</v>
      </c>
      <c r="P253" s="172">
        <f t="shared" si="750"/>
        <v>4.4499325421076863</v>
      </c>
      <c r="Q253" s="217">
        <f t="shared" si="626"/>
        <v>21.956903990662926</v>
      </c>
      <c r="R253" s="217">
        <f t="shared" si="751"/>
        <v>41.169194982492989</v>
      </c>
      <c r="S253" s="217">
        <f t="shared" si="752"/>
        <v>15</v>
      </c>
      <c r="T253" s="217">
        <f t="shared" si="753"/>
        <v>8.4255958890502249</v>
      </c>
      <c r="U253" s="217">
        <f t="shared" si="630"/>
        <v>1.1933226631257345</v>
      </c>
      <c r="V253" s="217">
        <f t="shared" si="631"/>
        <v>6.3803614854069863</v>
      </c>
      <c r="W253" s="197">
        <f t="shared" si="632"/>
        <v>111.24831355269215</v>
      </c>
      <c r="X253" s="443">
        <f t="shared" si="691"/>
        <v>128.63913440434155</v>
      </c>
      <c r="Z253" s="217">
        <f t="shared" si="633"/>
        <v>10</v>
      </c>
      <c r="AA253" s="173">
        <f t="shared" si="634"/>
        <v>7.572593760043496</v>
      </c>
      <c r="AB253" s="173">
        <f t="shared" si="754"/>
        <v>4.1567678537392041</v>
      </c>
      <c r="AC253" s="173"/>
      <c r="AD253" s="173">
        <f t="shared" si="636"/>
        <v>7.572593760043496</v>
      </c>
      <c r="AE253" s="545">
        <f t="shared" si="755"/>
        <v>97.720810523942532</v>
      </c>
      <c r="AF253" s="528">
        <f t="shared" si="756"/>
        <v>4.2121914251223949</v>
      </c>
      <c r="AH253" s="173">
        <f t="shared" si="757"/>
        <v>5.1750316309132236</v>
      </c>
      <c r="AI253" s="173">
        <f t="shared" si="758"/>
        <v>10</v>
      </c>
      <c r="AJ253" s="173">
        <f t="shared" si="759"/>
        <v>1.0558404631565386</v>
      </c>
      <c r="AL253" s="545">
        <f t="shared" si="760"/>
        <v>3700</v>
      </c>
      <c r="AM253" s="460">
        <f t="shared" si="761"/>
        <v>97.720810523942532</v>
      </c>
      <c r="AO253">
        <f t="shared" si="644"/>
        <v>3700</v>
      </c>
      <c r="AP253">
        <f t="shared" si="645"/>
        <v>97.720810523942532</v>
      </c>
      <c r="AR253" s="5">
        <f t="shared" si="616"/>
        <v>10.23323481086959</v>
      </c>
      <c r="AS253" s="5">
        <f t="shared" si="739"/>
        <v>1.4163065483315647</v>
      </c>
      <c r="AT253" s="5">
        <f t="shared" si="740"/>
        <v>8.8169282625380241</v>
      </c>
      <c r="AU253" s="173">
        <f t="shared" si="741"/>
        <v>0.13840262385332788</v>
      </c>
      <c r="BA253" s="173">
        <f t="shared" si="692"/>
        <v>2.1478875191943665</v>
      </c>
      <c r="BB253" s="173">
        <f t="shared" si="693"/>
        <v>5.3590962426721163</v>
      </c>
      <c r="BC253" s="173">
        <f t="shared" si="694"/>
        <v>0.13198088001561137</v>
      </c>
      <c r="BD253" s="173"/>
      <c r="BE253" s="528">
        <f t="shared" si="695"/>
        <v>9.2268415902218612E-2</v>
      </c>
      <c r="BF253" s="528">
        <f t="shared" si="762"/>
        <v>1.8427830973881958</v>
      </c>
      <c r="BG253" s="528">
        <f t="shared" si="763"/>
        <v>0.2069908042981079</v>
      </c>
      <c r="BH253" s="528">
        <f t="shared" si="696"/>
        <v>9.884593995758173E-2</v>
      </c>
      <c r="BI253">
        <f t="shared" si="697"/>
        <v>3.8127339073319264E-2</v>
      </c>
      <c r="BJ253" s="460">
        <f t="shared" si="698"/>
        <v>245.11814337142718</v>
      </c>
      <c r="BK253">
        <f t="shared" si="764"/>
        <v>2.1049568430903802</v>
      </c>
      <c r="BL253" s="460">
        <f t="shared" si="699"/>
        <v>2279.0155966194238</v>
      </c>
      <c r="BM253" s="173">
        <f t="shared" si="765"/>
        <v>2.2986249999999999</v>
      </c>
      <c r="BN253" s="173">
        <f t="shared" si="766"/>
        <v>4.1046874999999997E-2</v>
      </c>
      <c r="BQ253" s="460">
        <f t="shared" si="700"/>
        <v>2339.671875</v>
      </c>
      <c r="BR253" s="528">
        <f t="shared" si="701"/>
        <v>0.13840262385332791</v>
      </c>
      <c r="BS253" s="528">
        <f t="shared" si="702"/>
        <v>0.86159737614667187</v>
      </c>
      <c r="BT253" s="528">
        <f t="shared" si="703"/>
        <v>8.7094763448476031E-5</v>
      </c>
      <c r="BU253" s="528">
        <f t="shared" si="704"/>
        <v>1.4925801291725036</v>
      </c>
      <c r="BV253" s="528"/>
      <c r="BW253" s="625">
        <f t="shared" si="705"/>
        <v>9.772081052394254E-3</v>
      </c>
      <c r="BX253" s="460">
        <f t="shared" si="706"/>
        <v>2502.4393049883461</v>
      </c>
      <c r="BY253" s="173">
        <f t="shared" si="707"/>
        <v>7.1211267766077695</v>
      </c>
      <c r="BZ253" s="5">
        <f t="shared" si="708"/>
        <v>56.24</v>
      </c>
      <c r="CA253" s="173">
        <f t="shared" si="709"/>
        <v>0.88761047760853884</v>
      </c>
      <c r="CB253" s="5">
        <f t="shared" si="710"/>
        <v>88.761047760853884</v>
      </c>
      <c r="CC253">
        <f t="shared" si="711"/>
        <v>37</v>
      </c>
      <c r="CE253" s="562">
        <f t="shared" si="767"/>
        <v>-50</v>
      </c>
      <c r="CG253" s="173">
        <f t="shared" si="768"/>
        <v>0.75706978982565853</v>
      </c>
      <c r="CH253" s="173">
        <f t="shared" si="769"/>
        <v>8.8741308895342541E-2</v>
      </c>
      <c r="CI253" s="170">
        <v>37</v>
      </c>
      <c r="CJ253" s="217">
        <f t="shared" si="712"/>
        <v>3.7</v>
      </c>
      <c r="CK253" s="217">
        <f t="shared" si="654"/>
        <v>9.2499999999999999E-2</v>
      </c>
      <c r="CL253" s="217">
        <f t="shared" si="655"/>
        <v>55.5</v>
      </c>
      <c r="CM253" s="217">
        <f t="shared" si="656"/>
        <v>0.74</v>
      </c>
      <c r="CN253" s="541">
        <f t="shared" si="657"/>
        <v>85</v>
      </c>
      <c r="CO253" s="443">
        <f t="shared" si="770"/>
        <v>15.7</v>
      </c>
      <c r="CP253" s="443">
        <f t="shared" si="771"/>
        <v>100.7</v>
      </c>
      <c r="CQ253" s="443"/>
      <c r="CR253" s="217">
        <f t="shared" si="660"/>
        <v>0.15338645418326693</v>
      </c>
      <c r="CS253" s="172">
        <f t="shared" si="661"/>
        <v>321.65744915076539</v>
      </c>
      <c r="CT253" s="172">
        <f t="shared" si="662"/>
        <v>4.3459495351925632</v>
      </c>
      <c r="CU253" s="217">
        <f t="shared" si="663"/>
        <v>21.443829943384358</v>
      </c>
      <c r="CV253" s="217">
        <f t="shared" si="664"/>
        <v>40.207181143845673</v>
      </c>
      <c r="CW253" s="217">
        <f t="shared" si="665"/>
        <v>15</v>
      </c>
      <c r="CX253" s="217">
        <f t="shared" si="666"/>
        <v>8.6271902215431631</v>
      </c>
      <c r="CY253" s="217">
        <f t="shared" si="667"/>
        <v>1.2179562665707995</v>
      </c>
      <c r="CZ253" s="217">
        <f t="shared" si="668"/>
        <v>6.5940307425807623</v>
      </c>
      <c r="DA253" s="197">
        <f t="shared" si="669"/>
        <v>110.43528632903013</v>
      </c>
      <c r="DB253" s="443">
        <f t="shared" si="670"/>
        <v>128.00840539398274</v>
      </c>
      <c r="DD253" s="217">
        <f t="shared" si="671"/>
        <v>9.9999999999999982</v>
      </c>
      <c r="DE253" s="173">
        <f t="shared" si="672"/>
        <v>7.6433121019108263</v>
      </c>
      <c r="DF253" s="173">
        <f t="shared" si="673"/>
        <v>4.1649244760361679</v>
      </c>
      <c r="DG253" s="173"/>
      <c r="DH253" s="173">
        <f t="shared" si="674"/>
        <v>7.6433121019108281</v>
      </c>
      <c r="DI253" s="545">
        <f t="shared" si="675"/>
        <v>96.816666666666691</v>
      </c>
      <c r="DJ253" s="528">
        <f t="shared" si="676"/>
        <v>4.2204568023833167</v>
      </c>
      <c r="DL253" s="173">
        <f t="shared" si="677"/>
        <v>5.1750316309132236</v>
      </c>
      <c r="DM253" s="173">
        <f t="shared" si="678"/>
        <v>10</v>
      </c>
      <c r="DN253" s="173">
        <f t="shared" si="679"/>
        <v>1.0553238095238096</v>
      </c>
      <c r="DP253" s="545">
        <f t="shared" si="680"/>
        <v>3700</v>
      </c>
      <c r="DQ253" s="460">
        <f t="shared" si="681"/>
        <v>96.816666666666691</v>
      </c>
      <c r="DS253">
        <f t="shared" si="682"/>
        <v>3700</v>
      </c>
      <c r="DT253">
        <f t="shared" si="683"/>
        <v>96.816666666666691</v>
      </c>
      <c r="DV253" s="5">
        <f t="shared" si="684"/>
        <v>10.328800137717334</v>
      </c>
      <c r="DW253" s="5">
        <f t="shared" si="685"/>
        <v>1.4117647058823528</v>
      </c>
      <c r="DX253" s="5">
        <f t="shared" si="686"/>
        <v>8.9170354318349805</v>
      </c>
      <c r="DY253" s="173">
        <f t="shared" si="687"/>
        <v>0.13668235294117648</v>
      </c>
      <c r="EA253" s="5">
        <f t="shared" si="713"/>
        <v>34.823529411764703</v>
      </c>
      <c r="EB253" s="5">
        <f t="shared" si="714"/>
        <v>1.6323529411764706</v>
      </c>
      <c r="EC253" s="5">
        <f t="shared" si="715"/>
        <v>1.61730544597007</v>
      </c>
      <c r="ED253" s="5"/>
      <c r="EE253" s="173">
        <f t="shared" si="716"/>
        <v>2.1344972315214066</v>
      </c>
      <c r="EF253" s="173">
        <f t="shared" si="717"/>
        <v>5.3644435780387125</v>
      </c>
      <c r="EG253" s="173">
        <f t="shared" si="718"/>
        <v>0.13211257125522793</v>
      </c>
      <c r="EH253" s="173"/>
      <c r="EI253" s="528">
        <f t="shared" si="719"/>
        <v>9.1121568627450994E-2</v>
      </c>
      <c r="EJ253" s="528">
        <f t="shared" si="720"/>
        <v>1.9498876666666671</v>
      </c>
      <c r="EK253" s="528">
        <f t="shared" si="721"/>
        <v>1.2102083333333336E-2</v>
      </c>
      <c r="EL253" s="528">
        <f t="shared" si="722"/>
        <v>9.8176844016666695E-2</v>
      </c>
      <c r="EM253">
        <f t="shared" si="723"/>
        <v>3.8249999999999999E-2</v>
      </c>
      <c r="EN253" s="460">
        <f t="shared" si="724"/>
        <v>50.35208333333334</v>
      </c>
      <c r="EP253" s="460">
        <f t="shared" si="725"/>
        <v>2189.5381626441185</v>
      </c>
      <c r="EQ253" s="173">
        <f t="shared" si="726"/>
        <v>2.59</v>
      </c>
      <c r="ER253" s="173">
        <f t="shared" si="772"/>
        <v>4.1046874999999997E-2</v>
      </c>
      <c r="ES253" s="528"/>
      <c r="EU253" s="460">
        <f t="shared" si="727"/>
        <v>2631.046875</v>
      </c>
      <c r="EV253" s="528">
        <f t="shared" si="728"/>
        <v>0.13668235294117648</v>
      </c>
      <c r="EW253" s="528">
        <f t="shared" si="729"/>
        <v>0.86331764705882352</v>
      </c>
      <c r="EX253" s="528">
        <f t="shared" si="730"/>
        <v>8.7268657418338401E-5</v>
      </c>
      <c r="EY253" s="528">
        <f t="shared" si="731"/>
        <v>1.458294774418148</v>
      </c>
      <c r="EZ253" s="528"/>
      <c r="FA253" s="625">
        <f t="shared" si="732"/>
        <v>9.68166666666667E-3</v>
      </c>
      <c r="FB253" s="460">
        <f t="shared" si="733"/>
        <v>2468.0637097422332</v>
      </c>
      <c r="FC253" s="173">
        <f t="shared" si="734"/>
        <v>7.2886487473863513</v>
      </c>
      <c r="FD253" s="5">
        <f t="shared" si="735"/>
        <v>56.24</v>
      </c>
      <c r="FE253" s="173">
        <f t="shared" si="736"/>
        <v>0.8852698917559424</v>
      </c>
      <c r="FF253" s="5">
        <f t="shared" si="737"/>
        <v>88.526989175594238</v>
      </c>
      <c r="FG253">
        <f t="shared" si="738"/>
        <v>37</v>
      </c>
      <c r="FI253" s="562">
        <f t="shared" si="689"/>
        <v>-50</v>
      </c>
    </row>
    <row r="254" spans="5:165">
      <c r="E254" s="170">
        <v>38</v>
      </c>
      <c r="F254" s="217">
        <f t="shared" si="773"/>
        <v>3.8</v>
      </c>
      <c r="G254" s="217">
        <f t="shared" si="742"/>
        <v>9.5000000000000001E-2</v>
      </c>
      <c r="H254" s="217">
        <f t="shared" si="743"/>
        <v>57</v>
      </c>
      <c r="I254" s="217">
        <f t="shared" si="744"/>
        <v>0.76</v>
      </c>
      <c r="J254" s="541">
        <f t="shared" si="745"/>
        <v>84.727420162931693</v>
      </c>
      <c r="K254" s="443">
        <f t="shared" si="746"/>
        <v>15.846617922801491</v>
      </c>
      <c r="L254" s="172">
        <f t="shared" si="747"/>
        <v>100.57403808573318</v>
      </c>
      <c r="M254" s="443"/>
      <c r="N254" s="217">
        <f t="shared" si="748"/>
        <v>0.15756171497552104</v>
      </c>
      <c r="O254" s="172">
        <f t="shared" si="749"/>
        <v>329.35355985994391</v>
      </c>
      <c r="P254" s="172">
        <f t="shared" si="750"/>
        <v>4.4499325421076863</v>
      </c>
      <c r="Q254" s="217">
        <f t="shared" si="626"/>
        <v>21.956903990662926</v>
      </c>
      <c r="R254" s="217">
        <f t="shared" si="751"/>
        <v>41.169194982492989</v>
      </c>
      <c r="S254" s="217">
        <f t="shared" si="752"/>
        <v>15</v>
      </c>
      <c r="T254" s="217">
        <f t="shared" si="753"/>
        <v>8.6533146968623917</v>
      </c>
      <c r="U254" s="217">
        <f t="shared" si="630"/>
        <v>1.2255746269939973</v>
      </c>
      <c r="V254" s="217">
        <f t="shared" si="631"/>
        <v>6.5528036877152838</v>
      </c>
      <c r="W254" s="197">
        <f t="shared" si="632"/>
        <v>111.24831355269215</v>
      </c>
      <c r="X254" s="443">
        <f t="shared" si="691"/>
        <v>125.33875438776288</v>
      </c>
      <c r="Z254" s="217">
        <f t="shared" si="633"/>
        <v>10</v>
      </c>
      <c r="AA254" s="173">
        <f t="shared" si="634"/>
        <v>7.572593760043496</v>
      </c>
      <c r="AB254" s="173">
        <f t="shared" si="754"/>
        <v>4.1567678537392041</v>
      </c>
      <c r="AC254" s="173"/>
      <c r="AD254" s="173">
        <f t="shared" si="636"/>
        <v>7.572593760043496</v>
      </c>
      <c r="AE254" s="545">
        <f t="shared" si="755"/>
        <v>100.3619135110761</v>
      </c>
      <c r="AF254" s="528">
        <f t="shared" si="756"/>
        <v>4.2121914251223949</v>
      </c>
      <c r="AH254" s="173">
        <f t="shared" si="757"/>
        <v>5.2444982510018923</v>
      </c>
      <c r="AI254" s="173">
        <f t="shared" si="758"/>
        <v>10</v>
      </c>
      <c r="AJ254" s="173">
        <f t="shared" si="759"/>
        <v>1.0573496648634721</v>
      </c>
      <c r="AL254" s="545">
        <f t="shared" si="760"/>
        <v>3800</v>
      </c>
      <c r="AM254" s="460">
        <f t="shared" si="761"/>
        <v>100.3619135110761</v>
      </c>
      <c r="AO254">
        <f t="shared" si="644"/>
        <v>3800</v>
      </c>
      <c r="AP254">
        <f t="shared" si="645"/>
        <v>100.3619135110761</v>
      </c>
      <c r="AR254" s="5">
        <f t="shared" si="616"/>
        <v>9.9639391579519714</v>
      </c>
      <c r="AS254" s="5">
        <f t="shared" si="739"/>
        <v>1.4163065483315647</v>
      </c>
      <c r="AT254" s="5">
        <f t="shared" si="740"/>
        <v>8.5476326096204076</v>
      </c>
      <c r="AU254" s="173">
        <f t="shared" si="741"/>
        <v>0.1421432353088232</v>
      </c>
      <c r="BA254" s="173">
        <f t="shared" si="692"/>
        <v>2.1767195142294837</v>
      </c>
      <c r="BB254" s="173">
        <f t="shared" si="693"/>
        <v>5.3474503728137481</v>
      </c>
      <c r="BC254" s="173">
        <f t="shared" si="694"/>
        <v>0.13169407192655036</v>
      </c>
      <c r="BD254" s="173"/>
      <c r="BE254" s="528">
        <f t="shared" si="695"/>
        <v>9.4762156872548783E-2</v>
      </c>
      <c r="BF254" s="528">
        <f t="shared" si="762"/>
        <v>1.8925880459662547</v>
      </c>
      <c r="BG254" s="528">
        <f t="shared" si="763"/>
        <v>0.21258515036021888</v>
      </c>
      <c r="BH254" s="528">
        <f t="shared" si="696"/>
        <v>0.10151745184832717</v>
      </c>
      <c r="BI254">
        <f t="shared" si="697"/>
        <v>3.8127339073319264E-2</v>
      </c>
      <c r="BJ254" s="460">
        <f t="shared" si="698"/>
        <v>250.71248943353814</v>
      </c>
      <c r="BK254">
        <f t="shared" si="764"/>
        <v>2.1631579959659906</v>
      </c>
      <c r="BL254" s="460">
        <f t="shared" si="699"/>
        <v>2339.580144120669</v>
      </c>
      <c r="BM254" s="173">
        <f t="shared" si="765"/>
        <v>2.3607499999999995</v>
      </c>
      <c r="BN254" s="173">
        <f t="shared" si="766"/>
        <v>4.2156249999999999E-2</v>
      </c>
      <c r="BQ254" s="460">
        <f t="shared" si="700"/>
        <v>2402.9062499999995</v>
      </c>
      <c r="BR254" s="528">
        <f t="shared" si="701"/>
        <v>0.14214323530882317</v>
      </c>
      <c r="BS254" s="528">
        <f t="shared" si="702"/>
        <v>0.85785676469117678</v>
      </c>
      <c r="BT254" s="528">
        <f t="shared" si="703"/>
        <v>8.6716642902977099E-5</v>
      </c>
      <c r="BU254" s="528">
        <f t="shared" si="704"/>
        <v>1.5954835723387133</v>
      </c>
      <c r="BV254" s="528"/>
      <c r="BW254" s="625">
        <f t="shared" si="705"/>
        <v>1.003619135110761E-2</v>
      </c>
      <c r="BX254" s="460">
        <f t="shared" si="706"/>
        <v>2605.606480332724</v>
      </c>
      <c r="BY254" s="173">
        <f t="shared" si="707"/>
        <v>7.3480928744533918</v>
      </c>
      <c r="BZ254" s="5">
        <f t="shared" si="708"/>
        <v>57.76</v>
      </c>
      <c r="CA254" s="173">
        <f t="shared" si="709"/>
        <v>0.88714009963980101</v>
      </c>
      <c r="CB254" s="5">
        <f t="shared" si="710"/>
        <v>88.714009963980104</v>
      </c>
      <c r="CC254">
        <f t="shared" si="711"/>
        <v>38</v>
      </c>
      <c r="CE254" s="562">
        <f t="shared" si="767"/>
        <v>-50</v>
      </c>
      <c r="CG254" s="173">
        <f t="shared" si="768"/>
        <v>0.77753113549662212</v>
      </c>
      <c r="CH254" s="173">
        <f t="shared" si="769"/>
        <v>9.1139722649270713E-2</v>
      </c>
      <c r="CI254" s="170">
        <v>38</v>
      </c>
      <c r="CJ254" s="217">
        <f t="shared" si="712"/>
        <v>3.8</v>
      </c>
      <c r="CK254" s="217">
        <f t="shared" si="654"/>
        <v>9.5000000000000001E-2</v>
      </c>
      <c r="CL254" s="217">
        <f t="shared" si="655"/>
        <v>57</v>
      </c>
      <c r="CM254" s="217">
        <f t="shared" si="656"/>
        <v>0.76</v>
      </c>
      <c r="CN254" s="541">
        <f t="shared" si="657"/>
        <v>85</v>
      </c>
      <c r="CO254" s="443">
        <f t="shared" si="770"/>
        <v>15.7</v>
      </c>
      <c r="CP254" s="443">
        <f t="shared" si="771"/>
        <v>100.7</v>
      </c>
      <c r="CQ254" s="443"/>
      <c r="CR254" s="217">
        <f t="shared" si="660"/>
        <v>0.15338645418326693</v>
      </c>
      <c r="CS254" s="172">
        <f t="shared" si="661"/>
        <v>321.65744915076539</v>
      </c>
      <c r="CT254" s="172">
        <f t="shared" si="662"/>
        <v>4.3459495351925632</v>
      </c>
      <c r="CU254" s="217">
        <f t="shared" si="663"/>
        <v>21.443829943384358</v>
      </c>
      <c r="CV254" s="217">
        <f t="shared" si="664"/>
        <v>40.207181143845673</v>
      </c>
      <c r="CW254" s="217">
        <f t="shared" si="665"/>
        <v>15</v>
      </c>
      <c r="CX254" s="217">
        <f t="shared" si="666"/>
        <v>8.8603575248281121</v>
      </c>
      <c r="CY254" s="217">
        <f t="shared" si="667"/>
        <v>1.2508740035051453</v>
      </c>
      <c r="CZ254" s="217">
        <f t="shared" si="668"/>
        <v>6.7722477896775377</v>
      </c>
      <c r="DA254" s="197">
        <f t="shared" si="669"/>
        <v>110.43528632903013</v>
      </c>
      <c r="DB254" s="443">
        <f t="shared" si="670"/>
        <v>124.63976314677271</v>
      </c>
      <c r="DD254" s="217">
        <f t="shared" si="671"/>
        <v>9.9999999999999982</v>
      </c>
      <c r="DE254" s="173">
        <f t="shared" si="672"/>
        <v>7.6433121019108263</v>
      </c>
      <c r="DF254" s="173">
        <f t="shared" si="673"/>
        <v>4.1649244760361679</v>
      </c>
      <c r="DG254" s="173"/>
      <c r="DH254" s="173">
        <f t="shared" si="674"/>
        <v>7.6433121019108281</v>
      </c>
      <c r="DI254" s="545">
        <f t="shared" si="675"/>
        <v>99.433333333333337</v>
      </c>
      <c r="DJ254" s="528">
        <f t="shared" si="676"/>
        <v>4.2204568023833167</v>
      </c>
      <c r="DL254" s="173">
        <f t="shared" si="677"/>
        <v>5.2444982510018923</v>
      </c>
      <c r="DM254" s="173">
        <f t="shared" si="678"/>
        <v>10</v>
      </c>
      <c r="DN254" s="173">
        <f t="shared" si="679"/>
        <v>1.0568190476190475</v>
      </c>
      <c r="DP254" s="545">
        <f t="shared" si="680"/>
        <v>3800</v>
      </c>
      <c r="DQ254" s="460">
        <f t="shared" si="681"/>
        <v>99.433333333333337</v>
      </c>
      <c r="DS254">
        <f t="shared" si="682"/>
        <v>3800</v>
      </c>
      <c r="DT254">
        <f t="shared" si="683"/>
        <v>99.433333333333337</v>
      </c>
      <c r="DV254" s="5">
        <f t="shared" si="684"/>
        <v>10.056989607777405</v>
      </c>
      <c r="DW254" s="5">
        <f t="shared" si="685"/>
        <v>1.4117647058823528</v>
      </c>
      <c r="DX254" s="5">
        <f t="shared" si="686"/>
        <v>8.6452249018950518</v>
      </c>
      <c r="DY254" s="173">
        <f t="shared" si="687"/>
        <v>0.1403764705882353</v>
      </c>
      <c r="EA254" s="5">
        <f t="shared" si="713"/>
        <v>35.764705882352942</v>
      </c>
      <c r="EB254" s="5">
        <f t="shared" si="714"/>
        <v>1.6764705882352937</v>
      </c>
      <c r="EC254" s="5">
        <f t="shared" si="715"/>
        <v>1.6103850307451566</v>
      </c>
      <c r="ED254" s="5"/>
      <c r="EE254" s="173">
        <f t="shared" si="716"/>
        <v>2.1631494831089482</v>
      </c>
      <c r="EF254" s="173">
        <f t="shared" si="717"/>
        <v>5.3529541047031994</v>
      </c>
      <c r="EG254" s="173">
        <f t="shared" si="718"/>
        <v>0.13182961481386704</v>
      </c>
      <c r="EH254" s="173"/>
      <c r="EI254" s="528">
        <f t="shared" si="719"/>
        <v>9.3584313725490184E-2</v>
      </c>
      <c r="EJ254" s="528">
        <f t="shared" si="720"/>
        <v>2.0025873333333335</v>
      </c>
      <c r="EK254" s="528">
        <f t="shared" si="721"/>
        <v>1.2429166666666666E-2</v>
      </c>
      <c r="EL254" s="528">
        <f t="shared" si="722"/>
        <v>0.10083027223333334</v>
      </c>
      <c r="EM254">
        <f t="shared" si="723"/>
        <v>3.8249999999999999E-2</v>
      </c>
      <c r="EN254" s="460">
        <f t="shared" si="724"/>
        <v>50.679166666666667</v>
      </c>
      <c r="EP254" s="460">
        <f t="shared" si="725"/>
        <v>2247.681085958824</v>
      </c>
      <c r="EQ254" s="173">
        <f t="shared" si="726"/>
        <v>2.6599999999999997</v>
      </c>
      <c r="ER254" s="173">
        <f t="shared" si="772"/>
        <v>4.2156249999999999E-2</v>
      </c>
      <c r="ES254" s="528"/>
      <c r="EU254" s="460">
        <f t="shared" si="727"/>
        <v>2702.15625</v>
      </c>
      <c r="EV254" s="528">
        <f t="shared" si="728"/>
        <v>0.14037647058823527</v>
      </c>
      <c r="EW254" s="528">
        <f t="shared" si="729"/>
        <v>0.8596235294117649</v>
      </c>
      <c r="EX254" s="528">
        <f t="shared" si="730"/>
        <v>8.6895236709862771E-5</v>
      </c>
      <c r="EY254" s="528">
        <f t="shared" si="731"/>
        <v>1.5588344710856268</v>
      </c>
      <c r="EZ254" s="528"/>
      <c r="FA254" s="625">
        <f t="shared" si="732"/>
        <v>9.9433333333333353E-3</v>
      </c>
      <c r="FB254" s="460">
        <f t="shared" si="733"/>
        <v>2568.8646996556699</v>
      </c>
      <c r="FC254" s="173">
        <f t="shared" si="734"/>
        <v>7.5187020356144938</v>
      </c>
      <c r="FD254" s="5">
        <f t="shared" si="735"/>
        <v>57.76</v>
      </c>
      <c r="FE254" s="173">
        <f t="shared" si="736"/>
        <v>0.88482151450388113</v>
      </c>
      <c r="FF254" s="5">
        <f t="shared" si="737"/>
        <v>88.482151450388116</v>
      </c>
      <c r="FG254">
        <f t="shared" si="738"/>
        <v>38</v>
      </c>
      <c r="FI254" s="562">
        <f t="shared" si="689"/>
        <v>-50</v>
      </c>
    </row>
    <row r="255" spans="5:165">
      <c r="E255" s="170">
        <v>39</v>
      </c>
      <c r="F255" s="217">
        <f t="shared" si="773"/>
        <v>3.9000000000000004</v>
      </c>
      <c r="G255" s="217">
        <f t="shared" si="742"/>
        <v>9.7500000000000003E-2</v>
      </c>
      <c r="H255" s="217">
        <f t="shared" si="743"/>
        <v>58.500000000000007</v>
      </c>
      <c r="I255" s="217">
        <f t="shared" si="744"/>
        <v>0.78</v>
      </c>
      <c r="J255" s="541">
        <f t="shared" si="745"/>
        <v>84.727420162931693</v>
      </c>
      <c r="K255" s="443">
        <f t="shared" si="746"/>
        <v>15.846617922801491</v>
      </c>
      <c r="L255" s="172">
        <f t="shared" si="747"/>
        <v>100.57403808573318</v>
      </c>
      <c r="M255" s="443"/>
      <c r="N255" s="217">
        <f t="shared" si="748"/>
        <v>0.15756171497552104</v>
      </c>
      <c r="O255" s="172">
        <f t="shared" si="749"/>
        <v>329.35355985994391</v>
      </c>
      <c r="P255" s="172">
        <f t="shared" si="750"/>
        <v>4.4499325421076863</v>
      </c>
      <c r="Q255" s="217">
        <f t="shared" si="626"/>
        <v>21.956903990662926</v>
      </c>
      <c r="R255" s="217">
        <f t="shared" si="751"/>
        <v>41.169194982492989</v>
      </c>
      <c r="S255" s="217">
        <f t="shared" si="752"/>
        <v>15</v>
      </c>
      <c r="T255" s="217">
        <f t="shared" si="753"/>
        <v>8.8810335046745621</v>
      </c>
      <c r="U255" s="217">
        <f t="shared" si="630"/>
        <v>1.2578265908622608</v>
      </c>
      <c r="V255" s="217">
        <f t="shared" si="631"/>
        <v>6.7252458900235821</v>
      </c>
      <c r="W255" s="197">
        <f t="shared" si="632"/>
        <v>111.24831355269215</v>
      </c>
      <c r="X255" s="443">
        <f t="shared" si="691"/>
        <v>122.20348803408704</v>
      </c>
      <c r="Z255" s="217">
        <f t="shared" si="633"/>
        <v>10</v>
      </c>
      <c r="AA255" s="173">
        <f t="shared" si="634"/>
        <v>7.572593760043496</v>
      </c>
      <c r="AB255" s="173">
        <f t="shared" si="754"/>
        <v>4.1567678537392041</v>
      </c>
      <c r="AC255" s="173"/>
      <c r="AD255" s="173">
        <f t="shared" si="636"/>
        <v>7.572593760043496</v>
      </c>
      <c r="AE255" s="545">
        <f t="shared" si="755"/>
        <v>103.00301649820969</v>
      </c>
      <c r="AF255" s="528">
        <f t="shared" si="756"/>
        <v>4.2121914251223949</v>
      </c>
      <c r="AH255" s="173">
        <f t="shared" si="757"/>
        <v>5.3130566935212942</v>
      </c>
      <c r="AI255" s="173">
        <f t="shared" si="758"/>
        <v>10</v>
      </c>
      <c r="AJ255" s="173">
        <f t="shared" si="759"/>
        <v>1.0588588665704055</v>
      </c>
      <c r="AL255" s="545">
        <f t="shared" si="760"/>
        <v>3900.0000000000005</v>
      </c>
      <c r="AM255" s="460">
        <f t="shared" si="761"/>
        <v>103.00301649820969</v>
      </c>
      <c r="AO255">
        <f t="shared" si="644"/>
        <v>3900.0000000000005</v>
      </c>
      <c r="AP255">
        <f t="shared" si="645"/>
        <v>103.00301649820969</v>
      </c>
      <c r="AR255" s="5">
        <f t="shared" si="616"/>
        <v>9.7084535385173023</v>
      </c>
      <c r="AS255" s="5">
        <f t="shared" si="739"/>
        <v>1.4163065483315647</v>
      </c>
      <c r="AT255" s="5">
        <f t="shared" si="740"/>
        <v>8.2921469901857385</v>
      </c>
      <c r="AU255" s="173">
        <f t="shared" si="741"/>
        <v>0.14588384676431859</v>
      </c>
      <c r="BA255" s="173">
        <f t="shared" si="692"/>
        <v>2.2051745718069475</v>
      </c>
      <c r="BB255" s="173">
        <f t="shared" si="693"/>
        <v>5.3357790847437991</v>
      </c>
      <c r="BC255" s="173">
        <f t="shared" si="694"/>
        <v>0.13140663785172968</v>
      </c>
      <c r="BD255" s="173"/>
      <c r="BE255" s="528">
        <f t="shared" si="695"/>
        <v>9.7255897842879094E-2</v>
      </c>
      <c r="BF255" s="528">
        <f t="shared" si="762"/>
        <v>1.9423929945443144</v>
      </c>
      <c r="BG255" s="528">
        <f t="shared" si="763"/>
        <v>0.21817949642232992</v>
      </c>
      <c r="BH255" s="528">
        <f t="shared" si="696"/>
        <v>0.10418896373907263</v>
      </c>
      <c r="BI255">
        <f t="shared" si="697"/>
        <v>3.8127339073319264E-2</v>
      </c>
      <c r="BJ255" s="460">
        <f t="shared" si="698"/>
        <v>256.30683549564918</v>
      </c>
      <c r="BK255">
        <f t="shared" si="764"/>
        <v>2.221429750159404</v>
      </c>
      <c r="BL255" s="460">
        <f t="shared" si="699"/>
        <v>2400.1446916219156</v>
      </c>
      <c r="BM255" s="173">
        <f t="shared" si="765"/>
        <v>2.4228749999999999</v>
      </c>
      <c r="BN255" s="173">
        <f t="shared" si="766"/>
        <v>4.3265625000000002E-2</v>
      </c>
      <c r="BQ255" s="460">
        <f t="shared" si="700"/>
        <v>2466.140625</v>
      </c>
      <c r="BR255" s="528">
        <f t="shared" si="701"/>
        <v>0.14588384676431862</v>
      </c>
      <c r="BS255" s="528">
        <f t="shared" si="702"/>
        <v>0.85411615323568124</v>
      </c>
      <c r="BT255" s="528">
        <f t="shared" si="703"/>
        <v>8.633852235747818E-5</v>
      </c>
      <c r="BU255" s="528">
        <f t="shared" si="704"/>
        <v>1.7025303514246246</v>
      </c>
      <c r="BV255" s="528"/>
      <c r="BW255" s="625">
        <f t="shared" si="705"/>
        <v>1.0300301649820969E-2</v>
      </c>
      <c r="BX255" s="460">
        <f t="shared" si="706"/>
        <v>2712.9169915968032</v>
      </c>
      <c r="BY255" s="173">
        <f t="shared" si="707"/>
        <v>7.5792023082187185</v>
      </c>
      <c r="BZ255" s="5">
        <f t="shared" si="708"/>
        <v>59.280000000000008</v>
      </c>
      <c r="CA255" s="173">
        <f t="shared" si="709"/>
        <v>0.8866393548448448</v>
      </c>
      <c r="CB255" s="5">
        <f t="shared" si="710"/>
        <v>88.663935484484483</v>
      </c>
      <c r="CC255">
        <f t="shared" si="711"/>
        <v>39</v>
      </c>
      <c r="CE255" s="562">
        <f t="shared" si="767"/>
        <v>-50</v>
      </c>
      <c r="CG255" s="173">
        <f t="shared" si="768"/>
        <v>0.79799248116758603</v>
      </c>
      <c r="CH255" s="173">
        <f t="shared" si="769"/>
        <v>9.3538136403198885E-2</v>
      </c>
      <c r="CI255" s="170">
        <v>39</v>
      </c>
      <c r="CJ255" s="217">
        <f t="shared" si="712"/>
        <v>3.9000000000000004</v>
      </c>
      <c r="CK255" s="217">
        <f t="shared" si="654"/>
        <v>9.7500000000000003E-2</v>
      </c>
      <c r="CL255" s="217">
        <f t="shared" si="655"/>
        <v>58.500000000000007</v>
      </c>
      <c r="CM255" s="217">
        <f t="shared" si="656"/>
        <v>0.78</v>
      </c>
      <c r="CN255" s="541">
        <f t="shared" si="657"/>
        <v>85</v>
      </c>
      <c r="CO255" s="443">
        <f t="shared" si="770"/>
        <v>15.7</v>
      </c>
      <c r="CP255" s="443">
        <f t="shared" si="771"/>
        <v>100.7</v>
      </c>
      <c r="CQ255" s="443"/>
      <c r="CR255" s="217">
        <f t="shared" si="660"/>
        <v>0.15338645418326693</v>
      </c>
      <c r="CS255" s="172">
        <f t="shared" si="661"/>
        <v>321.65744915076539</v>
      </c>
      <c r="CT255" s="172">
        <f t="shared" si="662"/>
        <v>4.3459495351925632</v>
      </c>
      <c r="CU255" s="217">
        <f t="shared" si="663"/>
        <v>21.443829943384358</v>
      </c>
      <c r="CV255" s="217">
        <f t="shared" si="664"/>
        <v>40.207181143845673</v>
      </c>
      <c r="CW255" s="217">
        <f t="shared" si="665"/>
        <v>15</v>
      </c>
      <c r="CX255" s="217">
        <f t="shared" si="666"/>
        <v>9.0935248281130647</v>
      </c>
      <c r="CY255" s="217">
        <f t="shared" si="667"/>
        <v>1.2837917404394914</v>
      </c>
      <c r="CZ255" s="217">
        <f t="shared" si="668"/>
        <v>6.9504648367743176</v>
      </c>
      <c r="DA255" s="197">
        <f t="shared" si="669"/>
        <v>110.43528632903013</v>
      </c>
      <c r="DB255" s="443">
        <f t="shared" si="670"/>
        <v>121.4438717840349</v>
      </c>
      <c r="DD255" s="217">
        <f t="shared" si="671"/>
        <v>9.9999999999999982</v>
      </c>
      <c r="DE255" s="173">
        <f t="shared" si="672"/>
        <v>7.6433121019108263</v>
      </c>
      <c r="DF255" s="173">
        <f t="shared" si="673"/>
        <v>4.1649244760361679</v>
      </c>
      <c r="DG255" s="173"/>
      <c r="DH255" s="173">
        <f t="shared" si="674"/>
        <v>7.6433121019108281</v>
      </c>
      <c r="DI255" s="545">
        <f t="shared" si="675"/>
        <v>102.05000000000001</v>
      </c>
      <c r="DJ255" s="528">
        <f t="shared" si="676"/>
        <v>4.2204568023833167</v>
      </c>
      <c r="DL255" s="173">
        <f t="shared" si="677"/>
        <v>5.3130566935212942</v>
      </c>
      <c r="DM255" s="173">
        <f t="shared" si="678"/>
        <v>10</v>
      </c>
      <c r="DN255" s="173">
        <f t="shared" si="679"/>
        <v>1.0583142857142858</v>
      </c>
      <c r="DP255" s="545">
        <f t="shared" si="680"/>
        <v>3900.0000000000005</v>
      </c>
      <c r="DQ255" s="460">
        <f t="shared" si="681"/>
        <v>102.05000000000001</v>
      </c>
      <c r="DS255">
        <f t="shared" si="682"/>
        <v>3900.0000000000005</v>
      </c>
      <c r="DT255">
        <f t="shared" si="683"/>
        <v>102.05000000000001</v>
      </c>
      <c r="DV255" s="5">
        <f t="shared" si="684"/>
        <v>9.799118079372855</v>
      </c>
      <c r="DW255" s="5">
        <f t="shared" si="685"/>
        <v>1.4117647058823528</v>
      </c>
      <c r="DX255" s="5">
        <f t="shared" si="686"/>
        <v>8.3873533734905017</v>
      </c>
      <c r="DY255" s="173">
        <f t="shared" si="687"/>
        <v>0.14407058823529412</v>
      </c>
      <c r="EA255" s="5">
        <f t="shared" si="713"/>
        <v>36.705882352941181</v>
      </c>
      <c r="EB255" s="5">
        <f t="shared" si="714"/>
        <v>1.7205882352941173</v>
      </c>
      <c r="EC255" s="5">
        <f t="shared" si="715"/>
        <v>1.6034646155202432</v>
      </c>
      <c r="ED255" s="5"/>
      <c r="EE255" s="173">
        <f t="shared" si="716"/>
        <v>2.1914271471295756</v>
      </c>
      <c r="EF255" s="173">
        <f t="shared" si="717"/>
        <v>5.3414399174901206</v>
      </c>
      <c r="EG255" s="173">
        <f t="shared" si="718"/>
        <v>0.1315460497326979</v>
      </c>
      <c r="EH255" s="173"/>
      <c r="EI255" s="528">
        <f t="shared" si="719"/>
        <v>9.6047058823529416E-2</v>
      </c>
      <c r="EJ255" s="528">
        <f t="shared" si="720"/>
        <v>2.0552869999999999</v>
      </c>
      <c r="EK255" s="528">
        <f t="shared" si="721"/>
        <v>1.275625E-2</v>
      </c>
      <c r="EL255" s="528">
        <f t="shared" si="722"/>
        <v>0.10348370045000002</v>
      </c>
      <c r="EM255">
        <f t="shared" si="723"/>
        <v>3.8249999999999999E-2</v>
      </c>
      <c r="EN255" s="460">
        <f t="shared" si="724"/>
        <v>51.006250000000001</v>
      </c>
      <c r="EP255" s="460">
        <f t="shared" si="725"/>
        <v>2305.8240092735296</v>
      </c>
      <c r="EQ255" s="173">
        <f t="shared" si="726"/>
        <v>2.73</v>
      </c>
      <c r="ER255" s="173">
        <f t="shared" si="772"/>
        <v>4.3265625000000002E-2</v>
      </c>
      <c r="ES255" s="528"/>
      <c r="EU255" s="460">
        <f t="shared" si="727"/>
        <v>2773.265625</v>
      </c>
      <c r="EV255" s="528">
        <f t="shared" si="728"/>
        <v>0.14407058823529412</v>
      </c>
      <c r="EW255" s="528">
        <f t="shared" si="729"/>
        <v>0.85592941176470594</v>
      </c>
      <c r="EX255" s="528">
        <f t="shared" si="730"/>
        <v>8.6521816001387155E-5</v>
      </c>
      <c r="EY255" s="528">
        <f t="shared" si="731"/>
        <v>1.6634223290559886</v>
      </c>
      <c r="EZ255" s="528"/>
      <c r="FA255" s="625">
        <f t="shared" si="732"/>
        <v>1.0205000000000002E-2</v>
      </c>
      <c r="FB255" s="460">
        <f t="shared" si="733"/>
        <v>2673.71385087199</v>
      </c>
      <c r="FC255" s="173">
        <f t="shared" si="734"/>
        <v>7.7528034851455194</v>
      </c>
      <c r="FD255" s="5">
        <f t="shared" si="735"/>
        <v>59.280000000000008</v>
      </c>
      <c r="FE255" s="173">
        <f t="shared" si="736"/>
        <v>0.88434314123735647</v>
      </c>
      <c r="FF255" s="5">
        <f t="shared" si="737"/>
        <v>88.434314123735646</v>
      </c>
      <c r="FG255">
        <f t="shared" si="738"/>
        <v>39</v>
      </c>
      <c r="FI255" s="562">
        <f t="shared" si="689"/>
        <v>-50</v>
      </c>
    </row>
    <row r="256" spans="5:165">
      <c r="E256" s="170">
        <v>40</v>
      </c>
      <c r="F256" s="217">
        <f t="shared" si="773"/>
        <v>4</v>
      </c>
      <c r="G256" s="217">
        <f t="shared" si="742"/>
        <v>0.1</v>
      </c>
      <c r="H256" s="217">
        <f t="shared" si="743"/>
        <v>60</v>
      </c>
      <c r="I256" s="217">
        <f t="shared" si="744"/>
        <v>0.8</v>
      </c>
      <c r="J256" s="541">
        <f t="shared" si="745"/>
        <v>84.727420162931693</v>
      </c>
      <c r="K256" s="443">
        <f t="shared" si="746"/>
        <v>15.846617922801491</v>
      </c>
      <c r="L256" s="172">
        <f t="shared" si="747"/>
        <v>100.57403808573318</v>
      </c>
      <c r="M256" s="443"/>
      <c r="N256" s="217">
        <f t="shared" si="748"/>
        <v>0.15756171497552104</v>
      </c>
      <c r="O256" s="172">
        <f t="shared" si="749"/>
        <v>329.35355985994391</v>
      </c>
      <c r="P256" s="172">
        <f t="shared" si="750"/>
        <v>4.4499325421076863</v>
      </c>
      <c r="Q256" s="217">
        <f t="shared" si="626"/>
        <v>21.956903990662926</v>
      </c>
      <c r="R256" s="217">
        <f t="shared" si="751"/>
        <v>41.169194982492989</v>
      </c>
      <c r="S256" s="217">
        <f t="shared" si="752"/>
        <v>15</v>
      </c>
      <c r="T256" s="217">
        <f t="shared" si="753"/>
        <v>9.1087523124867289</v>
      </c>
      <c r="U256" s="217">
        <f t="shared" si="630"/>
        <v>1.2900785547305236</v>
      </c>
      <c r="V256" s="217">
        <f t="shared" si="631"/>
        <v>6.8976880923318777</v>
      </c>
      <c r="W256" s="197">
        <f t="shared" si="632"/>
        <v>111.24831355269215</v>
      </c>
      <c r="X256" s="443">
        <f t="shared" si="691"/>
        <v>119.22124709444847</v>
      </c>
      <c r="Z256" s="217">
        <f t="shared" si="633"/>
        <v>10</v>
      </c>
      <c r="AA256" s="173">
        <f t="shared" si="634"/>
        <v>7.572593760043496</v>
      </c>
      <c r="AB256" s="173">
        <f t="shared" si="754"/>
        <v>4.1567678537392041</v>
      </c>
      <c r="AC256" s="173"/>
      <c r="AD256" s="173">
        <f t="shared" si="636"/>
        <v>7.572593760043496</v>
      </c>
      <c r="AE256" s="545">
        <f t="shared" si="755"/>
        <v>105.64411948534327</v>
      </c>
      <c r="AF256" s="528">
        <f t="shared" si="756"/>
        <v>4.2121914251223949</v>
      </c>
      <c r="AH256" s="173">
        <f t="shared" si="757"/>
        <v>5.3807416730763942</v>
      </c>
      <c r="AI256" s="173">
        <f t="shared" si="758"/>
        <v>10</v>
      </c>
      <c r="AJ256" s="173">
        <f t="shared" si="759"/>
        <v>1.0603680682773391</v>
      </c>
      <c r="AL256" s="545">
        <f t="shared" si="760"/>
        <v>4000</v>
      </c>
      <c r="AM256" s="460">
        <f t="shared" si="761"/>
        <v>105.64411948534327</v>
      </c>
      <c r="AO256">
        <f t="shared" si="644"/>
        <v>4000</v>
      </c>
      <c r="AP256">
        <f t="shared" si="645"/>
        <v>105.64411948534327</v>
      </c>
      <c r="AR256" s="5">
        <f t="shared" si="616"/>
        <v>9.4657422000543718</v>
      </c>
      <c r="AS256" s="5">
        <f t="shared" si="739"/>
        <v>1.4163065483315647</v>
      </c>
      <c r="AT256" s="5">
        <f t="shared" si="740"/>
        <v>8.0494356517228063</v>
      </c>
      <c r="AU256" s="173">
        <f t="shared" si="741"/>
        <v>0.14962445821981391</v>
      </c>
      <c r="BA256" s="173">
        <f t="shared" si="692"/>
        <v>2.2332671001607629</v>
      </c>
      <c r="BB256" s="173">
        <f t="shared" si="693"/>
        <v>5.3240822112992268</v>
      </c>
      <c r="BC256" s="173">
        <f t="shared" si="694"/>
        <v>0.13111857367434962</v>
      </c>
      <c r="BD256" s="173"/>
      <c r="BE256" s="528">
        <f t="shared" si="695"/>
        <v>9.9749638813209265E-2</v>
      </c>
      <c r="BF256" s="528">
        <f t="shared" si="762"/>
        <v>1.9921979431223735</v>
      </c>
      <c r="BG256" s="528">
        <f t="shared" si="763"/>
        <v>0.22377384248444096</v>
      </c>
      <c r="BH256" s="528">
        <f t="shared" si="696"/>
        <v>0.10686047562981808</v>
      </c>
      <c r="BI256">
        <f t="shared" si="697"/>
        <v>3.8127339073319264E-2</v>
      </c>
      <c r="BJ256" s="460">
        <f t="shared" si="698"/>
        <v>261.9011815577602</v>
      </c>
      <c r="BK256">
        <f t="shared" si="764"/>
        <v>2.2797722342137217</v>
      </c>
      <c r="BL256" s="460">
        <f t="shared" si="699"/>
        <v>2460.7092391231608</v>
      </c>
      <c r="BM256" s="173">
        <f t="shared" si="765"/>
        <v>2.4849999999999999</v>
      </c>
      <c r="BN256" s="173">
        <f t="shared" si="766"/>
        <v>4.4374999999999998E-2</v>
      </c>
      <c r="BQ256" s="460">
        <f t="shared" si="700"/>
        <v>2529.375</v>
      </c>
      <c r="BR256" s="528">
        <f t="shared" si="701"/>
        <v>0.14962445821981388</v>
      </c>
      <c r="BS256" s="528">
        <f t="shared" si="702"/>
        <v>0.85037554178018582</v>
      </c>
      <c r="BT256" s="528">
        <f t="shared" si="703"/>
        <v>8.5960401811979235E-5</v>
      </c>
      <c r="BU256" s="528">
        <f t="shared" si="704"/>
        <v>1.813774633049313</v>
      </c>
      <c r="BV256" s="528"/>
      <c r="BW256" s="625">
        <f t="shared" si="705"/>
        <v>1.0564411948534328E-2</v>
      </c>
      <c r="BX256" s="460">
        <f t="shared" si="706"/>
        <v>2824.4250053996593</v>
      </c>
      <c r="BY256" s="173">
        <f t="shared" si="707"/>
        <v>7.8145092445228199</v>
      </c>
      <c r="BZ256" s="5">
        <f t="shared" si="708"/>
        <v>60.8</v>
      </c>
      <c r="CA256" s="173">
        <f t="shared" si="709"/>
        <v>0.88610995938666393</v>
      </c>
      <c r="CB256" s="5">
        <f t="shared" si="710"/>
        <v>88.610995938666392</v>
      </c>
      <c r="CC256">
        <f t="shared" si="711"/>
        <v>40</v>
      </c>
      <c r="CE256" s="562">
        <f t="shared" si="767"/>
        <v>-50</v>
      </c>
      <c r="CG256" s="173">
        <f t="shared" si="768"/>
        <v>0.81845382683854961</v>
      </c>
      <c r="CH256" s="173">
        <f t="shared" si="769"/>
        <v>9.5936550157127057E-2</v>
      </c>
      <c r="CI256" s="170">
        <v>40</v>
      </c>
      <c r="CJ256" s="217">
        <f t="shared" si="712"/>
        <v>4</v>
      </c>
      <c r="CK256" s="217">
        <f t="shared" si="654"/>
        <v>0.1</v>
      </c>
      <c r="CL256" s="217">
        <f t="shared" si="655"/>
        <v>60</v>
      </c>
      <c r="CM256" s="217">
        <f t="shared" si="656"/>
        <v>0.8</v>
      </c>
      <c r="CN256" s="541">
        <f t="shared" si="657"/>
        <v>85</v>
      </c>
      <c r="CO256" s="443">
        <f t="shared" si="770"/>
        <v>15.7</v>
      </c>
      <c r="CP256" s="443">
        <f t="shared" si="771"/>
        <v>100.7</v>
      </c>
      <c r="CQ256" s="443"/>
      <c r="CR256" s="217">
        <f t="shared" si="660"/>
        <v>0.15338645418326693</v>
      </c>
      <c r="CS256" s="172">
        <f t="shared" si="661"/>
        <v>321.65744915076539</v>
      </c>
      <c r="CT256" s="172">
        <f t="shared" si="662"/>
        <v>4.3459495351925632</v>
      </c>
      <c r="CU256" s="217">
        <f t="shared" si="663"/>
        <v>21.443829943384358</v>
      </c>
      <c r="CV256" s="217">
        <f t="shared" si="664"/>
        <v>40.207181143845673</v>
      </c>
      <c r="CW256" s="217">
        <f t="shared" si="665"/>
        <v>15</v>
      </c>
      <c r="CX256" s="217">
        <f t="shared" si="666"/>
        <v>9.3266921313980138</v>
      </c>
      <c r="CY256" s="217">
        <f t="shared" si="667"/>
        <v>1.316709477373837</v>
      </c>
      <c r="CZ256" s="217">
        <f t="shared" si="668"/>
        <v>7.128681883871093</v>
      </c>
      <c r="DA256" s="197">
        <f t="shared" si="669"/>
        <v>110.43528632903013</v>
      </c>
      <c r="DB256" s="443">
        <f t="shared" si="670"/>
        <v>118.40777498943407</v>
      </c>
      <c r="DD256" s="217">
        <f t="shared" si="671"/>
        <v>9.9999999999999982</v>
      </c>
      <c r="DE256" s="173">
        <f t="shared" si="672"/>
        <v>7.6433121019108263</v>
      </c>
      <c r="DF256" s="173">
        <f t="shared" si="673"/>
        <v>4.1649244760361679</v>
      </c>
      <c r="DG256" s="173"/>
      <c r="DH256" s="173">
        <f t="shared" si="674"/>
        <v>7.6433121019108281</v>
      </c>
      <c r="DI256" s="545">
        <f t="shared" si="675"/>
        <v>104.66666666666667</v>
      </c>
      <c r="DJ256" s="528">
        <f t="shared" si="676"/>
        <v>4.2204568023833167</v>
      </c>
      <c r="DL256" s="173">
        <f t="shared" si="677"/>
        <v>5.3807416730763942</v>
      </c>
      <c r="DM256" s="173">
        <f t="shared" si="678"/>
        <v>10</v>
      </c>
      <c r="DN256" s="173">
        <f t="shared" si="679"/>
        <v>1.0598095238095238</v>
      </c>
      <c r="DP256" s="545">
        <f t="shared" si="680"/>
        <v>4000</v>
      </c>
      <c r="DQ256" s="460">
        <f t="shared" si="681"/>
        <v>104.66666666666667</v>
      </c>
      <c r="DS256">
        <f t="shared" si="682"/>
        <v>4000</v>
      </c>
      <c r="DT256">
        <f t="shared" si="683"/>
        <v>104.66666666666667</v>
      </c>
      <c r="DV256" s="5">
        <f t="shared" si="684"/>
        <v>9.5541401273885338</v>
      </c>
      <c r="DW256" s="5">
        <f t="shared" si="685"/>
        <v>1.4117647058823528</v>
      </c>
      <c r="DX256" s="5">
        <f t="shared" si="686"/>
        <v>8.1423754215061805</v>
      </c>
      <c r="DY256" s="173">
        <f t="shared" si="687"/>
        <v>0.14776470588235294</v>
      </c>
      <c r="EA256" s="5">
        <f t="shared" si="713"/>
        <v>37.647058823529406</v>
      </c>
      <c r="EB256" s="5">
        <f t="shared" si="714"/>
        <v>1.7647058823529413</v>
      </c>
      <c r="EC256" s="5">
        <f t="shared" si="715"/>
        <v>1.5965442002953296</v>
      </c>
      <c r="ED256" s="5"/>
      <c r="EE256" s="173">
        <f t="shared" si="716"/>
        <v>2.2193445419939715</v>
      </c>
      <c r="EF256" s="173">
        <f t="shared" si="717"/>
        <v>5.3299008562312764</v>
      </c>
      <c r="EG256" s="173">
        <f t="shared" si="718"/>
        <v>0.13126187206718595</v>
      </c>
      <c r="EH256" s="173"/>
      <c r="EI256" s="528">
        <f t="shared" si="719"/>
        <v>9.850980392156862E-2</v>
      </c>
      <c r="EJ256" s="528">
        <f t="shared" si="720"/>
        <v>2.1079866666666671</v>
      </c>
      <c r="EK256" s="528">
        <f t="shared" si="721"/>
        <v>1.3083333333333334E-2</v>
      </c>
      <c r="EL256" s="528">
        <f t="shared" si="722"/>
        <v>0.10613712866666668</v>
      </c>
      <c r="EM256">
        <f t="shared" si="723"/>
        <v>3.8249999999999999E-2</v>
      </c>
      <c r="EN256" s="460">
        <f t="shared" si="724"/>
        <v>51.333333333333336</v>
      </c>
      <c r="EP256" s="460">
        <f t="shared" si="725"/>
        <v>2363.966932588236</v>
      </c>
      <c r="EQ256" s="173">
        <f t="shared" si="726"/>
        <v>2.8</v>
      </c>
      <c r="ER256" s="173">
        <f t="shared" si="772"/>
        <v>4.4374999999999998E-2</v>
      </c>
      <c r="ES256" s="528"/>
      <c r="EU256" s="460">
        <f t="shared" si="727"/>
        <v>2844.375</v>
      </c>
      <c r="EV256" s="528">
        <f t="shared" si="728"/>
        <v>0.14776470588235291</v>
      </c>
      <c r="EW256" s="528">
        <f t="shared" si="729"/>
        <v>0.85223529411764676</v>
      </c>
      <c r="EX256" s="528">
        <f t="shared" si="730"/>
        <v>8.614839529291147E-5</v>
      </c>
      <c r="EY256" s="528">
        <f t="shared" si="731"/>
        <v>1.7721112707124289</v>
      </c>
      <c r="EZ256" s="528"/>
      <c r="FA256" s="625">
        <f t="shared" si="732"/>
        <v>1.0466666666666668E-2</v>
      </c>
      <c r="FB256" s="460">
        <f t="shared" si="733"/>
        <v>2782.6640857743882</v>
      </c>
      <c r="FC256" s="173">
        <f t="shared" si="734"/>
        <v>7.9910060183626248</v>
      </c>
      <c r="FD256" s="5">
        <f t="shared" si="735"/>
        <v>60.8</v>
      </c>
      <c r="FE256" s="173">
        <f t="shared" si="736"/>
        <v>0.88383647106091812</v>
      </c>
      <c r="FF256" s="5">
        <f t="shared" si="737"/>
        <v>88.383647106091814</v>
      </c>
      <c r="FG256">
        <f t="shared" si="738"/>
        <v>40</v>
      </c>
      <c r="FI256" s="562">
        <f t="shared" si="689"/>
        <v>-50</v>
      </c>
    </row>
    <row r="257" spans="5:165">
      <c r="E257" s="170">
        <v>41</v>
      </c>
      <c r="F257" s="217">
        <f t="shared" si="773"/>
        <v>4.0999999999999996</v>
      </c>
      <c r="G257" s="217">
        <f t="shared" si="742"/>
        <v>0.10249999999999999</v>
      </c>
      <c r="H257" s="217">
        <f t="shared" si="743"/>
        <v>61.499999999999993</v>
      </c>
      <c r="I257" s="217">
        <f t="shared" si="744"/>
        <v>0.82</v>
      </c>
      <c r="J257" s="541">
        <f t="shared" si="745"/>
        <v>84.727420162931693</v>
      </c>
      <c r="K257" s="443">
        <f t="shared" si="746"/>
        <v>15.846617922801491</v>
      </c>
      <c r="L257" s="172">
        <f t="shared" si="747"/>
        <v>100.57403808573318</v>
      </c>
      <c r="M257" s="443"/>
      <c r="N257" s="217">
        <f t="shared" si="748"/>
        <v>0.15756171497552104</v>
      </c>
      <c r="O257" s="172">
        <f t="shared" si="749"/>
        <v>329.35355985994391</v>
      </c>
      <c r="P257" s="172">
        <f t="shared" si="750"/>
        <v>4.4499325421076863</v>
      </c>
      <c r="Q257" s="217">
        <f t="shared" si="626"/>
        <v>21.956903990662926</v>
      </c>
      <c r="R257" s="217">
        <f t="shared" si="751"/>
        <v>41.169194982492989</v>
      </c>
      <c r="S257" s="217">
        <f t="shared" si="752"/>
        <v>15</v>
      </c>
      <c r="T257" s="217">
        <f t="shared" si="753"/>
        <v>9.3364711202988957</v>
      </c>
      <c r="U257" s="217">
        <f t="shared" si="630"/>
        <v>1.3223305185987866</v>
      </c>
      <c r="V257" s="217">
        <f t="shared" si="631"/>
        <v>7.0701302946401734</v>
      </c>
      <c r="W257" s="197">
        <f t="shared" si="632"/>
        <v>111.24831355269215</v>
      </c>
      <c r="X257" s="443">
        <f t="shared" si="691"/>
        <v>116.38109521072653</v>
      </c>
      <c r="Z257" s="217">
        <f t="shared" si="633"/>
        <v>10</v>
      </c>
      <c r="AA257" s="173">
        <f t="shared" si="634"/>
        <v>7.572593760043496</v>
      </c>
      <c r="AB257" s="173">
        <f t="shared" si="754"/>
        <v>4.1567678537392041</v>
      </c>
      <c r="AC257" s="173"/>
      <c r="AD257" s="173">
        <f t="shared" si="636"/>
        <v>7.572593760043496</v>
      </c>
      <c r="AE257" s="545">
        <f t="shared" si="755"/>
        <v>108.28522247247685</v>
      </c>
      <c r="AF257" s="528">
        <f t="shared" si="756"/>
        <v>4.2121914251223949</v>
      </c>
      <c r="AH257" s="173">
        <f t="shared" si="757"/>
        <v>5.4475857474839691</v>
      </c>
      <c r="AI257" s="173">
        <f t="shared" si="758"/>
        <v>10</v>
      </c>
      <c r="AJ257" s="173">
        <f t="shared" si="759"/>
        <v>1.0618772699842725</v>
      </c>
      <c r="AL257" s="545">
        <f t="shared" si="760"/>
        <v>4100</v>
      </c>
      <c r="AM257" s="460">
        <f t="shared" si="761"/>
        <v>108.28522247247685</v>
      </c>
      <c r="AO257">
        <f t="shared" si="644"/>
        <v>4100</v>
      </c>
      <c r="AP257">
        <f t="shared" si="645"/>
        <v>108.28522247247685</v>
      </c>
      <c r="AR257" s="5">
        <f t="shared" si="616"/>
        <v>9.2348704390774348</v>
      </c>
      <c r="AS257" s="5">
        <f t="shared" si="739"/>
        <v>1.4163065483315647</v>
      </c>
      <c r="AT257" s="5">
        <f t="shared" si="740"/>
        <v>7.8185638907458701</v>
      </c>
      <c r="AU257" s="173">
        <f t="shared" si="741"/>
        <v>0.15336506967530927</v>
      </c>
      <c r="BA257" s="173">
        <f t="shared" si="692"/>
        <v>2.2610106123539038</v>
      </c>
      <c r="BB257" s="173">
        <f t="shared" si="693"/>
        <v>5.312359583476665</v>
      </c>
      <c r="BC257" s="173">
        <f t="shared" si="694"/>
        <v>0.13082987523228806</v>
      </c>
      <c r="BD257" s="173"/>
      <c r="BE257" s="528">
        <f t="shared" si="695"/>
        <v>0.10224337978353949</v>
      </c>
      <c r="BF257" s="528">
        <f t="shared" si="762"/>
        <v>2.0420028917004327</v>
      </c>
      <c r="BG257" s="528">
        <f t="shared" si="763"/>
        <v>0.22936818854655197</v>
      </c>
      <c r="BH257" s="528">
        <f t="shared" si="696"/>
        <v>0.10953198752056353</v>
      </c>
      <c r="BI257">
        <f t="shared" si="697"/>
        <v>3.8127339073319264E-2</v>
      </c>
      <c r="BJ257" s="460">
        <f t="shared" si="698"/>
        <v>267.49552761987121</v>
      </c>
      <c r="BK257">
        <f t="shared" si="764"/>
        <v>2.3381855769842863</v>
      </c>
      <c r="BL257" s="460">
        <f t="shared" si="699"/>
        <v>2521.2737866244074</v>
      </c>
      <c r="BM257" s="173">
        <f t="shared" si="765"/>
        <v>2.5471249999999994</v>
      </c>
      <c r="BN257" s="173">
        <f t="shared" si="766"/>
        <v>4.5484374999999994E-2</v>
      </c>
      <c r="BQ257" s="460">
        <f t="shared" si="700"/>
        <v>2592.6093749999995</v>
      </c>
      <c r="BR257" s="528">
        <f t="shared" si="701"/>
        <v>0.15336506967530925</v>
      </c>
      <c r="BS257" s="528">
        <f t="shared" si="702"/>
        <v>0.84663493032469095</v>
      </c>
      <c r="BT257" s="528">
        <f t="shared" si="703"/>
        <v>8.5582281266480303E-5</v>
      </c>
      <c r="BU257" s="528">
        <f t="shared" si="704"/>
        <v>1.9292698936138823</v>
      </c>
      <c r="BV257" s="528"/>
      <c r="BW257" s="625">
        <f t="shared" si="705"/>
        <v>1.0828522247247686E-2</v>
      </c>
      <c r="BX257" s="460">
        <f t="shared" si="706"/>
        <v>2940.1839981423968</v>
      </c>
      <c r="BY257" s="173">
        <f t="shared" si="707"/>
        <v>8.0540671597668041</v>
      </c>
      <c r="BZ257" s="5">
        <f t="shared" si="708"/>
        <v>62.319999999999993</v>
      </c>
      <c r="CA257" s="173">
        <f t="shared" si="709"/>
        <v>0.88555347893305569</v>
      </c>
      <c r="CB257" s="5">
        <f t="shared" si="710"/>
        <v>88.555347893305566</v>
      </c>
      <c r="CC257">
        <f t="shared" si="711"/>
        <v>41</v>
      </c>
      <c r="CE257" s="562">
        <f t="shared" si="767"/>
        <v>-50</v>
      </c>
      <c r="CG257" s="173">
        <f t="shared" si="768"/>
        <v>0.83891517250951331</v>
      </c>
      <c r="CH257" s="173">
        <f t="shared" si="769"/>
        <v>9.8334963911055229E-2</v>
      </c>
      <c r="CI257" s="170">
        <v>41</v>
      </c>
      <c r="CJ257" s="217">
        <f t="shared" si="712"/>
        <v>4.0999999999999996</v>
      </c>
      <c r="CK257" s="217">
        <f t="shared" si="654"/>
        <v>0.10249999999999999</v>
      </c>
      <c r="CL257" s="217">
        <f t="shared" si="655"/>
        <v>61.499999999999993</v>
      </c>
      <c r="CM257" s="217">
        <f t="shared" si="656"/>
        <v>0.82</v>
      </c>
      <c r="CN257" s="541">
        <f t="shared" si="657"/>
        <v>85</v>
      </c>
      <c r="CO257" s="443">
        <f t="shared" si="770"/>
        <v>15.7</v>
      </c>
      <c r="CP257" s="443">
        <f t="shared" si="771"/>
        <v>100.7</v>
      </c>
      <c r="CQ257" s="443"/>
      <c r="CR257" s="217">
        <f t="shared" si="660"/>
        <v>0.15338645418326693</v>
      </c>
      <c r="CS257" s="172">
        <f t="shared" si="661"/>
        <v>321.65744915076539</v>
      </c>
      <c r="CT257" s="172">
        <f t="shared" si="662"/>
        <v>4.3459495351925632</v>
      </c>
      <c r="CU257" s="217">
        <f t="shared" si="663"/>
        <v>21.443829943384358</v>
      </c>
      <c r="CV257" s="217">
        <f t="shared" si="664"/>
        <v>40.207181143845673</v>
      </c>
      <c r="CW257" s="217">
        <f t="shared" si="665"/>
        <v>15</v>
      </c>
      <c r="CX257" s="217">
        <f t="shared" si="666"/>
        <v>9.5598594346829628</v>
      </c>
      <c r="CY257" s="217">
        <f t="shared" si="667"/>
        <v>1.3496272143081829</v>
      </c>
      <c r="CZ257" s="217">
        <f t="shared" si="668"/>
        <v>7.3068989309678702</v>
      </c>
      <c r="DA257" s="197">
        <f t="shared" si="669"/>
        <v>110.43528632903013</v>
      </c>
      <c r="DB257" s="443">
        <f t="shared" si="670"/>
        <v>115.51978047749665</v>
      </c>
      <c r="DD257" s="217">
        <f t="shared" si="671"/>
        <v>9.9999999999999982</v>
      </c>
      <c r="DE257" s="173">
        <f t="shared" si="672"/>
        <v>7.6433121019108263</v>
      </c>
      <c r="DF257" s="173">
        <f t="shared" si="673"/>
        <v>4.1649244760361679</v>
      </c>
      <c r="DG257" s="173"/>
      <c r="DH257" s="173">
        <f t="shared" si="674"/>
        <v>7.6433121019108281</v>
      </c>
      <c r="DI257" s="545">
        <f t="shared" si="675"/>
        <v>107.28333333333333</v>
      </c>
      <c r="DJ257" s="528">
        <f t="shared" si="676"/>
        <v>4.2204568023833167</v>
      </c>
      <c r="DL257" s="173">
        <f t="shared" si="677"/>
        <v>5.4475857474839691</v>
      </c>
      <c r="DM257" s="173">
        <f t="shared" si="678"/>
        <v>10</v>
      </c>
      <c r="DN257" s="173">
        <f t="shared" si="679"/>
        <v>1.061304761904762</v>
      </c>
      <c r="DP257" s="545">
        <f t="shared" si="680"/>
        <v>4100</v>
      </c>
      <c r="DQ257" s="460">
        <f t="shared" si="681"/>
        <v>107.28333333333333</v>
      </c>
      <c r="DS257">
        <f t="shared" si="682"/>
        <v>4100</v>
      </c>
      <c r="DT257">
        <f t="shared" si="683"/>
        <v>107.28333333333333</v>
      </c>
      <c r="DV257" s="5">
        <f t="shared" si="684"/>
        <v>9.3211123194034489</v>
      </c>
      <c r="DW257" s="5">
        <f t="shared" si="685"/>
        <v>1.4117647058823528</v>
      </c>
      <c r="DX257" s="5">
        <f t="shared" si="686"/>
        <v>7.9093476135210956</v>
      </c>
      <c r="DY257" s="173">
        <f t="shared" si="687"/>
        <v>0.15145882352941176</v>
      </c>
      <c r="EA257" s="5">
        <f t="shared" si="713"/>
        <v>38.588235294117638</v>
      </c>
      <c r="EB257" s="5">
        <f t="shared" si="714"/>
        <v>1.8088235294117645</v>
      </c>
      <c r="EC257" s="5">
        <f t="shared" si="715"/>
        <v>1.589623785070416</v>
      </c>
      <c r="ED257" s="5"/>
      <c r="EE257" s="173">
        <f t="shared" si="716"/>
        <v>2.2469150965224278</v>
      </c>
      <c r="EF257" s="173">
        <f t="shared" si="717"/>
        <v>5.3183367590209008</v>
      </c>
      <c r="EG257" s="173">
        <f t="shared" si="718"/>
        <v>0.13097707783000495</v>
      </c>
      <c r="EH257" s="173"/>
      <c r="EI257" s="528">
        <f t="shared" si="719"/>
        <v>0.10097254901960784</v>
      </c>
      <c r="EJ257" s="528">
        <f t="shared" si="720"/>
        <v>2.1606863333333335</v>
      </c>
      <c r="EK257" s="528">
        <f t="shared" si="721"/>
        <v>1.3410416666666666E-2</v>
      </c>
      <c r="EL257" s="528">
        <f t="shared" si="722"/>
        <v>0.10879055688333333</v>
      </c>
      <c r="EM257">
        <f t="shared" si="723"/>
        <v>3.8249999999999999E-2</v>
      </c>
      <c r="EN257" s="460">
        <f t="shared" si="724"/>
        <v>51.66041666666667</v>
      </c>
      <c r="EP257" s="460">
        <f t="shared" si="725"/>
        <v>2422.1098559029415</v>
      </c>
      <c r="EQ257" s="173">
        <f t="shared" si="726"/>
        <v>2.8699999999999997</v>
      </c>
      <c r="ER257" s="173">
        <f t="shared" si="772"/>
        <v>4.5484374999999994E-2</v>
      </c>
      <c r="ES257" s="528"/>
      <c r="EU257" s="460">
        <f t="shared" si="727"/>
        <v>2915.4843749999995</v>
      </c>
      <c r="EV257" s="528">
        <f t="shared" si="728"/>
        <v>0.15145882352941173</v>
      </c>
      <c r="EW257" s="528">
        <f t="shared" si="729"/>
        <v>0.84854117647058813</v>
      </c>
      <c r="EX257" s="528">
        <f t="shared" si="730"/>
        <v>8.5774974584435868E-5</v>
      </c>
      <c r="EY257" s="528">
        <f t="shared" si="731"/>
        <v>1.8849535440748282</v>
      </c>
      <c r="EZ257" s="528"/>
      <c r="FA257" s="625">
        <f t="shared" si="732"/>
        <v>1.0728333333333335E-2</v>
      </c>
      <c r="FB257" s="460">
        <f t="shared" si="733"/>
        <v>2895.7676523827458</v>
      </c>
      <c r="FC257" s="173">
        <f t="shared" si="734"/>
        <v>8.2333618832856867</v>
      </c>
      <c r="FD257" s="5">
        <f t="shared" si="735"/>
        <v>62.319999999999993</v>
      </c>
      <c r="FE257" s="173">
        <f t="shared" si="736"/>
        <v>0.88330305369564266</v>
      </c>
      <c r="FF257" s="5">
        <f t="shared" si="737"/>
        <v>88.330305369564272</v>
      </c>
      <c r="FG257">
        <f t="shared" si="738"/>
        <v>41</v>
      </c>
      <c r="FI257" s="562">
        <f t="shared" si="689"/>
        <v>-50</v>
      </c>
    </row>
    <row r="258" spans="5:165">
      <c r="E258" s="170">
        <v>42</v>
      </c>
      <c r="F258" s="217">
        <f t="shared" si="773"/>
        <v>4.2</v>
      </c>
      <c r="G258" s="217">
        <f t="shared" si="742"/>
        <v>0.105</v>
      </c>
      <c r="H258" s="217">
        <f t="shared" si="743"/>
        <v>63</v>
      </c>
      <c r="I258" s="217">
        <f t="shared" si="744"/>
        <v>0.84</v>
      </c>
      <c r="J258" s="541">
        <f t="shared" si="745"/>
        <v>84.723217668274827</v>
      </c>
      <c r="K258" s="443">
        <f t="shared" si="746"/>
        <v>15.849139419595611</v>
      </c>
      <c r="L258" s="172">
        <f t="shared" si="747"/>
        <v>100.57235708787044</v>
      </c>
      <c r="M258" s="443"/>
      <c r="N258" s="217">
        <f t="shared" si="748"/>
        <v>0.15758941998096115</v>
      </c>
      <c r="O258" s="172">
        <f t="shared" si="749"/>
        <v>329.39513317263527</v>
      </c>
      <c r="P258" s="172">
        <f t="shared" si="750"/>
        <v>4.4504942437547168</v>
      </c>
      <c r="Q258" s="217">
        <f t="shared" si="626"/>
        <v>21.959675544842352</v>
      </c>
      <c r="R258" s="217">
        <f t="shared" si="751"/>
        <v>41.174391646579409</v>
      </c>
      <c r="S258" s="217">
        <f t="shared" si="752"/>
        <v>15</v>
      </c>
      <c r="T258" s="217">
        <f t="shared" si="753"/>
        <v>9.5629828214525929</v>
      </c>
      <c r="U258" s="217">
        <f t="shared" si="630"/>
        <v>1.3544787015378217</v>
      </c>
      <c r="V258" s="217">
        <f t="shared" si="631"/>
        <v>7.2405063025408793</v>
      </c>
      <c r="W258" s="197">
        <f t="shared" si="632"/>
        <v>111.26235609386791</v>
      </c>
      <c r="X258" s="443">
        <f t="shared" si="691"/>
        <v>113.70116032446298</v>
      </c>
      <c r="Z258" s="217">
        <f t="shared" si="633"/>
        <v>10</v>
      </c>
      <c r="AA258" s="173">
        <f t="shared" si="634"/>
        <v>7.5713890087706606</v>
      </c>
      <c r="AB258" s="173">
        <f t="shared" si="754"/>
        <v>4.1566311514097309</v>
      </c>
      <c r="AC258" s="173"/>
      <c r="AD258" s="173">
        <f t="shared" si="636"/>
        <v>7.5713890087706606</v>
      </c>
      <c r="AE258" s="545">
        <f t="shared" si="755"/>
        <v>110.94397593716928</v>
      </c>
      <c r="AF258" s="528">
        <f t="shared" si="756"/>
        <v>4.2120529000951938</v>
      </c>
      <c r="AH258" s="173">
        <f t="shared" si="757"/>
        <v>5.5136195008360884</v>
      </c>
      <c r="AI258" s="173">
        <f t="shared" si="758"/>
        <v>10</v>
      </c>
      <c r="AJ258" s="173">
        <f t="shared" si="759"/>
        <v>1.0633965576783824</v>
      </c>
      <c r="AL258" s="545">
        <f t="shared" si="760"/>
        <v>4200</v>
      </c>
      <c r="AM258" s="460">
        <f t="shared" si="761"/>
        <v>110.94397593716928</v>
      </c>
      <c r="AO258">
        <f t="shared" si="644"/>
        <v>4200</v>
      </c>
      <c r="AP258">
        <f t="shared" si="645"/>
        <v>110.94397593716928</v>
      </c>
      <c r="AR258" s="5">
        <f t="shared" si="616"/>
        <v>9.0135583437745943</v>
      </c>
      <c r="AS258" s="5">
        <f t="shared" si="739"/>
        <v>1.4163768008652344</v>
      </c>
      <c r="AT258" s="5">
        <f t="shared" si="740"/>
        <v>7.5971815429093601</v>
      </c>
      <c r="AU258" s="173">
        <f t="shared" si="741"/>
        <v>0.15713847371315737</v>
      </c>
      <c r="BA258" s="173">
        <f t="shared" si="692"/>
        <v>2.2886566198912215</v>
      </c>
      <c r="BB258" s="173">
        <f t="shared" si="693"/>
        <v>5.3005079199602578</v>
      </c>
      <c r="BC258" s="173">
        <f t="shared" si="694"/>
        <v>0.13053799897000168</v>
      </c>
      <c r="BD258" s="173"/>
      <c r="BE258" s="528">
        <f t="shared" si="695"/>
        <v>0.10475898247543823</v>
      </c>
      <c r="BF258" s="528">
        <f t="shared" si="762"/>
        <v>2.0921057183814553</v>
      </c>
      <c r="BG258" s="528">
        <f t="shared" si="763"/>
        <v>0.23498826555771599</v>
      </c>
      <c r="BH258" s="528">
        <f t="shared" si="696"/>
        <v>0.11221760179980558</v>
      </c>
      <c r="BI258">
        <f t="shared" si="697"/>
        <v>3.8125447950723673E-2</v>
      </c>
      <c r="BJ258" s="460">
        <f t="shared" si="698"/>
        <v>273.11371350843967</v>
      </c>
      <c r="BK258">
        <f t="shared" si="764"/>
        <v>2.3970310917865492</v>
      </c>
      <c r="BL258" s="460">
        <f t="shared" si="699"/>
        <v>2582.1960161651386</v>
      </c>
      <c r="BM258" s="173">
        <f t="shared" si="765"/>
        <v>2.6092499999999998</v>
      </c>
      <c r="BN258" s="173">
        <f t="shared" si="766"/>
        <v>4.6593749999999996E-2</v>
      </c>
      <c r="BQ258" s="460">
        <f t="shared" si="700"/>
        <v>2655.84375</v>
      </c>
      <c r="BR258" s="528">
        <f t="shared" si="701"/>
        <v>0.15713847371315734</v>
      </c>
      <c r="BS258" s="528">
        <f t="shared" si="702"/>
        <v>0.84286152628684252</v>
      </c>
      <c r="BT258" s="528">
        <f t="shared" si="703"/>
        <v>8.5200845875460805E-5</v>
      </c>
      <c r="BU258" s="528">
        <f t="shared" si="704"/>
        <v>2.0498841564280257</v>
      </c>
      <c r="BV258" s="528"/>
      <c r="BW258" s="625">
        <f t="shared" si="705"/>
        <v>1.109439759371693E-2</v>
      </c>
      <c r="BX258" s="460">
        <f t="shared" si="706"/>
        <v>3061.0637548676182</v>
      </c>
      <c r="BY258" s="173">
        <f t="shared" si="707"/>
        <v>8.2991035210327553</v>
      </c>
      <c r="BZ258" s="5">
        <f t="shared" si="708"/>
        <v>63.84</v>
      </c>
      <c r="CA258" s="173">
        <f t="shared" si="709"/>
        <v>0.88495693575380963</v>
      </c>
      <c r="CB258" s="5">
        <f t="shared" si="710"/>
        <v>88.495693575380969</v>
      </c>
      <c r="CC258">
        <f t="shared" si="711"/>
        <v>42.000000000000007</v>
      </c>
      <c r="CE258" s="562">
        <f t="shared" si="767"/>
        <v>-50</v>
      </c>
      <c r="CG258" s="173">
        <f t="shared" si="768"/>
        <v>0.8448470588235294</v>
      </c>
      <c r="CH258" s="173">
        <f t="shared" si="769"/>
        <v>0.10073337766498341</v>
      </c>
      <c r="CI258" s="170">
        <v>42</v>
      </c>
      <c r="CJ258" s="217">
        <f t="shared" si="712"/>
        <v>4.2</v>
      </c>
      <c r="CK258" s="217">
        <f t="shared" si="654"/>
        <v>0.105</v>
      </c>
      <c r="CL258" s="217">
        <f t="shared" si="655"/>
        <v>63</v>
      </c>
      <c r="CM258" s="217">
        <f t="shared" si="656"/>
        <v>0.84</v>
      </c>
      <c r="CN258" s="541">
        <f t="shared" si="657"/>
        <v>85</v>
      </c>
      <c r="CO258" s="443">
        <f t="shared" si="770"/>
        <v>15.7</v>
      </c>
      <c r="CP258" s="443">
        <f t="shared" si="771"/>
        <v>100.7</v>
      </c>
      <c r="CQ258" s="443"/>
      <c r="CR258" s="217">
        <f t="shared" si="660"/>
        <v>0.15338645418326693</v>
      </c>
      <c r="CS258" s="172">
        <f t="shared" si="661"/>
        <v>321.65744915076539</v>
      </c>
      <c r="CT258" s="172">
        <f t="shared" si="662"/>
        <v>4.3459495351925632</v>
      </c>
      <c r="CU258" s="217">
        <f t="shared" si="663"/>
        <v>21.443829943384358</v>
      </c>
      <c r="CV258" s="217">
        <f t="shared" si="664"/>
        <v>40.207181143845673</v>
      </c>
      <c r="CW258" s="217">
        <f t="shared" si="665"/>
        <v>15</v>
      </c>
      <c r="CX258" s="217">
        <f t="shared" si="666"/>
        <v>9.7930267379679155</v>
      </c>
      <c r="CY258" s="217">
        <f t="shared" si="667"/>
        <v>1.3825449512425292</v>
      </c>
      <c r="CZ258" s="217">
        <f t="shared" si="668"/>
        <v>7.4851159780646492</v>
      </c>
      <c r="DA258" s="197">
        <f t="shared" si="669"/>
        <v>110.43528632903013</v>
      </c>
      <c r="DB258" s="443">
        <f t="shared" si="670"/>
        <v>112.76930951374672</v>
      </c>
      <c r="DD258" s="217">
        <f t="shared" si="671"/>
        <v>9.9999999999999982</v>
      </c>
      <c r="DE258" s="173">
        <f t="shared" si="672"/>
        <v>7.6433121019108263</v>
      </c>
      <c r="DF258" s="173">
        <f t="shared" si="673"/>
        <v>4.1649244760361679</v>
      </c>
      <c r="DG258" s="173"/>
      <c r="DH258" s="173">
        <f t="shared" si="674"/>
        <v>7.6433121019108281</v>
      </c>
      <c r="DI258" s="545">
        <f t="shared" si="675"/>
        <v>109.90000000000002</v>
      </c>
      <c r="DJ258" s="528">
        <f t="shared" si="676"/>
        <v>4.2204568023833167</v>
      </c>
      <c r="DL258" s="173">
        <f t="shared" si="677"/>
        <v>5.5136195008360884</v>
      </c>
      <c r="DM258" s="173">
        <f t="shared" si="678"/>
        <v>10</v>
      </c>
      <c r="DN258" s="173">
        <f t="shared" si="679"/>
        <v>1.0628</v>
      </c>
      <c r="DP258" s="545">
        <f t="shared" si="680"/>
        <v>4200</v>
      </c>
      <c r="DQ258" s="460">
        <f t="shared" si="681"/>
        <v>109.90000000000002</v>
      </c>
      <c r="DS258">
        <f t="shared" si="682"/>
        <v>4200</v>
      </c>
      <c r="DT258">
        <f t="shared" si="683"/>
        <v>109.90000000000002</v>
      </c>
      <c r="DV258" s="5">
        <f t="shared" si="684"/>
        <v>9.0991810737033667</v>
      </c>
      <c r="DW258" s="5">
        <f t="shared" si="685"/>
        <v>1.4117647058823528</v>
      </c>
      <c r="DX258" s="5">
        <f t="shared" si="686"/>
        <v>7.6874163678210135</v>
      </c>
      <c r="DY258" s="173">
        <f t="shared" si="687"/>
        <v>0.15515294117647058</v>
      </c>
      <c r="EA258" s="5">
        <f t="shared" si="713"/>
        <v>39.529411764705877</v>
      </c>
      <c r="EB258" s="5">
        <f t="shared" si="714"/>
        <v>1.8529411764705881</v>
      </c>
      <c r="EC258" s="5">
        <f t="shared" si="715"/>
        <v>1.5827033698455026</v>
      </c>
      <c r="ED258" s="5"/>
      <c r="EE258" s="173">
        <f t="shared" si="716"/>
        <v>2.274151425451338</v>
      </c>
      <c r="EF258" s="173">
        <f t="shared" si="717"/>
        <v>5.3067474621891497</v>
      </c>
      <c r="EG258" s="173">
        <f t="shared" si="718"/>
        <v>0.13069166299038379</v>
      </c>
      <c r="EH258" s="173"/>
      <c r="EI258" s="528">
        <f t="shared" si="719"/>
        <v>0.10343529411764704</v>
      </c>
      <c r="EJ258" s="528">
        <f t="shared" si="720"/>
        <v>2.2133860000000003</v>
      </c>
      <c r="EK258" s="528">
        <f t="shared" si="721"/>
        <v>1.3737500000000001E-2</v>
      </c>
      <c r="EL258" s="528">
        <f t="shared" si="722"/>
        <v>0.11144398510000002</v>
      </c>
      <c r="EM258">
        <f t="shared" si="723"/>
        <v>3.8249999999999999E-2</v>
      </c>
      <c r="EN258" s="460">
        <f t="shared" si="724"/>
        <v>51.987499999999997</v>
      </c>
      <c r="EP258" s="460">
        <f t="shared" si="725"/>
        <v>2480.2527792176475</v>
      </c>
      <c r="EQ258" s="173">
        <f t="shared" si="726"/>
        <v>2.94</v>
      </c>
      <c r="ER258" s="173">
        <f t="shared" si="772"/>
        <v>4.6593749999999996E-2</v>
      </c>
      <c r="ES258" s="528"/>
      <c r="EU258" s="460">
        <f t="shared" si="727"/>
        <v>2986.59375</v>
      </c>
      <c r="EV258" s="528">
        <f t="shared" si="728"/>
        <v>0.15515294117647055</v>
      </c>
      <c r="EW258" s="528">
        <f t="shared" si="729"/>
        <v>0.8448470588235294</v>
      </c>
      <c r="EX258" s="528">
        <f t="shared" si="730"/>
        <v>8.5401553875960251E-5</v>
      </c>
      <c r="EY258" s="528">
        <f t="shared" si="731"/>
        <v>2.0020007479428581</v>
      </c>
      <c r="EZ258" s="528"/>
      <c r="FA258" s="625">
        <f t="shared" si="732"/>
        <v>1.0990000000000003E-2</v>
      </c>
      <c r="FB258" s="460">
        <f t="shared" si="733"/>
        <v>3013.0761494967346</v>
      </c>
      <c r="FC258" s="173">
        <f t="shared" si="734"/>
        <v>8.4799226787143809</v>
      </c>
      <c r="FD258" s="5">
        <f t="shared" si="735"/>
        <v>63.84</v>
      </c>
      <c r="FE258" s="173">
        <f t="shared" si="736"/>
        <v>0.88274430662229886</v>
      </c>
      <c r="FF258" s="5">
        <f t="shared" si="737"/>
        <v>88.274430662229889</v>
      </c>
      <c r="FG258">
        <f t="shared" si="738"/>
        <v>42.000000000000007</v>
      </c>
      <c r="FI258" s="562">
        <f t="shared" si="689"/>
        <v>-50</v>
      </c>
    </row>
    <row r="259" spans="5:165">
      <c r="E259" s="170">
        <v>43</v>
      </c>
      <c r="F259" s="217">
        <f t="shared" si="773"/>
        <v>4.3</v>
      </c>
      <c r="G259" s="217">
        <f t="shared" si="742"/>
        <v>0.1075</v>
      </c>
      <c r="H259" s="217">
        <f t="shared" si="743"/>
        <v>64.5</v>
      </c>
      <c r="I259" s="217">
        <f t="shared" si="744"/>
        <v>0.86</v>
      </c>
      <c r="J259" s="541">
        <f t="shared" si="745"/>
        <v>84.71676966620916</v>
      </c>
      <c r="K259" s="443">
        <f t="shared" si="746"/>
        <v>15.852827058823529</v>
      </c>
      <c r="L259" s="172">
        <f t="shared" si="747"/>
        <v>100.56959672503268</v>
      </c>
      <c r="M259" s="443"/>
      <c r="N259" s="217">
        <f t="shared" si="748"/>
        <v>0.15763041291859547</v>
      </c>
      <c r="O259" s="172">
        <f t="shared" si="749"/>
        <v>329.45574137205824</v>
      </c>
      <c r="P259" s="172">
        <f t="shared" si="750"/>
        <v>4.4513131278713649</v>
      </c>
      <c r="Q259" s="217">
        <f t="shared" si="626"/>
        <v>21.963716091470548</v>
      </c>
      <c r="R259" s="217">
        <f t="shared" si="751"/>
        <v>41.18196767150728</v>
      </c>
      <c r="S259" s="217">
        <f t="shared" si="752"/>
        <v>15</v>
      </c>
      <c r="T259" s="217">
        <f t="shared" si="753"/>
        <v>9.7888717512376555</v>
      </c>
      <c r="U259" s="217">
        <f t="shared" si="630"/>
        <v>1.3865786133923557</v>
      </c>
      <c r="V259" s="217">
        <f t="shared" si="631"/>
        <v>7.4098115483743445</v>
      </c>
      <c r="W259" s="197">
        <f t="shared" si="632"/>
        <v>111.2828281967841</v>
      </c>
      <c r="X259" s="443">
        <f t="shared" si="691"/>
        <v>111.15569489747666</v>
      </c>
      <c r="Z259" s="217">
        <f t="shared" si="633"/>
        <v>10.000000000000002</v>
      </c>
      <c r="AA259" s="173">
        <f t="shared" si="634"/>
        <v>7.5696277739439042</v>
      </c>
      <c r="AB259" s="173">
        <f t="shared" si="754"/>
        <v>4.1564288836253525</v>
      </c>
      <c r="AC259" s="173"/>
      <c r="AD259" s="173">
        <f t="shared" si="636"/>
        <v>7.5696277739439024</v>
      </c>
      <c r="AE259" s="545">
        <f t="shared" si="755"/>
        <v>113.61192725490197</v>
      </c>
      <c r="AF259" s="528">
        <f t="shared" si="756"/>
        <v>4.2118479354070217</v>
      </c>
      <c r="AH259" s="173">
        <f t="shared" si="757"/>
        <v>5.5788717070577567</v>
      </c>
      <c r="AI259" s="173">
        <f t="shared" si="758"/>
        <v>10</v>
      </c>
      <c r="AJ259" s="173">
        <f t="shared" si="759"/>
        <v>1.2</v>
      </c>
      <c r="AL259" s="545">
        <f t="shared" si="760"/>
        <v>4300</v>
      </c>
      <c r="AM259" s="460">
        <f t="shared" si="761"/>
        <v>111.15569489747666</v>
      </c>
      <c r="AO259">
        <f t="shared" si="644"/>
        <v>4300</v>
      </c>
      <c r="AP259">
        <f t="shared" si="645"/>
        <v>111.15569489747666</v>
      </c>
      <c r="AR259" s="5">
        <f t="shared" si="616"/>
        <v>8.9963901617666995</v>
      </c>
      <c r="AS259" s="5">
        <f t="shared" si="739"/>
        <v>1.4164846047932373</v>
      </c>
      <c r="AT259" s="5">
        <f t="shared" si="740"/>
        <v>7.5799055569734621</v>
      </c>
      <c r="AU259" s="173">
        <f t="shared" si="741"/>
        <v>0.1574503305573699</v>
      </c>
      <c r="BA259" s="173">
        <f t="shared" si="692"/>
        <v>2.2909265269563601</v>
      </c>
      <c r="BB259" s="173">
        <f t="shared" si="693"/>
        <v>5.2995272413132284</v>
      </c>
      <c r="BC259" s="173">
        <f t="shared" si="694"/>
        <v>0.13051384735469443</v>
      </c>
      <c r="BD259" s="173"/>
      <c r="BE259" s="528">
        <f t="shared" si="695"/>
        <v>0.1049668870382466</v>
      </c>
      <c r="BF259" s="528">
        <f t="shared" si="762"/>
        <v>2.0960406392868753</v>
      </c>
      <c r="BG259" s="528">
        <f t="shared" si="763"/>
        <v>0.23541878504292377</v>
      </c>
      <c r="BH259" s="528">
        <f t="shared" si="696"/>
        <v>0.11242557963325907</v>
      </c>
      <c r="BI259">
        <f t="shared" si="697"/>
        <v>3.8122546349794124E-2</v>
      </c>
      <c r="BJ259" s="460">
        <f t="shared" si="698"/>
        <v>273.54133139271789</v>
      </c>
      <c r="BK259">
        <f t="shared" si="764"/>
        <v>2.4016721877061191</v>
      </c>
      <c r="BL259" s="460">
        <f t="shared" si="699"/>
        <v>2586.9744373510989</v>
      </c>
      <c r="BM259" s="173">
        <f t="shared" si="765"/>
        <v>2.6713749999999998</v>
      </c>
      <c r="BN259" s="173">
        <f t="shared" si="766"/>
        <v>4.7703124999999999E-2</v>
      </c>
      <c r="BQ259" s="460">
        <f t="shared" si="700"/>
        <v>2719.078125</v>
      </c>
      <c r="BR259" s="528">
        <f t="shared" si="701"/>
        <v>0.1574503305573699</v>
      </c>
      <c r="BS259" s="528">
        <f t="shared" si="702"/>
        <v>0.84254966944262988</v>
      </c>
      <c r="BT259" s="528">
        <f t="shared" si="703"/>
        <v>8.5169321756622401E-5</v>
      </c>
      <c r="BU259" s="528">
        <f t="shared" si="704"/>
        <v>2.059677854110034</v>
      </c>
      <c r="BV259" s="528"/>
      <c r="BW259" s="625">
        <f t="shared" si="705"/>
        <v>1.1115569489747668E-2</v>
      </c>
      <c r="BX259" s="460">
        <f t="shared" si="706"/>
        <v>3070.8785929215383</v>
      </c>
      <c r="BY259" s="173">
        <f t="shared" si="707"/>
        <v>8.3769311552726382</v>
      </c>
      <c r="BZ259" s="5">
        <f t="shared" si="708"/>
        <v>65.36</v>
      </c>
      <c r="CA259" s="173">
        <f t="shared" si="709"/>
        <v>0.88639436135967209</v>
      </c>
      <c r="CB259" s="5">
        <f t="shared" si="710"/>
        <v>88.639436135967202</v>
      </c>
      <c r="CC259">
        <f t="shared" si="711"/>
        <v>43</v>
      </c>
      <c r="CE259" s="562">
        <f t="shared" si="767"/>
        <v>-50</v>
      </c>
      <c r="CG259" s="173">
        <f t="shared" si="768"/>
        <v>0.84409136047666333</v>
      </c>
      <c r="CH259" s="173">
        <f t="shared" si="769"/>
        <v>0.1020398968288061</v>
      </c>
      <c r="CI259" s="170">
        <v>43</v>
      </c>
      <c r="CJ259" s="217">
        <f t="shared" si="712"/>
        <v>4.3</v>
      </c>
      <c r="CK259" s="217">
        <f t="shared" si="654"/>
        <v>0.1075</v>
      </c>
      <c r="CL259" s="217">
        <f t="shared" si="655"/>
        <v>64.5</v>
      </c>
      <c r="CM259" s="217">
        <f t="shared" si="656"/>
        <v>0.86</v>
      </c>
      <c r="CN259" s="541">
        <f t="shared" si="657"/>
        <v>85</v>
      </c>
      <c r="CO259" s="443">
        <f t="shared" si="770"/>
        <v>15.7</v>
      </c>
      <c r="CP259" s="443">
        <f t="shared" si="771"/>
        <v>100.7</v>
      </c>
      <c r="CQ259" s="443"/>
      <c r="CR259" s="217">
        <f t="shared" si="660"/>
        <v>0.15338645418326693</v>
      </c>
      <c r="CS259" s="172">
        <f t="shared" si="661"/>
        <v>321.65744915076539</v>
      </c>
      <c r="CT259" s="172">
        <f t="shared" si="662"/>
        <v>4.3459495351925632</v>
      </c>
      <c r="CU259" s="217">
        <f t="shared" si="663"/>
        <v>21.443829943384358</v>
      </c>
      <c r="CV259" s="217">
        <f t="shared" si="664"/>
        <v>40.207181143845673</v>
      </c>
      <c r="CW259" s="217">
        <f t="shared" si="665"/>
        <v>15</v>
      </c>
      <c r="CX259" s="217">
        <f t="shared" si="666"/>
        <v>10.026194041252865</v>
      </c>
      <c r="CY259" s="217">
        <f t="shared" si="667"/>
        <v>1.415462688176875</v>
      </c>
      <c r="CZ259" s="217">
        <f t="shared" si="668"/>
        <v>7.6633330251614256</v>
      </c>
      <c r="DA259" s="197">
        <f t="shared" si="669"/>
        <v>110.43528632903013</v>
      </c>
      <c r="DB259" s="443">
        <f t="shared" si="670"/>
        <v>110.14676743203169</v>
      </c>
      <c r="DD259" s="217">
        <f t="shared" si="671"/>
        <v>9.9999999999999982</v>
      </c>
      <c r="DE259" s="173">
        <f t="shared" si="672"/>
        <v>7.6433121019108263</v>
      </c>
      <c r="DF259" s="173">
        <f t="shared" si="673"/>
        <v>4.1649244760361679</v>
      </c>
      <c r="DG259" s="173"/>
      <c r="DH259" s="173">
        <f t="shared" si="674"/>
        <v>7.6433121019108281</v>
      </c>
      <c r="DI259" s="545">
        <f t="shared" si="675"/>
        <v>112.51666666666667</v>
      </c>
      <c r="DJ259" s="528">
        <f t="shared" si="676"/>
        <v>4.2204568023833167</v>
      </c>
      <c r="DL259" s="173">
        <f t="shared" si="677"/>
        <v>5.5788717070577567</v>
      </c>
      <c r="DM259" s="173">
        <f t="shared" si="678"/>
        <v>10.026194041252865</v>
      </c>
      <c r="DN259" s="173">
        <f t="shared" si="679"/>
        <v>1.2194029935206403</v>
      </c>
      <c r="DP259" s="545">
        <f t="shared" si="680"/>
        <v>4300</v>
      </c>
      <c r="DQ259" s="460">
        <f t="shared" si="681"/>
        <v>110.14676743203169</v>
      </c>
      <c r="DS259">
        <f t="shared" si="682"/>
        <v>4300</v>
      </c>
      <c r="DT259">
        <f t="shared" si="683"/>
        <v>110.14676743203169</v>
      </c>
      <c r="DV259" s="5">
        <f t="shared" si="684"/>
        <v>9.0787957133382999</v>
      </c>
      <c r="DW259" s="5">
        <f t="shared" si="685"/>
        <v>1.415462688176875</v>
      </c>
      <c r="DX259" s="5">
        <f t="shared" si="686"/>
        <v>7.6633330251614247</v>
      </c>
      <c r="DY259" s="173">
        <f t="shared" si="687"/>
        <v>0.15590863952333664</v>
      </c>
      <c r="EA259" s="5">
        <f t="shared" si="713"/>
        <v>40.576597061070416</v>
      </c>
      <c r="EB259" s="5">
        <f t="shared" si="714"/>
        <v>1.902027987237676</v>
      </c>
      <c r="EC259" s="5">
        <f t="shared" si="715"/>
        <v>1.6153103925585355</v>
      </c>
      <c r="ED259" s="5"/>
      <c r="EE259" s="173">
        <f t="shared" si="716"/>
        <v>2.2856544265113006</v>
      </c>
      <c r="EF259" s="173">
        <f t="shared" si="717"/>
        <v>5.3182678408344684</v>
      </c>
      <c r="EG259" s="173">
        <f t="shared" si="718"/>
        <v>0.13097538055074692</v>
      </c>
      <c r="EH259" s="173"/>
      <c r="EI259" s="528">
        <f t="shared" si="719"/>
        <v>0.10448432314861406</v>
      </c>
      <c r="EJ259" s="528">
        <f t="shared" si="720"/>
        <v>2.2241666666666671</v>
      </c>
      <c r="EK259" s="528">
        <f t="shared" si="721"/>
        <v>1.376834592900396E-2</v>
      </c>
      <c r="EL259" s="528">
        <f t="shared" si="722"/>
        <v>0.11169421936768431</v>
      </c>
      <c r="EM259">
        <f t="shared" si="723"/>
        <v>3.8249999999999999E-2</v>
      </c>
      <c r="EN259" s="460">
        <f t="shared" si="724"/>
        <v>52.018345929003956</v>
      </c>
      <c r="EP259" s="460">
        <f t="shared" si="725"/>
        <v>2492.3635551119692</v>
      </c>
      <c r="EQ259" s="173">
        <f t="shared" si="726"/>
        <v>3.01</v>
      </c>
      <c r="ER259" s="173">
        <f t="shared" si="772"/>
        <v>4.7703124999999999E-2</v>
      </c>
      <c r="ES259" s="528"/>
      <c r="EU259" s="460">
        <f t="shared" si="727"/>
        <v>3057.7031249999995</v>
      </c>
      <c r="EV259" s="528">
        <f t="shared" si="728"/>
        <v>0.15672648472292106</v>
      </c>
      <c r="EW259" s="528">
        <f t="shared" si="729"/>
        <v>0.84851918480562349</v>
      </c>
      <c r="EX259" s="528">
        <f t="shared" si="730"/>
        <v>8.5772751552064876E-5</v>
      </c>
      <c r="EY259" s="528">
        <f t="shared" si="731"/>
        <v>2.0264675705467905</v>
      </c>
      <c r="EZ259" s="528"/>
      <c r="FA259" s="625">
        <f t="shared" si="732"/>
        <v>1.1072456097361757E-2</v>
      </c>
      <c r="FB259" s="460">
        <f t="shared" si="733"/>
        <v>3042.8714689242488</v>
      </c>
      <c r="FC259" s="173">
        <f t="shared" si="734"/>
        <v>8.5929381490362182</v>
      </c>
      <c r="FD259" s="5">
        <f t="shared" si="735"/>
        <v>65.36</v>
      </c>
      <c r="FE259" s="173">
        <f t="shared" si="736"/>
        <v>0.88380531775872107</v>
      </c>
      <c r="FF259" s="5">
        <f t="shared" si="737"/>
        <v>88.3805317758721</v>
      </c>
      <c r="FG259">
        <f t="shared" si="738"/>
        <v>43</v>
      </c>
      <c r="FI259" s="562">
        <f t="shared" si="689"/>
        <v>-50</v>
      </c>
    </row>
    <row r="260" spans="5:165">
      <c r="E260" s="170">
        <v>44</v>
      </c>
      <c r="F260" s="217">
        <f t="shared" si="773"/>
        <v>4.4000000000000004</v>
      </c>
      <c r="G260" s="217">
        <f t="shared" si="742"/>
        <v>0.11</v>
      </c>
      <c r="H260" s="217">
        <f t="shared" si="743"/>
        <v>66</v>
      </c>
      <c r="I260" s="217">
        <f t="shared" si="744"/>
        <v>0.88</v>
      </c>
      <c r="J260" s="541">
        <f t="shared" si="745"/>
        <v>84.710182914260542</v>
      </c>
      <c r="K260" s="443">
        <f t="shared" si="746"/>
        <v>15.856381176470588</v>
      </c>
      <c r="L260" s="172">
        <f t="shared" si="747"/>
        <v>100.56656409073113</v>
      </c>
      <c r="M260" s="443"/>
      <c r="N260" s="217">
        <f t="shared" si="748"/>
        <v>0.1576705072887343</v>
      </c>
      <c r="O260" s="172">
        <f t="shared" si="749"/>
        <v>329.51391889670066</v>
      </c>
      <c r="P260" s="172">
        <f t="shared" si="750"/>
        <v>4.4520991708709774</v>
      </c>
      <c r="Q260" s="217">
        <f t="shared" si="626"/>
        <v>21.967594593113379</v>
      </c>
      <c r="R260" s="217">
        <f t="shared" si="751"/>
        <v>41.189239862087582</v>
      </c>
      <c r="S260" s="217">
        <f t="shared" si="752"/>
        <v>15</v>
      </c>
      <c r="T260" s="217">
        <f t="shared" si="753"/>
        <v>10.01475145890428</v>
      </c>
      <c r="U260" s="217">
        <f t="shared" si="630"/>
        <v>1.4186844293381895</v>
      </c>
      <c r="V260" s="217">
        <f t="shared" si="631"/>
        <v>7.5790948873746178</v>
      </c>
      <c r="W260" s="197">
        <f t="shared" si="632"/>
        <v>111.30247927177444</v>
      </c>
      <c r="X260" s="443">
        <f t="shared" si="691"/>
        <v>108.72189531476931</v>
      </c>
      <c r="Z260" s="217">
        <f t="shared" si="633"/>
        <v>10</v>
      </c>
      <c r="AA260" s="173">
        <f t="shared" si="634"/>
        <v>7.5679310849356334</v>
      </c>
      <c r="AB260" s="173">
        <f t="shared" si="754"/>
        <v>4.1562310495621668</v>
      </c>
      <c r="AC260" s="173"/>
      <c r="AD260" s="173">
        <f t="shared" si="636"/>
        <v>7.5679310849356334</v>
      </c>
      <c r="AE260" s="545">
        <f t="shared" si="755"/>
        <v>116.28012862745098</v>
      </c>
      <c r="AF260" s="528">
        <f t="shared" si="756"/>
        <v>4.2116474635563295</v>
      </c>
      <c r="AH260" s="173">
        <f t="shared" si="757"/>
        <v>5.6433694764403866</v>
      </c>
      <c r="AI260" s="173">
        <f t="shared" si="758"/>
        <v>10.01475145890428</v>
      </c>
      <c r="AJ260" s="173">
        <f t="shared" si="759"/>
        <v>1.2109270065957631</v>
      </c>
      <c r="AL260" s="545">
        <f t="shared" si="760"/>
        <v>4400</v>
      </c>
      <c r="AM260" s="460">
        <f t="shared" si="761"/>
        <v>108.72189531476931</v>
      </c>
      <c r="AO260">
        <f t="shared" si="644"/>
        <v>4400</v>
      </c>
      <c r="AP260">
        <f t="shared" si="645"/>
        <v>108.72189531476931</v>
      </c>
      <c r="AR260" s="5">
        <f t="shared" si="616"/>
        <v>9.1977793167128041</v>
      </c>
      <c r="AS260" s="5">
        <f t="shared" si="739"/>
        <v>1.4186844293381895</v>
      </c>
      <c r="AT260" s="5">
        <f t="shared" si="740"/>
        <v>7.7790948873746144</v>
      </c>
      <c r="AU260" s="173">
        <f t="shared" si="741"/>
        <v>0.15424206001119989</v>
      </c>
      <c r="BA260" s="173">
        <f t="shared" si="692"/>
        <v>2.2708108297285978</v>
      </c>
      <c r="BB260" s="173">
        <f t="shared" si="693"/>
        <v>5.3174399012553444</v>
      </c>
      <c r="BC260" s="173">
        <f t="shared" si="694"/>
        <v>0.13095499050934734</v>
      </c>
      <c r="BD260" s="173"/>
      <c r="BE260" s="528">
        <f t="shared" si="695"/>
        <v>0.10313163648825366</v>
      </c>
      <c r="BF260" s="528">
        <f t="shared" si="762"/>
        <v>2.0531093221625563</v>
      </c>
      <c r="BG260" s="528">
        <f t="shared" si="763"/>
        <v>0.23024629097247987</v>
      </c>
      <c r="BH260" s="528">
        <f t="shared" si="696"/>
        <v>0.10995734366705424</v>
      </c>
      <c r="BI260">
        <f t="shared" si="697"/>
        <v>3.8119582311417245E-2</v>
      </c>
      <c r="BJ260" s="460">
        <f t="shared" si="698"/>
        <v>268.36587328389709</v>
      </c>
      <c r="BK260">
        <f t="shared" si="764"/>
        <v>2.3516693301126073</v>
      </c>
      <c r="BL260" s="460">
        <f t="shared" si="699"/>
        <v>2534.5641756017617</v>
      </c>
      <c r="BM260" s="173">
        <f t="shared" si="765"/>
        <v>2.7334999999999998</v>
      </c>
      <c r="BN260" s="173">
        <f t="shared" si="766"/>
        <v>4.8812499999999995E-2</v>
      </c>
      <c r="BQ260" s="460">
        <f t="shared" si="700"/>
        <v>2782.3124999999995</v>
      </c>
      <c r="BR260" s="528">
        <f t="shared" si="701"/>
        <v>0.15469745473238047</v>
      </c>
      <c r="BS260" s="528">
        <f t="shared" si="702"/>
        <v>0.84825501310387341</v>
      </c>
      <c r="BT260" s="528">
        <f t="shared" si="703"/>
        <v>8.5746047696516254E-5</v>
      </c>
      <c r="BU260" s="528">
        <f t="shared" si="704"/>
        <v>1.9559735616849154</v>
      </c>
      <c r="BV260" s="528"/>
      <c r="BW260" s="625">
        <f t="shared" si="705"/>
        <v>1.0904289321378276E-2</v>
      </c>
      <c r="BX260" s="460">
        <f t="shared" si="706"/>
        <v>2969.9160648902443</v>
      </c>
      <c r="BY260" s="173">
        <f t="shared" si="707"/>
        <v>8.2867927404920056</v>
      </c>
      <c r="BZ260" s="5">
        <f t="shared" si="708"/>
        <v>66.88</v>
      </c>
      <c r="CA260" s="173">
        <f t="shared" si="709"/>
        <v>0.88975460521374694</v>
      </c>
      <c r="CB260" s="5">
        <f t="shared" si="710"/>
        <v>88.9754605213747</v>
      </c>
      <c r="CC260">
        <f t="shared" si="711"/>
        <v>44.000000000000007</v>
      </c>
      <c r="CE260" s="562">
        <f t="shared" si="767"/>
        <v>-50</v>
      </c>
      <c r="CG260" s="173">
        <f t="shared" si="768"/>
        <v>0.84409136047666333</v>
      </c>
      <c r="CH260" s="173">
        <f t="shared" si="769"/>
        <v>0.1020398968288061</v>
      </c>
      <c r="CI260" s="170">
        <v>44</v>
      </c>
      <c r="CJ260" s="217">
        <f t="shared" si="712"/>
        <v>4.4000000000000004</v>
      </c>
      <c r="CK260" s="217">
        <f t="shared" si="654"/>
        <v>0.11</v>
      </c>
      <c r="CL260" s="217">
        <f t="shared" si="655"/>
        <v>66</v>
      </c>
      <c r="CM260" s="217">
        <f t="shared" si="656"/>
        <v>0.88</v>
      </c>
      <c r="CN260" s="541">
        <f t="shared" si="657"/>
        <v>85</v>
      </c>
      <c r="CO260" s="443">
        <f t="shared" si="770"/>
        <v>15.7</v>
      </c>
      <c r="CP260" s="443">
        <f t="shared" si="771"/>
        <v>100.7</v>
      </c>
      <c r="CQ260" s="443"/>
      <c r="CR260" s="217">
        <f t="shared" si="660"/>
        <v>0.15338645418326693</v>
      </c>
      <c r="CS260" s="172">
        <f t="shared" si="661"/>
        <v>321.65744915076539</v>
      </c>
      <c r="CT260" s="172">
        <f t="shared" si="662"/>
        <v>4.3459495351925632</v>
      </c>
      <c r="CU260" s="217">
        <f t="shared" si="663"/>
        <v>21.443829943384358</v>
      </c>
      <c r="CV260" s="217">
        <f t="shared" si="664"/>
        <v>40.207181143845673</v>
      </c>
      <c r="CW260" s="217">
        <f t="shared" si="665"/>
        <v>15</v>
      </c>
      <c r="CX260" s="217">
        <f t="shared" si="666"/>
        <v>10.259361344537814</v>
      </c>
      <c r="CY260" s="217">
        <f t="shared" si="667"/>
        <v>1.4483804251112209</v>
      </c>
      <c r="CZ260" s="217">
        <f t="shared" si="668"/>
        <v>7.8415500722582037</v>
      </c>
      <c r="DA260" s="197">
        <f t="shared" si="669"/>
        <v>110.43528632903013</v>
      </c>
      <c r="DB260" s="443">
        <f t="shared" si="670"/>
        <v>107.64343180857642</v>
      </c>
      <c r="DD260" s="217">
        <f t="shared" si="671"/>
        <v>9.9999999999999982</v>
      </c>
      <c r="DE260" s="173">
        <f t="shared" si="672"/>
        <v>7.6433121019108263</v>
      </c>
      <c r="DF260" s="173">
        <f t="shared" si="673"/>
        <v>4.1649244760361679</v>
      </c>
      <c r="DG260" s="173"/>
      <c r="DH260" s="173">
        <f t="shared" si="674"/>
        <v>7.6433121019108281</v>
      </c>
      <c r="DI260" s="545">
        <f t="shared" si="675"/>
        <v>115.13333333333335</v>
      </c>
      <c r="DJ260" s="528">
        <f t="shared" si="676"/>
        <v>4.2204568023833167</v>
      </c>
      <c r="DL260" s="173">
        <f t="shared" si="677"/>
        <v>5.6433694764403866</v>
      </c>
      <c r="DM260" s="173">
        <f t="shared" si="678"/>
        <v>10.259361344537814</v>
      </c>
      <c r="DN260" s="173">
        <f t="shared" si="679"/>
        <v>1.3921195144724545</v>
      </c>
      <c r="DP260" s="545">
        <f t="shared" si="680"/>
        <v>4400</v>
      </c>
      <c r="DQ260" s="460">
        <f t="shared" si="681"/>
        <v>107.64343180857642</v>
      </c>
      <c r="DS260">
        <f t="shared" si="682"/>
        <v>4400</v>
      </c>
      <c r="DT260">
        <f t="shared" si="683"/>
        <v>107.64343180857642</v>
      </c>
      <c r="DV260" s="5">
        <f t="shared" si="684"/>
        <v>9.2899304973694239</v>
      </c>
      <c r="DW260" s="5">
        <f t="shared" si="685"/>
        <v>1.4483804251112209</v>
      </c>
      <c r="DX260" s="5">
        <f t="shared" si="686"/>
        <v>7.8415500722582028</v>
      </c>
      <c r="DY260" s="173">
        <f t="shared" si="687"/>
        <v>0.15590863952333664</v>
      </c>
      <c r="EA260" s="5">
        <f t="shared" si="713"/>
        <v>42.485825803262479</v>
      </c>
      <c r="EB260" s="5">
        <f t="shared" si="714"/>
        <v>1.9915230845279288</v>
      </c>
      <c r="EC260" s="5">
        <f t="shared" si="715"/>
        <v>1.6913147214674553</v>
      </c>
      <c r="ED260" s="5"/>
      <c r="EE260" s="173">
        <f t="shared" si="716"/>
        <v>2.3388091806162139</v>
      </c>
      <c r="EF260" s="173">
        <f t="shared" si="717"/>
        <v>5.4419484882957336</v>
      </c>
      <c r="EG260" s="173">
        <f t="shared" si="718"/>
        <v>0.13402131963332242</v>
      </c>
      <c r="EH260" s="173"/>
      <c r="EI260" s="528">
        <f t="shared" si="719"/>
        <v>0.10940056766669372</v>
      </c>
      <c r="EJ260" s="528">
        <f t="shared" si="720"/>
        <v>2.2241666666666662</v>
      </c>
      <c r="EK260" s="528">
        <f t="shared" si="721"/>
        <v>1.3455428976072051E-2</v>
      </c>
      <c r="EL260" s="528">
        <f t="shared" si="722"/>
        <v>0.10915571438205512</v>
      </c>
      <c r="EM260">
        <f t="shared" si="723"/>
        <v>3.8249999999999999E-2</v>
      </c>
      <c r="EN260" s="460">
        <f t="shared" si="724"/>
        <v>51.705428976072056</v>
      </c>
      <c r="EP260" s="460">
        <f t="shared" si="725"/>
        <v>2494.4283776914872</v>
      </c>
      <c r="EQ260" s="173">
        <f t="shared" si="726"/>
        <v>3.08</v>
      </c>
      <c r="ER260" s="173">
        <f t="shared" si="772"/>
        <v>4.8812499999999995E-2</v>
      </c>
      <c r="ES260" s="528"/>
      <c r="EU260" s="460">
        <f t="shared" si="727"/>
        <v>3128.8125</v>
      </c>
      <c r="EV260" s="528">
        <f t="shared" si="728"/>
        <v>0.16410085150004058</v>
      </c>
      <c r="EW260" s="528">
        <f t="shared" si="729"/>
        <v>0.88844410047792666</v>
      </c>
      <c r="EX260" s="528">
        <f t="shared" si="730"/>
        <v>8.9808570581285878E-5</v>
      </c>
      <c r="EY260" s="528">
        <f t="shared" si="731"/>
        <v>2.0264675705467905</v>
      </c>
      <c r="EZ260" s="528"/>
      <c r="FA260" s="625">
        <f t="shared" si="732"/>
        <v>1.1329955076370168E-2</v>
      </c>
      <c r="FB260" s="460">
        <f t="shared" si="733"/>
        <v>3090.4322861717096</v>
      </c>
      <c r="FC260" s="173">
        <f t="shared" si="734"/>
        <v>8.713673163863195</v>
      </c>
      <c r="FD260" s="5">
        <f t="shared" si="735"/>
        <v>66.88</v>
      </c>
      <c r="FE260" s="173">
        <f t="shared" si="736"/>
        <v>0.88473012622399361</v>
      </c>
      <c r="FF260" s="5">
        <f t="shared" si="737"/>
        <v>88.473012622399366</v>
      </c>
      <c r="FG260">
        <f t="shared" si="738"/>
        <v>44.000000000000007</v>
      </c>
      <c r="FI260" s="562">
        <f t="shared" si="689"/>
        <v>-50</v>
      </c>
    </row>
    <row r="261" spans="5:165">
      <c r="E261" s="170">
        <v>45</v>
      </c>
      <c r="F261" s="217">
        <f t="shared" si="773"/>
        <v>4.5</v>
      </c>
      <c r="G261" s="217">
        <f t="shared" si="742"/>
        <v>0.1125</v>
      </c>
      <c r="H261" s="217">
        <f t="shared" si="743"/>
        <v>67.5</v>
      </c>
      <c r="I261" s="217">
        <f t="shared" si="744"/>
        <v>0.9</v>
      </c>
      <c r="J261" s="541">
        <f t="shared" si="745"/>
        <v>84.703596162311911</v>
      </c>
      <c r="K261" s="443">
        <f t="shared" si="746"/>
        <v>15.859935294117646</v>
      </c>
      <c r="L261" s="172">
        <f t="shared" si="747"/>
        <v>100.56353145642956</v>
      </c>
      <c r="M261" s="443"/>
      <c r="N261" s="217">
        <f t="shared" si="748"/>
        <v>0.15771060407707704</v>
      </c>
      <c r="O261" s="172">
        <f t="shared" si="749"/>
        <v>329.57208844388975</v>
      </c>
      <c r="P261" s="172">
        <f t="shared" si="750"/>
        <v>4.4528851060863328</v>
      </c>
      <c r="Q261" s="217">
        <f t="shared" si="626"/>
        <v>21.971472562925985</v>
      </c>
      <c r="R261" s="217">
        <f t="shared" si="751"/>
        <v>41.196511055486219</v>
      </c>
      <c r="S261" s="217">
        <f t="shared" si="752"/>
        <v>15</v>
      </c>
      <c r="T261" s="217">
        <f t="shared" si="753"/>
        <v>10.240551667877666</v>
      </c>
      <c r="U261" s="217">
        <f t="shared" si="630"/>
        <v>1.4507839759135193</v>
      </c>
      <c r="V261" s="217">
        <f t="shared" si="631"/>
        <v>7.7482422050050799</v>
      </c>
      <c r="W261" s="197">
        <f t="shared" si="632"/>
        <v>111.32212765215833</v>
      </c>
      <c r="X261" s="443">
        <f t="shared" si="691"/>
        <v>106.39400090513064</v>
      </c>
      <c r="Z261" s="217">
        <f t="shared" si="633"/>
        <v>9.9999999999999982</v>
      </c>
      <c r="AA261" s="173">
        <f t="shared" si="634"/>
        <v>7.5662351563632955</v>
      </c>
      <c r="AB261" s="173">
        <f t="shared" si="754"/>
        <v>4.1560332035670529</v>
      </c>
      <c r="AC261" s="173"/>
      <c r="AD261" s="173">
        <f t="shared" si="636"/>
        <v>7.5662351563632972</v>
      </c>
      <c r="AE261" s="545">
        <f t="shared" si="755"/>
        <v>118.94951470588235</v>
      </c>
      <c r="AF261" s="528">
        <f t="shared" si="756"/>
        <v>4.2114469796146157</v>
      </c>
      <c r="AH261" s="173">
        <f t="shared" si="757"/>
        <v>5.707138387268051</v>
      </c>
      <c r="AI261" s="173">
        <f t="shared" si="758"/>
        <v>10.240551667877666</v>
      </c>
      <c r="AJ261" s="173">
        <f t="shared" si="759"/>
        <v>1.3781864206501229</v>
      </c>
      <c r="AL261" s="545">
        <f t="shared" si="760"/>
        <v>4500</v>
      </c>
      <c r="AM261" s="460">
        <f t="shared" si="761"/>
        <v>106.39400090513064</v>
      </c>
      <c r="AO261">
        <f t="shared" si="644"/>
        <v>4500</v>
      </c>
      <c r="AP261">
        <f t="shared" si="645"/>
        <v>106.39400090513064</v>
      </c>
      <c r="AR261" s="5">
        <f t="shared" si="616"/>
        <v>9.3990261809185984</v>
      </c>
      <c r="AS261" s="5">
        <f t="shared" si="739"/>
        <v>1.4507839759135193</v>
      </c>
      <c r="AT261" s="5">
        <f t="shared" si="740"/>
        <v>7.9482422050050792</v>
      </c>
      <c r="AU261" s="173">
        <f t="shared" si="741"/>
        <v>0.154354711646492</v>
      </c>
      <c r="BA261" s="173">
        <f t="shared" si="692"/>
        <v>2.3228580515434087</v>
      </c>
      <c r="BB261" s="173">
        <f t="shared" si="693"/>
        <v>5.43696882093972</v>
      </c>
      <c r="BC261" s="173">
        <f t="shared" si="694"/>
        <v>0.1338986831196135</v>
      </c>
      <c r="BD261" s="173"/>
      <c r="BE261" s="528">
        <f t="shared" si="695"/>
        <v>0.10791339055240083</v>
      </c>
      <c r="BF261" s="528">
        <f t="shared" si="762"/>
        <v>2.0543871114166041</v>
      </c>
      <c r="BG261" s="528">
        <f t="shared" si="763"/>
        <v>0.22529886216902084</v>
      </c>
      <c r="BH261" s="528">
        <f t="shared" si="696"/>
        <v>0.10759650696068086</v>
      </c>
      <c r="BI261">
        <f t="shared" si="697"/>
        <v>3.8116618273040359E-2</v>
      </c>
      <c r="BJ261" s="460">
        <f t="shared" si="698"/>
        <v>263.41548044206121</v>
      </c>
      <c r="BK261">
        <f t="shared" si="764"/>
        <v>2.3595325621331367</v>
      </c>
      <c r="BL261" s="460">
        <f t="shared" si="699"/>
        <v>2533.3124893717477</v>
      </c>
      <c r="BM261" s="173">
        <f t="shared" si="765"/>
        <v>2.7956249999999998</v>
      </c>
      <c r="BN261" s="173">
        <f t="shared" si="766"/>
        <v>4.9921874999999998E-2</v>
      </c>
      <c r="BQ261" s="460">
        <f t="shared" si="700"/>
        <v>2845.5468749999995</v>
      </c>
      <c r="BR261" s="528">
        <f t="shared" si="701"/>
        <v>0.16187008582860124</v>
      </c>
      <c r="BS261" s="528">
        <f t="shared" si="702"/>
        <v>0.88681889879611941</v>
      </c>
      <c r="BT261" s="528">
        <f t="shared" si="703"/>
        <v>8.9644286705833361E-5</v>
      </c>
      <c r="BU261" s="528">
        <f t="shared" si="704"/>
        <v>1.9591660157871249</v>
      </c>
      <c r="BV261" s="528"/>
      <c r="BW261" s="625">
        <f t="shared" si="705"/>
        <v>1.1157421677936305E-2</v>
      </c>
      <c r="BX261" s="460">
        <f t="shared" si="706"/>
        <v>3019.102066376488</v>
      </c>
      <c r="BY261" s="173">
        <f t="shared" si="707"/>
        <v>8.397961430748234</v>
      </c>
      <c r="BZ261" s="5">
        <f t="shared" si="708"/>
        <v>68.400000000000006</v>
      </c>
      <c r="CA261" s="173">
        <f t="shared" si="709"/>
        <v>0.89064864126216403</v>
      </c>
      <c r="CB261" s="5">
        <f t="shared" si="710"/>
        <v>89.064864126216406</v>
      </c>
      <c r="CC261">
        <f t="shared" si="711"/>
        <v>45</v>
      </c>
      <c r="CE261" s="562">
        <f t="shared" si="767"/>
        <v>-50</v>
      </c>
      <c r="CG261" s="173">
        <f t="shared" si="768"/>
        <v>0.84409136047666333</v>
      </c>
      <c r="CH261" s="173">
        <f t="shared" si="769"/>
        <v>0.1020398968288061</v>
      </c>
      <c r="CI261" s="170">
        <v>45</v>
      </c>
      <c r="CJ261" s="217">
        <f t="shared" si="712"/>
        <v>4.5</v>
      </c>
      <c r="CK261" s="217">
        <f t="shared" si="654"/>
        <v>0.1125</v>
      </c>
      <c r="CL261" s="217">
        <f t="shared" si="655"/>
        <v>67.5</v>
      </c>
      <c r="CM261" s="217">
        <f t="shared" si="656"/>
        <v>0.9</v>
      </c>
      <c r="CN261" s="541">
        <f t="shared" si="657"/>
        <v>85</v>
      </c>
      <c r="CO261" s="443">
        <f t="shared" si="770"/>
        <v>15.7</v>
      </c>
      <c r="CP261" s="443">
        <f t="shared" si="771"/>
        <v>100.7</v>
      </c>
      <c r="CQ261" s="443"/>
      <c r="CR261" s="217">
        <f t="shared" si="660"/>
        <v>0.15338645418326693</v>
      </c>
      <c r="CS261" s="172">
        <f t="shared" si="661"/>
        <v>321.65744915076539</v>
      </c>
      <c r="CT261" s="172">
        <f t="shared" si="662"/>
        <v>4.3459495351925632</v>
      </c>
      <c r="CU261" s="217">
        <f t="shared" si="663"/>
        <v>21.443829943384358</v>
      </c>
      <c r="CV261" s="217">
        <f t="shared" si="664"/>
        <v>40.207181143845673</v>
      </c>
      <c r="CW261" s="217">
        <f t="shared" si="665"/>
        <v>15</v>
      </c>
      <c r="CX261" s="217">
        <f t="shared" si="666"/>
        <v>10.492528647822766</v>
      </c>
      <c r="CY261" s="217">
        <f t="shared" si="667"/>
        <v>1.4812981620455667</v>
      </c>
      <c r="CZ261" s="217">
        <f t="shared" si="668"/>
        <v>8.0197671193549809</v>
      </c>
      <c r="DA261" s="197">
        <f t="shared" si="669"/>
        <v>110.43528632903013</v>
      </c>
      <c r="DB261" s="443">
        <f t="shared" si="670"/>
        <v>105.25135554616361</v>
      </c>
      <c r="DD261" s="217">
        <f t="shared" si="671"/>
        <v>9.9999999999999982</v>
      </c>
      <c r="DE261" s="173">
        <f t="shared" si="672"/>
        <v>7.6433121019108263</v>
      </c>
      <c r="DF261" s="173">
        <f t="shared" si="673"/>
        <v>4.1649244760361679</v>
      </c>
      <c r="DG261" s="173"/>
      <c r="DH261" s="173">
        <f t="shared" si="674"/>
        <v>7.6433121019108281</v>
      </c>
      <c r="DI261" s="545">
        <f t="shared" si="675"/>
        <v>117.75000000000003</v>
      </c>
      <c r="DJ261" s="528">
        <f t="shared" si="676"/>
        <v>4.2204568023833167</v>
      </c>
      <c r="DL261" s="173">
        <f t="shared" si="677"/>
        <v>5.707138387268051</v>
      </c>
      <c r="DM261" s="173">
        <f t="shared" si="678"/>
        <v>10.492528647822766</v>
      </c>
      <c r="DN261" s="173">
        <f t="shared" si="679"/>
        <v>1.5648360354242712</v>
      </c>
      <c r="DP261" s="545">
        <f t="shared" si="680"/>
        <v>4500</v>
      </c>
      <c r="DQ261" s="460">
        <f t="shared" si="681"/>
        <v>105.25135554616361</v>
      </c>
      <c r="DS261">
        <f t="shared" si="682"/>
        <v>4500</v>
      </c>
      <c r="DT261">
        <f t="shared" si="683"/>
        <v>105.25135554616361</v>
      </c>
      <c r="DV261" s="5">
        <f t="shared" si="684"/>
        <v>9.5010652814005461</v>
      </c>
      <c r="DW261" s="5">
        <f t="shared" si="685"/>
        <v>1.4812981620455667</v>
      </c>
      <c r="DX261" s="5">
        <f t="shared" si="686"/>
        <v>8.0197671193549791</v>
      </c>
      <c r="DY261" s="173">
        <f t="shared" si="687"/>
        <v>0.15590863952333664</v>
      </c>
      <c r="EA261" s="5">
        <f t="shared" si="713"/>
        <v>44.438944861367006</v>
      </c>
      <c r="EB261" s="5">
        <f t="shared" si="714"/>
        <v>2.0830755403765782</v>
      </c>
      <c r="EC261" s="5">
        <f t="shared" si="715"/>
        <v>1.769066276328304</v>
      </c>
      <c r="ED261" s="5"/>
      <c r="EE261" s="173">
        <f t="shared" si="716"/>
        <v>2.3919639347211286</v>
      </c>
      <c r="EF261" s="173">
        <f t="shared" si="717"/>
        <v>5.5656291357570016</v>
      </c>
      <c r="EG261" s="173">
        <f t="shared" si="718"/>
        <v>0.13706725871589795</v>
      </c>
      <c r="EH261" s="173"/>
      <c r="EI261" s="528">
        <f t="shared" si="719"/>
        <v>0.11442982930013168</v>
      </c>
      <c r="EJ261" s="528">
        <f t="shared" si="720"/>
        <v>2.2241666666666671</v>
      </c>
      <c r="EK261" s="528">
        <f t="shared" si="721"/>
        <v>1.3156419443270451E-2</v>
      </c>
      <c r="EL261" s="528">
        <f t="shared" si="722"/>
        <v>0.10673003184023167</v>
      </c>
      <c r="EM261">
        <f t="shared" si="723"/>
        <v>3.8249999999999999E-2</v>
      </c>
      <c r="EN261" s="460">
        <f t="shared" si="724"/>
        <v>51.406419443270451</v>
      </c>
      <c r="EP261" s="460">
        <f t="shared" si="725"/>
        <v>2496.7329472503006</v>
      </c>
      <c r="EQ261" s="173">
        <f t="shared" si="726"/>
        <v>3.15</v>
      </c>
      <c r="ER261" s="173">
        <f t="shared" si="772"/>
        <v>4.9921874999999998E-2</v>
      </c>
      <c r="ES261" s="528"/>
      <c r="EU261" s="460">
        <f t="shared" si="727"/>
        <v>3199.921875</v>
      </c>
      <c r="EV261" s="528">
        <f t="shared" si="728"/>
        <v>0.17164474395019752</v>
      </c>
      <c r="EW261" s="528">
        <f t="shared" si="729"/>
        <v>0.92928683030361681</v>
      </c>
      <c r="EX261" s="528">
        <f t="shared" si="730"/>
        <v>9.3937167059454519E-5</v>
      </c>
      <c r="EY261" s="528">
        <f t="shared" si="731"/>
        <v>2.0264675705467923</v>
      </c>
      <c r="EZ261" s="528"/>
      <c r="FA261" s="625">
        <f t="shared" si="732"/>
        <v>1.1587454055378588E-2</v>
      </c>
      <c r="FB261" s="460">
        <f t="shared" si="733"/>
        <v>3139.0805360230443</v>
      </c>
      <c r="FC261" s="173">
        <f t="shared" si="734"/>
        <v>8.8357353582733449</v>
      </c>
      <c r="FD261" s="5">
        <f t="shared" si="735"/>
        <v>68.400000000000006</v>
      </c>
      <c r="FE261" s="173">
        <f t="shared" si="736"/>
        <v>0.88560042424291008</v>
      </c>
      <c r="FF261" s="5">
        <f t="shared" si="737"/>
        <v>88.560042424291012</v>
      </c>
      <c r="FG261">
        <f t="shared" si="738"/>
        <v>45</v>
      </c>
      <c r="FI261" s="562">
        <f t="shared" si="689"/>
        <v>-50</v>
      </c>
    </row>
    <row r="262" spans="5:165">
      <c r="E262" s="170">
        <v>46</v>
      </c>
      <c r="F262" s="217">
        <f t="shared" si="773"/>
        <v>4.6000000000000005</v>
      </c>
      <c r="G262" s="217">
        <f t="shared" si="742"/>
        <v>0.115</v>
      </c>
      <c r="H262" s="217">
        <f t="shared" si="743"/>
        <v>69.000000000000014</v>
      </c>
      <c r="I262" s="217">
        <f t="shared" si="744"/>
        <v>0.92</v>
      </c>
      <c r="J262" s="541">
        <f t="shared" si="745"/>
        <v>84.697009410363293</v>
      </c>
      <c r="K262" s="443">
        <f t="shared" si="746"/>
        <v>15.863489411764705</v>
      </c>
      <c r="L262" s="172">
        <f t="shared" si="747"/>
        <v>100.560498822128</v>
      </c>
      <c r="M262" s="443"/>
      <c r="N262" s="217">
        <f t="shared" si="748"/>
        <v>0.1577507032838425</v>
      </c>
      <c r="O262" s="172">
        <f t="shared" si="749"/>
        <v>329.63025001290384</v>
      </c>
      <c r="P262" s="172">
        <f t="shared" si="750"/>
        <v>4.453670933507679</v>
      </c>
      <c r="Q262" s="217">
        <f t="shared" si="626"/>
        <v>21.975350000860256</v>
      </c>
      <c r="R262" s="217">
        <f t="shared" si="751"/>
        <v>41.20378125161298</v>
      </c>
      <c r="S262" s="217">
        <f t="shared" si="752"/>
        <v>15</v>
      </c>
      <c r="T262" s="217">
        <f t="shared" si="753"/>
        <v>10.466272436661823</v>
      </c>
      <c r="U262" s="217">
        <f t="shared" si="630"/>
        <v>1.4828772599446043</v>
      </c>
      <c r="V262" s="217">
        <f t="shared" si="631"/>
        <v>7.9172536369455839</v>
      </c>
      <c r="W262" s="197">
        <f t="shared" si="632"/>
        <v>111.34177333769195</v>
      </c>
      <c r="X262" s="443">
        <f t="shared" si="691"/>
        <v>104.16524636387348</v>
      </c>
      <c r="Z262" s="217">
        <f t="shared" si="633"/>
        <v>10</v>
      </c>
      <c r="AA262" s="173">
        <f t="shared" si="634"/>
        <v>7.5645399877157802</v>
      </c>
      <c r="AB262" s="173">
        <f t="shared" si="754"/>
        <v>4.1558353456389341</v>
      </c>
      <c r="AC262" s="173"/>
      <c r="AD262" s="173">
        <f t="shared" si="636"/>
        <v>7.5645399877157802</v>
      </c>
      <c r="AE262" s="545">
        <f t="shared" si="755"/>
        <v>121.62008549019609</v>
      </c>
      <c r="AF262" s="528">
        <f t="shared" si="756"/>
        <v>4.2112464835807879</v>
      </c>
      <c r="AH262" s="173">
        <f t="shared" si="757"/>
        <v>5.7702026043491843</v>
      </c>
      <c r="AI262" s="173">
        <f t="shared" si="758"/>
        <v>10.466272436661823</v>
      </c>
      <c r="AJ262" s="173">
        <f t="shared" si="759"/>
        <v>1.5453869901198689</v>
      </c>
      <c r="AL262" s="545">
        <f t="shared" si="760"/>
        <v>4600.0000000000009</v>
      </c>
      <c r="AM262" s="460">
        <f t="shared" si="761"/>
        <v>104.16524636387348</v>
      </c>
      <c r="AO262">
        <f t="shared" si="644"/>
        <v>4600.0000000000009</v>
      </c>
      <c r="AP262">
        <f t="shared" si="645"/>
        <v>104.16524636387348</v>
      </c>
      <c r="AR262" s="5">
        <f t="shared" si="616"/>
        <v>9.6001308968901871</v>
      </c>
      <c r="AS262" s="5">
        <f t="shared" si="739"/>
        <v>1.4828772599446043</v>
      </c>
      <c r="AT262" s="5">
        <f t="shared" si="740"/>
        <v>8.1172536369455823</v>
      </c>
      <c r="AU262" s="173">
        <f t="shared" si="741"/>
        <v>0.15446427510951535</v>
      </c>
      <c r="BA262" s="173">
        <f t="shared" si="692"/>
        <v>2.3749005779446768</v>
      </c>
      <c r="BB262" s="173">
        <f t="shared" si="693"/>
        <v>5.5564497194120017</v>
      </c>
      <c r="BC262" s="173">
        <f t="shared" si="694"/>
        <v>0.13684119308983286</v>
      </c>
      <c r="BD262" s="173"/>
      <c r="BE262" s="528">
        <f t="shared" si="695"/>
        <v>0.11280305510243921</v>
      </c>
      <c r="BF262" s="528">
        <f t="shared" si="762"/>
        <v>2.0556234890374143</v>
      </c>
      <c r="BG262" s="528">
        <f t="shared" si="763"/>
        <v>0.22056212128784508</v>
      </c>
      <c r="BH262" s="528">
        <f t="shared" si="696"/>
        <v>0.10533620876597595</v>
      </c>
      <c r="BI262">
        <f t="shared" si="697"/>
        <v>3.811365423466348E-2</v>
      </c>
      <c r="BJ262" s="460">
        <f t="shared" si="698"/>
        <v>258.67577552250856</v>
      </c>
      <c r="BK262">
        <f t="shared" si="764"/>
        <v>2.3676781001755565</v>
      </c>
      <c r="BL262" s="460">
        <f t="shared" si="699"/>
        <v>2532.438528428338</v>
      </c>
      <c r="BM262" s="173">
        <f t="shared" si="765"/>
        <v>2.8577500000000002</v>
      </c>
      <c r="BN262" s="173">
        <f t="shared" si="766"/>
        <v>5.103125E-2</v>
      </c>
      <c r="BQ262" s="460">
        <f t="shared" si="700"/>
        <v>2908.78125</v>
      </c>
      <c r="BR262" s="528">
        <f t="shared" si="701"/>
        <v>0.16920458265365879</v>
      </c>
      <c r="BS262" s="528">
        <f t="shared" si="702"/>
        <v>0.92622400453061138</v>
      </c>
      <c r="BT262" s="528">
        <f t="shared" si="703"/>
        <v>9.3627560631244611E-5</v>
      </c>
      <c r="BU262" s="528">
        <f t="shared" si="704"/>
        <v>1.9622629584524125</v>
      </c>
      <c r="BV262" s="528"/>
      <c r="BW262" s="625">
        <f t="shared" si="705"/>
        <v>1.1410558865807937E-2</v>
      </c>
      <c r="BX262" s="460">
        <f t="shared" si="706"/>
        <v>3069.1957320631218</v>
      </c>
      <c r="BY262" s="173">
        <f t="shared" si="707"/>
        <v>8.5104155104914607</v>
      </c>
      <c r="BZ262" s="5">
        <f t="shared" si="708"/>
        <v>69.920000000000016</v>
      </c>
      <c r="CA262" s="173">
        <f t="shared" si="709"/>
        <v>0.89149087818675354</v>
      </c>
      <c r="CB262" s="5">
        <f t="shared" si="710"/>
        <v>89.149087818675355</v>
      </c>
      <c r="CC262">
        <f t="shared" si="711"/>
        <v>46.000000000000007</v>
      </c>
      <c r="CE262" s="562">
        <f t="shared" si="767"/>
        <v>-50</v>
      </c>
      <c r="CG262" s="173">
        <f t="shared" si="768"/>
        <v>0.84409136047666333</v>
      </c>
      <c r="CH262" s="173">
        <f t="shared" si="769"/>
        <v>0.1020398968288061</v>
      </c>
      <c r="CI262" s="170">
        <v>46</v>
      </c>
      <c r="CJ262" s="217">
        <f t="shared" si="712"/>
        <v>4.6000000000000005</v>
      </c>
      <c r="CK262" s="217">
        <f t="shared" si="654"/>
        <v>0.115</v>
      </c>
      <c r="CL262" s="217">
        <f t="shared" si="655"/>
        <v>69.000000000000014</v>
      </c>
      <c r="CM262" s="217">
        <f t="shared" si="656"/>
        <v>0.92</v>
      </c>
      <c r="CN262" s="541">
        <f t="shared" si="657"/>
        <v>85</v>
      </c>
      <c r="CO262" s="443">
        <f t="shared" si="770"/>
        <v>15.7</v>
      </c>
      <c r="CP262" s="443">
        <f t="shared" si="771"/>
        <v>100.7</v>
      </c>
      <c r="CQ262" s="443"/>
      <c r="CR262" s="217">
        <f t="shared" si="660"/>
        <v>0.15338645418326693</v>
      </c>
      <c r="CS262" s="172">
        <f t="shared" si="661"/>
        <v>321.65744915076539</v>
      </c>
      <c r="CT262" s="172">
        <f t="shared" si="662"/>
        <v>4.3459495351925632</v>
      </c>
      <c r="CU262" s="217">
        <f t="shared" si="663"/>
        <v>21.443829943384358</v>
      </c>
      <c r="CV262" s="217">
        <f t="shared" si="664"/>
        <v>40.207181143845673</v>
      </c>
      <c r="CW262" s="217">
        <f t="shared" si="665"/>
        <v>15</v>
      </c>
      <c r="CX262" s="217">
        <f t="shared" si="666"/>
        <v>10.725695951107719</v>
      </c>
      <c r="CY262" s="217">
        <f t="shared" si="667"/>
        <v>1.514215898979913</v>
      </c>
      <c r="CZ262" s="217">
        <f t="shared" si="668"/>
        <v>8.197984166451759</v>
      </c>
      <c r="DA262" s="197">
        <f t="shared" si="669"/>
        <v>110.43528632903013</v>
      </c>
      <c r="DB262" s="443">
        <f t="shared" si="670"/>
        <v>102.96328259950786</v>
      </c>
      <c r="DD262" s="217">
        <f t="shared" si="671"/>
        <v>9.9999999999999982</v>
      </c>
      <c r="DE262" s="173">
        <f t="shared" si="672"/>
        <v>7.6433121019108263</v>
      </c>
      <c r="DF262" s="173">
        <f t="shared" si="673"/>
        <v>4.1649244760361679</v>
      </c>
      <c r="DG262" s="173"/>
      <c r="DH262" s="173">
        <f t="shared" si="674"/>
        <v>7.6433121019108281</v>
      </c>
      <c r="DI262" s="545">
        <f t="shared" si="675"/>
        <v>120.36666666666669</v>
      </c>
      <c r="DJ262" s="528">
        <f t="shared" si="676"/>
        <v>4.2204568023833167</v>
      </c>
      <c r="DL262" s="173">
        <f t="shared" si="677"/>
        <v>5.7702026043491843</v>
      </c>
      <c r="DM262" s="173">
        <f t="shared" si="678"/>
        <v>10.725695951107719</v>
      </c>
      <c r="DN262" s="173">
        <f t="shared" si="679"/>
        <v>1.7375525563760879</v>
      </c>
      <c r="DP262" s="545">
        <f t="shared" si="680"/>
        <v>4600.0000000000009</v>
      </c>
      <c r="DQ262" s="460">
        <f t="shared" si="681"/>
        <v>102.96328259950786</v>
      </c>
      <c r="DS262">
        <f t="shared" si="682"/>
        <v>4600.0000000000009</v>
      </c>
      <c r="DT262">
        <f t="shared" si="683"/>
        <v>102.96328259950786</v>
      </c>
      <c r="DV262" s="5">
        <f t="shared" si="684"/>
        <v>9.7122000654316718</v>
      </c>
      <c r="DW262" s="5">
        <f t="shared" si="685"/>
        <v>1.514215898979913</v>
      </c>
      <c r="DX262" s="5">
        <f t="shared" si="686"/>
        <v>8.197984166451759</v>
      </c>
      <c r="DY262" s="173">
        <f t="shared" si="687"/>
        <v>0.15590863952333664</v>
      </c>
      <c r="EA262" s="5">
        <f t="shared" si="713"/>
        <v>46.435954235384003</v>
      </c>
      <c r="EB262" s="5">
        <f t="shared" si="714"/>
        <v>2.1766853547836251</v>
      </c>
      <c r="EC262" s="5">
        <f t="shared" si="715"/>
        <v>1.8485650571410832</v>
      </c>
      <c r="ED262" s="5"/>
      <c r="EE262" s="173">
        <f t="shared" si="716"/>
        <v>2.4451186888260432</v>
      </c>
      <c r="EF262" s="173">
        <f t="shared" si="717"/>
        <v>5.6893097832182695</v>
      </c>
      <c r="EG262" s="173">
        <f t="shared" si="718"/>
        <v>0.14011319779847348</v>
      </c>
      <c r="EH262" s="173"/>
      <c r="EI262" s="528">
        <f t="shared" si="719"/>
        <v>0.11957210804892779</v>
      </c>
      <c r="EJ262" s="528">
        <f t="shared" si="720"/>
        <v>2.2241666666666671</v>
      </c>
      <c r="EK262" s="528">
        <f t="shared" si="721"/>
        <v>1.2870410324938483E-2</v>
      </c>
      <c r="EL262" s="528">
        <f t="shared" si="722"/>
        <v>0.10440981375674836</v>
      </c>
      <c r="EM262">
        <f t="shared" si="723"/>
        <v>3.8249999999999999E-2</v>
      </c>
      <c r="EN262" s="460">
        <f t="shared" si="724"/>
        <v>51.120410324938483</v>
      </c>
      <c r="EP262" s="460">
        <f t="shared" si="725"/>
        <v>2499.2689987972817</v>
      </c>
      <c r="EQ262" s="173">
        <f t="shared" si="726"/>
        <v>3.22</v>
      </c>
      <c r="ER262" s="173">
        <f t="shared" si="772"/>
        <v>5.103125E-2</v>
      </c>
      <c r="ES262" s="528"/>
      <c r="EU262" s="460">
        <f t="shared" si="727"/>
        <v>3271.03125</v>
      </c>
      <c r="EV262" s="528">
        <f t="shared" si="728"/>
        <v>0.17935816207339167</v>
      </c>
      <c r="EW262" s="528">
        <f t="shared" si="729"/>
        <v>0.97104737428269339</v>
      </c>
      <c r="EX262" s="528">
        <f t="shared" si="730"/>
        <v>9.8158540986570758E-5</v>
      </c>
      <c r="EY262" s="528">
        <f t="shared" si="731"/>
        <v>2.0264675705467927</v>
      </c>
      <c r="EZ262" s="528"/>
      <c r="FA262" s="625">
        <f t="shared" si="732"/>
        <v>1.1844953034387002E-2</v>
      </c>
      <c r="FB262" s="460">
        <f t="shared" si="733"/>
        <v>3188.8162184782514</v>
      </c>
      <c r="FC262" s="173">
        <f t="shared" si="734"/>
        <v>8.9591164672755337</v>
      </c>
      <c r="FD262" s="5">
        <f t="shared" si="735"/>
        <v>69.920000000000016</v>
      </c>
      <c r="FE262" s="173">
        <f t="shared" si="736"/>
        <v>0.88641966507076198</v>
      </c>
      <c r="FF262" s="5">
        <f t="shared" si="737"/>
        <v>88.641966507076191</v>
      </c>
      <c r="FG262">
        <f t="shared" si="738"/>
        <v>46.000000000000007</v>
      </c>
      <c r="FI262" s="562">
        <f t="shared" si="689"/>
        <v>-50</v>
      </c>
    </row>
    <row r="263" spans="5:165">
      <c r="E263" s="170">
        <v>47</v>
      </c>
      <c r="F263" s="217">
        <f t="shared" si="773"/>
        <v>4.6999999999999993</v>
      </c>
      <c r="G263" s="217">
        <f t="shared" si="742"/>
        <v>0.11749999999999999</v>
      </c>
      <c r="H263" s="217">
        <f t="shared" si="743"/>
        <v>70.499999999999986</v>
      </c>
      <c r="I263" s="217">
        <f t="shared" si="744"/>
        <v>0.94</v>
      </c>
      <c r="J263" s="541">
        <f t="shared" si="745"/>
        <v>84.690422658414676</v>
      </c>
      <c r="K263" s="443">
        <f t="shared" si="746"/>
        <v>15.867043529411763</v>
      </c>
      <c r="L263" s="172">
        <f t="shared" si="747"/>
        <v>100.55746618782644</v>
      </c>
      <c r="M263" s="443"/>
      <c r="N263" s="217">
        <f t="shared" si="748"/>
        <v>0.1577908049092494</v>
      </c>
      <c r="O263" s="172">
        <f t="shared" si="749"/>
        <v>329.68840360302102</v>
      </c>
      <c r="P263" s="172">
        <f t="shared" si="750"/>
        <v>4.4544566531252618</v>
      </c>
      <c r="Q263" s="217">
        <f t="shared" si="626"/>
        <v>21.979226906868067</v>
      </c>
      <c r="R263" s="217">
        <f t="shared" si="751"/>
        <v>41.211050450377627</v>
      </c>
      <c r="S263" s="217">
        <f t="shared" si="752"/>
        <v>15</v>
      </c>
      <c r="T263" s="217">
        <f t="shared" si="753"/>
        <v>10.69191382370993</v>
      </c>
      <c r="U263" s="217">
        <f t="shared" si="630"/>
        <v>1.5149642882526249</v>
      </c>
      <c r="V263" s="217">
        <f t="shared" si="631"/>
        <v>8.0861293187159795</v>
      </c>
      <c r="W263" s="197">
        <f t="shared" si="632"/>
        <v>111.36141632813153</v>
      </c>
      <c r="X263" s="443">
        <f t="shared" si="691"/>
        <v>102.02943060241741</v>
      </c>
      <c r="Z263" s="217">
        <f t="shared" si="633"/>
        <v>10</v>
      </c>
      <c r="AA263" s="173">
        <f t="shared" si="634"/>
        <v>7.5628455784824302</v>
      </c>
      <c r="AB263" s="173">
        <f t="shared" si="754"/>
        <v>4.1556374757767287</v>
      </c>
      <c r="AC263" s="173"/>
      <c r="AD263" s="173">
        <f t="shared" si="636"/>
        <v>7.5628455784824302</v>
      </c>
      <c r="AE263" s="545">
        <f t="shared" si="755"/>
        <v>124.29184098039212</v>
      </c>
      <c r="AF263" s="528">
        <f t="shared" si="756"/>
        <v>4.2110459754537528</v>
      </c>
      <c r="AH263" s="173">
        <f t="shared" si="757"/>
        <v>5.8325849860115726</v>
      </c>
      <c r="AI263" s="173">
        <f t="shared" si="758"/>
        <v>10.69191382370993</v>
      </c>
      <c r="AJ263" s="173">
        <f t="shared" si="759"/>
        <v>1.7125287583036517</v>
      </c>
      <c r="AL263" s="545">
        <f t="shared" si="760"/>
        <v>4699.9999999999991</v>
      </c>
      <c r="AM263" s="460">
        <f t="shared" si="761"/>
        <v>102.02943060241741</v>
      </c>
      <c r="AO263">
        <f t="shared" si="644"/>
        <v>4699.9999999999991</v>
      </c>
      <c r="AP263">
        <f t="shared" si="645"/>
        <v>102.02943060241741</v>
      </c>
      <c r="AR263" s="5">
        <f t="shared" ref="AR263:AR316" si="774">1/AM263*1000</f>
        <v>9.8010936069686032</v>
      </c>
      <c r="AS263" s="5">
        <f t="shared" si="739"/>
        <v>1.5149642882526249</v>
      </c>
      <c r="AT263" s="5">
        <f t="shared" si="740"/>
        <v>8.2861293187159788</v>
      </c>
      <c r="AU263" s="173">
        <f t="shared" si="741"/>
        <v>0.15457094371341187</v>
      </c>
      <c r="BA263" s="173">
        <f t="shared" si="692"/>
        <v>2.4269383903386297</v>
      </c>
      <c r="BB263" s="173">
        <f t="shared" si="693"/>
        <v>5.6758826439048553</v>
      </c>
      <c r="BC263" s="173">
        <f t="shared" si="694"/>
        <v>0.13978252158322546</v>
      </c>
      <c r="BD263" s="173"/>
      <c r="BE263" s="528">
        <f t="shared" si="695"/>
        <v>0.11780059900998918</v>
      </c>
      <c r="BF263" s="528">
        <f t="shared" si="762"/>
        <v>2.0568210407020859</v>
      </c>
      <c r="BG263" s="528">
        <f t="shared" si="763"/>
        <v>0.21602289003290298</v>
      </c>
      <c r="BH263" s="528">
        <f t="shared" si="696"/>
        <v>0.10317016051072443</v>
      </c>
      <c r="BI263">
        <f t="shared" si="697"/>
        <v>3.8110690196286601E-2</v>
      </c>
      <c r="BJ263" s="460">
        <f t="shared" si="698"/>
        <v>254.13358022918959</v>
      </c>
      <c r="BK263">
        <f t="shared" si="764"/>
        <v>2.3761037328208907</v>
      </c>
      <c r="BL263" s="460">
        <f t="shared" si="699"/>
        <v>2531.925380451989</v>
      </c>
      <c r="BM263" s="173">
        <f t="shared" si="765"/>
        <v>2.9198749999999989</v>
      </c>
      <c r="BN263" s="173">
        <f t="shared" si="766"/>
        <v>5.2140624999999996E-2</v>
      </c>
      <c r="BQ263" s="460">
        <f t="shared" si="700"/>
        <v>2972.0156249999986</v>
      </c>
      <c r="BR263" s="528">
        <f t="shared" si="701"/>
        <v>0.17670089851498377</v>
      </c>
      <c r="BS263" s="528">
        <f t="shared" si="702"/>
        <v>0.96646931362141109</v>
      </c>
      <c r="BT263" s="528">
        <f t="shared" si="703"/>
        <v>9.769576670082447E-5</v>
      </c>
      <c r="BU263" s="528">
        <f t="shared" si="704"/>
        <v>1.9652702778440181</v>
      </c>
      <c r="BV263" s="528"/>
      <c r="BW263" s="625">
        <f t="shared" si="705"/>
        <v>1.1663700582592111E-2</v>
      </c>
      <c r="BX263" s="460">
        <f t="shared" si="706"/>
        <v>3120.2018863297058</v>
      </c>
      <c r="BY263" s="173">
        <f t="shared" si="707"/>
        <v>8.6241428917816911</v>
      </c>
      <c r="BZ263" s="5">
        <f t="shared" si="708"/>
        <v>71.439999999999984</v>
      </c>
      <c r="CA263" s="173">
        <f t="shared" si="709"/>
        <v>0.8922845785854665</v>
      </c>
      <c r="CB263" s="5">
        <f t="shared" si="710"/>
        <v>89.228457858546648</v>
      </c>
      <c r="CC263">
        <f t="shared" si="711"/>
        <v>46.999999999999993</v>
      </c>
      <c r="CE263" s="562">
        <f t="shared" si="767"/>
        <v>-50</v>
      </c>
      <c r="CG263" s="173">
        <f t="shared" si="768"/>
        <v>0.84409136047666333</v>
      </c>
      <c r="CH263" s="173">
        <f t="shared" si="769"/>
        <v>0.10203989682880613</v>
      </c>
      <c r="CI263" s="170">
        <v>47</v>
      </c>
      <c r="CJ263" s="217">
        <f t="shared" si="712"/>
        <v>4.6999999999999993</v>
      </c>
      <c r="CK263" s="217">
        <f t="shared" si="654"/>
        <v>0.11749999999999999</v>
      </c>
      <c r="CL263" s="217">
        <f t="shared" si="655"/>
        <v>70.499999999999986</v>
      </c>
      <c r="CM263" s="217">
        <f t="shared" si="656"/>
        <v>0.94</v>
      </c>
      <c r="CN263" s="541">
        <f t="shared" si="657"/>
        <v>85</v>
      </c>
      <c r="CO263" s="443">
        <f t="shared" si="770"/>
        <v>15.7</v>
      </c>
      <c r="CP263" s="443">
        <f t="shared" si="771"/>
        <v>100.7</v>
      </c>
      <c r="CQ263" s="443"/>
      <c r="CR263" s="217">
        <f t="shared" si="660"/>
        <v>0.15338645418326693</v>
      </c>
      <c r="CS263" s="172">
        <f t="shared" si="661"/>
        <v>321.65744915076539</v>
      </c>
      <c r="CT263" s="172">
        <f t="shared" si="662"/>
        <v>4.3459495351925632</v>
      </c>
      <c r="CU263" s="217">
        <f t="shared" si="663"/>
        <v>21.443829943384358</v>
      </c>
      <c r="CV263" s="217">
        <f t="shared" si="664"/>
        <v>40.207181143845673</v>
      </c>
      <c r="CW263" s="217">
        <f t="shared" si="665"/>
        <v>15</v>
      </c>
      <c r="CX263" s="217">
        <f t="shared" si="666"/>
        <v>10.958863254392663</v>
      </c>
      <c r="CY263" s="217">
        <f t="shared" si="667"/>
        <v>1.5471336359142582</v>
      </c>
      <c r="CZ263" s="217">
        <f t="shared" si="668"/>
        <v>8.3762012135485318</v>
      </c>
      <c r="DA263" s="197">
        <f t="shared" si="669"/>
        <v>110.43528632903013</v>
      </c>
      <c r="DB263" s="443">
        <f t="shared" si="670"/>
        <v>100.77257445909285</v>
      </c>
      <c r="DD263" s="217">
        <f t="shared" si="671"/>
        <v>9.9999999999999982</v>
      </c>
      <c r="DE263" s="173">
        <f t="shared" si="672"/>
        <v>7.6433121019108263</v>
      </c>
      <c r="DF263" s="173">
        <f t="shared" si="673"/>
        <v>4.1649244760361679</v>
      </c>
      <c r="DG263" s="173"/>
      <c r="DH263" s="173">
        <f t="shared" si="674"/>
        <v>7.6433121019108281</v>
      </c>
      <c r="DI263" s="545">
        <f t="shared" si="675"/>
        <v>122.98333333333333</v>
      </c>
      <c r="DJ263" s="528">
        <f t="shared" si="676"/>
        <v>4.2204568023833167</v>
      </c>
      <c r="DL263" s="173">
        <f t="shared" si="677"/>
        <v>5.8325849860115726</v>
      </c>
      <c r="DM263" s="173">
        <f t="shared" si="678"/>
        <v>10.958863254392663</v>
      </c>
      <c r="DN263" s="173">
        <f t="shared" si="679"/>
        <v>1.9102690773278981</v>
      </c>
      <c r="DP263" s="545">
        <f t="shared" si="680"/>
        <v>4699.9999999999991</v>
      </c>
      <c r="DQ263" s="460">
        <f t="shared" si="681"/>
        <v>100.77257445909285</v>
      </c>
      <c r="DS263">
        <f t="shared" si="682"/>
        <v>4699.9999999999991</v>
      </c>
      <c r="DT263">
        <f t="shared" si="683"/>
        <v>100.77257445909285</v>
      </c>
      <c r="DV263" s="5">
        <f t="shared" si="684"/>
        <v>9.9233348494627904</v>
      </c>
      <c r="DW263" s="5">
        <f t="shared" si="685"/>
        <v>1.5471336359142582</v>
      </c>
      <c r="DX263" s="5">
        <f t="shared" si="686"/>
        <v>8.3762012135485318</v>
      </c>
      <c r="DY263" s="173">
        <f t="shared" si="687"/>
        <v>0.15590863952333664</v>
      </c>
      <c r="EA263" s="5">
        <f t="shared" si="713"/>
        <v>48.476853925313414</v>
      </c>
      <c r="EB263" s="5">
        <f t="shared" si="714"/>
        <v>2.2723525277490668</v>
      </c>
      <c r="EC263" s="5">
        <f t="shared" si="715"/>
        <v>1.9298110639057888</v>
      </c>
      <c r="ED263" s="5"/>
      <c r="EE263" s="173">
        <f t="shared" si="716"/>
        <v>2.4982734429309557</v>
      </c>
      <c r="EF263" s="173">
        <f t="shared" si="717"/>
        <v>5.812990430679533</v>
      </c>
      <c r="EG263" s="173">
        <f t="shared" si="718"/>
        <v>0.14315913688104892</v>
      </c>
      <c r="EH263" s="173"/>
      <c r="EI263" s="528">
        <f t="shared" si="719"/>
        <v>0.12482740391308182</v>
      </c>
      <c r="EJ263" s="528">
        <f t="shared" si="720"/>
        <v>2.2241666666666666</v>
      </c>
      <c r="EK263" s="528">
        <f t="shared" si="721"/>
        <v>1.2596571807386606E-2</v>
      </c>
      <c r="EL263" s="528">
        <f t="shared" si="722"/>
        <v>0.10218832835766865</v>
      </c>
      <c r="EM263">
        <f t="shared" si="723"/>
        <v>3.8249999999999999E-2</v>
      </c>
      <c r="EN263" s="460">
        <f t="shared" si="724"/>
        <v>50.84657180738661</v>
      </c>
      <c r="EP263" s="460">
        <f t="shared" si="725"/>
        <v>2502.0289707448037</v>
      </c>
      <c r="EQ263" s="173">
        <f t="shared" si="726"/>
        <v>3.2899999999999991</v>
      </c>
      <c r="ER263" s="173">
        <f t="shared" si="772"/>
        <v>5.2140624999999996E-2</v>
      </c>
      <c r="ES263" s="528"/>
      <c r="EU263" s="460">
        <f t="shared" si="727"/>
        <v>3342.1406249999991</v>
      </c>
      <c r="EV263" s="528">
        <f t="shared" si="728"/>
        <v>0.18724110586962273</v>
      </c>
      <c r="EW263" s="528">
        <f t="shared" si="729"/>
        <v>1.0137257324151545</v>
      </c>
      <c r="EX263" s="528">
        <f t="shared" si="730"/>
        <v>1.0247269236263451E-4</v>
      </c>
      <c r="EY263" s="528">
        <f t="shared" si="731"/>
        <v>2.0264675705467909</v>
      </c>
      <c r="EZ263" s="528"/>
      <c r="FA263" s="625">
        <f t="shared" si="732"/>
        <v>1.2102452013395406E-2</v>
      </c>
      <c r="FB263" s="460">
        <f t="shared" si="733"/>
        <v>3239.6393335373259</v>
      </c>
      <c r="FC263" s="173">
        <f t="shared" si="734"/>
        <v>9.0838089292821298</v>
      </c>
      <c r="FD263" s="5">
        <f t="shared" si="735"/>
        <v>71.439999999999984</v>
      </c>
      <c r="FE263" s="173">
        <f t="shared" si="736"/>
        <v>0.88719101778630793</v>
      </c>
      <c r="FF263" s="5">
        <f t="shared" si="737"/>
        <v>88.719101778630787</v>
      </c>
      <c r="FG263">
        <f t="shared" si="738"/>
        <v>46.999999999999993</v>
      </c>
      <c r="FI263" s="562">
        <f t="shared" si="689"/>
        <v>-50</v>
      </c>
    </row>
    <row r="264" spans="5:165">
      <c r="E264" s="170">
        <v>48</v>
      </c>
      <c r="F264" s="217">
        <f t="shared" si="773"/>
        <v>4.8</v>
      </c>
      <c r="G264" s="217">
        <f t="shared" si="742"/>
        <v>0.12</v>
      </c>
      <c r="H264" s="217">
        <f t="shared" si="743"/>
        <v>72</v>
      </c>
      <c r="I264" s="217">
        <f t="shared" si="744"/>
        <v>0.96</v>
      </c>
      <c r="J264" s="541">
        <f t="shared" si="745"/>
        <v>84.683835906466044</v>
      </c>
      <c r="K264" s="443">
        <f t="shared" si="746"/>
        <v>15.870597647058823</v>
      </c>
      <c r="L264" s="172">
        <f t="shared" si="747"/>
        <v>100.55443355352486</v>
      </c>
      <c r="M264" s="443"/>
      <c r="N264" s="217">
        <f t="shared" si="748"/>
        <v>0.15783090895351665</v>
      </c>
      <c r="O264" s="172">
        <f t="shared" si="749"/>
        <v>329.74654921351936</v>
      </c>
      <c r="P264" s="172">
        <f t="shared" si="750"/>
        <v>4.4552422649293293</v>
      </c>
      <c r="Q264" s="217">
        <f t="shared" si="626"/>
        <v>21.98310328090129</v>
      </c>
      <c r="R264" s="217">
        <f t="shared" si="751"/>
        <v>41.21831865168992</v>
      </c>
      <c r="S264" s="217">
        <f t="shared" si="752"/>
        <v>15</v>
      </c>
      <c r="T264" s="217">
        <f t="shared" si="753"/>
        <v>10.917475887424397</v>
      </c>
      <c r="U264" s="217">
        <f t="shared" si="630"/>
        <v>1.5470450676536902</v>
      </c>
      <c r="V264" s="217">
        <f t="shared" si="631"/>
        <v>8.2548693856763347</v>
      </c>
      <c r="W264" s="197">
        <f t="shared" si="632"/>
        <v>111.38105662323322</v>
      </c>
      <c r="X264" s="443">
        <f t="shared" si="691"/>
        <v>99.980859131129776</v>
      </c>
      <c r="Z264" s="217">
        <f t="shared" si="633"/>
        <v>10</v>
      </c>
      <c r="AA264" s="173">
        <f t="shared" si="634"/>
        <v>7.5611519281530448</v>
      </c>
      <c r="AB264" s="173">
        <f t="shared" si="754"/>
        <v>4.1554395939793576</v>
      </c>
      <c r="AC264" s="173"/>
      <c r="AD264" s="173">
        <f t="shared" si="636"/>
        <v>7.5611519281530448</v>
      </c>
      <c r="AE264" s="545">
        <f t="shared" si="755"/>
        <v>126.96478117647057</v>
      </c>
      <c r="AF264" s="528">
        <f t="shared" si="756"/>
        <v>4.2108454552324162</v>
      </c>
      <c r="AH264" s="173">
        <f t="shared" si="757"/>
        <v>5.8943071809040575</v>
      </c>
      <c r="AI264" s="173">
        <f t="shared" si="758"/>
        <v>10.917475887424397</v>
      </c>
      <c r="AJ264" s="173">
        <f t="shared" si="759"/>
        <v>1.879611768462516</v>
      </c>
      <c r="AL264" s="545">
        <f t="shared" si="760"/>
        <v>4800</v>
      </c>
      <c r="AM264" s="460">
        <f t="shared" si="761"/>
        <v>99.980859131129776</v>
      </c>
      <c r="AO264">
        <f t="shared" si="644"/>
        <v>4800</v>
      </c>
      <c r="AP264">
        <f t="shared" si="645"/>
        <v>99.980859131129776</v>
      </c>
      <c r="AR264" s="5">
        <f t="shared" si="774"/>
        <v>10.001914453330023</v>
      </c>
      <c r="AS264" s="5">
        <f t="shared" si="739"/>
        <v>1.5470450676536902</v>
      </c>
      <c r="AT264" s="5">
        <f t="shared" si="740"/>
        <v>8.4548693856763339</v>
      </c>
      <c r="AU264" s="173">
        <f t="shared" si="741"/>
        <v>0.15467489497859274</v>
      </c>
      <c r="BA264" s="173">
        <f t="shared" si="692"/>
        <v>2.4789714720747216</v>
      </c>
      <c r="BB264" s="173">
        <f t="shared" si="693"/>
        <v>5.7952676404808132</v>
      </c>
      <c r="BC264" s="173">
        <f t="shared" si="694"/>
        <v>0.14272266973419417</v>
      </c>
      <c r="BD264" s="173"/>
      <c r="BE264" s="528">
        <f t="shared" si="695"/>
        <v>0.12290599118720626</v>
      </c>
      <c r="BF264" s="528">
        <f t="shared" si="762"/>
        <v>2.0579821408504064</v>
      </c>
      <c r="BG264" s="528">
        <f t="shared" si="763"/>
        <v>0.21166906671120228</v>
      </c>
      <c r="BH264" s="528">
        <f t="shared" si="696"/>
        <v>0.10109258736864961</v>
      </c>
      <c r="BI264">
        <f t="shared" si="697"/>
        <v>3.8107726157909722E-2</v>
      </c>
      <c r="BJ264" s="460">
        <f t="shared" si="698"/>
        <v>249.776792869112</v>
      </c>
      <c r="BK264">
        <f t="shared" si="764"/>
        <v>2.3848075937523854</v>
      </c>
      <c r="BL264" s="460">
        <f t="shared" si="699"/>
        <v>2531.7575122753747</v>
      </c>
      <c r="BM264" s="173">
        <f t="shared" si="765"/>
        <v>2.9819999999999998</v>
      </c>
      <c r="BN264" s="173">
        <f t="shared" si="766"/>
        <v>5.3249999999999999E-2</v>
      </c>
      <c r="BQ264" s="460">
        <f t="shared" si="700"/>
        <v>3035.2499999999995</v>
      </c>
      <c r="BR264" s="528">
        <f t="shared" si="701"/>
        <v>0.18435898678080936</v>
      </c>
      <c r="BS264" s="528">
        <f t="shared" si="702"/>
        <v>1.0075538107441215</v>
      </c>
      <c r="BT264" s="528">
        <f t="shared" si="703"/>
        <v>1.0184880228027934E-4</v>
      </c>
      <c r="BU264" s="528">
        <f t="shared" si="704"/>
        <v>1.9681933885133176</v>
      </c>
      <c r="BV264" s="528"/>
      <c r="BW264" s="625">
        <f t="shared" si="705"/>
        <v>1.1916846550593097E-2</v>
      </c>
      <c r="BX264" s="460">
        <f t="shared" si="706"/>
        <v>3172.1248813911216</v>
      </c>
      <c r="BY264" s="173">
        <f t="shared" si="707"/>
        <v>8.7391323936664946</v>
      </c>
      <c r="BZ264" s="5">
        <f t="shared" si="708"/>
        <v>72.959999999999994</v>
      </c>
      <c r="CA264" s="173">
        <f t="shared" si="709"/>
        <v>0.89303273930061988</v>
      </c>
      <c r="CB264" s="5">
        <f t="shared" si="710"/>
        <v>89.303273930061991</v>
      </c>
      <c r="CC264">
        <f t="shared" si="711"/>
        <v>48</v>
      </c>
      <c r="CE264" s="562">
        <f t="shared" si="767"/>
        <v>-50</v>
      </c>
      <c r="CG264" s="173">
        <f t="shared" si="768"/>
        <v>0.84409136047666333</v>
      </c>
      <c r="CH264" s="173">
        <f t="shared" si="769"/>
        <v>0.10203989682880611</v>
      </c>
      <c r="CI264" s="170">
        <v>48</v>
      </c>
      <c r="CJ264" s="217">
        <f t="shared" si="712"/>
        <v>4.8</v>
      </c>
      <c r="CK264" s="217">
        <f t="shared" si="654"/>
        <v>0.12</v>
      </c>
      <c r="CL264" s="217">
        <f t="shared" si="655"/>
        <v>72</v>
      </c>
      <c r="CM264" s="217">
        <f t="shared" si="656"/>
        <v>0.96</v>
      </c>
      <c r="CN264" s="541">
        <f t="shared" si="657"/>
        <v>85</v>
      </c>
      <c r="CO264" s="443">
        <f t="shared" si="770"/>
        <v>15.7</v>
      </c>
      <c r="CP264" s="443">
        <f t="shared" si="771"/>
        <v>100.7</v>
      </c>
      <c r="CQ264" s="443"/>
      <c r="CR264" s="217">
        <f t="shared" si="660"/>
        <v>0.15338645418326693</v>
      </c>
      <c r="CS264" s="172">
        <f t="shared" si="661"/>
        <v>321.65744915076539</v>
      </c>
      <c r="CT264" s="172">
        <f t="shared" si="662"/>
        <v>4.3459495351925632</v>
      </c>
      <c r="CU264" s="217">
        <f t="shared" si="663"/>
        <v>21.443829943384358</v>
      </c>
      <c r="CV264" s="217">
        <f t="shared" si="664"/>
        <v>40.207181143845673</v>
      </c>
      <c r="CW264" s="217">
        <f t="shared" si="665"/>
        <v>15</v>
      </c>
      <c r="CX264" s="217">
        <f t="shared" si="666"/>
        <v>11.192030557677615</v>
      </c>
      <c r="CY264" s="217">
        <f t="shared" si="667"/>
        <v>1.5800513728486045</v>
      </c>
      <c r="CZ264" s="217">
        <f t="shared" si="668"/>
        <v>8.5544182606453099</v>
      </c>
      <c r="DA264" s="197">
        <f t="shared" si="669"/>
        <v>110.43528632903013</v>
      </c>
      <c r="DB264" s="443">
        <f t="shared" si="670"/>
        <v>98.673145824528405</v>
      </c>
      <c r="DD264" s="217">
        <f t="shared" si="671"/>
        <v>9.9999999999999982</v>
      </c>
      <c r="DE264" s="173">
        <f t="shared" si="672"/>
        <v>7.6433121019108263</v>
      </c>
      <c r="DF264" s="173">
        <f t="shared" si="673"/>
        <v>4.1649244760361679</v>
      </c>
      <c r="DG264" s="173"/>
      <c r="DH264" s="173">
        <f t="shared" si="674"/>
        <v>7.6433121019108281</v>
      </c>
      <c r="DI264" s="545">
        <f t="shared" si="675"/>
        <v>125.6</v>
      </c>
      <c r="DJ264" s="528">
        <f t="shared" si="676"/>
        <v>4.2204568023833167</v>
      </c>
      <c r="DL264" s="173">
        <f t="shared" si="677"/>
        <v>5.8943071809040575</v>
      </c>
      <c r="DM264" s="173">
        <f t="shared" si="678"/>
        <v>11.192030557677615</v>
      </c>
      <c r="DN264" s="173">
        <f t="shared" si="679"/>
        <v>2.082985598279715</v>
      </c>
      <c r="DP264" s="545">
        <f t="shared" si="680"/>
        <v>4800</v>
      </c>
      <c r="DQ264" s="460">
        <f t="shared" si="681"/>
        <v>98.673145824528405</v>
      </c>
      <c r="DS264">
        <f t="shared" si="682"/>
        <v>4800</v>
      </c>
      <c r="DT264">
        <f t="shared" si="683"/>
        <v>98.673145824528405</v>
      </c>
      <c r="DV264" s="5">
        <f t="shared" si="684"/>
        <v>10.134469633493916</v>
      </c>
      <c r="DW264" s="5">
        <f t="shared" si="685"/>
        <v>1.5800513728486045</v>
      </c>
      <c r="DX264" s="5">
        <f t="shared" si="686"/>
        <v>8.5544182606453116</v>
      </c>
      <c r="DY264" s="173">
        <f t="shared" si="687"/>
        <v>0.15590863952333664</v>
      </c>
      <c r="EA264" s="5">
        <f t="shared" si="713"/>
        <v>50.561643931155345</v>
      </c>
      <c r="EB264" s="5">
        <f t="shared" si="714"/>
        <v>2.3700770592729068</v>
      </c>
      <c r="EC264" s="5">
        <f t="shared" si="715"/>
        <v>2.0128042966224262</v>
      </c>
      <c r="ED264" s="5"/>
      <c r="EE264" s="173">
        <f t="shared" si="716"/>
        <v>2.5514281970358699</v>
      </c>
      <c r="EF264" s="173">
        <f t="shared" si="717"/>
        <v>5.936671078140801</v>
      </c>
      <c r="EG264" s="173">
        <f t="shared" si="718"/>
        <v>0.14620507596362445</v>
      </c>
      <c r="EH264" s="173"/>
      <c r="EI264" s="528">
        <f t="shared" si="719"/>
        <v>0.13019571689259418</v>
      </c>
      <c r="EJ264" s="528">
        <f t="shared" si="720"/>
        <v>2.2241666666666671</v>
      </c>
      <c r="EK264" s="528">
        <f t="shared" si="721"/>
        <v>1.2334143228066051E-2</v>
      </c>
      <c r="EL264" s="528">
        <f t="shared" si="722"/>
        <v>0.10005940485021721</v>
      </c>
      <c r="EM264">
        <f t="shared" si="723"/>
        <v>3.8249999999999999E-2</v>
      </c>
      <c r="EN264" s="460">
        <f t="shared" si="724"/>
        <v>50.584143228066047</v>
      </c>
      <c r="EP264" s="460">
        <f t="shared" si="725"/>
        <v>2505.0059316375446</v>
      </c>
      <c r="EQ264" s="173">
        <f t="shared" si="726"/>
        <v>3.36</v>
      </c>
      <c r="ER264" s="173">
        <f t="shared" si="772"/>
        <v>5.3249999999999999E-2</v>
      </c>
      <c r="ES264" s="528"/>
      <c r="EU264" s="460">
        <f t="shared" si="727"/>
        <v>3413.2499999999995</v>
      </c>
      <c r="EV264" s="528">
        <f t="shared" si="728"/>
        <v>0.19529357533889127</v>
      </c>
      <c r="EW264" s="528">
        <f t="shared" si="729"/>
        <v>1.0573219047010038</v>
      </c>
      <c r="EX264" s="528">
        <f t="shared" si="730"/>
        <v>1.0687962118764598E-4</v>
      </c>
      <c r="EY264" s="528">
        <f t="shared" si="731"/>
        <v>2.0264675705467927</v>
      </c>
      <c r="EZ264" s="528"/>
      <c r="FA264" s="625">
        <f t="shared" si="732"/>
        <v>1.2359950992403822E-2</v>
      </c>
      <c r="FB264" s="460">
        <f t="shared" si="733"/>
        <v>3291.5498812002797</v>
      </c>
      <c r="FC264" s="173">
        <f t="shared" si="734"/>
        <v>9.2098058128378231</v>
      </c>
      <c r="FD264" s="5">
        <f t="shared" si="735"/>
        <v>72.959999999999994</v>
      </c>
      <c r="FE264" s="173">
        <f t="shared" si="736"/>
        <v>0.88791739591285568</v>
      </c>
      <c r="FF264" s="5">
        <f t="shared" si="737"/>
        <v>88.791739591285562</v>
      </c>
      <c r="FG264">
        <f t="shared" si="738"/>
        <v>48</v>
      </c>
      <c r="FI264" s="562">
        <f t="shared" si="689"/>
        <v>-50</v>
      </c>
    </row>
    <row r="265" spans="5:165">
      <c r="E265" s="170">
        <v>49</v>
      </c>
      <c r="F265" s="217">
        <f t="shared" si="773"/>
        <v>4.9000000000000004</v>
      </c>
      <c r="G265" s="217">
        <f t="shared" si="742"/>
        <v>0.1225</v>
      </c>
      <c r="H265" s="217">
        <f t="shared" si="743"/>
        <v>73.5</v>
      </c>
      <c r="I265" s="217">
        <f t="shared" si="744"/>
        <v>0.98</v>
      </c>
      <c r="J265" s="541">
        <f t="shared" si="745"/>
        <v>84.677249154517426</v>
      </c>
      <c r="K265" s="443">
        <f t="shared" si="746"/>
        <v>15.874151764705882</v>
      </c>
      <c r="L265" s="172">
        <f t="shared" si="747"/>
        <v>100.55140091922331</v>
      </c>
      <c r="M265" s="443"/>
      <c r="N265" s="217">
        <f t="shared" si="748"/>
        <v>0.15787101541686308</v>
      </c>
      <c r="O265" s="172">
        <f t="shared" si="749"/>
        <v>329.80468684367708</v>
      </c>
      <c r="P265" s="172">
        <f t="shared" si="750"/>
        <v>4.4560277689101264</v>
      </c>
      <c r="Q265" s="217">
        <f t="shared" si="626"/>
        <v>21.986979122911805</v>
      </c>
      <c r="R265" s="217">
        <f t="shared" si="751"/>
        <v>41.225585855459634</v>
      </c>
      <c r="S265" s="217">
        <f t="shared" si="752"/>
        <v>15</v>
      </c>
      <c r="T265" s="217">
        <f t="shared" si="753"/>
        <v>11.142958686156877</v>
      </c>
      <c r="U265" s="217">
        <f t="shared" si="630"/>
        <v>1.5791196049588365</v>
      </c>
      <c r="V265" s="217">
        <f t="shared" si="631"/>
        <v>8.4234739730271198</v>
      </c>
      <c r="W265" s="197">
        <f t="shared" si="632"/>
        <v>111.40069422275313</v>
      </c>
      <c r="X265" s="443">
        <f t="shared" si="691"/>
        <v>98.014293361414587</v>
      </c>
      <c r="Z265" s="217">
        <f t="shared" si="633"/>
        <v>10</v>
      </c>
      <c r="AA265" s="173">
        <f t="shared" si="634"/>
        <v>7.5594590362178877</v>
      </c>
      <c r="AB265" s="173">
        <f t="shared" si="754"/>
        <v>4.1552417002457425</v>
      </c>
      <c r="AC265" s="173"/>
      <c r="AD265" s="173">
        <f t="shared" si="636"/>
        <v>7.5594590362178877</v>
      </c>
      <c r="AE265" s="545">
        <f t="shared" si="755"/>
        <v>129.63890607843138</v>
      </c>
      <c r="AF265" s="528">
        <f t="shared" si="756"/>
        <v>4.2106449229156855</v>
      </c>
      <c r="AH265" s="173">
        <f t="shared" si="757"/>
        <v>5.9553897157672786</v>
      </c>
      <c r="AI265" s="173">
        <f t="shared" si="758"/>
        <v>11.142958686156877</v>
      </c>
      <c r="AJ265" s="173">
        <f t="shared" si="759"/>
        <v>2.0466360638199088</v>
      </c>
      <c r="AL265" s="545">
        <f t="shared" si="760"/>
        <v>4900</v>
      </c>
      <c r="AM265" s="460">
        <f t="shared" si="761"/>
        <v>98.014293361414587</v>
      </c>
      <c r="AO265">
        <f t="shared" si="644"/>
        <v>4900</v>
      </c>
      <c r="AP265">
        <f t="shared" si="645"/>
        <v>98.014293361414587</v>
      </c>
      <c r="AR265" s="5">
        <f t="shared" si="774"/>
        <v>10.202593577985956</v>
      </c>
      <c r="AS265" s="5">
        <f t="shared" si="739"/>
        <v>1.5791196049588365</v>
      </c>
      <c r="AT265" s="5">
        <f t="shared" si="740"/>
        <v>8.623473973027119</v>
      </c>
      <c r="AU265" s="173">
        <f t="shared" si="741"/>
        <v>0.15477629221319653</v>
      </c>
      <c r="BA265" s="173">
        <f t="shared" si="692"/>
        <v>2.5309998082502054</v>
      </c>
      <c r="BB265" s="173">
        <f t="shared" si="693"/>
        <v>5.9146047541463345</v>
      </c>
      <c r="BC265" s="173">
        <f t="shared" si="694"/>
        <v>0.14566163865113327</v>
      </c>
      <c r="BD265" s="173"/>
      <c r="BE265" s="528">
        <f t="shared" si="695"/>
        <v>0.12811920058725154</v>
      </c>
      <c r="BF265" s="528">
        <f t="shared" si="762"/>
        <v>2.0591089738244333</v>
      </c>
      <c r="BG265" s="528">
        <f t="shared" si="763"/>
        <v>0.20748951849171163</v>
      </c>
      <c r="BH265" s="528">
        <f t="shared" si="696"/>
        <v>9.9098176846266817E-2</v>
      </c>
      <c r="BI265">
        <f t="shared" si="697"/>
        <v>3.8104762119532842E-2</v>
      </c>
      <c r="BJ265" s="460">
        <f t="shared" si="698"/>
        <v>245.59428061124447</v>
      </c>
      <c r="BK265">
        <f t="shared" si="764"/>
        <v>2.3937881321313772</v>
      </c>
      <c r="BL265" s="460">
        <f t="shared" si="699"/>
        <v>2531.9206318691959</v>
      </c>
      <c r="BM265" s="173">
        <f t="shared" si="765"/>
        <v>3.0441250000000002</v>
      </c>
      <c r="BN265" s="173">
        <f t="shared" si="766"/>
        <v>5.4359374999999995E-2</v>
      </c>
      <c r="BQ265" s="460">
        <f t="shared" si="700"/>
        <v>3098.4843750000005</v>
      </c>
      <c r="BR265" s="528">
        <f t="shared" si="701"/>
        <v>0.1921788008808773</v>
      </c>
      <c r="BS265" s="528">
        <f t="shared" si="702"/>
        <v>1.0494764819331126</v>
      </c>
      <c r="BT265" s="528">
        <f t="shared" si="703"/>
        <v>1.060865648726666E-4</v>
      </c>
      <c r="BU265" s="528">
        <f t="shared" si="704"/>
        <v>1.9710372780703167</v>
      </c>
      <c r="BV265" s="528"/>
      <c r="BW265" s="625">
        <f t="shared" si="705"/>
        <v>1.2169996514348063E-2</v>
      </c>
      <c r="BX265" s="460">
        <f t="shared" si="706"/>
        <v>3224.9686439635275</v>
      </c>
      <c r="BY265" s="173">
        <f t="shared" si="707"/>
        <v>8.855373650832723</v>
      </c>
      <c r="BZ265" s="5">
        <f t="shared" si="708"/>
        <v>74.48</v>
      </c>
      <c r="CA265" s="173">
        <f t="shared" si="709"/>
        <v>0.89373811788573854</v>
      </c>
      <c r="CB265" s="5">
        <f t="shared" si="710"/>
        <v>89.37381178857386</v>
      </c>
      <c r="CC265">
        <f t="shared" si="711"/>
        <v>49.000000000000007</v>
      </c>
      <c r="CE265" s="562">
        <f t="shared" si="767"/>
        <v>-50</v>
      </c>
      <c r="CG265" s="173">
        <f t="shared" si="768"/>
        <v>0.84409136047666333</v>
      </c>
      <c r="CH265" s="173">
        <f t="shared" si="769"/>
        <v>0.1020398968288061</v>
      </c>
      <c r="CI265" s="170">
        <v>49</v>
      </c>
      <c r="CJ265" s="217">
        <f t="shared" si="712"/>
        <v>4.9000000000000004</v>
      </c>
      <c r="CK265" s="217">
        <f t="shared" si="654"/>
        <v>0.1225</v>
      </c>
      <c r="CL265" s="217">
        <f t="shared" si="655"/>
        <v>73.5</v>
      </c>
      <c r="CM265" s="217">
        <f t="shared" si="656"/>
        <v>0.98</v>
      </c>
      <c r="CN265" s="541">
        <f t="shared" si="657"/>
        <v>85</v>
      </c>
      <c r="CO265" s="443">
        <f t="shared" si="770"/>
        <v>15.7</v>
      </c>
      <c r="CP265" s="443">
        <f t="shared" si="771"/>
        <v>100.7</v>
      </c>
      <c r="CQ265" s="443"/>
      <c r="CR265" s="217">
        <f t="shared" si="660"/>
        <v>0.15338645418326693</v>
      </c>
      <c r="CS265" s="172">
        <f t="shared" si="661"/>
        <v>321.65744915076539</v>
      </c>
      <c r="CT265" s="172">
        <f t="shared" si="662"/>
        <v>4.3459495351925632</v>
      </c>
      <c r="CU265" s="217">
        <f t="shared" si="663"/>
        <v>21.443829943384358</v>
      </c>
      <c r="CV265" s="217">
        <f t="shared" si="664"/>
        <v>40.207181143845673</v>
      </c>
      <c r="CW265" s="217">
        <f t="shared" si="665"/>
        <v>15</v>
      </c>
      <c r="CX265" s="217">
        <f t="shared" si="666"/>
        <v>11.425197860962568</v>
      </c>
      <c r="CY265" s="217">
        <f t="shared" si="667"/>
        <v>1.6129691097829508</v>
      </c>
      <c r="CZ265" s="217">
        <f t="shared" si="668"/>
        <v>8.7326353077420897</v>
      </c>
      <c r="DA265" s="197">
        <f t="shared" si="669"/>
        <v>110.43528632903013</v>
      </c>
      <c r="DB265" s="443">
        <f t="shared" si="670"/>
        <v>96.659408154640047</v>
      </c>
      <c r="DD265" s="217">
        <f t="shared" si="671"/>
        <v>9.9999999999999982</v>
      </c>
      <c r="DE265" s="173">
        <f t="shared" si="672"/>
        <v>7.6433121019108263</v>
      </c>
      <c r="DF265" s="173">
        <f t="shared" si="673"/>
        <v>4.1649244760361679</v>
      </c>
      <c r="DG265" s="173"/>
      <c r="DH265" s="173">
        <f t="shared" si="674"/>
        <v>7.6433121019108281</v>
      </c>
      <c r="DI265" s="545">
        <f t="shared" si="675"/>
        <v>128.2166666666667</v>
      </c>
      <c r="DJ265" s="528">
        <f t="shared" si="676"/>
        <v>4.2204568023833167</v>
      </c>
      <c r="DL265" s="173">
        <f t="shared" si="677"/>
        <v>5.9553897157672786</v>
      </c>
      <c r="DM265" s="173">
        <f t="shared" si="678"/>
        <v>11.425197860962568</v>
      </c>
      <c r="DN265" s="173">
        <f t="shared" si="679"/>
        <v>2.2557021192315316</v>
      </c>
      <c r="DP265" s="545">
        <f t="shared" si="680"/>
        <v>4900</v>
      </c>
      <c r="DQ265" s="460">
        <f t="shared" si="681"/>
        <v>96.659408154640047</v>
      </c>
      <c r="DS265">
        <f t="shared" si="682"/>
        <v>4900</v>
      </c>
      <c r="DT265">
        <f t="shared" si="683"/>
        <v>96.659408154640047</v>
      </c>
      <c r="DV265" s="5">
        <f t="shared" si="684"/>
        <v>10.34560441752504</v>
      </c>
      <c r="DW265" s="5">
        <f t="shared" si="685"/>
        <v>1.6129691097829508</v>
      </c>
      <c r="DX265" s="5">
        <f t="shared" si="686"/>
        <v>8.7326353077420897</v>
      </c>
      <c r="DY265" s="173">
        <f t="shared" si="687"/>
        <v>0.15590863952333667</v>
      </c>
      <c r="EA265" s="5">
        <f t="shared" si="713"/>
        <v>52.690324252909733</v>
      </c>
      <c r="EB265" s="5">
        <f t="shared" si="714"/>
        <v>2.4698589493551437</v>
      </c>
      <c r="EC265" s="5">
        <f t="shared" si="715"/>
        <v>2.097544755290992</v>
      </c>
      <c r="ED265" s="5"/>
      <c r="EE265" s="173">
        <f t="shared" si="716"/>
        <v>2.6045829511407845</v>
      </c>
      <c r="EF265" s="173">
        <f t="shared" si="717"/>
        <v>6.0603517256020689</v>
      </c>
      <c r="EG265" s="173">
        <f t="shared" si="718"/>
        <v>0.14925101504619998</v>
      </c>
      <c r="EH265" s="173"/>
      <c r="EI265" s="528">
        <f t="shared" si="719"/>
        <v>0.13567704698746477</v>
      </c>
      <c r="EJ265" s="528">
        <f t="shared" si="720"/>
        <v>2.2241666666666671</v>
      </c>
      <c r="EK265" s="528">
        <f t="shared" si="721"/>
        <v>1.2082426019330007E-2</v>
      </c>
      <c r="EL265" s="528">
        <f t="shared" si="722"/>
        <v>9.8017376179804591E-2</v>
      </c>
      <c r="EM265">
        <f t="shared" si="723"/>
        <v>3.8249999999999999E-2</v>
      </c>
      <c r="EN265" s="460">
        <f t="shared" si="724"/>
        <v>50.332426019330008</v>
      </c>
      <c r="EP265" s="460">
        <f t="shared" si="725"/>
        <v>2508.1935158532665</v>
      </c>
      <c r="EQ265" s="173">
        <f t="shared" si="726"/>
        <v>3.43</v>
      </c>
      <c r="ER265" s="173">
        <f t="shared" si="772"/>
        <v>5.4359374999999995E-2</v>
      </c>
      <c r="ES265" s="528"/>
      <c r="EU265" s="460">
        <f t="shared" si="727"/>
        <v>3484.3593750000005</v>
      </c>
      <c r="EV265" s="528">
        <f t="shared" si="728"/>
        <v>0.20351557048119714</v>
      </c>
      <c r="EW265" s="528">
        <f t="shared" si="729"/>
        <v>1.1018358911402393</v>
      </c>
      <c r="EX265" s="528">
        <f t="shared" si="730"/>
        <v>1.1137932746160507E-4</v>
      </c>
      <c r="EY265" s="528">
        <f t="shared" si="731"/>
        <v>2.0264675705467892</v>
      </c>
      <c r="EZ265" s="528"/>
      <c r="FA265" s="625">
        <f t="shared" si="732"/>
        <v>1.2617449971412238E-2</v>
      </c>
      <c r="FB265" s="460">
        <f t="shared" si="733"/>
        <v>3344.5478614670992</v>
      </c>
      <c r="FC265" s="173">
        <f t="shared" si="734"/>
        <v>9.3371007523203655</v>
      </c>
      <c r="FD265" s="5">
        <f t="shared" si="735"/>
        <v>74.48</v>
      </c>
      <c r="FE265" s="173">
        <f t="shared" si="736"/>
        <v>0.88860148265075989</v>
      </c>
      <c r="FF265" s="5">
        <f t="shared" si="737"/>
        <v>88.860148265075992</v>
      </c>
      <c r="FG265">
        <f t="shared" si="738"/>
        <v>49.000000000000007</v>
      </c>
      <c r="FI265" s="562">
        <f t="shared" si="689"/>
        <v>-50</v>
      </c>
    </row>
    <row r="266" spans="5:165">
      <c r="E266" s="170">
        <v>50</v>
      </c>
      <c r="F266" s="217">
        <f t="shared" si="773"/>
        <v>5</v>
      </c>
      <c r="G266" s="217">
        <f t="shared" si="742"/>
        <v>0.125</v>
      </c>
      <c r="H266" s="217">
        <f t="shared" si="743"/>
        <v>75</v>
      </c>
      <c r="I266" s="217">
        <f t="shared" si="744"/>
        <v>1</v>
      </c>
      <c r="J266" s="541">
        <f t="shared" si="745"/>
        <v>84.670662402568794</v>
      </c>
      <c r="K266" s="443">
        <f t="shared" si="746"/>
        <v>15.87770588235294</v>
      </c>
      <c r="L266" s="172">
        <f t="shared" si="747"/>
        <v>100.54836828492174</v>
      </c>
      <c r="M266" s="443"/>
      <c r="N266" s="217">
        <f t="shared" si="748"/>
        <v>0.15791112429950757</v>
      </c>
      <c r="O266" s="172">
        <f t="shared" si="749"/>
        <v>329.8628164927718</v>
      </c>
      <c r="P266" s="172">
        <f t="shared" si="750"/>
        <v>4.4568131650578939</v>
      </c>
      <c r="Q266" s="217">
        <f t="shared" si="626"/>
        <v>21.990854432851453</v>
      </c>
      <c r="R266" s="217">
        <f t="shared" si="751"/>
        <v>41.232852061596475</v>
      </c>
      <c r="S266" s="217">
        <f t="shared" si="752"/>
        <v>15</v>
      </c>
      <c r="T266" s="217">
        <f t="shared" si="753"/>
        <v>11.36836227820838</v>
      </c>
      <c r="U266" s="217">
        <f t="shared" si="630"/>
        <v>1.6111879069740425</v>
      </c>
      <c r="V266" s="217">
        <f t="shared" si="631"/>
        <v>8.5919432158094775</v>
      </c>
      <c r="W266" s="197">
        <f t="shared" si="632"/>
        <v>111.42032912644736</v>
      </c>
      <c r="X266" s="443">
        <f t="shared" si="691"/>
        <v>96.124905876648654</v>
      </c>
      <c r="Z266" s="217">
        <f t="shared" si="633"/>
        <v>10</v>
      </c>
      <c r="AA266" s="173">
        <f t="shared" si="634"/>
        <v>7.5577669021676721</v>
      </c>
      <c r="AB266" s="173">
        <f t="shared" si="754"/>
        <v>4.155043794574798</v>
      </c>
      <c r="AC266" s="173"/>
      <c r="AD266" s="173">
        <f t="shared" si="636"/>
        <v>7.5577669021676721</v>
      </c>
      <c r="AE266" s="545">
        <f t="shared" si="755"/>
        <v>132.31421568627448</v>
      </c>
      <c r="AF266" s="528">
        <f t="shared" si="756"/>
        <v>4.210444378502463</v>
      </c>
      <c r="AH266" s="173">
        <f t="shared" si="757"/>
        <v>6.0158520751823836</v>
      </c>
      <c r="AI266" s="173">
        <f t="shared" si="758"/>
        <v>11.36836227820838</v>
      </c>
      <c r="AJ266" s="173">
        <f t="shared" si="759"/>
        <v>2.2136016875617628</v>
      </c>
      <c r="AL266" s="545">
        <f t="shared" si="760"/>
        <v>5000</v>
      </c>
      <c r="AM266" s="460">
        <f t="shared" si="761"/>
        <v>96.124905876648654</v>
      </c>
      <c r="AO266">
        <f t="shared" si="644"/>
        <v>5000</v>
      </c>
      <c r="AP266">
        <f t="shared" si="645"/>
        <v>96.124905876648654</v>
      </c>
      <c r="AR266" s="5">
        <f t="shared" si="774"/>
        <v>10.403131122783519</v>
      </c>
      <c r="AS266" s="5">
        <f t="shared" si="739"/>
        <v>1.6111879069740425</v>
      </c>
      <c r="AT266" s="5">
        <f t="shared" si="740"/>
        <v>8.7919432158094768</v>
      </c>
      <c r="AU266" s="173">
        <f t="shared" si="741"/>
        <v>0.15487528590747437</v>
      </c>
      <c r="BA266" s="173">
        <f t="shared" si="692"/>
        <v>2.5830233855378082</v>
      </c>
      <c r="BB266" s="173">
        <f t="shared" si="693"/>
        <v>6.0338940289524929</v>
      </c>
      <c r="BC266" s="173">
        <f t="shared" si="694"/>
        <v>0.14859942941890847</v>
      </c>
      <c r="BD266" s="173"/>
      <c r="BE266" s="528">
        <f t="shared" si="695"/>
        <v>0.13344019620470401</v>
      </c>
      <c r="BF266" s="528">
        <f t="shared" si="762"/>
        <v>2.0602035525192353</v>
      </c>
      <c r="BG266" s="528">
        <f t="shared" si="763"/>
        <v>0.20347398634901048</v>
      </c>
      <c r="BH266" s="528">
        <f t="shared" si="696"/>
        <v>9.7182033422791025E-2</v>
      </c>
      <c r="BI266">
        <f t="shared" si="697"/>
        <v>3.8101798081155956E-2</v>
      </c>
      <c r="BJ266" s="460">
        <f t="shared" si="698"/>
        <v>241.57578443016644</v>
      </c>
      <c r="BK266">
        <f t="shared" si="764"/>
        <v>2.403044086559206</v>
      </c>
      <c r="BL266" s="460">
        <f t="shared" si="699"/>
        <v>2532.4015665768966</v>
      </c>
      <c r="BM266" s="173">
        <f t="shared" si="765"/>
        <v>3.1062499999999997</v>
      </c>
      <c r="BN266" s="173">
        <f t="shared" si="766"/>
        <v>5.5468749999999997E-2</v>
      </c>
      <c r="BQ266" s="460">
        <f t="shared" si="700"/>
        <v>3161.71875</v>
      </c>
      <c r="BR266" s="528">
        <f t="shared" si="701"/>
        <v>0.20016029430705601</v>
      </c>
      <c r="BS266" s="528">
        <f t="shared" si="702"/>
        <v>1.0922363145788565</v>
      </c>
      <c r="BT266" s="528">
        <f t="shared" si="703"/>
        <v>1.104089521181258E-4</v>
      </c>
      <c r="BU266" s="528">
        <f t="shared" si="704"/>
        <v>1.9738065484429954</v>
      </c>
      <c r="BV266" s="528"/>
      <c r="BW266" s="625">
        <f t="shared" si="705"/>
        <v>1.2423150238445823E-2</v>
      </c>
      <c r="BX266" s="460">
        <f t="shared" si="706"/>
        <v>3278.7367165194714</v>
      </c>
      <c r="BY266" s="173">
        <f t="shared" si="707"/>
        <v>8.9728570330963695</v>
      </c>
      <c r="BZ266" s="5">
        <f t="shared" si="708"/>
        <v>76</v>
      </c>
      <c r="CA266" s="173">
        <f t="shared" si="709"/>
        <v>0.89440325597618187</v>
      </c>
      <c r="CB266" s="5">
        <f t="shared" si="710"/>
        <v>89.440325597618184</v>
      </c>
      <c r="CC266">
        <f t="shared" si="711"/>
        <v>50</v>
      </c>
      <c r="CE266" s="562">
        <f t="shared" si="767"/>
        <v>-50</v>
      </c>
      <c r="CG266" s="173">
        <f t="shared" si="768"/>
        <v>0.84409136047666333</v>
      </c>
      <c r="CH266" s="173">
        <f t="shared" si="769"/>
        <v>0.10203989682880611</v>
      </c>
      <c r="CI266" s="170">
        <v>50</v>
      </c>
      <c r="CJ266" s="217">
        <f t="shared" si="712"/>
        <v>5</v>
      </c>
      <c r="CK266" s="217">
        <f t="shared" si="654"/>
        <v>0.125</v>
      </c>
      <c r="CL266" s="217">
        <f t="shared" si="655"/>
        <v>75</v>
      </c>
      <c r="CM266" s="217">
        <f t="shared" si="656"/>
        <v>1</v>
      </c>
      <c r="CN266" s="541">
        <f t="shared" si="657"/>
        <v>85</v>
      </c>
      <c r="CO266" s="443">
        <f t="shared" si="770"/>
        <v>15.7</v>
      </c>
      <c r="CP266" s="443">
        <f t="shared" si="771"/>
        <v>100.7</v>
      </c>
      <c r="CQ266" s="443"/>
      <c r="CR266" s="217">
        <f t="shared" si="660"/>
        <v>0.15338645418326693</v>
      </c>
      <c r="CS266" s="172">
        <f t="shared" si="661"/>
        <v>321.65744915076539</v>
      </c>
      <c r="CT266" s="172">
        <f t="shared" si="662"/>
        <v>4.3459495351925632</v>
      </c>
      <c r="CU266" s="217">
        <f t="shared" si="663"/>
        <v>21.443829943384358</v>
      </c>
      <c r="CV266" s="217">
        <f t="shared" si="664"/>
        <v>40.207181143845673</v>
      </c>
      <c r="CW266" s="217">
        <f t="shared" si="665"/>
        <v>15</v>
      </c>
      <c r="CX266" s="217">
        <f t="shared" si="666"/>
        <v>11.658365164247517</v>
      </c>
      <c r="CY266" s="217">
        <f t="shared" si="667"/>
        <v>1.6458868467172965</v>
      </c>
      <c r="CZ266" s="217">
        <f t="shared" si="668"/>
        <v>8.9108523548388661</v>
      </c>
      <c r="DA266" s="197">
        <f t="shared" si="669"/>
        <v>110.43528632903013</v>
      </c>
      <c r="DB266" s="443">
        <f t="shared" si="670"/>
        <v>94.726219991547268</v>
      </c>
      <c r="DD266" s="217">
        <f t="shared" si="671"/>
        <v>9.9999999999999982</v>
      </c>
      <c r="DE266" s="173">
        <f t="shared" si="672"/>
        <v>7.6433121019108263</v>
      </c>
      <c r="DF266" s="173">
        <f t="shared" si="673"/>
        <v>4.1649244760361679</v>
      </c>
      <c r="DG266" s="173"/>
      <c r="DH266" s="173">
        <f t="shared" si="674"/>
        <v>7.6433121019108281</v>
      </c>
      <c r="DI266" s="545">
        <f t="shared" si="675"/>
        <v>130.83333333333334</v>
      </c>
      <c r="DJ266" s="528">
        <f t="shared" si="676"/>
        <v>4.2204568023833167</v>
      </c>
      <c r="DL266" s="173">
        <f t="shared" si="677"/>
        <v>6.0158520751823836</v>
      </c>
      <c r="DM266" s="173">
        <f t="shared" si="678"/>
        <v>11.658365164247517</v>
      </c>
      <c r="DN266" s="173">
        <f t="shared" si="679"/>
        <v>2.4284186401833461</v>
      </c>
      <c r="DP266" s="545">
        <f t="shared" si="680"/>
        <v>5000</v>
      </c>
      <c r="DQ266" s="460">
        <f t="shared" si="681"/>
        <v>94.726219991547268</v>
      </c>
      <c r="DS266">
        <f t="shared" si="682"/>
        <v>5000</v>
      </c>
      <c r="DT266">
        <f t="shared" si="683"/>
        <v>94.726219991547268</v>
      </c>
      <c r="DV266" s="5">
        <f t="shared" si="684"/>
        <v>10.556739201556161</v>
      </c>
      <c r="DW266" s="5">
        <f t="shared" si="685"/>
        <v>1.6458868467172965</v>
      </c>
      <c r="DX266" s="5">
        <f t="shared" si="686"/>
        <v>8.9108523548388643</v>
      </c>
      <c r="DY266" s="173">
        <f t="shared" si="687"/>
        <v>0.15590863952333667</v>
      </c>
      <c r="EA266" s="5">
        <f t="shared" si="713"/>
        <v>54.862894890576555</v>
      </c>
      <c r="EB266" s="5">
        <f t="shared" si="714"/>
        <v>2.5716981979957758</v>
      </c>
      <c r="EC266" s="5">
        <f t="shared" si="715"/>
        <v>2.1840324399114861</v>
      </c>
      <c r="ED266" s="5"/>
      <c r="EE266" s="173">
        <f t="shared" si="716"/>
        <v>2.6577377052456983</v>
      </c>
      <c r="EF266" s="173">
        <f t="shared" si="717"/>
        <v>6.1840323730633351</v>
      </c>
      <c r="EG266" s="173">
        <f t="shared" si="718"/>
        <v>0.15229695412877547</v>
      </c>
      <c r="EH266" s="173"/>
      <c r="EI266" s="528">
        <f t="shared" si="719"/>
        <v>0.14127139419769341</v>
      </c>
      <c r="EJ266" s="528">
        <f t="shared" si="720"/>
        <v>2.2241666666666671</v>
      </c>
      <c r="EK266" s="528">
        <f t="shared" si="721"/>
        <v>1.1840777498943408E-2</v>
      </c>
      <c r="EL266" s="528">
        <f t="shared" si="722"/>
        <v>9.6057028656208521E-2</v>
      </c>
      <c r="EM266">
        <f t="shared" si="723"/>
        <v>3.8249999999999999E-2</v>
      </c>
      <c r="EN266" s="460">
        <f t="shared" si="724"/>
        <v>50.090777498943403</v>
      </c>
      <c r="EP266" s="460">
        <f t="shared" si="725"/>
        <v>2511.5858670195125</v>
      </c>
      <c r="EQ266" s="173">
        <f t="shared" si="726"/>
        <v>3.5</v>
      </c>
      <c r="ER266" s="173">
        <f t="shared" si="772"/>
        <v>5.5468749999999997E-2</v>
      </c>
      <c r="ES266" s="528"/>
      <c r="EU266" s="460">
        <f t="shared" si="727"/>
        <v>3555.46875</v>
      </c>
      <c r="EV266" s="528">
        <f t="shared" si="728"/>
        <v>0.21190709129654009</v>
      </c>
      <c r="EW266" s="528">
        <f t="shared" si="729"/>
        <v>1.1472676917328604</v>
      </c>
      <c r="EX266" s="528">
        <f t="shared" si="730"/>
        <v>1.1597181118451171E-4</v>
      </c>
      <c r="EY266" s="528">
        <f t="shared" si="731"/>
        <v>2.0264675705467927</v>
      </c>
      <c r="EZ266" s="528"/>
      <c r="FA266" s="625">
        <f t="shared" si="732"/>
        <v>1.2874948950420651E-2</v>
      </c>
      <c r="FB266" s="460">
        <f t="shared" si="733"/>
        <v>3398.633274337798</v>
      </c>
      <c r="FC266" s="173">
        <f t="shared" si="734"/>
        <v>9.4656878913573106</v>
      </c>
      <c r="FD266" s="5">
        <f t="shared" si="735"/>
        <v>76</v>
      </c>
      <c r="FE266" s="173">
        <f t="shared" si="736"/>
        <v>0.88924575318003707</v>
      </c>
      <c r="FF266" s="5">
        <f t="shared" si="737"/>
        <v>88.924575318003704</v>
      </c>
      <c r="FG266">
        <f t="shared" si="738"/>
        <v>50</v>
      </c>
      <c r="FI266" s="562">
        <f t="shared" si="689"/>
        <v>-50</v>
      </c>
    </row>
    <row r="267" spans="5:165">
      <c r="E267" s="170">
        <v>51</v>
      </c>
      <c r="F267" s="217">
        <f t="shared" si="773"/>
        <v>5.0999999999999996</v>
      </c>
      <c r="G267" s="217">
        <f t="shared" si="742"/>
        <v>0.1275</v>
      </c>
      <c r="H267" s="217">
        <f t="shared" si="743"/>
        <v>76.5</v>
      </c>
      <c r="I267" s="217">
        <f t="shared" si="744"/>
        <v>1.02</v>
      </c>
      <c r="J267" s="541">
        <f t="shared" si="745"/>
        <v>84.664075650620177</v>
      </c>
      <c r="K267" s="443">
        <f t="shared" si="746"/>
        <v>15.881259999999999</v>
      </c>
      <c r="L267" s="172">
        <f t="shared" si="747"/>
        <v>100.54533565062017</v>
      </c>
      <c r="M267" s="443"/>
      <c r="N267" s="217">
        <f t="shared" si="748"/>
        <v>0.15795123560166902</v>
      </c>
      <c r="O267" s="172">
        <f t="shared" si="749"/>
        <v>329.9209381600815</v>
      </c>
      <c r="P267" s="172">
        <f t="shared" si="750"/>
        <v>4.4575984533628796</v>
      </c>
      <c r="Q267" s="217">
        <f t="shared" si="626"/>
        <v>21.994729210672102</v>
      </c>
      <c r="R267" s="217">
        <f t="shared" si="751"/>
        <v>41.240117270010188</v>
      </c>
      <c r="S267" s="217">
        <f t="shared" si="752"/>
        <v>15</v>
      </c>
      <c r="T267" s="217">
        <f t="shared" si="753"/>
        <v>11.593686721829293</v>
      </c>
      <c r="U267" s="217">
        <f t="shared" si="630"/>
        <v>1.643249980500229</v>
      </c>
      <c r="V267" s="217">
        <f t="shared" si="631"/>
        <v>8.7602772489054086</v>
      </c>
      <c r="W267" s="197">
        <f t="shared" si="632"/>
        <v>111.43996133407197</v>
      </c>
      <c r="X267" s="443">
        <f t="shared" si="691"/>
        <v>94.308240867888387</v>
      </c>
      <c r="Z267" s="217">
        <f t="shared" si="633"/>
        <v>10</v>
      </c>
      <c r="AA267" s="173">
        <f t="shared" si="634"/>
        <v>7.5560755254935703</v>
      </c>
      <c r="AB267" s="173">
        <f t="shared" si="754"/>
        <v>4.1548458769654486</v>
      </c>
      <c r="AC267" s="173"/>
      <c r="AD267" s="173">
        <f t="shared" si="636"/>
        <v>7.5560755254935703</v>
      </c>
      <c r="AE267" s="545">
        <f t="shared" si="755"/>
        <v>134.99070999999995</v>
      </c>
      <c r="AF267" s="528">
        <f t="shared" si="756"/>
        <v>4.2102438219916554</v>
      </c>
      <c r="AH267" s="173">
        <f t="shared" si="757"/>
        <v>6.0757127741760231</v>
      </c>
      <c r="AI267" s="173">
        <f t="shared" si="758"/>
        <v>11.593686721829293</v>
      </c>
      <c r="AJ267" s="173">
        <f t="shared" si="759"/>
        <v>2.3805086828365134</v>
      </c>
      <c r="AL267" s="545">
        <f t="shared" si="760"/>
        <v>5100</v>
      </c>
      <c r="AM267" s="460">
        <f t="shared" si="761"/>
        <v>94.308240867888387</v>
      </c>
      <c r="AO267">
        <f t="shared" si="644"/>
        <v>5100</v>
      </c>
      <c r="AP267">
        <f t="shared" si="645"/>
        <v>94.308240867888387</v>
      </c>
      <c r="AR267" s="5">
        <f t="shared" si="774"/>
        <v>10.603527229405637</v>
      </c>
      <c r="AS267" s="5">
        <f t="shared" si="739"/>
        <v>1.643249980500229</v>
      </c>
      <c r="AT267" s="5">
        <f t="shared" si="740"/>
        <v>8.9602772489054079</v>
      </c>
      <c r="AU267" s="173">
        <f t="shared" si="741"/>
        <v>0.15497201496716848</v>
      </c>
      <c r="BA267" s="173">
        <f t="shared" si="692"/>
        <v>2.6350421920333522</v>
      </c>
      <c r="BB267" s="173">
        <f t="shared" si="693"/>
        <v>6.1531355080840164</v>
      </c>
      <c r="BC267" s="173">
        <f t="shared" si="694"/>
        <v>0.15153604310104951</v>
      </c>
      <c r="BD267" s="173"/>
      <c r="BE267" s="528">
        <f t="shared" si="695"/>
        <v>0.13886894707591868</v>
      </c>
      <c r="BF267" s="528">
        <f t="shared" si="762"/>
        <v>2.0612677348800799</v>
      </c>
      <c r="BG267" s="528">
        <f t="shared" si="763"/>
        <v>0.19961300098289525</v>
      </c>
      <c r="BH267" s="528">
        <f t="shared" si="696"/>
        <v>9.5339638427679466E-2</v>
      </c>
      <c r="BI267">
        <f t="shared" si="697"/>
        <v>3.8098834042779077E-2</v>
      </c>
      <c r="BJ267" s="460">
        <f t="shared" si="698"/>
        <v>237.71183502567433</v>
      </c>
      <c r="BK267">
        <f t="shared" si="764"/>
        <v>2.4125744621455523</v>
      </c>
      <c r="BL267" s="460">
        <f t="shared" si="699"/>
        <v>2533.1881554093525</v>
      </c>
      <c r="BM267" s="173">
        <f t="shared" si="765"/>
        <v>3.1683749999999993</v>
      </c>
      <c r="BN267" s="173">
        <f t="shared" si="766"/>
        <v>5.6578125E-2</v>
      </c>
      <c r="BQ267" s="460">
        <f t="shared" si="700"/>
        <v>3224.9531249999995</v>
      </c>
      <c r="BR267" s="528">
        <f t="shared" si="701"/>
        <v>0.20830342061387799</v>
      </c>
      <c r="BS267" s="528">
        <f t="shared" si="702"/>
        <v>1.1358322974253303</v>
      </c>
      <c r="BT267" s="528">
        <f t="shared" si="703"/>
        <v>1.1481586179361568E-4</v>
      </c>
      <c r="BU267" s="528">
        <f t="shared" si="704"/>
        <v>1.9765054524434476</v>
      </c>
      <c r="BV267" s="528"/>
      <c r="BW267" s="625">
        <f t="shared" si="705"/>
        <v>1.2676307505597379E-2</v>
      </c>
      <c r="BX267" s="460">
        <f t="shared" si="706"/>
        <v>3333.4322938500472</v>
      </c>
      <c r="BY267" s="173">
        <f t="shared" si="707"/>
        <v>9.0915735742593959</v>
      </c>
      <c r="BZ267" s="5">
        <f t="shared" si="708"/>
        <v>77.52</v>
      </c>
      <c r="CA267" s="173">
        <f t="shared" si="709"/>
        <v>0.89503049997741435</v>
      </c>
      <c r="CB267" s="5">
        <f t="shared" si="710"/>
        <v>89.503049997741442</v>
      </c>
      <c r="CC267">
        <f t="shared" si="711"/>
        <v>51</v>
      </c>
      <c r="CE267" s="562">
        <f t="shared" si="767"/>
        <v>-50</v>
      </c>
      <c r="CG267" s="173">
        <f t="shared" si="768"/>
        <v>0.84409136047666333</v>
      </c>
      <c r="CH267" s="173">
        <f t="shared" si="769"/>
        <v>0.10203989682880611</v>
      </c>
      <c r="CI267" s="170">
        <v>51</v>
      </c>
      <c r="CJ267" s="217">
        <f t="shared" si="712"/>
        <v>5.0999999999999996</v>
      </c>
      <c r="CK267" s="217">
        <f t="shared" si="654"/>
        <v>0.1275</v>
      </c>
      <c r="CL267" s="217">
        <f t="shared" si="655"/>
        <v>76.5</v>
      </c>
      <c r="CM267" s="217">
        <f t="shared" si="656"/>
        <v>1.02</v>
      </c>
      <c r="CN267" s="541">
        <f t="shared" si="657"/>
        <v>85</v>
      </c>
      <c r="CO267" s="443">
        <f t="shared" si="770"/>
        <v>15.7</v>
      </c>
      <c r="CP267" s="443">
        <f t="shared" si="771"/>
        <v>100.7</v>
      </c>
      <c r="CQ267" s="443"/>
      <c r="CR267" s="217">
        <f t="shared" si="660"/>
        <v>0.15338645418326693</v>
      </c>
      <c r="CS267" s="172">
        <f t="shared" si="661"/>
        <v>321.65744915076539</v>
      </c>
      <c r="CT267" s="172">
        <f t="shared" si="662"/>
        <v>4.3459495351925632</v>
      </c>
      <c r="CU267" s="217">
        <f t="shared" si="663"/>
        <v>21.443829943384358</v>
      </c>
      <c r="CV267" s="217">
        <f t="shared" si="664"/>
        <v>40.207181143845673</v>
      </c>
      <c r="CW267" s="217">
        <f t="shared" si="665"/>
        <v>15</v>
      </c>
      <c r="CX267" s="217">
        <f t="shared" si="666"/>
        <v>11.891532467532466</v>
      </c>
      <c r="CY267" s="217">
        <f t="shared" si="667"/>
        <v>1.6788045836516423</v>
      </c>
      <c r="CZ267" s="217">
        <f t="shared" si="668"/>
        <v>9.0890694019356442</v>
      </c>
      <c r="DA267" s="197">
        <f t="shared" si="669"/>
        <v>110.43528632903013</v>
      </c>
      <c r="DB267" s="443">
        <f t="shared" si="670"/>
        <v>92.868843128967896</v>
      </c>
      <c r="DD267" s="217">
        <f t="shared" si="671"/>
        <v>9.9999999999999982</v>
      </c>
      <c r="DE267" s="173">
        <f t="shared" si="672"/>
        <v>7.6433121019108263</v>
      </c>
      <c r="DF267" s="173">
        <f t="shared" si="673"/>
        <v>4.1649244760361679</v>
      </c>
      <c r="DG267" s="173"/>
      <c r="DH267" s="173">
        <f t="shared" si="674"/>
        <v>7.6433121019108281</v>
      </c>
      <c r="DI267" s="545">
        <f t="shared" si="675"/>
        <v>133.44999999999999</v>
      </c>
      <c r="DJ267" s="528">
        <f t="shared" si="676"/>
        <v>4.2204568023833167</v>
      </c>
      <c r="DL267" s="173">
        <f t="shared" si="677"/>
        <v>6.0757127741760231</v>
      </c>
      <c r="DM267" s="173">
        <f t="shared" si="678"/>
        <v>11.891532467532466</v>
      </c>
      <c r="DN267" s="173">
        <f t="shared" si="679"/>
        <v>2.6011351611351596</v>
      </c>
      <c r="DP267" s="545">
        <f t="shared" si="680"/>
        <v>5100</v>
      </c>
      <c r="DQ267" s="460">
        <f t="shared" si="681"/>
        <v>92.868843128967896</v>
      </c>
      <c r="DS267">
        <f t="shared" si="682"/>
        <v>5100</v>
      </c>
      <c r="DT267">
        <f t="shared" si="683"/>
        <v>92.868843128967896</v>
      </c>
      <c r="DV267" s="5">
        <f t="shared" si="684"/>
        <v>10.767873985587286</v>
      </c>
      <c r="DW267" s="5">
        <f t="shared" si="685"/>
        <v>1.6788045836516423</v>
      </c>
      <c r="DX267" s="5">
        <f t="shared" si="686"/>
        <v>9.0890694019356442</v>
      </c>
      <c r="DY267" s="173">
        <f t="shared" si="687"/>
        <v>0.15590863952333664</v>
      </c>
      <c r="EA267" s="5">
        <f t="shared" si="713"/>
        <v>57.079355844155835</v>
      </c>
      <c r="EB267" s="5">
        <f t="shared" si="714"/>
        <v>2.6755948051948049</v>
      </c>
      <c r="EC267" s="5">
        <f t="shared" si="715"/>
        <v>2.272267350483911</v>
      </c>
      <c r="ED267" s="5"/>
      <c r="EE267" s="173">
        <f t="shared" si="716"/>
        <v>2.7108924593506116</v>
      </c>
      <c r="EF267" s="173">
        <f t="shared" si="717"/>
        <v>6.3077130205246013</v>
      </c>
      <c r="EG267" s="173">
        <f t="shared" si="718"/>
        <v>0.15534289321135097</v>
      </c>
      <c r="EH267" s="173"/>
      <c r="EI267" s="528">
        <f t="shared" si="719"/>
        <v>0.14697875852328016</v>
      </c>
      <c r="EJ267" s="528">
        <f t="shared" si="720"/>
        <v>2.2241666666666666</v>
      </c>
      <c r="EK267" s="528">
        <f t="shared" si="721"/>
        <v>1.1608605391120987E-2</v>
      </c>
      <c r="EL267" s="528">
        <f t="shared" si="722"/>
        <v>9.4173557506086775E-2</v>
      </c>
      <c r="EM267">
        <f t="shared" si="723"/>
        <v>3.8249999999999999E-2</v>
      </c>
      <c r="EN267" s="460">
        <f t="shared" si="724"/>
        <v>49.858605391120982</v>
      </c>
      <c r="EP267" s="460">
        <f t="shared" si="725"/>
        <v>2515.1775880871546</v>
      </c>
      <c r="EQ267" s="173">
        <f t="shared" si="726"/>
        <v>3.5699999999999994</v>
      </c>
      <c r="ER267" s="173">
        <f t="shared" si="772"/>
        <v>5.6578125E-2</v>
      </c>
      <c r="ES267" s="528"/>
      <c r="EU267" s="460">
        <f t="shared" si="727"/>
        <v>3626.5781249999995</v>
      </c>
      <c r="EV267" s="528">
        <f t="shared" si="728"/>
        <v>0.22046813778492019</v>
      </c>
      <c r="EW267" s="528">
        <f t="shared" si="729"/>
        <v>1.1936173064788675</v>
      </c>
      <c r="EX267" s="528">
        <f t="shared" si="730"/>
        <v>1.2065707235636596E-4</v>
      </c>
      <c r="EY267" s="528">
        <f t="shared" si="731"/>
        <v>2.0264675705467892</v>
      </c>
      <c r="EZ267" s="528"/>
      <c r="FA267" s="625">
        <f t="shared" si="732"/>
        <v>1.313244792942906E-2</v>
      </c>
      <c r="FB267" s="460">
        <f t="shared" si="733"/>
        <v>3453.8061198123628</v>
      </c>
      <c r="FC267" s="173">
        <f t="shared" si="734"/>
        <v>9.5955618328995165</v>
      </c>
      <c r="FD267" s="5">
        <f t="shared" si="735"/>
        <v>77.52</v>
      </c>
      <c r="FE267" s="173">
        <f t="shared" si="736"/>
        <v>0.88985249442223402</v>
      </c>
      <c r="FF267" s="5">
        <f t="shared" si="737"/>
        <v>88.985249442223406</v>
      </c>
      <c r="FG267">
        <f t="shared" si="738"/>
        <v>51</v>
      </c>
      <c r="FI267" s="562">
        <f t="shared" si="689"/>
        <v>-50</v>
      </c>
    </row>
    <row r="268" spans="5:165">
      <c r="E268" s="170">
        <v>52</v>
      </c>
      <c r="F268" s="217">
        <f t="shared" si="773"/>
        <v>5.2</v>
      </c>
      <c r="G268" s="217">
        <f t="shared" si="742"/>
        <v>0.13</v>
      </c>
      <c r="H268" s="217">
        <f t="shared" si="743"/>
        <v>78</v>
      </c>
      <c r="I268" s="217">
        <f t="shared" si="744"/>
        <v>1.04</v>
      </c>
      <c r="J268" s="541">
        <f t="shared" si="745"/>
        <v>84.657488898671545</v>
      </c>
      <c r="K268" s="443">
        <f t="shared" si="746"/>
        <v>15.884814117647059</v>
      </c>
      <c r="L268" s="172">
        <f t="shared" si="747"/>
        <v>100.5423030163186</v>
      </c>
      <c r="M268" s="443"/>
      <c r="N268" s="217">
        <f t="shared" si="748"/>
        <v>0.15799134932356643</v>
      </c>
      <c r="O268" s="172">
        <f t="shared" si="749"/>
        <v>329.979051844884</v>
      </c>
      <c r="P268" s="172">
        <f t="shared" si="750"/>
        <v>4.4583836338153215</v>
      </c>
      <c r="Q268" s="217">
        <f t="shared" si="626"/>
        <v>21.998603456325601</v>
      </c>
      <c r="R268" s="217">
        <f t="shared" si="751"/>
        <v>41.2473814806105</v>
      </c>
      <c r="S268" s="217">
        <f t="shared" si="752"/>
        <v>15</v>
      </c>
      <c r="T268" s="217">
        <f t="shared" si="753"/>
        <v>11.818932075219449</v>
      </c>
      <c r="U268" s="217">
        <f t="shared" si="630"/>
        <v>1.6753058323332686</v>
      </c>
      <c r="V268" s="217">
        <f t="shared" si="631"/>
        <v>8.9284762070380186</v>
      </c>
      <c r="W268" s="197">
        <f t="shared" si="632"/>
        <v>111.45959084538303</v>
      </c>
      <c r="X268" s="443">
        <f t="shared" si="691"/>
        <v>92.560179051723424</v>
      </c>
      <c r="Z268" s="217">
        <f t="shared" si="633"/>
        <v>10</v>
      </c>
      <c r="AA268" s="173">
        <f t="shared" si="634"/>
        <v>7.5543849056872077</v>
      </c>
      <c r="AB268" s="173">
        <f t="shared" si="754"/>
        <v>4.1546479474166134</v>
      </c>
      <c r="AC268" s="173"/>
      <c r="AD268" s="173">
        <f t="shared" si="636"/>
        <v>7.5543849056872077</v>
      </c>
      <c r="AE268" s="545">
        <f t="shared" si="755"/>
        <v>137.66838901960782</v>
      </c>
      <c r="AF268" s="528">
        <f t="shared" si="756"/>
        <v>4.2100432533821683</v>
      </c>
      <c r="AH268" s="173">
        <f t="shared" si="757"/>
        <v>6.1349894244485244</v>
      </c>
      <c r="AI268" s="173">
        <f t="shared" si="758"/>
        <v>11.818932075219449</v>
      </c>
      <c r="AJ268" s="173">
        <f t="shared" si="759"/>
        <v>2.5473570927551474</v>
      </c>
      <c r="AL268" s="545">
        <f t="shared" si="760"/>
        <v>5200</v>
      </c>
      <c r="AM268" s="460">
        <f t="shared" si="761"/>
        <v>92.560179051723424</v>
      </c>
      <c r="AO268">
        <f t="shared" si="644"/>
        <v>5200</v>
      </c>
      <c r="AP268">
        <f t="shared" si="645"/>
        <v>92.560179051723424</v>
      </c>
      <c r="AR268" s="5">
        <f t="shared" si="774"/>
        <v>10.803782039371287</v>
      </c>
      <c r="AS268" s="5">
        <f t="shared" si="739"/>
        <v>1.6753058323332686</v>
      </c>
      <c r="AT268" s="5">
        <f t="shared" si="740"/>
        <v>9.1284762070380179</v>
      </c>
      <c r="AU268" s="173">
        <f t="shared" si="741"/>
        <v>0.15506660780716389</v>
      </c>
      <c r="BA268" s="173">
        <f t="shared" si="692"/>
        <v>2.687056217120698</v>
      </c>
      <c r="BB268" s="173">
        <f t="shared" si="693"/>
        <v>6.272329233938275</v>
      </c>
      <c r="BC268" s="173">
        <f t="shared" si="694"/>
        <v>0.15447148074169556</v>
      </c>
      <c r="BD268" s="173"/>
      <c r="BE268" s="528">
        <f t="shared" si="695"/>
        <v>0.14440542227933992</v>
      </c>
      <c r="BF268" s="528">
        <f t="shared" si="762"/>
        <v>2.0623032385306819</v>
      </c>
      <c r="BG268" s="528">
        <f t="shared" si="763"/>
        <v>0.19589780826325817</v>
      </c>
      <c r="BH268" s="528">
        <f t="shared" si="696"/>
        <v>9.3566814463553305E-2</v>
      </c>
      <c r="BI268">
        <f t="shared" si="697"/>
        <v>3.8095870004402191E-2</v>
      </c>
      <c r="BJ268" s="460">
        <f t="shared" si="698"/>
        <v>233.99367826766039</v>
      </c>
      <c r="BK268">
        <f t="shared" si="764"/>
        <v>2.4223785102761632</v>
      </c>
      <c r="BL268" s="460">
        <f t="shared" si="699"/>
        <v>2534.269153541235</v>
      </c>
      <c r="BM268" s="173">
        <f t="shared" si="765"/>
        <v>3.2304999999999997</v>
      </c>
      <c r="BN268" s="173">
        <f t="shared" si="766"/>
        <v>5.7687499999999996E-2</v>
      </c>
      <c r="BQ268" s="460">
        <f t="shared" si="700"/>
        <v>3288.1875</v>
      </c>
      <c r="BR268" s="528">
        <f t="shared" si="701"/>
        <v>0.21660813341900986</v>
      </c>
      <c r="BS268" s="528">
        <f t="shared" si="702"/>
        <v>1.1802634205675013</v>
      </c>
      <c r="BT268" s="528">
        <f t="shared" si="703"/>
        <v>1.1930719181266012E-4</v>
      </c>
      <c r="BU268" s="528">
        <f t="shared" si="704"/>
        <v>1.9791379262519821</v>
      </c>
      <c r="BV268" s="528"/>
      <c r="BW268" s="625">
        <f t="shared" si="705"/>
        <v>1.292946811492506E-2</v>
      </c>
      <c r="BX268" s="460">
        <f t="shared" si="706"/>
        <v>3389.0582555452315</v>
      </c>
      <c r="BY268" s="173">
        <f t="shared" si="707"/>
        <v>9.2115149090864641</v>
      </c>
      <c r="BZ268" s="5">
        <f t="shared" si="708"/>
        <v>79.040000000000006</v>
      </c>
      <c r="CA268" s="173">
        <f t="shared" si="709"/>
        <v>0.89562201942282993</v>
      </c>
      <c r="CB268" s="5">
        <f t="shared" si="710"/>
        <v>89.562201942282996</v>
      </c>
      <c r="CC268">
        <f t="shared" si="711"/>
        <v>52</v>
      </c>
      <c r="CE268" s="562">
        <f t="shared" si="767"/>
        <v>-50</v>
      </c>
      <c r="CG268" s="173">
        <f t="shared" si="768"/>
        <v>0.84409136047666333</v>
      </c>
      <c r="CH268" s="173">
        <f t="shared" si="769"/>
        <v>0.1020398968288061</v>
      </c>
      <c r="CI268" s="170">
        <v>52</v>
      </c>
      <c r="CJ268" s="217">
        <f t="shared" si="712"/>
        <v>5.2</v>
      </c>
      <c r="CK268" s="217">
        <f t="shared" si="654"/>
        <v>0.13</v>
      </c>
      <c r="CL268" s="217">
        <f t="shared" si="655"/>
        <v>78</v>
      </c>
      <c r="CM268" s="217">
        <f t="shared" si="656"/>
        <v>1.04</v>
      </c>
      <c r="CN268" s="541">
        <f t="shared" si="657"/>
        <v>85</v>
      </c>
      <c r="CO268" s="443">
        <f t="shared" si="770"/>
        <v>15.7</v>
      </c>
      <c r="CP268" s="443">
        <f t="shared" si="771"/>
        <v>100.7</v>
      </c>
      <c r="CQ268" s="443"/>
      <c r="CR268" s="217">
        <f t="shared" si="660"/>
        <v>0.15338645418326693</v>
      </c>
      <c r="CS268" s="172">
        <f t="shared" si="661"/>
        <v>321.65744915076539</v>
      </c>
      <c r="CT268" s="172">
        <f t="shared" si="662"/>
        <v>4.3459495351925632</v>
      </c>
      <c r="CU268" s="217">
        <f t="shared" si="663"/>
        <v>21.443829943384358</v>
      </c>
      <c r="CV268" s="217">
        <f t="shared" si="664"/>
        <v>40.207181143845673</v>
      </c>
      <c r="CW268" s="217">
        <f t="shared" si="665"/>
        <v>15</v>
      </c>
      <c r="CX268" s="217">
        <f t="shared" si="666"/>
        <v>12.124699770817418</v>
      </c>
      <c r="CY268" s="217">
        <f t="shared" si="667"/>
        <v>1.7117223205859886</v>
      </c>
      <c r="CZ268" s="217">
        <f t="shared" si="668"/>
        <v>9.267286449032424</v>
      </c>
      <c r="DA268" s="197">
        <f t="shared" si="669"/>
        <v>110.43528632903013</v>
      </c>
      <c r="DB268" s="443">
        <f t="shared" si="670"/>
        <v>91.082903838026184</v>
      </c>
      <c r="DD268" s="217">
        <f t="shared" si="671"/>
        <v>9.9999999999999982</v>
      </c>
      <c r="DE268" s="173">
        <f t="shared" si="672"/>
        <v>7.6433121019108263</v>
      </c>
      <c r="DF268" s="173">
        <f t="shared" si="673"/>
        <v>4.1649244760361679</v>
      </c>
      <c r="DG268" s="173"/>
      <c r="DH268" s="173">
        <f t="shared" si="674"/>
        <v>7.6433121019108281</v>
      </c>
      <c r="DI268" s="545">
        <f t="shared" si="675"/>
        <v>136.06666666666669</v>
      </c>
      <c r="DJ268" s="528">
        <f t="shared" si="676"/>
        <v>4.2204568023833167</v>
      </c>
      <c r="DL268" s="173">
        <f t="shared" si="677"/>
        <v>6.1349894244485244</v>
      </c>
      <c r="DM268" s="173">
        <f t="shared" si="678"/>
        <v>12.124699770817418</v>
      </c>
      <c r="DN268" s="173">
        <f t="shared" si="679"/>
        <v>2.7738516820869767</v>
      </c>
      <c r="DP268" s="545">
        <f t="shared" si="680"/>
        <v>5200</v>
      </c>
      <c r="DQ268" s="460">
        <f t="shared" si="681"/>
        <v>91.082903838026184</v>
      </c>
      <c r="DS268">
        <f t="shared" si="682"/>
        <v>5200</v>
      </c>
      <c r="DT268">
        <f t="shared" si="683"/>
        <v>91.082903838026184</v>
      </c>
      <c r="DV268" s="5">
        <f t="shared" si="684"/>
        <v>10.979008769618412</v>
      </c>
      <c r="DW268" s="5">
        <f t="shared" si="685"/>
        <v>1.7117223205859886</v>
      </c>
      <c r="DX268" s="5">
        <f t="shared" si="686"/>
        <v>9.267286449032424</v>
      </c>
      <c r="DY268" s="173">
        <f t="shared" si="687"/>
        <v>0.15590863952333664</v>
      </c>
      <c r="EA268" s="5">
        <f t="shared" si="713"/>
        <v>59.339707113647613</v>
      </c>
      <c r="EB268" s="5">
        <f t="shared" si="714"/>
        <v>2.7815487709522317</v>
      </c>
      <c r="EC268" s="5">
        <f t="shared" si="715"/>
        <v>2.3622494870082646</v>
      </c>
      <c r="ED268" s="5"/>
      <c r="EE268" s="173">
        <f t="shared" si="716"/>
        <v>2.7640472134555263</v>
      </c>
      <c r="EF268" s="173">
        <f t="shared" si="717"/>
        <v>6.4313936679858683</v>
      </c>
      <c r="EG268" s="173">
        <f t="shared" si="718"/>
        <v>0.1583888322939265</v>
      </c>
      <c r="EH268" s="173"/>
      <c r="EI268" s="528">
        <f t="shared" si="719"/>
        <v>0.1527991399642252</v>
      </c>
      <c r="EJ268" s="528">
        <f t="shared" si="720"/>
        <v>2.2241666666666666</v>
      </c>
      <c r="EK268" s="528">
        <f t="shared" si="721"/>
        <v>1.1385362979753273E-2</v>
      </c>
      <c r="EL268" s="528">
        <f t="shared" si="722"/>
        <v>9.2362527554046614E-2</v>
      </c>
      <c r="EM268">
        <f t="shared" si="723"/>
        <v>3.8249999999999999E-2</v>
      </c>
      <c r="EN268" s="460">
        <f t="shared" si="724"/>
        <v>49.635362979753275</v>
      </c>
      <c r="EP268" s="460">
        <f t="shared" si="725"/>
        <v>2518.9636971646914</v>
      </c>
      <c r="EQ268" s="173">
        <f t="shared" si="726"/>
        <v>3.6399999999999997</v>
      </c>
      <c r="ER268" s="173">
        <f t="shared" si="772"/>
        <v>5.7687499999999996E-2</v>
      </c>
      <c r="ES268" s="528"/>
      <c r="EU268" s="460">
        <f t="shared" si="727"/>
        <v>3697.6875</v>
      </c>
      <c r="EV268" s="528">
        <f t="shared" si="728"/>
        <v>0.22919870994633779</v>
      </c>
      <c r="EW268" s="528">
        <f t="shared" si="729"/>
        <v>1.2408847353782615</v>
      </c>
      <c r="EX268" s="528">
        <f t="shared" si="730"/>
        <v>1.2543511097716788E-4</v>
      </c>
      <c r="EY268" s="528">
        <f t="shared" si="731"/>
        <v>2.0264675705467909</v>
      </c>
      <c r="EZ268" s="528"/>
      <c r="FA268" s="625">
        <f t="shared" si="732"/>
        <v>1.3389946908437476E-2</v>
      </c>
      <c r="FB268" s="460">
        <f t="shared" si="733"/>
        <v>3510.0663978908051</v>
      </c>
      <c r="FC268" s="173">
        <f t="shared" si="734"/>
        <v>9.7267175950554972</v>
      </c>
      <c r="FD268" s="5">
        <f t="shared" si="735"/>
        <v>79.040000000000006</v>
      </c>
      <c r="FE268" s="173">
        <f t="shared" si="736"/>
        <v>0.89042382259274522</v>
      </c>
      <c r="FF268" s="5">
        <f t="shared" si="737"/>
        <v>89.042382259274518</v>
      </c>
      <c r="FG268">
        <f t="shared" si="738"/>
        <v>52</v>
      </c>
      <c r="FI268" s="562">
        <f t="shared" si="689"/>
        <v>-50</v>
      </c>
    </row>
    <row r="269" spans="5:165">
      <c r="E269" s="170">
        <v>53</v>
      </c>
      <c r="F269" s="217">
        <f t="shared" si="773"/>
        <v>5.3000000000000007</v>
      </c>
      <c r="G269" s="217">
        <f t="shared" si="742"/>
        <v>0.13250000000000001</v>
      </c>
      <c r="H269" s="217">
        <f t="shared" si="743"/>
        <v>79.500000000000014</v>
      </c>
      <c r="I269" s="217">
        <f t="shared" si="744"/>
        <v>1.06</v>
      </c>
      <c r="J269" s="541">
        <f t="shared" si="745"/>
        <v>84.650902146722927</v>
      </c>
      <c r="K269" s="443">
        <f t="shared" si="746"/>
        <v>15.888368235294116</v>
      </c>
      <c r="L269" s="172">
        <f t="shared" si="747"/>
        <v>100.53927038201704</v>
      </c>
      <c r="M269" s="443"/>
      <c r="N269" s="217">
        <f t="shared" si="748"/>
        <v>0.15803146546541869</v>
      </c>
      <c r="O269" s="172">
        <f t="shared" si="749"/>
        <v>330.0371575464568</v>
      </c>
      <c r="P269" s="172">
        <f t="shared" si="750"/>
        <v>4.4591687064054613</v>
      </c>
      <c r="Q269" s="217">
        <f t="shared" si="626"/>
        <v>22.002477169763786</v>
      </c>
      <c r="R269" s="217">
        <f t="shared" si="751"/>
        <v>41.2546446933071</v>
      </c>
      <c r="S269" s="217">
        <f t="shared" si="752"/>
        <v>15</v>
      </c>
      <c r="T269" s="217">
        <f t="shared" si="753"/>
        <v>12.044098396528188</v>
      </c>
      <c r="U269" s="217">
        <f t="shared" si="630"/>
        <v>1.7073554692639905</v>
      </c>
      <c r="V269" s="217">
        <f t="shared" si="631"/>
        <v>9.096540224771724</v>
      </c>
      <c r="W269" s="197">
        <f t="shared" si="632"/>
        <v>111.47921766013648</v>
      </c>
      <c r="X269" s="443">
        <f t="shared" si="691"/>
        <v>90.876906488855198</v>
      </c>
      <c r="Z269" s="217">
        <f t="shared" si="633"/>
        <v>10</v>
      </c>
      <c r="AA269" s="173">
        <f t="shared" si="634"/>
        <v>7.5526950422406696</v>
      </c>
      <c r="AB269" s="173">
        <f t="shared" si="754"/>
        <v>4.1544500059272105</v>
      </c>
      <c r="AC269" s="173"/>
      <c r="AD269" s="173">
        <f t="shared" si="636"/>
        <v>7.5526950422406696</v>
      </c>
      <c r="AE269" s="545">
        <f t="shared" si="755"/>
        <v>140.34725274509805</v>
      </c>
      <c r="AF269" s="528">
        <f t="shared" si="756"/>
        <v>4.2098426726729059</v>
      </c>
      <c r="AH269" s="173">
        <f t="shared" si="757"/>
        <v>6.1936987948966946</v>
      </c>
      <c r="AI269" s="173">
        <f t="shared" si="758"/>
        <v>12.044098396528188</v>
      </c>
      <c r="AJ269" s="173">
        <f t="shared" si="759"/>
        <v>2.7141469603912505</v>
      </c>
      <c r="AL269" s="545">
        <f t="shared" si="760"/>
        <v>5300.0000000000009</v>
      </c>
      <c r="AM269" s="460">
        <f t="shared" si="761"/>
        <v>90.876906488855198</v>
      </c>
      <c r="AO269">
        <f t="shared" si="644"/>
        <v>5300.0000000000009</v>
      </c>
      <c r="AP269">
        <f t="shared" si="645"/>
        <v>90.876906488855198</v>
      </c>
      <c r="AR269" s="5">
        <f t="shared" si="774"/>
        <v>11.003895694035714</v>
      </c>
      <c r="AS269" s="5">
        <f t="shared" si="739"/>
        <v>1.7073554692639905</v>
      </c>
      <c r="AT269" s="5">
        <f t="shared" si="740"/>
        <v>9.2965402247717233</v>
      </c>
      <c r="AU269" s="173">
        <f t="shared" si="741"/>
        <v>0.15515918332353915</v>
      </c>
      <c r="BA269" s="173">
        <f t="shared" si="692"/>
        <v>2.7390654513517543</v>
      </c>
      <c r="BB269" s="173">
        <f t="shared" si="693"/>
        <v>6.3914752481954817</v>
      </c>
      <c r="BC269" s="173">
        <f t="shared" si="694"/>
        <v>0.15740574336732405</v>
      </c>
      <c r="BD269" s="173"/>
      <c r="BE269" s="528">
        <f t="shared" si="695"/>
        <v>0.1500495909357758</v>
      </c>
      <c r="BF269" s="528">
        <f t="shared" si="762"/>
        <v>2.0633116537749698</v>
      </c>
      <c r="BG269" s="528">
        <f t="shared" si="763"/>
        <v>0.19232030296462427</v>
      </c>
      <c r="BH269" s="528">
        <f t="shared" si="696"/>
        <v>9.1859693784875684E-2</v>
      </c>
      <c r="BI269">
        <f t="shared" si="697"/>
        <v>3.8092905966025319E-2</v>
      </c>
      <c r="BJ269" s="460">
        <f t="shared" si="698"/>
        <v>230.4132089306496</v>
      </c>
      <c r="BK269">
        <f t="shared" si="764"/>
        <v>2.4324557107333895</v>
      </c>
      <c r="BL269" s="460">
        <f t="shared" si="699"/>
        <v>2535.6341474262708</v>
      </c>
      <c r="BM269" s="173">
        <f t="shared" si="765"/>
        <v>3.2926250000000001</v>
      </c>
      <c r="BN269" s="173">
        <f t="shared" si="766"/>
        <v>5.8796874999999998E-2</v>
      </c>
      <c r="BQ269" s="460">
        <f t="shared" si="700"/>
        <v>3351.421875</v>
      </c>
      <c r="BR269" s="528">
        <f t="shared" si="701"/>
        <v>0.22507438640366367</v>
      </c>
      <c r="BS269" s="528">
        <f t="shared" si="702"/>
        <v>1.2255286754488648</v>
      </c>
      <c r="BT269" s="528">
        <f t="shared" si="703"/>
        <v>1.2388284022509939E-4</v>
      </c>
      <c r="BU269" s="528">
        <f t="shared" si="704"/>
        <v>1.9817076183410287</v>
      </c>
      <c r="BV269" s="528"/>
      <c r="BW269" s="625">
        <f t="shared" si="705"/>
        <v>1.318263188044193E-2</v>
      </c>
      <c r="BX269" s="460">
        <f t="shared" si="706"/>
        <v>3445.617194914224</v>
      </c>
      <c r="BY269" s="173">
        <f t="shared" si="707"/>
        <v>9.3326732173404956</v>
      </c>
      <c r="BZ269" s="5">
        <f t="shared" si="708"/>
        <v>80.560000000000016</v>
      </c>
      <c r="CA269" s="173">
        <f t="shared" si="709"/>
        <v>0.89617982330132551</v>
      </c>
      <c r="CB269" s="5">
        <f t="shared" si="710"/>
        <v>89.617982330132548</v>
      </c>
      <c r="CC269">
        <f t="shared" si="711"/>
        <v>53</v>
      </c>
      <c r="CE269" s="562">
        <f t="shared" si="767"/>
        <v>-50</v>
      </c>
      <c r="CG269" s="173">
        <f t="shared" si="768"/>
        <v>0.84409136047666333</v>
      </c>
      <c r="CH269" s="173">
        <f t="shared" si="769"/>
        <v>0.10203989682880608</v>
      </c>
      <c r="CI269" s="170">
        <v>53</v>
      </c>
      <c r="CJ269" s="217">
        <f t="shared" si="712"/>
        <v>5.3000000000000007</v>
      </c>
      <c r="CK269" s="217">
        <f t="shared" si="654"/>
        <v>0.13250000000000001</v>
      </c>
      <c r="CL269" s="217">
        <f t="shared" si="655"/>
        <v>79.500000000000014</v>
      </c>
      <c r="CM269" s="217">
        <f t="shared" si="656"/>
        <v>1.06</v>
      </c>
      <c r="CN269" s="541">
        <f t="shared" si="657"/>
        <v>85</v>
      </c>
      <c r="CO269" s="443">
        <f t="shared" si="770"/>
        <v>15.7</v>
      </c>
      <c r="CP269" s="443">
        <f t="shared" si="771"/>
        <v>100.7</v>
      </c>
      <c r="CQ269" s="443"/>
      <c r="CR269" s="217">
        <f t="shared" si="660"/>
        <v>0.15338645418326693</v>
      </c>
      <c r="CS269" s="172">
        <f t="shared" si="661"/>
        <v>321.65744915076539</v>
      </c>
      <c r="CT269" s="172">
        <f t="shared" si="662"/>
        <v>4.3459495351925632</v>
      </c>
      <c r="CU269" s="217">
        <f t="shared" si="663"/>
        <v>21.443829943384358</v>
      </c>
      <c r="CV269" s="217">
        <f t="shared" si="664"/>
        <v>40.207181143845673</v>
      </c>
      <c r="CW269" s="217">
        <f t="shared" si="665"/>
        <v>15</v>
      </c>
      <c r="CX269" s="217">
        <f t="shared" si="666"/>
        <v>12.357867074102371</v>
      </c>
      <c r="CY269" s="217">
        <f t="shared" si="667"/>
        <v>1.7446400575203349</v>
      </c>
      <c r="CZ269" s="217">
        <f t="shared" si="668"/>
        <v>9.4455034961292021</v>
      </c>
      <c r="DA269" s="197">
        <f t="shared" si="669"/>
        <v>110.43528632903013</v>
      </c>
      <c r="DB269" s="443">
        <f t="shared" si="670"/>
        <v>89.364358482591712</v>
      </c>
      <c r="DD269" s="217">
        <f t="shared" si="671"/>
        <v>9.9999999999999982</v>
      </c>
      <c r="DE269" s="173">
        <f t="shared" si="672"/>
        <v>7.6433121019108263</v>
      </c>
      <c r="DF269" s="173">
        <f t="shared" si="673"/>
        <v>4.1649244760361679</v>
      </c>
      <c r="DG269" s="173"/>
      <c r="DH269" s="173">
        <f t="shared" si="674"/>
        <v>7.6433121019108281</v>
      </c>
      <c r="DI269" s="545">
        <f t="shared" si="675"/>
        <v>138.68333333333337</v>
      </c>
      <c r="DJ269" s="528">
        <f t="shared" si="676"/>
        <v>4.2204568023833167</v>
      </c>
      <c r="DL269" s="173">
        <f t="shared" si="677"/>
        <v>6.1936987948966946</v>
      </c>
      <c r="DM269" s="173">
        <f t="shared" si="678"/>
        <v>12.357867074102371</v>
      </c>
      <c r="DN269" s="173">
        <f t="shared" si="679"/>
        <v>2.946568203038793</v>
      </c>
      <c r="DP269" s="545">
        <f t="shared" si="680"/>
        <v>5300.0000000000009</v>
      </c>
      <c r="DQ269" s="460">
        <f t="shared" si="681"/>
        <v>89.364358482591712</v>
      </c>
      <c r="DS269">
        <f t="shared" si="682"/>
        <v>5300.0000000000009</v>
      </c>
      <c r="DT269">
        <f t="shared" si="683"/>
        <v>89.364358482591712</v>
      </c>
      <c r="DV269" s="5">
        <f t="shared" si="684"/>
        <v>11.190143553649538</v>
      </c>
      <c r="DW269" s="5">
        <f t="shared" si="685"/>
        <v>1.7446400575203349</v>
      </c>
      <c r="DX269" s="5">
        <f t="shared" si="686"/>
        <v>9.4455034961292021</v>
      </c>
      <c r="DY269" s="173">
        <f t="shared" si="687"/>
        <v>0.15590863952333664</v>
      </c>
      <c r="EA269" s="5">
        <f t="shared" si="713"/>
        <v>61.64394869905184</v>
      </c>
      <c r="EB269" s="5">
        <f t="shared" si="714"/>
        <v>2.8895600952680551</v>
      </c>
      <c r="EC269" s="5">
        <f t="shared" si="715"/>
        <v>2.4539788494845478</v>
      </c>
      <c r="ED269" s="5"/>
      <c r="EE269" s="173">
        <f t="shared" si="716"/>
        <v>2.8172019675604409</v>
      </c>
      <c r="EF269" s="173">
        <f t="shared" si="717"/>
        <v>6.5550743154471363</v>
      </c>
      <c r="EG269" s="173">
        <f t="shared" si="718"/>
        <v>0.16143477137650206</v>
      </c>
      <c r="EH269" s="173"/>
      <c r="EI269" s="528">
        <f t="shared" si="719"/>
        <v>0.1587325385205284</v>
      </c>
      <c r="EJ269" s="528">
        <f t="shared" si="720"/>
        <v>2.2241666666666662</v>
      </c>
      <c r="EK269" s="528">
        <f t="shared" si="721"/>
        <v>1.1170544810323963E-2</v>
      </c>
      <c r="EL269" s="528">
        <f t="shared" si="722"/>
        <v>9.0619838354913648E-2</v>
      </c>
      <c r="EM269">
        <f t="shared" si="723"/>
        <v>3.8249999999999999E-2</v>
      </c>
      <c r="EN269" s="460">
        <f t="shared" si="724"/>
        <v>49.420544810323968</v>
      </c>
      <c r="EP269" s="460">
        <f t="shared" si="725"/>
        <v>2522.9395883524321</v>
      </c>
      <c r="EQ269" s="173">
        <f t="shared" si="726"/>
        <v>3.7100000000000004</v>
      </c>
      <c r="ER269" s="173">
        <f t="shared" si="772"/>
        <v>5.8796874999999998E-2</v>
      </c>
      <c r="ES269" s="528"/>
      <c r="EU269" s="460">
        <f t="shared" si="727"/>
        <v>3768.7968750000005</v>
      </c>
      <c r="EV269" s="528">
        <f t="shared" si="728"/>
        <v>0.23809880778079257</v>
      </c>
      <c r="EW269" s="528">
        <f t="shared" si="729"/>
        <v>1.2890699784310422</v>
      </c>
      <c r="EX269" s="528">
        <f t="shared" si="730"/>
        <v>1.3030592704691744E-4</v>
      </c>
      <c r="EY269" s="528">
        <f t="shared" si="731"/>
        <v>2.0264675705467892</v>
      </c>
      <c r="EZ269" s="528"/>
      <c r="FA269" s="625">
        <f t="shared" si="732"/>
        <v>1.3647445887445889E-2</v>
      </c>
      <c r="FB269" s="460">
        <f t="shared" si="733"/>
        <v>3567.4141085731171</v>
      </c>
      <c r="FC269" s="173">
        <f t="shared" si="734"/>
        <v>9.8591505719255501</v>
      </c>
      <c r="FD269" s="5">
        <f t="shared" si="735"/>
        <v>80.560000000000016</v>
      </c>
      <c r="FE269" s="173">
        <f t="shared" si="736"/>
        <v>0.89096169882636855</v>
      </c>
      <c r="FF269" s="5">
        <f t="shared" si="737"/>
        <v>89.096169882636858</v>
      </c>
      <c r="FG269">
        <f t="shared" si="738"/>
        <v>53</v>
      </c>
      <c r="FI269" s="562">
        <f t="shared" si="689"/>
        <v>-50</v>
      </c>
    </row>
    <row r="270" spans="5:165">
      <c r="E270" s="170">
        <v>54</v>
      </c>
      <c r="F270" s="217">
        <f t="shared" si="773"/>
        <v>5.4</v>
      </c>
      <c r="G270" s="217">
        <f t="shared" si="742"/>
        <v>0.13500000000000001</v>
      </c>
      <c r="H270" s="217">
        <f t="shared" si="743"/>
        <v>81</v>
      </c>
      <c r="I270" s="217">
        <f t="shared" si="744"/>
        <v>1.08</v>
      </c>
      <c r="J270" s="541">
        <f t="shared" si="745"/>
        <v>84.644315394774296</v>
      </c>
      <c r="K270" s="443">
        <f t="shared" si="746"/>
        <v>15.891922352941176</v>
      </c>
      <c r="L270" s="172">
        <f t="shared" si="747"/>
        <v>100.53623774771548</v>
      </c>
      <c r="M270" s="443"/>
      <c r="N270" s="217">
        <f t="shared" si="748"/>
        <v>0.15807158402744481</v>
      </c>
      <c r="O270" s="172">
        <f t="shared" si="749"/>
        <v>330.09525526407742</v>
      </c>
      <c r="P270" s="172">
        <f t="shared" si="750"/>
        <v>4.459953671123535</v>
      </c>
      <c r="Q270" s="217">
        <f t="shared" si="626"/>
        <v>22.006350350938494</v>
      </c>
      <c r="R270" s="217">
        <f t="shared" si="751"/>
        <v>41.261906908009678</v>
      </c>
      <c r="S270" s="217">
        <f t="shared" si="752"/>
        <v>15</v>
      </c>
      <c r="T270" s="217">
        <f t="shared" si="753"/>
        <v>12.269185743854406</v>
      </c>
      <c r="U270" s="217">
        <f t="shared" si="630"/>
        <v>1.7393988980781865</v>
      </c>
      <c r="V270" s="217">
        <f t="shared" si="631"/>
        <v>9.2644694365124707</v>
      </c>
      <c r="W270" s="197">
        <f t="shared" si="632"/>
        <v>111.49884177808839</v>
      </c>
      <c r="X270" s="443">
        <f t="shared" si="691"/>
        <v>89.254886806605441</v>
      </c>
      <c r="Z270" s="217">
        <f t="shared" si="633"/>
        <v>10</v>
      </c>
      <c r="AA270" s="173">
        <f t="shared" si="634"/>
        <v>7.5510059346464882</v>
      </c>
      <c r="AB270" s="173">
        <f t="shared" si="754"/>
        <v>4.1542520524961599</v>
      </c>
      <c r="AC270" s="173"/>
      <c r="AD270" s="173">
        <f t="shared" si="636"/>
        <v>7.5510059346464882</v>
      </c>
      <c r="AE270" s="545">
        <f t="shared" si="755"/>
        <v>143.02730117647059</v>
      </c>
      <c r="AF270" s="528">
        <f t="shared" si="756"/>
        <v>4.2096420798627765</v>
      </c>
      <c r="AH270" s="173">
        <f t="shared" si="757"/>
        <v>6.2518568670207317</v>
      </c>
      <c r="AI270" s="173">
        <f t="shared" si="758"/>
        <v>12.269185743854406</v>
      </c>
      <c r="AJ270" s="173">
        <f t="shared" si="759"/>
        <v>2.8808783287810416</v>
      </c>
      <c r="AL270" s="545">
        <f t="shared" si="760"/>
        <v>5400</v>
      </c>
      <c r="AM270" s="460">
        <f t="shared" si="761"/>
        <v>89.254886806605441</v>
      </c>
      <c r="AO270">
        <f t="shared" si="644"/>
        <v>5400</v>
      </c>
      <c r="AP270">
        <f t="shared" si="645"/>
        <v>89.254886806605441</v>
      </c>
      <c r="AR270" s="5">
        <f t="shared" si="774"/>
        <v>11.203868334590656</v>
      </c>
      <c r="AS270" s="5">
        <f t="shared" si="739"/>
        <v>1.7393988980781865</v>
      </c>
      <c r="AT270" s="5">
        <f t="shared" si="740"/>
        <v>9.46446943651247</v>
      </c>
      <c r="AU270" s="173">
        <f t="shared" si="741"/>
        <v>0.15524985175950276</v>
      </c>
      <c r="BA270" s="173">
        <f t="shared" si="692"/>
        <v>2.7910698863396211</v>
      </c>
      <c r="BB270" s="173">
        <f t="shared" si="693"/>
        <v>6.5105735918812515</v>
      </c>
      <c r="BC270" s="173">
        <f t="shared" si="694"/>
        <v>0.16033883198829121</v>
      </c>
      <c r="BD270" s="173"/>
      <c r="BE270" s="528">
        <f t="shared" si="695"/>
        <v>0.15580142220863732</v>
      </c>
      <c r="BF270" s="528">
        <f t="shared" si="762"/>
        <v>2.0642944551795086</v>
      </c>
      <c r="BG270" s="528">
        <f t="shared" si="763"/>
        <v>0.18887296973457973</v>
      </c>
      <c r="BH270" s="528">
        <f t="shared" si="696"/>
        <v>9.0214690128581007E-2</v>
      </c>
      <c r="BI270">
        <f t="shared" si="697"/>
        <v>3.8089941927648432E-2</v>
      </c>
      <c r="BJ270" s="460">
        <f t="shared" si="698"/>
        <v>226.96291166222815</v>
      </c>
      <c r="BK270">
        <f t="shared" si="764"/>
        <v>2.4428057558734801</v>
      </c>
      <c r="BL270" s="460">
        <f t="shared" si="699"/>
        <v>2537.2734791789549</v>
      </c>
      <c r="BM270" s="173">
        <f t="shared" si="765"/>
        <v>3.3547499999999997</v>
      </c>
      <c r="BN270" s="173">
        <f t="shared" si="766"/>
        <v>5.9906250000000001E-2</v>
      </c>
      <c r="BQ270" s="460">
        <f t="shared" si="700"/>
        <v>3414.6562499999995</v>
      </c>
      <c r="BR270" s="528">
        <f t="shared" si="701"/>
        <v>0.23370213331295597</v>
      </c>
      <c r="BS270" s="528">
        <f t="shared" si="702"/>
        <v>1.2716270548590463</v>
      </c>
      <c r="BT270" s="528">
        <f t="shared" si="703"/>
        <v>1.2854270521684739E-4</v>
      </c>
      <c r="BU270" s="528">
        <f t="shared" si="704"/>
        <v>1.984217915285744</v>
      </c>
      <c r="BV270" s="528"/>
      <c r="BW270" s="625">
        <f t="shared" si="705"/>
        <v>1.3435798629697132E-2</v>
      </c>
      <c r="BX270" s="460">
        <f t="shared" si="706"/>
        <v>3503.1114447926607</v>
      </c>
      <c r="BY270" s="173">
        <f t="shared" si="707"/>
        <v>9.4550411739716154</v>
      </c>
      <c r="BZ270" s="5">
        <f t="shared" si="708"/>
        <v>82.08</v>
      </c>
      <c r="CA270" s="173">
        <f t="shared" si="709"/>
        <v>0.89670577461148071</v>
      </c>
      <c r="CB270" s="5">
        <f t="shared" si="710"/>
        <v>89.670577461148071</v>
      </c>
      <c r="CC270">
        <f t="shared" si="711"/>
        <v>54</v>
      </c>
      <c r="CE270" s="562">
        <f t="shared" si="767"/>
        <v>-50</v>
      </c>
      <c r="CG270" s="173">
        <f t="shared" si="768"/>
        <v>0.84409136047666333</v>
      </c>
      <c r="CH270" s="173">
        <f t="shared" si="769"/>
        <v>0.1020398968288061</v>
      </c>
      <c r="CI270" s="170">
        <v>54</v>
      </c>
      <c r="CJ270" s="217">
        <f t="shared" si="712"/>
        <v>5.4</v>
      </c>
      <c r="CK270" s="217">
        <f t="shared" si="654"/>
        <v>0.13500000000000001</v>
      </c>
      <c r="CL270" s="217">
        <f t="shared" si="655"/>
        <v>81</v>
      </c>
      <c r="CM270" s="217">
        <f t="shared" si="656"/>
        <v>1.08</v>
      </c>
      <c r="CN270" s="541">
        <f t="shared" si="657"/>
        <v>85</v>
      </c>
      <c r="CO270" s="443">
        <f t="shared" si="770"/>
        <v>15.7</v>
      </c>
      <c r="CP270" s="443">
        <f t="shared" si="771"/>
        <v>100.7</v>
      </c>
      <c r="CQ270" s="443"/>
      <c r="CR270" s="217">
        <f t="shared" si="660"/>
        <v>0.15338645418326693</v>
      </c>
      <c r="CS270" s="172">
        <f t="shared" si="661"/>
        <v>321.65744915076539</v>
      </c>
      <c r="CT270" s="172">
        <f t="shared" si="662"/>
        <v>4.3459495351925632</v>
      </c>
      <c r="CU270" s="217">
        <f t="shared" si="663"/>
        <v>21.443829943384358</v>
      </c>
      <c r="CV270" s="217">
        <f t="shared" si="664"/>
        <v>40.207181143845673</v>
      </c>
      <c r="CW270" s="217">
        <f t="shared" si="665"/>
        <v>15</v>
      </c>
      <c r="CX270" s="217">
        <f t="shared" si="666"/>
        <v>12.591034377387318</v>
      </c>
      <c r="CY270" s="217">
        <f t="shared" si="667"/>
        <v>1.7775577944546803</v>
      </c>
      <c r="CZ270" s="217">
        <f t="shared" si="668"/>
        <v>9.6237205432259767</v>
      </c>
      <c r="DA270" s="197">
        <f t="shared" si="669"/>
        <v>110.43528632903013</v>
      </c>
      <c r="DB270" s="443">
        <f t="shared" si="670"/>
        <v>87.709462955136345</v>
      </c>
      <c r="DD270" s="217">
        <f t="shared" si="671"/>
        <v>9.9999999999999982</v>
      </c>
      <c r="DE270" s="173">
        <f t="shared" si="672"/>
        <v>7.6433121019108263</v>
      </c>
      <c r="DF270" s="173">
        <f t="shared" si="673"/>
        <v>4.1649244760361679</v>
      </c>
      <c r="DG270" s="173"/>
      <c r="DH270" s="173">
        <f t="shared" si="674"/>
        <v>7.6433121019108281</v>
      </c>
      <c r="DI270" s="545">
        <f t="shared" si="675"/>
        <v>141.30000000000004</v>
      </c>
      <c r="DJ270" s="528">
        <f t="shared" si="676"/>
        <v>4.2204568023833167</v>
      </c>
      <c r="DL270" s="173">
        <f t="shared" si="677"/>
        <v>6.2518568670207317</v>
      </c>
      <c r="DM270" s="173">
        <f t="shared" si="678"/>
        <v>12.591034377387318</v>
      </c>
      <c r="DN270" s="173">
        <f t="shared" si="679"/>
        <v>3.1192847239906065</v>
      </c>
      <c r="DP270" s="545">
        <f t="shared" si="680"/>
        <v>5400</v>
      </c>
      <c r="DQ270" s="460">
        <f t="shared" si="681"/>
        <v>87.709462955136345</v>
      </c>
      <c r="DS270">
        <f t="shared" si="682"/>
        <v>5400</v>
      </c>
      <c r="DT270">
        <f t="shared" si="683"/>
        <v>87.709462955136345</v>
      </c>
      <c r="DV270" s="5">
        <f t="shared" si="684"/>
        <v>11.401278337680656</v>
      </c>
      <c r="DW270" s="5">
        <f t="shared" si="685"/>
        <v>1.7775577944546803</v>
      </c>
      <c r="DX270" s="5">
        <f t="shared" si="686"/>
        <v>9.6237205432259767</v>
      </c>
      <c r="DY270" s="173">
        <f t="shared" si="687"/>
        <v>0.15590863952333664</v>
      </c>
      <c r="EA270" s="5">
        <f t="shared" si="713"/>
        <v>63.992080600368496</v>
      </c>
      <c r="EB270" s="5">
        <f t="shared" si="714"/>
        <v>2.9996287781422732</v>
      </c>
      <c r="EC270" s="5">
        <f t="shared" si="715"/>
        <v>2.5474554379127583</v>
      </c>
      <c r="ED270" s="5"/>
      <c r="EE270" s="173">
        <f t="shared" si="716"/>
        <v>2.8703567216653538</v>
      </c>
      <c r="EF270" s="173">
        <f t="shared" si="717"/>
        <v>6.6787549629084015</v>
      </c>
      <c r="EG270" s="173">
        <f t="shared" si="718"/>
        <v>0.16448071045907753</v>
      </c>
      <c r="EH270" s="173"/>
      <c r="EI270" s="528">
        <f t="shared" si="719"/>
        <v>0.16477895419218958</v>
      </c>
      <c r="EJ270" s="528">
        <f t="shared" si="720"/>
        <v>2.2241666666666666</v>
      </c>
      <c r="EK270" s="528">
        <f t="shared" si="721"/>
        <v>1.0963682869392043E-2</v>
      </c>
      <c r="EL270" s="528">
        <f t="shared" si="722"/>
        <v>8.8941693200193059E-2</v>
      </c>
      <c r="EM270">
        <f t="shared" si="723"/>
        <v>3.8249999999999999E-2</v>
      </c>
      <c r="EN270" s="460">
        <f t="shared" si="724"/>
        <v>49.213682869392038</v>
      </c>
      <c r="EP270" s="460">
        <f t="shared" si="725"/>
        <v>2527.1009969284414</v>
      </c>
      <c r="EQ270" s="173">
        <f t="shared" si="726"/>
        <v>3.78</v>
      </c>
      <c r="ER270" s="173">
        <f t="shared" si="772"/>
        <v>5.9906250000000001E-2</v>
      </c>
      <c r="ES270" s="528"/>
      <c r="EU270" s="460">
        <f t="shared" si="727"/>
        <v>3839.90625</v>
      </c>
      <c r="EV270" s="528">
        <f t="shared" si="728"/>
        <v>0.24716843128828433</v>
      </c>
      <c r="EW270" s="528">
        <f t="shared" si="729"/>
        <v>1.3381730356372081</v>
      </c>
      <c r="EX270" s="528">
        <f t="shared" si="730"/>
        <v>1.3526952056561449E-4</v>
      </c>
      <c r="EY270" s="528">
        <f t="shared" si="731"/>
        <v>2.0264675705467892</v>
      </c>
      <c r="EZ270" s="528"/>
      <c r="FA270" s="625">
        <f t="shared" si="732"/>
        <v>1.39049448664543E-2</v>
      </c>
      <c r="FB270" s="460">
        <f t="shared" si="733"/>
        <v>3625.8492518593016</v>
      </c>
      <c r="FC270" s="173">
        <f t="shared" si="734"/>
        <v>9.9928564987877415</v>
      </c>
      <c r="FD270" s="5">
        <f t="shared" si="735"/>
        <v>82.08</v>
      </c>
      <c r="FE270" s="173">
        <f t="shared" si="736"/>
        <v>0.89146794311829225</v>
      </c>
      <c r="FF270" s="5">
        <f t="shared" si="737"/>
        <v>89.146794311829225</v>
      </c>
      <c r="FG270">
        <f t="shared" si="738"/>
        <v>54</v>
      </c>
      <c r="FI270" s="562">
        <f t="shared" si="689"/>
        <v>-50</v>
      </c>
    </row>
    <row r="271" spans="5:165">
      <c r="E271" s="170">
        <v>55</v>
      </c>
      <c r="F271" s="217">
        <f t="shared" si="773"/>
        <v>5.5</v>
      </c>
      <c r="G271" s="217">
        <f t="shared" si="742"/>
        <v>0.13750000000000001</v>
      </c>
      <c r="H271" s="217">
        <f t="shared" si="743"/>
        <v>82.5</v>
      </c>
      <c r="I271" s="217">
        <f t="shared" si="744"/>
        <v>1.1000000000000001</v>
      </c>
      <c r="J271" s="541">
        <f t="shared" si="745"/>
        <v>84.637728642825678</v>
      </c>
      <c r="K271" s="443">
        <f t="shared" si="746"/>
        <v>15.895476470588235</v>
      </c>
      <c r="L271" s="172">
        <f t="shared" si="747"/>
        <v>100.53320511341391</v>
      </c>
      <c r="M271" s="443"/>
      <c r="N271" s="217">
        <f t="shared" si="748"/>
        <v>0.15811170500986385</v>
      </c>
      <c r="O271" s="172">
        <f t="shared" si="749"/>
        <v>330.15334499702368</v>
      </c>
      <c r="P271" s="172">
        <f t="shared" si="750"/>
        <v>4.4607385279597862</v>
      </c>
      <c r="Q271" s="217">
        <f t="shared" si="626"/>
        <v>22.010222999801577</v>
      </c>
      <c r="R271" s="217">
        <f t="shared" si="751"/>
        <v>41.26916812462796</v>
      </c>
      <c r="S271" s="217">
        <f t="shared" si="752"/>
        <v>15</v>
      </c>
      <c r="T271" s="217">
        <f t="shared" si="753"/>
        <v>12.494194175246617</v>
      </c>
      <c r="U271" s="217">
        <f t="shared" si="630"/>
        <v>1.7714361255566169</v>
      </c>
      <c r="V271" s="217">
        <f t="shared" si="631"/>
        <v>9.4322639765079668</v>
      </c>
      <c r="W271" s="197">
        <f t="shared" si="632"/>
        <v>111.51846319899464</v>
      </c>
      <c r="X271" s="443">
        <f t="shared" si="691"/>
        <v>87.690836399578316</v>
      </c>
      <c r="Z271" s="217">
        <f t="shared" si="633"/>
        <v>10</v>
      </c>
      <c r="AA271" s="173">
        <f t="shared" si="634"/>
        <v>7.5493175823976557</v>
      </c>
      <c r="AB271" s="173">
        <f t="shared" si="754"/>
        <v>4.1540540871223817</v>
      </c>
      <c r="AC271" s="173"/>
      <c r="AD271" s="173">
        <f t="shared" si="636"/>
        <v>7.5493175823976557</v>
      </c>
      <c r="AE271" s="545">
        <f t="shared" si="755"/>
        <v>145.70853431372549</v>
      </c>
      <c r="AF271" s="528">
        <f t="shared" si="756"/>
        <v>4.2094414749506806</v>
      </c>
      <c r="AH271" s="173">
        <f t="shared" si="757"/>
        <v>6.3094788857340509</v>
      </c>
      <c r="AI271" s="173">
        <f t="shared" si="758"/>
        <v>12.494194175246617</v>
      </c>
      <c r="AJ271" s="173">
        <f t="shared" si="759"/>
        <v>3.0475512409234202</v>
      </c>
      <c r="AL271" s="545">
        <f t="shared" si="760"/>
        <v>5500</v>
      </c>
      <c r="AM271" s="460">
        <f t="shared" si="761"/>
        <v>87.690836399578316</v>
      </c>
      <c r="AO271">
        <f t="shared" si="644"/>
        <v>5500</v>
      </c>
      <c r="AP271">
        <f t="shared" si="645"/>
        <v>87.690836399578316</v>
      </c>
      <c r="AR271" s="5">
        <f t="shared" si="774"/>
        <v>11.403700102064583</v>
      </c>
      <c r="AS271" s="5">
        <f t="shared" si="739"/>
        <v>1.7714361255566169</v>
      </c>
      <c r="AT271" s="5">
        <f t="shared" si="740"/>
        <v>9.6322639765079661</v>
      </c>
      <c r="AU271" s="173">
        <f t="shared" si="741"/>
        <v>0.15533871547848818</v>
      </c>
      <c r="BA271" s="173">
        <f t="shared" si="692"/>
        <v>2.8430695146632239</v>
      </c>
      <c r="BB271" s="173">
        <f t="shared" si="693"/>
        <v>6.6296243054224515</v>
      </c>
      <c r="BC271" s="173">
        <f t="shared" si="694"/>
        <v>0.16327074760020785</v>
      </c>
      <c r="BD271" s="173"/>
      <c r="BE271" s="528">
        <f t="shared" si="695"/>
        <v>0.16166088530414757</v>
      </c>
      <c r="BF271" s="528">
        <f t="shared" si="762"/>
        <v>2.0652530119141144</v>
      </c>
      <c r="BG271" s="528">
        <f t="shared" si="763"/>
        <v>0.18554883039124823</v>
      </c>
      <c r="BH271" s="528">
        <f t="shared" si="696"/>
        <v>8.8628473564873439E-2</v>
      </c>
      <c r="BI271">
        <f t="shared" si="697"/>
        <v>3.8086977889271553E-2</v>
      </c>
      <c r="BJ271" s="460">
        <f t="shared" si="698"/>
        <v>223.63580828051977</v>
      </c>
      <c r="BK271">
        <f t="shared" si="764"/>
        <v>2.4534285366070399</v>
      </c>
      <c r="BL271" s="460">
        <f t="shared" si="699"/>
        <v>2539.1781790636551</v>
      </c>
      <c r="BM271" s="173">
        <f t="shared" si="765"/>
        <v>3.4168749999999997</v>
      </c>
      <c r="BN271" s="173">
        <f t="shared" si="766"/>
        <v>6.1015625000000004E-2</v>
      </c>
      <c r="BQ271" s="460">
        <f t="shared" si="700"/>
        <v>3477.8906249999995</v>
      </c>
      <c r="BR271" s="528">
        <f t="shared" si="701"/>
        <v>0.24249132795622136</v>
      </c>
      <c r="BS271" s="528">
        <f t="shared" si="702"/>
        <v>1.3185575529314435</v>
      </c>
      <c r="BT271" s="528">
        <f t="shared" si="703"/>
        <v>1.3328668510965389E-4</v>
      </c>
      <c r="BU271" s="528">
        <f t="shared" si="704"/>
        <v>1.9866719648454982</v>
      </c>
      <c r="BV271" s="528"/>
      <c r="BW271" s="625">
        <f t="shared" si="705"/>
        <v>1.3688968202566506E-2</v>
      </c>
      <c r="BX271" s="460">
        <f t="shared" si="706"/>
        <v>3561.5431006208396</v>
      </c>
      <c r="BY271" s="173">
        <f t="shared" si="707"/>
        <v>9.5786119046844949</v>
      </c>
      <c r="BZ271" s="5">
        <f t="shared" si="708"/>
        <v>83.6</v>
      </c>
      <c r="CA271" s="173">
        <f t="shared" si="709"/>
        <v>0.89720160336276766</v>
      </c>
      <c r="CB271" s="5">
        <f t="shared" si="710"/>
        <v>89.720160336276763</v>
      </c>
      <c r="CC271">
        <f t="shared" si="711"/>
        <v>55.000000000000007</v>
      </c>
      <c r="CE271" s="562">
        <f t="shared" si="767"/>
        <v>-50</v>
      </c>
      <c r="CG271" s="173">
        <f t="shared" si="768"/>
        <v>0.84409136047666333</v>
      </c>
      <c r="CH271" s="173">
        <f t="shared" si="769"/>
        <v>0.10203989682880611</v>
      </c>
      <c r="CI271" s="170">
        <v>55</v>
      </c>
      <c r="CJ271" s="217">
        <f t="shared" si="712"/>
        <v>5.5</v>
      </c>
      <c r="CK271" s="217">
        <f t="shared" si="654"/>
        <v>0.13750000000000001</v>
      </c>
      <c r="CL271" s="217">
        <f t="shared" si="655"/>
        <v>82.5</v>
      </c>
      <c r="CM271" s="217">
        <f t="shared" si="656"/>
        <v>1.1000000000000001</v>
      </c>
      <c r="CN271" s="541">
        <f t="shared" si="657"/>
        <v>85</v>
      </c>
      <c r="CO271" s="443">
        <f t="shared" si="770"/>
        <v>15.7</v>
      </c>
      <c r="CP271" s="443">
        <f t="shared" si="771"/>
        <v>100.7</v>
      </c>
      <c r="CQ271" s="443"/>
      <c r="CR271" s="217">
        <f t="shared" si="660"/>
        <v>0.15338645418326693</v>
      </c>
      <c r="CS271" s="172">
        <f t="shared" si="661"/>
        <v>321.65744915076539</v>
      </c>
      <c r="CT271" s="172">
        <f t="shared" si="662"/>
        <v>4.3459495351925632</v>
      </c>
      <c r="CU271" s="217">
        <f t="shared" si="663"/>
        <v>21.443829943384358</v>
      </c>
      <c r="CV271" s="217">
        <f t="shared" si="664"/>
        <v>40.207181143845673</v>
      </c>
      <c r="CW271" s="217">
        <f t="shared" si="665"/>
        <v>15</v>
      </c>
      <c r="CX271" s="217">
        <f t="shared" si="666"/>
        <v>12.824201680672267</v>
      </c>
      <c r="CY271" s="217">
        <f t="shared" si="667"/>
        <v>1.8104755313890259</v>
      </c>
      <c r="CZ271" s="217">
        <f t="shared" si="668"/>
        <v>9.801937590322753</v>
      </c>
      <c r="DA271" s="197">
        <f t="shared" si="669"/>
        <v>110.43528632903013</v>
      </c>
      <c r="DB271" s="443">
        <f t="shared" si="670"/>
        <v>86.11474544686115</v>
      </c>
      <c r="DD271" s="217">
        <f t="shared" si="671"/>
        <v>9.9999999999999982</v>
      </c>
      <c r="DE271" s="173">
        <f t="shared" si="672"/>
        <v>7.6433121019108263</v>
      </c>
      <c r="DF271" s="173">
        <f t="shared" si="673"/>
        <v>4.1649244760361679</v>
      </c>
      <c r="DG271" s="173"/>
      <c r="DH271" s="173">
        <f t="shared" si="674"/>
        <v>7.6433121019108281</v>
      </c>
      <c r="DI271" s="545">
        <f t="shared" si="675"/>
        <v>143.91666666666669</v>
      </c>
      <c r="DJ271" s="528">
        <f t="shared" si="676"/>
        <v>4.2204568023833167</v>
      </c>
      <c r="DL271" s="173">
        <f t="shared" si="677"/>
        <v>6.3094788857340509</v>
      </c>
      <c r="DM271" s="173">
        <f t="shared" si="678"/>
        <v>12.824201680672267</v>
      </c>
      <c r="DN271" s="173">
        <f t="shared" si="679"/>
        <v>3.2920012449424201</v>
      </c>
      <c r="DP271" s="545">
        <f t="shared" si="680"/>
        <v>5500</v>
      </c>
      <c r="DQ271" s="460">
        <f t="shared" si="681"/>
        <v>86.11474544686115</v>
      </c>
      <c r="DS271">
        <f t="shared" si="682"/>
        <v>5500</v>
      </c>
      <c r="DT271">
        <f t="shared" si="683"/>
        <v>86.11474544686115</v>
      </c>
      <c r="DV271" s="5">
        <f t="shared" si="684"/>
        <v>11.612413121711779</v>
      </c>
      <c r="DW271" s="5">
        <f t="shared" si="685"/>
        <v>1.8104755313890259</v>
      </c>
      <c r="DX271" s="5">
        <f t="shared" si="686"/>
        <v>9.801937590322753</v>
      </c>
      <c r="DY271" s="173">
        <f t="shared" si="687"/>
        <v>0.15590863952333664</v>
      </c>
      <c r="EA271" s="5">
        <f t="shared" si="713"/>
        <v>66.384102817597622</v>
      </c>
      <c r="EB271" s="5">
        <f t="shared" si="714"/>
        <v>3.1117548195748888</v>
      </c>
      <c r="EC271" s="5">
        <f t="shared" si="715"/>
        <v>2.6426792522928992</v>
      </c>
      <c r="ED271" s="5"/>
      <c r="EE271" s="173">
        <f t="shared" si="716"/>
        <v>2.9235114757702676</v>
      </c>
      <c r="EF271" s="173">
        <f t="shared" si="717"/>
        <v>6.8024356103696677</v>
      </c>
      <c r="EG271" s="173">
        <f t="shared" si="718"/>
        <v>0.167526649541653</v>
      </c>
      <c r="EH271" s="173"/>
      <c r="EI271" s="528">
        <f t="shared" si="719"/>
        <v>0.17093838697920893</v>
      </c>
      <c r="EJ271" s="528">
        <f t="shared" si="720"/>
        <v>2.2241666666666666</v>
      </c>
      <c r="EK271" s="528">
        <f t="shared" si="721"/>
        <v>1.0764343180857644E-2</v>
      </c>
      <c r="EL271" s="528">
        <f t="shared" si="722"/>
        <v>8.73245715056441E-2</v>
      </c>
      <c r="EM271">
        <f t="shared" si="723"/>
        <v>3.8249999999999999E-2</v>
      </c>
      <c r="EN271" s="460">
        <f t="shared" si="724"/>
        <v>49.014343180857644</v>
      </c>
      <c r="EP271" s="460">
        <f t="shared" si="725"/>
        <v>2531.4439683323767</v>
      </c>
      <c r="EQ271" s="173">
        <f t="shared" si="726"/>
        <v>3.8499999999999996</v>
      </c>
      <c r="ER271" s="173">
        <f t="shared" si="772"/>
        <v>6.1015625000000004E-2</v>
      </c>
      <c r="ES271" s="528"/>
      <c r="EU271" s="460">
        <f t="shared" si="727"/>
        <v>3911.0156249999995</v>
      </c>
      <c r="EV271" s="528">
        <f t="shared" si="728"/>
        <v>0.2564075804688134</v>
      </c>
      <c r="EW271" s="528">
        <f t="shared" si="729"/>
        <v>1.3881939069967606</v>
      </c>
      <c r="EX271" s="528">
        <f t="shared" si="730"/>
        <v>1.4032589153325912E-4</v>
      </c>
      <c r="EY271" s="528">
        <f t="shared" si="731"/>
        <v>2.0264675705467941</v>
      </c>
      <c r="EZ271" s="528"/>
      <c r="FA271" s="625">
        <f t="shared" si="732"/>
        <v>1.4162443845462712E-2</v>
      </c>
      <c r="FB271" s="460">
        <f t="shared" si="733"/>
        <v>3685.371827749364</v>
      </c>
      <c r="FC271" s="173">
        <f t="shared" si="734"/>
        <v>10.127831421081741</v>
      </c>
      <c r="FD271" s="5">
        <f t="shared" si="735"/>
        <v>83.6</v>
      </c>
      <c r="FE271" s="173">
        <f t="shared" si="736"/>
        <v>0.89194424678854001</v>
      </c>
      <c r="FF271" s="5">
        <f t="shared" si="737"/>
        <v>89.194424678854006</v>
      </c>
      <c r="FG271">
        <f t="shared" si="738"/>
        <v>55.000000000000007</v>
      </c>
      <c r="FI271" s="562">
        <f t="shared" si="689"/>
        <v>-50</v>
      </c>
    </row>
    <row r="272" spans="5:165">
      <c r="E272" s="170">
        <v>56</v>
      </c>
      <c r="F272" s="217">
        <f t="shared" si="773"/>
        <v>5.6000000000000005</v>
      </c>
      <c r="G272" s="217">
        <f t="shared" si="742"/>
        <v>0.14000000000000001</v>
      </c>
      <c r="H272" s="217">
        <f t="shared" si="743"/>
        <v>84.000000000000014</v>
      </c>
      <c r="I272" s="217">
        <f t="shared" si="744"/>
        <v>1.1200000000000001</v>
      </c>
      <c r="J272" s="541">
        <f t="shared" si="745"/>
        <v>84.631141890877046</v>
      </c>
      <c r="K272" s="443">
        <f t="shared" si="746"/>
        <v>15.899030588235293</v>
      </c>
      <c r="L272" s="172">
        <f t="shared" si="747"/>
        <v>100.53017247911234</v>
      </c>
      <c r="M272" s="443"/>
      <c r="N272" s="217">
        <f t="shared" si="748"/>
        <v>0.1581518284128948</v>
      </c>
      <c r="O272" s="172">
        <f t="shared" si="749"/>
        <v>330.21142674457252</v>
      </c>
      <c r="P272" s="172">
        <f t="shared" si="750"/>
        <v>4.4615232769044466</v>
      </c>
      <c r="Q272" s="217">
        <f t="shared" si="626"/>
        <v>22.014095116304834</v>
      </c>
      <c r="R272" s="217">
        <f t="shared" si="751"/>
        <v>41.276428343071565</v>
      </c>
      <c r="S272" s="217">
        <f t="shared" si="752"/>
        <v>15</v>
      </c>
      <c r="T272" s="217">
        <f t="shared" si="753"/>
        <v>12.719123748703023</v>
      </c>
      <c r="U272" s="217">
        <f t="shared" si="630"/>
        <v>1.8034671584750204</v>
      </c>
      <c r="V272" s="217">
        <f t="shared" si="631"/>
        <v>9.5999239788479027</v>
      </c>
      <c r="W272" s="197">
        <f t="shared" si="632"/>
        <v>111.53808192261116</v>
      </c>
      <c r="X272" s="443">
        <f t="shared" si="691"/>
        <v>86.181702242497622</v>
      </c>
      <c r="Z272" s="217">
        <f t="shared" si="633"/>
        <v>10</v>
      </c>
      <c r="AA272" s="173">
        <f t="shared" si="634"/>
        <v>7.5476299849876165</v>
      </c>
      <c r="AB272" s="173">
        <f t="shared" si="754"/>
        <v>4.1538561098047948</v>
      </c>
      <c r="AC272" s="173"/>
      <c r="AD272" s="173">
        <f t="shared" si="636"/>
        <v>7.5476299849876165</v>
      </c>
      <c r="AE272" s="545">
        <f t="shared" si="755"/>
        <v>148.39095215686274</v>
      </c>
      <c r="AF272" s="528">
        <f t="shared" si="756"/>
        <v>4.2092408579355256</v>
      </c>
      <c r="AH272" s="173">
        <f t="shared" si="757"/>
        <v>6.3665794060337717</v>
      </c>
      <c r="AI272" s="173">
        <f t="shared" si="758"/>
        <v>12.719123748703023</v>
      </c>
      <c r="AJ272" s="173">
        <f t="shared" si="759"/>
        <v>3.2141657397800163</v>
      </c>
      <c r="AL272" s="545">
        <f t="shared" si="760"/>
        <v>5600.0000000000009</v>
      </c>
      <c r="AM272" s="460">
        <f t="shared" si="761"/>
        <v>86.181702242497622</v>
      </c>
      <c r="AO272">
        <f t="shared" si="644"/>
        <v>5600.0000000000009</v>
      </c>
      <c r="AP272">
        <f t="shared" si="645"/>
        <v>86.181702242497622</v>
      </c>
      <c r="AR272" s="5">
        <f t="shared" si="774"/>
        <v>11.603391137322923</v>
      </c>
      <c r="AS272" s="5">
        <f t="shared" si="739"/>
        <v>1.8034671584750204</v>
      </c>
      <c r="AT272" s="5">
        <f t="shared" si="740"/>
        <v>9.799923978847902</v>
      </c>
      <c r="AU272" s="173">
        <f t="shared" si="741"/>
        <v>0.15542586965581748</v>
      </c>
      <c r="BA272" s="173">
        <f t="shared" si="692"/>
        <v>2.895064329782032</v>
      </c>
      <c r="BB272" s="173">
        <f t="shared" si="693"/>
        <v>6.7486274286971959</v>
      </c>
      <c r="BC272" s="173">
        <f t="shared" si="694"/>
        <v>0.16620149118517019</v>
      </c>
      <c r="BD272" s="173"/>
      <c r="BE272" s="528">
        <f t="shared" si="695"/>
        <v>0.16762794947152571</v>
      </c>
      <c r="BF272" s="528">
        <f t="shared" si="762"/>
        <v>2.066188597003269</v>
      </c>
      <c r="BG272" s="528">
        <f t="shared" si="763"/>
        <v>0.1823413967720533</v>
      </c>
      <c r="BH272" s="528">
        <f t="shared" si="696"/>
        <v>8.7097947997052158E-2</v>
      </c>
      <c r="BI272">
        <f t="shared" si="697"/>
        <v>3.8084013850894667E-2</v>
      </c>
      <c r="BJ272" s="460">
        <f t="shared" si="698"/>
        <v>220.42541062294796</v>
      </c>
      <c r="BK272">
        <f t="shared" si="764"/>
        <v>2.4643241299647927</v>
      </c>
      <c r="BL272" s="460">
        <f t="shared" si="699"/>
        <v>2541.3399050947946</v>
      </c>
      <c r="BM272" s="173">
        <f t="shared" si="765"/>
        <v>3.4789999999999996</v>
      </c>
      <c r="BN272" s="173">
        <f t="shared" si="766"/>
        <v>6.2125E-2</v>
      </c>
      <c r="BQ272" s="460">
        <f t="shared" si="700"/>
        <v>3541.1249999999995</v>
      </c>
      <c r="BR272" s="528">
        <f t="shared" si="701"/>
        <v>0.25144192420728856</v>
      </c>
      <c r="BS272" s="528">
        <f t="shared" si="702"/>
        <v>1.3663191651409237</v>
      </c>
      <c r="BT272" s="528">
        <f t="shared" si="703"/>
        <v>1.3811467836087103E-4</v>
      </c>
      <c r="BU272" s="528">
        <f t="shared" si="704"/>
        <v>1.9890726966468422</v>
      </c>
      <c r="BV272" s="528"/>
      <c r="BW272" s="625">
        <f t="shared" si="705"/>
        <v>1.3942140450170623E-2</v>
      </c>
      <c r="BX272" s="460">
        <f t="shared" si="706"/>
        <v>3620.9140411235858</v>
      </c>
      <c r="BY272" s="173">
        <f t="shared" si="707"/>
        <v>9.703378946218379</v>
      </c>
      <c r="BZ272" s="5">
        <f t="shared" si="708"/>
        <v>85.120000000000019</v>
      </c>
      <c r="CA272" s="173">
        <f t="shared" si="709"/>
        <v>0.89766891821349348</v>
      </c>
      <c r="CB272" s="5">
        <f t="shared" si="710"/>
        <v>89.766891821349347</v>
      </c>
      <c r="CC272">
        <f t="shared" si="711"/>
        <v>56.000000000000007</v>
      </c>
      <c r="CE272" s="562">
        <f t="shared" si="767"/>
        <v>-50</v>
      </c>
      <c r="CG272" s="173">
        <f t="shared" si="768"/>
        <v>0.84409136047666333</v>
      </c>
      <c r="CH272" s="173">
        <f t="shared" si="769"/>
        <v>0.1020398968288061</v>
      </c>
      <c r="CI272" s="170">
        <v>56</v>
      </c>
      <c r="CJ272" s="217">
        <f t="shared" si="712"/>
        <v>5.6000000000000005</v>
      </c>
      <c r="CK272" s="217">
        <f t="shared" si="654"/>
        <v>0.14000000000000001</v>
      </c>
      <c r="CL272" s="217">
        <f t="shared" si="655"/>
        <v>84.000000000000014</v>
      </c>
      <c r="CM272" s="217">
        <f t="shared" si="656"/>
        <v>1.1200000000000001</v>
      </c>
      <c r="CN272" s="541">
        <f t="shared" si="657"/>
        <v>85</v>
      </c>
      <c r="CO272" s="443">
        <f t="shared" si="770"/>
        <v>15.7</v>
      </c>
      <c r="CP272" s="443">
        <f t="shared" si="771"/>
        <v>100.7</v>
      </c>
      <c r="CQ272" s="443"/>
      <c r="CR272" s="217">
        <f t="shared" si="660"/>
        <v>0.15338645418326693</v>
      </c>
      <c r="CS272" s="172">
        <f t="shared" si="661"/>
        <v>321.65744915076539</v>
      </c>
      <c r="CT272" s="172">
        <f t="shared" si="662"/>
        <v>4.3459495351925632</v>
      </c>
      <c r="CU272" s="217">
        <f t="shared" si="663"/>
        <v>21.443829943384358</v>
      </c>
      <c r="CV272" s="217">
        <f t="shared" si="664"/>
        <v>40.207181143845673</v>
      </c>
      <c r="CW272" s="217">
        <f t="shared" si="665"/>
        <v>15</v>
      </c>
      <c r="CX272" s="217">
        <f t="shared" si="666"/>
        <v>13.057368983957222</v>
      </c>
      <c r="CY272" s="217">
        <f t="shared" si="667"/>
        <v>1.8433932683233725</v>
      </c>
      <c r="CZ272" s="217">
        <f t="shared" si="668"/>
        <v>9.9801546374195329</v>
      </c>
      <c r="DA272" s="197">
        <f t="shared" si="669"/>
        <v>110.43528632903013</v>
      </c>
      <c r="DB272" s="443">
        <f t="shared" si="670"/>
        <v>84.576982135310018</v>
      </c>
      <c r="DD272" s="217">
        <f t="shared" si="671"/>
        <v>9.9999999999999982</v>
      </c>
      <c r="DE272" s="173">
        <f t="shared" si="672"/>
        <v>7.6433121019108263</v>
      </c>
      <c r="DF272" s="173">
        <f t="shared" si="673"/>
        <v>4.1649244760361679</v>
      </c>
      <c r="DG272" s="173"/>
      <c r="DH272" s="173">
        <f t="shared" si="674"/>
        <v>7.6433121019108281</v>
      </c>
      <c r="DI272" s="545">
        <f t="shared" si="675"/>
        <v>146.53333333333336</v>
      </c>
      <c r="DJ272" s="528">
        <f t="shared" si="676"/>
        <v>4.2204568023833167</v>
      </c>
      <c r="DL272" s="173">
        <f t="shared" si="677"/>
        <v>6.3665794060337717</v>
      </c>
      <c r="DM272" s="173">
        <f t="shared" si="678"/>
        <v>13.057368983957222</v>
      </c>
      <c r="DN272" s="173">
        <f t="shared" si="679"/>
        <v>3.4647177658942381</v>
      </c>
      <c r="DP272" s="545">
        <f t="shared" si="680"/>
        <v>5600.0000000000009</v>
      </c>
      <c r="DQ272" s="460">
        <f t="shared" si="681"/>
        <v>84.576982135310018</v>
      </c>
      <c r="DS272">
        <f t="shared" si="682"/>
        <v>5600.0000000000009</v>
      </c>
      <c r="DT272">
        <f t="shared" si="683"/>
        <v>84.576982135310018</v>
      </c>
      <c r="DV272" s="5">
        <f t="shared" si="684"/>
        <v>11.823547905742906</v>
      </c>
      <c r="DW272" s="5">
        <f t="shared" si="685"/>
        <v>1.8433932683233725</v>
      </c>
      <c r="DX272" s="5">
        <f t="shared" si="686"/>
        <v>9.9801546374195329</v>
      </c>
      <c r="DY272" s="173">
        <f t="shared" si="687"/>
        <v>0.15590863952333664</v>
      </c>
      <c r="EA272" s="5">
        <f t="shared" si="713"/>
        <v>68.82001535073924</v>
      </c>
      <c r="EB272" s="5">
        <f t="shared" si="714"/>
        <v>3.2259382195659021</v>
      </c>
      <c r="EC272" s="5">
        <f t="shared" si="715"/>
        <v>2.7396502926249702</v>
      </c>
      <c r="ED272" s="5"/>
      <c r="EE272" s="173">
        <f t="shared" si="716"/>
        <v>2.9766662298751827</v>
      </c>
      <c r="EF272" s="173">
        <f t="shared" si="717"/>
        <v>6.9261162578309365</v>
      </c>
      <c r="EG272" s="173">
        <f t="shared" si="718"/>
        <v>0.17057258862422858</v>
      </c>
      <c r="EH272" s="173"/>
      <c r="EI272" s="528">
        <f t="shared" si="719"/>
        <v>0.17721083688158668</v>
      </c>
      <c r="EJ272" s="528">
        <f t="shared" si="720"/>
        <v>2.2241666666666666</v>
      </c>
      <c r="EK272" s="528">
        <f t="shared" si="721"/>
        <v>1.0572122766913753E-2</v>
      </c>
      <c r="EL272" s="528">
        <f t="shared" si="722"/>
        <v>8.5765204157328981E-2</v>
      </c>
      <c r="EM272">
        <f t="shared" si="723"/>
        <v>3.8249999999999999E-2</v>
      </c>
      <c r="EN272" s="460">
        <f t="shared" si="724"/>
        <v>48.822122766913751</v>
      </c>
      <c r="EP272" s="460">
        <f t="shared" si="725"/>
        <v>2535.9648304724965</v>
      </c>
      <c r="EQ272" s="173">
        <f t="shared" si="726"/>
        <v>3.92</v>
      </c>
      <c r="ER272" s="173">
        <f t="shared" si="772"/>
        <v>6.2125E-2</v>
      </c>
      <c r="ES272" s="528"/>
      <c r="EU272" s="460">
        <f t="shared" si="727"/>
        <v>3982.125</v>
      </c>
      <c r="EV272" s="528">
        <f t="shared" si="728"/>
        <v>0.26581625532238001</v>
      </c>
      <c r="EW272" s="528">
        <f t="shared" si="729"/>
        <v>1.4391325925097005</v>
      </c>
      <c r="EX272" s="528">
        <f t="shared" si="730"/>
        <v>1.4547503994985156E-4</v>
      </c>
      <c r="EY272" s="528">
        <f t="shared" si="731"/>
        <v>2.0264675705467892</v>
      </c>
      <c r="EZ272" s="528"/>
      <c r="FA272" s="625">
        <f t="shared" si="732"/>
        <v>1.4419942824471127E-2</v>
      </c>
      <c r="FB272" s="460">
        <f t="shared" si="733"/>
        <v>3745.9818362432907</v>
      </c>
      <c r="FC272" s="173">
        <f t="shared" si="734"/>
        <v>10.264071666715786</v>
      </c>
      <c r="FD272" s="5">
        <f t="shared" si="735"/>
        <v>85.120000000000019</v>
      </c>
      <c r="FE272" s="173">
        <f t="shared" si="736"/>
        <v>0.89239218364907114</v>
      </c>
      <c r="FF272" s="5">
        <f t="shared" si="737"/>
        <v>89.239218364907117</v>
      </c>
      <c r="FG272">
        <f t="shared" si="738"/>
        <v>56.000000000000007</v>
      </c>
      <c r="FI272" s="562">
        <f t="shared" si="689"/>
        <v>-50</v>
      </c>
    </row>
    <row r="273" spans="5:165">
      <c r="E273" s="170">
        <v>57</v>
      </c>
      <c r="F273" s="217">
        <f t="shared" si="773"/>
        <v>5.6999999999999993</v>
      </c>
      <c r="G273" s="217">
        <f t="shared" si="742"/>
        <v>0.14249999999999999</v>
      </c>
      <c r="H273" s="217">
        <f t="shared" si="743"/>
        <v>85.499999999999986</v>
      </c>
      <c r="I273" s="217">
        <f t="shared" si="744"/>
        <v>1.1399999999999999</v>
      </c>
      <c r="J273" s="541">
        <f t="shared" si="745"/>
        <v>84.624555138928429</v>
      </c>
      <c r="K273" s="443">
        <f t="shared" si="746"/>
        <v>15.902584705882353</v>
      </c>
      <c r="L273" s="172">
        <f t="shared" si="747"/>
        <v>100.52713984481078</v>
      </c>
      <c r="M273" s="443"/>
      <c r="N273" s="217">
        <f t="shared" si="748"/>
        <v>0.15819195423675675</v>
      </c>
      <c r="O273" s="172">
        <f t="shared" si="749"/>
        <v>330.26950050600158</v>
      </c>
      <c r="P273" s="172">
        <f t="shared" si="750"/>
        <v>4.4623079179477552</v>
      </c>
      <c r="Q273" s="217">
        <f t="shared" si="626"/>
        <v>22.017966700400105</v>
      </c>
      <c r="R273" s="217">
        <f t="shared" si="751"/>
        <v>41.283687563250197</v>
      </c>
      <c r="S273" s="217">
        <f t="shared" si="752"/>
        <v>15</v>
      </c>
      <c r="T273" s="217">
        <f t="shared" si="753"/>
        <v>12.943974522171523</v>
      </c>
      <c r="U273" s="217">
        <f t="shared" si="630"/>
        <v>1.8354920036041107</v>
      </c>
      <c r="V273" s="217">
        <f t="shared" si="631"/>
        <v>9.7674495774641397</v>
      </c>
      <c r="W273" s="197">
        <f t="shared" si="632"/>
        <v>111.55769794869384</v>
      </c>
      <c r="X273" s="443">
        <f t="shared" si="691"/>
        <v>84.724641999752478</v>
      </c>
      <c r="Z273" s="217">
        <f t="shared" si="633"/>
        <v>10</v>
      </c>
      <c r="AA273" s="173">
        <f t="shared" si="634"/>
        <v>7.5459431419102643</v>
      </c>
      <c r="AB273" s="173">
        <f t="shared" si="754"/>
        <v>4.1536581205423166</v>
      </c>
      <c r="AC273" s="173"/>
      <c r="AD273" s="173">
        <f t="shared" si="636"/>
        <v>7.5459431419102643</v>
      </c>
      <c r="AE273" s="545">
        <f t="shared" si="755"/>
        <v>151.07455470588232</v>
      </c>
      <c r="AF273" s="528">
        <f t="shared" si="756"/>
        <v>4.2090402288162148</v>
      </c>
      <c r="AH273" s="173">
        <f t="shared" si="757"/>
        <v>6.4231723359367248</v>
      </c>
      <c r="AI273" s="173">
        <f t="shared" si="758"/>
        <v>12.943974522171523</v>
      </c>
      <c r="AJ273" s="173">
        <f t="shared" si="759"/>
        <v>3.3807218682752023</v>
      </c>
      <c r="AL273" s="545">
        <f t="shared" si="760"/>
        <v>5699.9999999999991</v>
      </c>
      <c r="AM273" s="460">
        <f t="shared" si="761"/>
        <v>84.724641999752478</v>
      </c>
      <c r="AO273">
        <f t="shared" si="644"/>
        <v>5699.9999999999991</v>
      </c>
      <c r="AP273">
        <f t="shared" si="645"/>
        <v>84.724641999752478</v>
      </c>
      <c r="AR273" s="5">
        <f t="shared" si="774"/>
        <v>11.80294158106825</v>
      </c>
      <c r="AS273" s="5">
        <f t="shared" si="739"/>
        <v>1.8354920036041107</v>
      </c>
      <c r="AT273" s="5">
        <f t="shared" si="740"/>
        <v>9.967449577464139</v>
      </c>
      <c r="AU273" s="173">
        <f t="shared" si="741"/>
        <v>0.15551140289876667</v>
      </c>
      <c r="BA273" s="173">
        <f t="shared" si="692"/>
        <v>2.9470543259596078</v>
      </c>
      <c r="BB273" s="173">
        <f t="shared" si="693"/>
        <v>6.8675830010796322</v>
      </c>
      <c r="BC273" s="173">
        <f t="shared" si="694"/>
        <v>0.16913106371286313</v>
      </c>
      <c r="BD273" s="173"/>
      <c r="BE273" s="528">
        <f t="shared" si="695"/>
        <v>0.17370258400314476</v>
      </c>
      <c r="BF273" s="528">
        <f t="shared" si="762"/>
        <v>2.0671023956198722</v>
      </c>
      <c r="BG273" s="528">
        <f t="shared" si="763"/>
        <v>0.1792446284633506</v>
      </c>
      <c r="BH273" s="528">
        <f t="shared" si="696"/>
        <v>8.5620230990446924E-2</v>
      </c>
      <c r="BI273">
        <f t="shared" si="697"/>
        <v>3.8081049812517795E-2</v>
      </c>
      <c r="BJ273" s="460">
        <f t="shared" si="698"/>
        <v>217.3256782758684</v>
      </c>
      <c r="BK273">
        <f t="shared" si="764"/>
        <v>2.4754927880609521</v>
      </c>
      <c r="BL273" s="460">
        <f t="shared" si="699"/>
        <v>2543.7508888893321</v>
      </c>
      <c r="BM273" s="173">
        <f t="shared" si="765"/>
        <v>3.5411249999999992</v>
      </c>
      <c r="BN273" s="173">
        <f t="shared" si="766"/>
        <v>6.3234374999999995E-2</v>
      </c>
      <c r="BQ273" s="460">
        <f t="shared" si="700"/>
        <v>3604.3593749999991</v>
      </c>
      <c r="BR273" s="528">
        <f t="shared" si="701"/>
        <v>0.26055387600471713</v>
      </c>
      <c r="BS273" s="528">
        <f t="shared" si="702"/>
        <v>1.4149108883015378</v>
      </c>
      <c r="BT273" s="528">
        <f t="shared" si="703"/>
        <v>1.4302658356322285E-4</v>
      </c>
      <c r="BU273" s="528">
        <f t="shared" si="704"/>
        <v>1.991422840753899</v>
      </c>
      <c r="BV273" s="528"/>
      <c r="BW273" s="625">
        <f t="shared" si="705"/>
        <v>1.4195315233904712E-2</v>
      </c>
      <c r="BX273" s="460">
        <f t="shared" si="706"/>
        <v>3681.2259468776219</v>
      </c>
      <c r="BY273" s="173">
        <f t="shared" si="707"/>
        <v>9.8293362107669537</v>
      </c>
      <c r="BZ273" s="5">
        <f t="shared" si="708"/>
        <v>86.639999999999986</v>
      </c>
      <c r="CA273" s="173">
        <f t="shared" si="709"/>
        <v>0.89810921690917678</v>
      </c>
      <c r="CB273" s="5">
        <f t="shared" si="710"/>
        <v>89.810921690917681</v>
      </c>
      <c r="CC273">
        <f t="shared" si="711"/>
        <v>56.999999999999993</v>
      </c>
      <c r="CE273" s="562">
        <f t="shared" si="767"/>
        <v>-50</v>
      </c>
      <c r="CG273" s="173">
        <f t="shared" si="768"/>
        <v>0.84409136047666333</v>
      </c>
      <c r="CH273" s="173">
        <f t="shared" si="769"/>
        <v>0.10203989682880611</v>
      </c>
      <c r="CI273" s="170">
        <v>57</v>
      </c>
      <c r="CJ273" s="217">
        <f t="shared" si="712"/>
        <v>5.6999999999999993</v>
      </c>
      <c r="CK273" s="217">
        <f t="shared" si="654"/>
        <v>0.14249999999999999</v>
      </c>
      <c r="CL273" s="217">
        <f t="shared" si="655"/>
        <v>85.499999999999986</v>
      </c>
      <c r="CM273" s="217">
        <f t="shared" si="656"/>
        <v>1.1399999999999999</v>
      </c>
      <c r="CN273" s="541">
        <f t="shared" si="657"/>
        <v>85</v>
      </c>
      <c r="CO273" s="443">
        <f t="shared" si="770"/>
        <v>15.7</v>
      </c>
      <c r="CP273" s="443">
        <f t="shared" si="771"/>
        <v>100.7</v>
      </c>
      <c r="CQ273" s="443"/>
      <c r="CR273" s="217">
        <f t="shared" si="660"/>
        <v>0.15338645418326693</v>
      </c>
      <c r="CS273" s="172">
        <f t="shared" si="661"/>
        <v>321.65744915076539</v>
      </c>
      <c r="CT273" s="172">
        <f t="shared" si="662"/>
        <v>4.3459495351925632</v>
      </c>
      <c r="CU273" s="217">
        <f t="shared" si="663"/>
        <v>21.443829943384358</v>
      </c>
      <c r="CV273" s="217">
        <f t="shared" si="664"/>
        <v>40.207181143845673</v>
      </c>
      <c r="CW273" s="217">
        <f t="shared" si="665"/>
        <v>15</v>
      </c>
      <c r="CX273" s="217">
        <f t="shared" si="666"/>
        <v>13.290536287242167</v>
      </c>
      <c r="CY273" s="217">
        <f t="shared" si="667"/>
        <v>1.8763110052577177</v>
      </c>
      <c r="CZ273" s="217">
        <f t="shared" si="668"/>
        <v>10.158371684516307</v>
      </c>
      <c r="DA273" s="197">
        <f t="shared" si="669"/>
        <v>110.43528632903013</v>
      </c>
      <c r="DB273" s="443">
        <f t="shared" si="670"/>
        <v>83.093175431181805</v>
      </c>
      <c r="DD273" s="217">
        <f t="shared" si="671"/>
        <v>9.9999999999999982</v>
      </c>
      <c r="DE273" s="173">
        <f t="shared" si="672"/>
        <v>7.6433121019108263</v>
      </c>
      <c r="DF273" s="173">
        <f t="shared" si="673"/>
        <v>4.1649244760361679</v>
      </c>
      <c r="DG273" s="173"/>
      <c r="DH273" s="173">
        <f t="shared" si="674"/>
        <v>7.6433121019108281</v>
      </c>
      <c r="DI273" s="545">
        <f t="shared" si="675"/>
        <v>149.15</v>
      </c>
      <c r="DJ273" s="528">
        <f t="shared" si="676"/>
        <v>4.2204568023833167</v>
      </c>
      <c r="DL273" s="173">
        <f t="shared" si="677"/>
        <v>6.4231723359367248</v>
      </c>
      <c r="DM273" s="173">
        <f t="shared" si="678"/>
        <v>13.290536287242167</v>
      </c>
      <c r="DN273" s="173">
        <f t="shared" si="679"/>
        <v>3.6374342868460499</v>
      </c>
      <c r="DP273" s="545">
        <f t="shared" si="680"/>
        <v>5699.9999999999991</v>
      </c>
      <c r="DQ273" s="460">
        <f t="shared" si="681"/>
        <v>83.093175431181805</v>
      </c>
      <c r="DS273">
        <f t="shared" si="682"/>
        <v>5699.9999999999991</v>
      </c>
      <c r="DT273">
        <f t="shared" si="683"/>
        <v>83.093175431181805</v>
      </c>
      <c r="DV273" s="5">
        <f t="shared" si="684"/>
        <v>12.034682689774026</v>
      </c>
      <c r="DW273" s="5">
        <f t="shared" si="685"/>
        <v>1.8763110052577177</v>
      </c>
      <c r="DX273" s="5">
        <f t="shared" si="686"/>
        <v>10.158371684516309</v>
      </c>
      <c r="DY273" s="173">
        <f t="shared" si="687"/>
        <v>0.15590863952333661</v>
      </c>
      <c r="EA273" s="5">
        <f t="shared" si="713"/>
        <v>71.299818199793265</v>
      </c>
      <c r="EB273" s="5">
        <f t="shared" si="714"/>
        <v>3.3421789781153097</v>
      </c>
      <c r="EC273" s="5">
        <f t="shared" si="715"/>
        <v>2.838368558908968</v>
      </c>
      <c r="ED273" s="5"/>
      <c r="EE273" s="173">
        <f t="shared" si="716"/>
        <v>3.0298209839800951</v>
      </c>
      <c r="EF273" s="173">
        <f t="shared" si="717"/>
        <v>7.0497969052922009</v>
      </c>
      <c r="EG273" s="173">
        <f t="shared" si="718"/>
        <v>0.17361852770680403</v>
      </c>
      <c r="EH273" s="173"/>
      <c r="EI273" s="528">
        <f t="shared" si="719"/>
        <v>0.18359630389932224</v>
      </c>
      <c r="EJ273" s="528">
        <f t="shared" si="720"/>
        <v>2.2241666666666666</v>
      </c>
      <c r="EK273" s="528">
        <f t="shared" si="721"/>
        <v>1.0386646928897725E-2</v>
      </c>
      <c r="EL273" s="528">
        <f t="shared" si="722"/>
        <v>8.4260551452814483E-2</v>
      </c>
      <c r="EM273">
        <f t="shared" si="723"/>
        <v>3.8249999999999999E-2</v>
      </c>
      <c r="EN273" s="460">
        <f t="shared" si="724"/>
        <v>48.636646928897726</v>
      </c>
      <c r="EP273" s="460">
        <f t="shared" si="725"/>
        <v>2540.6601689477011</v>
      </c>
      <c r="EQ273" s="173">
        <f t="shared" si="726"/>
        <v>3.9899999999999993</v>
      </c>
      <c r="ER273" s="173">
        <f t="shared" si="772"/>
        <v>6.3234374999999995E-2</v>
      </c>
      <c r="ES273" s="528"/>
      <c r="EU273" s="460">
        <f t="shared" si="727"/>
        <v>4053.2343749999995</v>
      </c>
      <c r="EV273" s="528">
        <f t="shared" si="728"/>
        <v>0.27539445584898337</v>
      </c>
      <c r="EW273" s="528">
        <f t="shared" si="729"/>
        <v>1.4909890921760247</v>
      </c>
      <c r="EX273" s="528">
        <f t="shared" si="730"/>
        <v>1.5071696581539138E-4</v>
      </c>
      <c r="EY273" s="528">
        <f t="shared" si="731"/>
        <v>2.0264675705467892</v>
      </c>
      <c r="EZ273" s="528"/>
      <c r="FA273" s="625">
        <f t="shared" si="732"/>
        <v>1.4677441803479534E-2</v>
      </c>
      <c r="FB273" s="460">
        <f t="shared" si="733"/>
        <v>3807.6792773410921</v>
      </c>
      <c r="FC273" s="173">
        <f t="shared" si="734"/>
        <v>10.401573821288792</v>
      </c>
      <c r="FD273" s="5">
        <f t="shared" si="735"/>
        <v>86.639999999999986</v>
      </c>
      <c r="FE273" s="173">
        <f t="shared" si="736"/>
        <v>0.89281322002831209</v>
      </c>
      <c r="FF273" s="5">
        <f t="shared" si="737"/>
        <v>89.281322002831203</v>
      </c>
      <c r="FG273">
        <f t="shared" si="738"/>
        <v>56.999999999999993</v>
      </c>
      <c r="FI273" s="562">
        <f t="shared" si="689"/>
        <v>-50</v>
      </c>
    </row>
    <row r="274" spans="5:165">
      <c r="E274" s="170">
        <v>58</v>
      </c>
      <c r="F274" s="217">
        <f t="shared" si="773"/>
        <v>5.8</v>
      </c>
      <c r="G274" s="217">
        <f t="shared" si="742"/>
        <v>0.14499999999999999</v>
      </c>
      <c r="H274" s="217">
        <f t="shared" si="743"/>
        <v>87</v>
      </c>
      <c r="I274" s="217">
        <f t="shared" si="744"/>
        <v>1.1599999999999999</v>
      </c>
      <c r="J274" s="541">
        <f t="shared" si="745"/>
        <v>84.617968386979797</v>
      </c>
      <c r="K274" s="443">
        <f t="shared" si="746"/>
        <v>15.90613882352941</v>
      </c>
      <c r="L274" s="172">
        <f t="shared" si="747"/>
        <v>100.52410721050921</v>
      </c>
      <c r="M274" s="443"/>
      <c r="N274" s="217">
        <f t="shared" si="748"/>
        <v>0.15823208248166878</v>
      </c>
      <c r="O274" s="172">
        <f t="shared" si="749"/>
        <v>330.32756628058792</v>
      </c>
      <c r="P274" s="172">
        <f t="shared" si="750"/>
        <v>4.4630924510799437</v>
      </c>
      <c r="Q274" s="217">
        <f t="shared" si="626"/>
        <v>22.021837752039193</v>
      </c>
      <c r="R274" s="217">
        <f t="shared" si="751"/>
        <v>41.29094578507349</v>
      </c>
      <c r="S274" s="217">
        <f t="shared" si="752"/>
        <v>15</v>
      </c>
      <c r="T274" s="217">
        <f t="shared" si="753"/>
        <v>13.168746553549846</v>
      </c>
      <c r="U274" s="217">
        <f t="shared" si="630"/>
        <v>1.8675106677095963</v>
      </c>
      <c r="V274" s="217">
        <f t="shared" si="631"/>
        <v>9.9348409061309848</v>
      </c>
      <c r="W274" s="197">
        <f t="shared" si="632"/>
        <v>111.57731127699859</v>
      </c>
      <c r="X274" s="443">
        <f t="shared" si="691"/>
        <v>83.317006158986757</v>
      </c>
      <c r="Z274" s="217">
        <f t="shared" si="633"/>
        <v>10</v>
      </c>
      <c r="AA274" s="173">
        <f t="shared" si="634"/>
        <v>7.5442570526599511</v>
      </c>
      <c r="AB274" s="173">
        <f t="shared" si="754"/>
        <v>4.1534601193338716</v>
      </c>
      <c r="AC274" s="173"/>
      <c r="AD274" s="173">
        <f t="shared" si="636"/>
        <v>7.5442570526599511</v>
      </c>
      <c r="AE274" s="545">
        <f t="shared" si="755"/>
        <v>153.75934196078427</v>
      </c>
      <c r="AF274" s="528">
        <f t="shared" si="756"/>
        <v>4.2088395875916564</v>
      </c>
      <c r="AH274" s="173">
        <f t="shared" si="757"/>
        <v>6.4792709760398495</v>
      </c>
      <c r="AI274" s="173">
        <f t="shared" si="758"/>
        <v>13.168746553549846</v>
      </c>
      <c r="AJ274" s="173">
        <f t="shared" si="759"/>
        <v>3.5472196692961822</v>
      </c>
      <c r="AL274" s="545">
        <f t="shared" si="760"/>
        <v>5800</v>
      </c>
      <c r="AM274" s="460">
        <f t="shared" si="761"/>
        <v>83.317006158986757</v>
      </c>
      <c r="AO274">
        <f t="shared" si="644"/>
        <v>5800</v>
      </c>
      <c r="AP274">
        <f t="shared" si="645"/>
        <v>83.317006158986757</v>
      </c>
      <c r="AR274" s="5">
        <f t="shared" si="774"/>
        <v>12.002351573840581</v>
      </c>
      <c r="AS274" s="5">
        <f t="shared" si="739"/>
        <v>1.8675106677095963</v>
      </c>
      <c r="AT274" s="5">
        <f t="shared" si="740"/>
        <v>10.134840906130986</v>
      </c>
      <c r="AU274" s="173">
        <f t="shared" si="741"/>
        <v>0.15559539780353387</v>
      </c>
      <c r="BA274" s="173">
        <f t="shared" si="692"/>
        <v>2.9990394981949922</v>
      </c>
      <c r="BB274" s="173">
        <f t="shared" si="693"/>
        <v>6.9864910614802422</v>
      </c>
      <c r="BC274" s="173">
        <f t="shared" si="694"/>
        <v>0.17205946614155268</v>
      </c>
      <c r="BD274" s="173"/>
      <c r="BE274" s="528">
        <f t="shared" si="695"/>
        <v>0.1798847582346734</v>
      </c>
      <c r="BF274" s="528">
        <f t="shared" si="762"/>
        <v>2.0679955125350267</v>
      </c>
      <c r="BG274" s="528">
        <f t="shared" si="763"/>
        <v>0.17625289483147355</v>
      </c>
      <c r="BH274" s="528">
        <f t="shared" si="696"/>
        <v>8.4192635653951811E-2</v>
      </c>
      <c r="BI274">
        <f t="shared" si="697"/>
        <v>3.8078085774140909E-2</v>
      </c>
      <c r="BJ274" s="460">
        <f t="shared" si="698"/>
        <v>214.33098060561446</v>
      </c>
      <c r="BK274">
        <f t="shared" si="764"/>
        <v>2.4869349282921296</v>
      </c>
      <c r="BL274" s="460">
        <f t="shared" si="699"/>
        <v>2546.4038870292661</v>
      </c>
      <c r="BM274" s="173">
        <f t="shared" si="765"/>
        <v>3.6032499999999996</v>
      </c>
      <c r="BN274" s="173">
        <f t="shared" si="766"/>
        <v>6.4343749999999991E-2</v>
      </c>
      <c r="BQ274" s="460">
        <f t="shared" si="700"/>
        <v>3667.5937499999995</v>
      </c>
      <c r="BR274" s="528">
        <f t="shared" si="701"/>
        <v>0.26982713735201008</v>
      </c>
      <c r="BS274" s="528">
        <f t="shared" si="702"/>
        <v>1.4643317205642996</v>
      </c>
      <c r="BT274" s="528">
        <f t="shared" si="703"/>
        <v>1.4802229944458058E-4</v>
      </c>
      <c r="BU274" s="528">
        <f t="shared" si="704"/>
        <v>1.9937249443735696</v>
      </c>
      <c r="BV274" s="528"/>
      <c r="BW274" s="625">
        <f t="shared" si="705"/>
        <v>1.4448492424567461E-2</v>
      </c>
      <c r="BX274" s="460">
        <f t="shared" si="706"/>
        <v>3742.4803170138912</v>
      </c>
      <c r="BY274" s="173">
        <f t="shared" si="707"/>
        <v>9.9564779540431552</v>
      </c>
      <c r="BZ274" s="5">
        <f t="shared" si="708"/>
        <v>88.16</v>
      </c>
      <c r="CA274" s="173">
        <f t="shared" si="709"/>
        <v>0.89852389566300295</v>
      </c>
      <c r="CB274" s="5">
        <f t="shared" si="710"/>
        <v>89.852389566300289</v>
      </c>
      <c r="CC274">
        <f t="shared" si="711"/>
        <v>57.999999999999993</v>
      </c>
      <c r="CE274" s="562">
        <f t="shared" si="767"/>
        <v>-50</v>
      </c>
      <c r="CG274" s="173">
        <f t="shared" si="768"/>
        <v>0.84409136047666333</v>
      </c>
      <c r="CH274" s="173">
        <f t="shared" si="769"/>
        <v>0.1020398968288061</v>
      </c>
      <c r="CI274" s="170">
        <v>58</v>
      </c>
      <c r="CJ274" s="217">
        <f t="shared" si="712"/>
        <v>5.8</v>
      </c>
      <c r="CK274" s="217">
        <f t="shared" si="654"/>
        <v>0.14499999999999999</v>
      </c>
      <c r="CL274" s="217">
        <f t="shared" si="655"/>
        <v>87</v>
      </c>
      <c r="CM274" s="217">
        <f t="shared" si="656"/>
        <v>1.1599999999999999</v>
      </c>
      <c r="CN274" s="541">
        <f t="shared" si="657"/>
        <v>85</v>
      </c>
      <c r="CO274" s="443">
        <f t="shared" si="770"/>
        <v>15.7</v>
      </c>
      <c r="CP274" s="443">
        <f t="shared" si="771"/>
        <v>100.7</v>
      </c>
      <c r="CQ274" s="443"/>
      <c r="CR274" s="217">
        <f t="shared" si="660"/>
        <v>0.15338645418326693</v>
      </c>
      <c r="CS274" s="172">
        <f t="shared" si="661"/>
        <v>321.65744915076539</v>
      </c>
      <c r="CT274" s="172">
        <f t="shared" si="662"/>
        <v>4.3459495351925632</v>
      </c>
      <c r="CU274" s="217">
        <f t="shared" si="663"/>
        <v>21.443829943384358</v>
      </c>
      <c r="CV274" s="217">
        <f t="shared" si="664"/>
        <v>40.207181143845673</v>
      </c>
      <c r="CW274" s="217">
        <f t="shared" si="665"/>
        <v>15</v>
      </c>
      <c r="CX274" s="217">
        <f t="shared" si="666"/>
        <v>13.523703590527118</v>
      </c>
      <c r="CY274" s="217">
        <f t="shared" si="667"/>
        <v>1.9092287421920635</v>
      </c>
      <c r="CZ274" s="217">
        <f t="shared" si="668"/>
        <v>10.336588731613084</v>
      </c>
      <c r="DA274" s="197">
        <f t="shared" si="669"/>
        <v>110.43528632903013</v>
      </c>
      <c r="DB274" s="443">
        <f t="shared" si="670"/>
        <v>81.660534475471778</v>
      </c>
      <c r="DD274" s="217">
        <f t="shared" si="671"/>
        <v>9.9999999999999982</v>
      </c>
      <c r="DE274" s="173">
        <f t="shared" si="672"/>
        <v>7.6433121019108263</v>
      </c>
      <c r="DF274" s="173">
        <f t="shared" si="673"/>
        <v>4.1649244760361679</v>
      </c>
      <c r="DG274" s="173"/>
      <c r="DH274" s="173">
        <f t="shared" si="674"/>
        <v>7.6433121019108281</v>
      </c>
      <c r="DI274" s="545">
        <f t="shared" si="675"/>
        <v>151.76666666666668</v>
      </c>
      <c r="DJ274" s="528">
        <f t="shared" si="676"/>
        <v>4.2204568023833167</v>
      </c>
      <c r="DL274" s="173">
        <f t="shared" si="677"/>
        <v>6.4792709760398495</v>
      </c>
      <c r="DM274" s="173">
        <f t="shared" si="678"/>
        <v>13.523703590527118</v>
      </c>
      <c r="DN274" s="173">
        <f t="shared" si="679"/>
        <v>3.8101508077978652</v>
      </c>
      <c r="DP274" s="545">
        <f t="shared" si="680"/>
        <v>5800</v>
      </c>
      <c r="DQ274" s="460">
        <f t="shared" si="681"/>
        <v>81.660534475471778</v>
      </c>
      <c r="DS274">
        <f t="shared" si="682"/>
        <v>5800</v>
      </c>
      <c r="DT274">
        <f t="shared" si="683"/>
        <v>81.660534475471778</v>
      </c>
      <c r="DV274" s="5">
        <f t="shared" si="684"/>
        <v>12.245817473805149</v>
      </c>
      <c r="DW274" s="5">
        <f t="shared" si="685"/>
        <v>1.9092287421920635</v>
      </c>
      <c r="DX274" s="5">
        <f t="shared" si="686"/>
        <v>10.336588731613086</v>
      </c>
      <c r="DY274" s="173">
        <f t="shared" si="687"/>
        <v>0.15590863952333661</v>
      </c>
      <c r="EA274" s="5">
        <f t="shared" si="713"/>
        <v>73.823511364759781</v>
      </c>
      <c r="EB274" s="5">
        <f t="shared" si="714"/>
        <v>3.4604770952231152</v>
      </c>
      <c r="EC274" s="5">
        <f t="shared" si="715"/>
        <v>2.9388340511448967</v>
      </c>
      <c r="ED274" s="5"/>
      <c r="EE274" s="173">
        <f t="shared" si="716"/>
        <v>3.0829757380850094</v>
      </c>
      <c r="EF274" s="173">
        <f t="shared" si="717"/>
        <v>7.173477552753468</v>
      </c>
      <c r="EG274" s="173">
        <f t="shared" si="718"/>
        <v>0.17666446678937953</v>
      </c>
      <c r="EH274" s="173"/>
      <c r="EI274" s="528">
        <f t="shared" si="719"/>
        <v>0.19009478803241617</v>
      </c>
      <c r="EJ274" s="528">
        <f t="shared" si="720"/>
        <v>2.2241666666666671</v>
      </c>
      <c r="EK274" s="528">
        <f t="shared" si="721"/>
        <v>1.0207566809433972E-2</v>
      </c>
      <c r="EL274" s="528">
        <f t="shared" si="722"/>
        <v>8.280778332431768E-2</v>
      </c>
      <c r="EM274">
        <f t="shared" si="723"/>
        <v>3.8249999999999999E-2</v>
      </c>
      <c r="EN274" s="460">
        <f t="shared" si="724"/>
        <v>48.45756680943397</v>
      </c>
      <c r="EP274" s="460">
        <f t="shared" si="725"/>
        <v>2545.5268048328348</v>
      </c>
      <c r="EQ274" s="173">
        <f t="shared" si="726"/>
        <v>4.0599999999999996</v>
      </c>
      <c r="ER274" s="173">
        <f t="shared" si="772"/>
        <v>6.4343749999999991E-2</v>
      </c>
      <c r="ES274" s="528"/>
      <c r="EU274" s="460">
        <f t="shared" si="727"/>
        <v>4124.3437499999991</v>
      </c>
      <c r="EV274" s="528">
        <f t="shared" si="728"/>
        <v>0.28514218204862424</v>
      </c>
      <c r="EW274" s="528">
        <f t="shared" si="729"/>
        <v>1.5437634059957364</v>
      </c>
      <c r="EX274" s="528">
        <f t="shared" si="730"/>
        <v>1.5605166912987891E-4</v>
      </c>
      <c r="EY274" s="528">
        <f t="shared" si="731"/>
        <v>2.0264675705467909</v>
      </c>
      <c r="EZ274" s="528"/>
      <c r="FA274" s="625">
        <f t="shared" si="732"/>
        <v>1.4934940782487952E-2</v>
      </c>
      <c r="FB274" s="460">
        <f t="shared" si="733"/>
        <v>3870.4641510427696</v>
      </c>
      <c r="FC274" s="173">
        <f t="shared" si="734"/>
        <v>10.540334705875605</v>
      </c>
      <c r="FD274" s="5">
        <f t="shared" si="735"/>
        <v>88.16</v>
      </c>
      <c r="FE274" s="173">
        <f t="shared" si="736"/>
        <v>0.89320872378715299</v>
      </c>
      <c r="FF274" s="5">
        <f t="shared" si="737"/>
        <v>89.320872378715293</v>
      </c>
      <c r="FG274">
        <f t="shared" si="738"/>
        <v>57.999999999999993</v>
      </c>
      <c r="FI274" s="562">
        <f t="shared" si="689"/>
        <v>-50</v>
      </c>
    </row>
    <row r="275" spans="5:165">
      <c r="E275" s="170">
        <v>59</v>
      </c>
      <c r="F275" s="217">
        <f t="shared" si="773"/>
        <v>5.8999999999999995</v>
      </c>
      <c r="G275" s="217">
        <f t="shared" si="742"/>
        <v>0.14749999999999999</v>
      </c>
      <c r="H275" s="217">
        <f t="shared" si="743"/>
        <v>88.499999999999986</v>
      </c>
      <c r="I275" s="217">
        <f t="shared" si="744"/>
        <v>1.18</v>
      </c>
      <c r="J275" s="541">
        <f t="shared" si="745"/>
        <v>84.611381635031179</v>
      </c>
      <c r="K275" s="443">
        <f t="shared" si="746"/>
        <v>15.90969294117647</v>
      </c>
      <c r="L275" s="172">
        <f t="shared" si="747"/>
        <v>100.52107457620765</v>
      </c>
      <c r="M275" s="443"/>
      <c r="N275" s="217">
        <f t="shared" si="748"/>
        <v>0.15827221314785006</v>
      </c>
      <c r="O275" s="172">
        <f t="shared" si="749"/>
        <v>330.38562406760872</v>
      </c>
      <c r="P275" s="172">
        <f t="shared" si="750"/>
        <v>4.4638768762912475</v>
      </c>
      <c r="Q275" s="217">
        <f t="shared" si="626"/>
        <v>22.025708271173915</v>
      </c>
      <c r="R275" s="217">
        <f t="shared" si="751"/>
        <v>41.29820300845109</v>
      </c>
      <c r="S275" s="217">
        <f t="shared" si="752"/>
        <v>15</v>
      </c>
      <c r="T275" s="217">
        <f t="shared" si="753"/>
        <v>13.393439900685527</v>
      </c>
      <c r="U275" s="217">
        <f t="shared" si="630"/>
        <v>1.8995231575521725</v>
      </c>
      <c r="V275" s="217">
        <f t="shared" si="631"/>
        <v>10.102098098465344</v>
      </c>
      <c r="W275" s="197">
        <f t="shared" si="632"/>
        <v>111.5969219072812</v>
      </c>
      <c r="X275" s="443">
        <f t="shared" si="691"/>
        <v>81.956321952447638</v>
      </c>
      <c r="Z275" s="217">
        <f t="shared" si="633"/>
        <v>10</v>
      </c>
      <c r="AA275" s="173">
        <f t="shared" si="634"/>
        <v>7.542571716731473</v>
      </c>
      <c r="AB275" s="173">
        <f t="shared" si="754"/>
        <v>4.1532621061783725</v>
      </c>
      <c r="AC275" s="173"/>
      <c r="AD275" s="173">
        <f t="shared" si="636"/>
        <v>7.542571716731473</v>
      </c>
      <c r="AE275" s="545">
        <f t="shared" si="755"/>
        <v>156.44531392156858</v>
      </c>
      <c r="AF275" s="528">
        <f t="shared" si="756"/>
        <v>4.2086389342607502</v>
      </c>
      <c r="AH275" s="173">
        <f t="shared" si="757"/>
        <v>6.5348880560237523</v>
      </c>
      <c r="AI275" s="173">
        <f t="shared" si="758"/>
        <v>13.393439900685527</v>
      </c>
      <c r="AJ275" s="173">
        <f t="shared" si="759"/>
        <v>3.7136591856929826</v>
      </c>
      <c r="AL275" s="545">
        <f t="shared" si="760"/>
        <v>5899.9999999999991</v>
      </c>
      <c r="AM275" s="460">
        <f t="shared" si="761"/>
        <v>81.956321952447638</v>
      </c>
      <c r="AO275">
        <f t="shared" si="644"/>
        <v>5899.9999999999991</v>
      </c>
      <c r="AP275">
        <f t="shared" si="645"/>
        <v>81.956321952447638</v>
      </c>
      <c r="AR275" s="5">
        <f t="shared" si="774"/>
        <v>12.201621256017516</v>
      </c>
      <c r="AS275" s="5">
        <f t="shared" si="739"/>
        <v>1.8995231575521725</v>
      </c>
      <c r="AT275" s="5">
        <f t="shared" si="740"/>
        <v>10.302098098465343</v>
      </c>
      <c r="AU275" s="173">
        <f t="shared" si="741"/>
        <v>0.15567793145647577</v>
      </c>
      <c r="BA275" s="173">
        <f t="shared" si="692"/>
        <v>3.0510198421609371</v>
      </c>
      <c r="BB275" s="173">
        <f t="shared" si="693"/>
        <v>7.1053516483820349</v>
      </c>
      <c r="BC275" s="173">
        <f t="shared" si="694"/>
        <v>0.17498669941897718</v>
      </c>
      <c r="BD275" s="173"/>
      <c r="BE275" s="528">
        <f t="shared" si="695"/>
        <v>0.186174441545195</v>
      </c>
      <c r="BF275" s="528">
        <f t="shared" si="762"/>
        <v>2.0688689788223757</v>
      </c>
      <c r="BG275" s="528">
        <f t="shared" si="763"/>
        <v>0.17336094085305076</v>
      </c>
      <c r="BH275" s="528">
        <f t="shared" si="696"/>
        <v>8.2812654334539659E-2</v>
      </c>
      <c r="BI275">
        <f t="shared" si="697"/>
        <v>3.807512173576403E-2</v>
      </c>
      <c r="BJ275" s="460">
        <f t="shared" si="698"/>
        <v>211.43606258881479</v>
      </c>
      <c r="BK275">
        <f t="shared" si="764"/>
        <v>2.4986511246314125</v>
      </c>
      <c r="BL275" s="460">
        <f t="shared" si="699"/>
        <v>2549.292137290925</v>
      </c>
      <c r="BM275" s="173">
        <f t="shared" si="765"/>
        <v>3.6653749999999987</v>
      </c>
      <c r="BN275" s="173">
        <f t="shared" si="766"/>
        <v>6.5453124999999987E-2</v>
      </c>
      <c r="BQ275" s="460">
        <f t="shared" si="700"/>
        <v>3730.8281249999986</v>
      </c>
      <c r="BR275" s="528">
        <f t="shared" si="701"/>
        <v>0.27926166231779248</v>
      </c>
      <c r="BS275" s="528">
        <f t="shared" si="702"/>
        <v>1.5145806614149588</v>
      </c>
      <c r="BT275" s="528">
        <f t="shared" si="703"/>
        <v>1.5310172486773734E-4</v>
      </c>
      <c r="BU275" s="528">
        <f t="shared" si="704"/>
        <v>1.9959813869105569</v>
      </c>
      <c r="BV275" s="528"/>
      <c r="BW275" s="625">
        <f t="shared" si="705"/>
        <v>1.4701671901576818E-2</v>
      </c>
      <c r="BX275" s="460">
        <f t="shared" si="706"/>
        <v>3804.678484269753</v>
      </c>
      <c r="BY275" s="173">
        <f t="shared" si="707"/>
        <v>10.084798746560677</v>
      </c>
      <c r="BZ275" s="5">
        <f t="shared" si="708"/>
        <v>89.679999999999993</v>
      </c>
      <c r="CA275" s="173">
        <f t="shared" si="709"/>
        <v>0.89891425760122279</v>
      </c>
      <c r="CB275" s="5">
        <f t="shared" si="710"/>
        <v>89.891425760122274</v>
      </c>
      <c r="CC275">
        <f t="shared" si="711"/>
        <v>59</v>
      </c>
      <c r="CE275" s="562">
        <f t="shared" si="767"/>
        <v>-50</v>
      </c>
      <c r="CG275" s="173">
        <f t="shared" si="768"/>
        <v>0.84409136047666333</v>
      </c>
      <c r="CH275" s="173">
        <f t="shared" si="769"/>
        <v>0.1020398968288061</v>
      </c>
      <c r="CI275" s="170">
        <v>59</v>
      </c>
      <c r="CJ275" s="217">
        <f t="shared" si="712"/>
        <v>5.8999999999999995</v>
      </c>
      <c r="CK275" s="217">
        <f t="shared" si="654"/>
        <v>0.14749999999999999</v>
      </c>
      <c r="CL275" s="217">
        <f t="shared" si="655"/>
        <v>88.499999999999986</v>
      </c>
      <c r="CM275" s="217">
        <f t="shared" si="656"/>
        <v>1.18</v>
      </c>
      <c r="CN275" s="541">
        <f t="shared" si="657"/>
        <v>85</v>
      </c>
      <c r="CO275" s="443">
        <f t="shared" si="770"/>
        <v>15.7</v>
      </c>
      <c r="CP275" s="443">
        <f t="shared" si="771"/>
        <v>100.7</v>
      </c>
      <c r="CQ275" s="443"/>
      <c r="CR275" s="217">
        <f t="shared" si="660"/>
        <v>0.15338645418326693</v>
      </c>
      <c r="CS275" s="172">
        <f t="shared" si="661"/>
        <v>321.65744915076539</v>
      </c>
      <c r="CT275" s="172">
        <f t="shared" si="662"/>
        <v>4.3459495351925632</v>
      </c>
      <c r="CU275" s="217">
        <f t="shared" si="663"/>
        <v>21.443829943384358</v>
      </c>
      <c r="CV275" s="217">
        <f t="shared" si="664"/>
        <v>40.207181143845673</v>
      </c>
      <c r="CW275" s="217">
        <f t="shared" si="665"/>
        <v>15</v>
      </c>
      <c r="CX275" s="217">
        <f t="shared" si="666"/>
        <v>13.756870893812069</v>
      </c>
      <c r="CY275" s="217">
        <f t="shared" si="667"/>
        <v>1.9421464791264096</v>
      </c>
      <c r="CZ275" s="217">
        <f t="shared" si="668"/>
        <v>10.514805778709862</v>
      </c>
      <c r="DA275" s="197">
        <f t="shared" si="669"/>
        <v>110.43528632903013</v>
      </c>
      <c r="DB275" s="443">
        <f t="shared" si="670"/>
        <v>80.276457619955309</v>
      </c>
      <c r="DD275" s="217">
        <f t="shared" si="671"/>
        <v>9.9999999999999982</v>
      </c>
      <c r="DE275" s="173">
        <f t="shared" si="672"/>
        <v>7.6433121019108263</v>
      </c>
      <c r="DF275" s="173">
        <f t="shared" si="673"/>
        <v>4.1649244760361679</v>
      </c>
      <c r="DG275" s="173"/>
      <c r="DH275" s="173">
        <f t="shared" si="674"/>
        <v>7.6433121019108281</v>
      </c>
      <c r="DI275" s="545">
        <f t="shared" si="675"/>
        <v>154.38333333333335</v>
      </c>
      <c r="DJ275" s="528">
        <f t="shared" si="676"/>
        <v>4.2204568023833167</v>
      </c>
      <c r="DL275" s="173">
        <f t="shared" si="677"/>
        <v>6.5348880560237523</v>
      </c>
      <c r="DM275" s="173">
        <f t="shared" si="678"/>
        <v>13.756870893812069</v>
      </c>
      <c r="DN275" s="173">
        <f t="shared" si="679"/>
        <v>3.9828673287496805</v>
      </c>
      <c r="DP275" s="545">
        <f t="shared" si="680"/>
        <v>5899.9999999999991</v>
      </c>
      <c r="DQ275" s="460">
        <f t="shared" si="681"/>
        <v>80.276457619955309</v>
      </c>
      <c r="DS275">
        <f t="shared" si="682"/>
        <v>5899.9999999999991</v>
      </c>
      <c r="DT275">
        <f t="shared" si="683"/>
        <v>80.276457619955309</v>
      </c>
      <c r="DV275" s="5">
        <f t="shared" si="684"/>
        <v>12.456952257836273</v>
      </c>
      <c r="DW275" s="5">
        <f t="shared" si="685"/>
        <v>1.9421464791264096</v>
      </c>
      <c r="DX275" s="5">
        <f t="shared" si="686"/>
        <v>10.514805778709864</v>
      </c>
      <c r="DY275" s="173">
        <f t="shared" si="687"/>
        <v>0.15590863952333661</v>
      </c>
      <c r="EA275" s="5">
        <f t="shared" si="713"/>
        <v>76.391094845638776</v>
      </c>
      <c r="EB275" s="5">
        <f t="shared" si="714"/>
        <v>3.5808325708893176</v>
      </c>
      <c r="EC275" s="5">
        <f t="shared" si="715"/>
        <v>3.0410467693327541</v>
      </c>
      <c r="ED275" s="5"/>
      <c r="EE275" s="173">
        <f t="shared" si="716"/>
        <v>3.1361304921899231</v>
      </c>
      <c r="EF275" s="173">
        <f t="shared" si="717"/>
        <v>7.297158200214735</v>
      </c>
      <c r="EG275" s="173">
        <f t="shared" si="718"/>
        <v>0.17971040587195505</v>
      </c>
      <c r="EH275" s="173"/>
      <c r="EI275" s="528">
        <f t="shared" si="719"/>
        <v>0.1967062892808682</v>
      </c>
      <c r="EJ275" s="528">
        <f t="shared" si="720"/>
        <v>2.2241666666666671</v>
      </c>
      <c r="EK275" s="528">
        <f t="shared" si="721"/>
        <v>1.0034557202494413E-2</v>
      </c>
      <c r="EL275" s="528">
        <f t="shared" si="722"/>
        <v>8.1404261573058065E-2</v>
      </c>
      <c r="EM275">
        <f t="shared" si="723"/>
        <v>3.8249999999999999E-2</v>
      </c>
      <c r="EN275" s="460">
        <f t="shared" si="724"/>
        <v>48.284557202494419</v>
      </c>
      <c r="EP275" s="460">
        <f t="shared" si="725"/>
        <v>2550.5617747230881</v>
      </c>
      <c r="EQ275" s="173">
        <f t="shared" si="726"/>
        <v>4.129999999999999</v>
      </c>
      <c r="ER275" s="173">
        <f t="shared" si="772"/>
        <v>6.5453124999999987E-2</v>
      </c>
      <c r="ES275" s="528"/>
      <c r="EU275" s="460">
        <f t="shared" si="727"/>
        <v>4195.4531249999991</v>
      </c>
      <c r="EV275" s="528">
        <f t="shared" si="728"/>
        <v>0.29505943392130229</v>
      </c>
      <c r="EW275" s="528">
        <f t="shared" si="729"/>
        <v>1.5974555339688346</v>
      </c>
      <c r="EX275" s="528">
        <f t="shared" si="730"/>
        <v>1.6147914989331409E-4</v>
      </c>
      <c r="EY275" s="528">
        <f t="shared" si="731"/>
        <v>2.0264675705467927</v>
      </c>
      <c r="EZ275" s="528"/>
      <c r="FA275" s="625">
        <f t="shared" si="732"/>
        <v>1.5192439761496368E-2</v>
      </c>
      <c r="FB275" s="460">
        <f t="shared" si="733"/>
        <v>3934.3364573483191</v>
      </c>
      <c r="FC275" s="173">
        <f t="shared" si="734"/>
        <v>10.680351357071405</v>
      </c>
      <c r="FD275" s="5">
        <f t="shared" si="735"/>
        <v>89.679999999999993</v>
      </c>
      <c r="FE275" s="173">
        <f t="shared" si="736"/>
        <v>0.8935799724427842</v>
      </c>
      <c r="FF275" s="5">
        <f t="shared" si="737"/>
        <v>89.357997244278422</v>
      </c>
      <c r="FG275">
        <f t="shared" si="738"/>
        <v>59</v>
      </c>
      <c r="FI275" s="562">
        <f t="shared" si="689"/>
        <v>-50</v>
      </c>
    </row>
    <row r="276" spans="5:165">
      <c r="E276" s="170">
        <v>60</v>
      </c>
      <c r="F276" s="217">
        <f t="shared" si="773"/>
        <v>6</v>
      </c>
      <c r="G276" s="217">
        <f t="shared" si="742"/>
        <v>0.15</v>
      </c>
      <c r="H276" s="217">
        <f t="shared" si="743"/>
        <v>90</v>
      </c>
      <c r="I276" s="217">
        <f t="shared" si="744"/>
        <v>1.2</v>
      </c>
      <c r="J276" s="541">
        <f t="shared" si="745"/>
        <v>84.604794883082562</v>
      </c>
      <c r="K276" s="443">
        <f t="shared" si="746"/>
        <v>15.913247058823529</v>
      </c>
      <c r="L276" s="172">
        <f t="shared" si="747"/>
        <v>100.51804194190609</v>
      </c>
      <c r="M276" s="443"/>
      <c r="N276" s="217">
        <f t="shared" si="748"/>
        <v>0.15831234623551971</v>
      </c>
      <c r="O276" s="172">
        <f t="shared" si="749"/>
        <v>330.4436738663411</v>
      </c>
      <c r="P276" s="172">
        <f t="shared" si="750"/>
        <v>4.4646611935718976</v>
      </c>
      <c r="Q276" s="217">
        <f t="shared" si="626"/>
        <v>22.029578257756075</v>
      </c>
      <c r="R276" s="217">
        <f t="shared" si="751"/>
        <v>41.305459233292638</v>
      </c>
      <c r="S276" s="217">
        <f t="shared" si="752"/>
        <v>15</v>
      </c>
      <c r="T276" s="217">
        <f t="shared" si="753"/>
        <v>13.618054621376031</v>
      </c>
      <c r="U276" s="217">
        <f t="shared" si="630"/>
        <v>1.9315294798875389</v>
      </c>
      <c r="V276" s="217">
        <f t="shared" si="631"/>
        <v>10.269221287927003</v>
      </c>
      <c r="W276" s="197">
        <f t="shared" si="632"/>
        <v>111.61652983929743</v>
      </c>
      <c r="X276" s="443">
        <f t="shared" si="691"/>
        <v>80.640278860812558</v>
      </c>
      <c r="Z276" s="217">
        <f t="shared" si="633"/>
        <v>10</v>
      </c>
      <c r="AA276" s="173">
        <f t="shared" si="634"/>
        <v>7.5408871336200844</v>
      </c>
      <c r="AB276" s="173">
        <f t="shared" si="754"/>
        <v>4.1530640810747386</v>
      </c>
      <c r="AC276" s="173"/>
      <c r="AD276" s="173">
        <f t="shared" si="636"/>
        <v>7.5408871336200844</v>
      </c>
      <c r="AE276" s="545">
        <f t="shared" si="755"/>
        <v>159.13247058823529</v>
      </c>
      <c r="AF276" s="528">
        <f t="shared" si="756"/>
        <v>4.2084382688224009</v>
      </c>
      <c r="AH276" s="173">
        <f t="shared" si="757"/>
        <v>6.590035768383312</v>
      </c>
      <c r="AI276" s="173">
        <f t="shared" si="758"/>
        <v>13.618054621376031</v>
      </c>
      <c r="AJ276" s="173">
        <f t="shared" si="759"/>
        <v>3.8800404602785408</v>
      </c>
      <c r="AL276" s="545">
        <f t="shared" si="760"/>
        <v>6000</v>
      </c>
      <c r="AM276" s="460">
        <f t="shared" si="761"/>
        <v>80.640278860812558</v>
      </c>
      <c r="AO276">
        <f t="shared" si="644"/>
        <v>6000</v>
      </c>
      <c r="AP276">
        <f t="shared" si="645"/>
        <v>80.640278860812558</v>
      </c>
      <c r="AR276" s="5">
        <f t="shared" si="774"/>
        <v>12.400750767814541</v>
      </c>
      <c r="AS276" s="5">
        <f t="shared" si="739"/>
        <v>1.9315294798875389</v>
      </c>
      <c r="AT276" s="5">
        <f t="shared" si="740"/>
        <v>10.469221287927002</v>
      </c>
      <c r="AU276" s="173">
        <f t="shared" si="741"/>
        <v>0.15575907588601137</v>
      </c>
      <c r="BA276" s="173">
        <f t="shared" si="692"/>
        <v>3.1029953541482636</v>
      </c>
      <c r="BB276" s="173">
        <f t="shared" si="693"/>
        <v>7.2241647998732681</v>
      </c>
      <c r="BC276" s="173">
        <f t="shared" si="694"/>
        <v>0.17791276448315346</v>
      </c>
      <c r="BD276" s="173"/>
      <c r="BE276" s="528">
        <f t="shared" si="695"/>
        <v>0.19257160335731416</v>
      </c>
      <c r="BF276" s="528">
        <f t="shared" si="762"/>
        <v>2.0697237579025929</v>
      </c>
      <c r="BG276" s="528">
        <f t="shared" si="763"/>
        <v>0.17056385630834059</v>
      </c>
      <c r="BH276" s="528">
        <f t="shared" si="696"/>
        <v>8.1477943916579976E-2</v>
      </c>
      <c r="BI276">
        <f t="shared" si="697"/>
        <v>3.807215769738715E-2</v>
      </c>
      <c r="BJ276" s="460">
        <f t="shared" si="698"/>
        <v>208.63601400572773</v>
      </c>
      <c r="BK276">
        <f t="shared" si="764"/>
        <v>2.5106420998958376</v>
      </c>
      <c r="BL276" s="460">
        <f t="shared" si="699"/>
        <v>2552.4093191822153</v>
      </c>
      <c r="BM276" s="173">
        <f t="shared" si="765"/>
        <v>3.7274999999999991</v>
      </c>
      <c r="BN276" s="173">
        <f t="shared" si="766"/>
        <v>6.6562499999999997E-2</v>
      </c>
      <c r="BQ276" s="460">
        <f t="shared" si="700"/>
        <v>3794.0624999999991</v>
      </c>
      <c r="BR276" s="528">
        <f t="shared" si="701"/>
        <v>0.28885740503597124</v>
      </c>
      <c r="BS276" s="528">
        <f t="shared" si="702"/>
        <v>1.5656567116718392</v>
      </c>
      <c r="BT276" s="528">
        <f t="shared" si="703"/>
        <v>1.5826475883019015E-4</v>
      </c>
      <c r="BU276" s="528">
        <f t="shared" si="704"/>
        <v>1.9981943935592117</v>
      </c>
      <c r="BV276" s="528"/>
      <c r="BW276" s="625">
        <f t="shared" si="705"/>
        <v>1.4954853552263135E-2</v>
      </c>
      <c r="BX276" s="460">
        <f t="shared" si="706"/>
        <v>3867.8216285781155</v>
      </c>
      <c r="BY276" s="173">
        <f t="shared" si="707"/>
        <v>10.21429344776033</v>
      </c>
      <c r="BZ276" s="5">
        <f t="shared" si="708"/>
        <v>91.2</v>
      </c>
      <c r="CA276" s="173">
        <f t="shared" si="709"/>
        <v>0.89928152038034137</v>
      </c>
      <c r="CB276" s="5">
        <f t="shared" si="710"/>
        <v>89.928152038034142</v>
      </c>
      <c r="CC276">
        <f t="shared" si="711"/>
        <v>60</v>
      </c>
      <c r="CE276" s="562">
        <f t="shared" si="767"/>
        <v>-50</v>
      </c>
      <c r="CG276" s="173">
        <f t="shared" si="768"/>
        <v>0.84409136047666333</v>
      </c>
      <c r="CH276" s="173">
        <f t="shared" si="769"/>
        <v>0.10203989682880611</v>
      </c>
      <c r="CI276" s="170">
        <v>60</v>
      </c>
      <c r="CJ276" s="217">
        <f t="shared" si="712"/>
        <v>6</v>
      </c>
      <c r="CK276" s="217">
        <f t="shared" si="654"/>
        <v>0.15</v>
      </c>
      <c r="CL276" s="217">
        <f t="shared" si="655"/>
        <v>90</v>
      </c>
      <c r="CM276" s="217">
        <f t="shared" si="656"/>
        <v>1.2</v>
      </c>
      <c r="CN276" s="541">
        <f t="shared" si="657"/>
        <v>85</v>
      </c>
      <c r="CO276" s="443">
        <f t="shared" si="770"/>
        <v>15.7</v>
      </c>
      <c r="CP276" s="443">
        <f t="shared" si="771"/>
        <v>100.7</v>
      </c>
      <c r="CQ276" s="443"/>
      <c r="CR276" s="217">
        <f t="shared" si="660"/>
        <v>0.15338645418326693</v>
      </c>
      <c r="CS276" s="172">
        <f t="shared" si="661"/>
        <v>321.65744915076539</v>
      </c>
      <c r="CT276" s="172">
        <f t="shared" si="662"/>
        <v>4.3459495351925632</v>
      </c>
      <c r="CU276" s="217">
        <f t="shared" si="663"/>
        <v>21.443829943384358</v>
      </c>
      <c r="CV276" s="217">
        <f t="shared" si="664"/>
        <v>40.207181143845673</v>
      </c>
      <c r="CW276" s="217">
        <f t="shared" si="665"/>
        <v>15</v>
      </c>
      <c r="CX276" s="217">
        <f t="shared" si="666"/>
        <v>13.99003819709702</v>
      </c>
      <c r="CY276" s="217">
        <f t="shared" si="667"/>
        <v>1.9750642160607557</v>
      </c>
      <c r="CZ276" s="217">
        <f t="shared" si="668"/>
        <v>10.69302282580664</v>
      </c>
      <c r="DA276" s="197">
        <f t="shared" si="669"/>
        <v>110.43528632903013</v>
      </c>
      <c r="DB276" s="443">
        <f t="shared" si="670"/>
        <v>78.938516659622721</v>
      </c>
      <c r="DD276" s="217">
        <f t="shared" si="671"/>
        <v>9.9999999999999982</v>
      </c>
      <c r="DE276" s="173">
        <f t="shared" si="672"/>
        <v>7.6433121019108263</v>
      </c>
      <c r="DF276" s="173">
        <f t="shared" si="673"/>
        <v>4.1649244760361679</v>
      </c>
      <c r="DG276" s="173"/>
      <c r="DH276" s="173">
        <f t="shared" si="674"/>
        <v>7.6433121019108281</v>
      </c>
      <c r="DI276" s="545">
        <f t="shared" si="675"/>
        <v>157.00000000000003</v>
      </c>
      <c r="DJ276" s="528">
        <f t="shared" si="676"/>
        <v>4.2204568023833167</v>
      </c>
      <c r="DL276" s="173">
        <f t="shared" si="677"/>
        <v>6.590035768383312</v>
      </c>
      <c r="DM276" s="173">
        <f t="shared" si="678"/>
        <v>13.99003819709702</v>
      </c>
      <c r="DN276" s="173">
        <f t="shared" si="679"/>
        <v>4.1555838497014959</v>
      </c>
      <c r="DP276" s="545">
        <f t="shared" si="680"/>
        <v>6000</v>
      </c>
      <c r="DQ276" s="460">
        <f t="shared" si="681"/>
        <v>78.938516659622721</v>
      </c>
      <c r="DS276">
        <f t="shared" si="682"/>
        <v>6000</v>
      </c>
      <c r="DT276">
        <f t="shared" si="683"/>
        <v>78.938516659622721</v>
      </c>
      <c r="DV276" s="5">
        <f t="shared" si="684"/>
        <v>12.668087041867395</v>
      </c>
      <c r="DW276" s="5">
        <f t="shared" si="685"/>
        <v>1.9750642160607557</v>
      </c>
      <c r="DX276" s="5">
        <f t="shared" si="686"/>
        <v>10.69302282580664</v>
      </c>
      <c r="DY276" s="173">
        <f t="shared" si="687"/>
        <v>0.15590863952333664</v>
      </c>
      <c r="EA276" s="5">
        <f t="shared" si="713"/>
        <v>79.002568642430234</v>
      </c>
      <c r="EB276" s="5">
        <f t="shared" si="714"/>
        <v>3.703245405113917</v>
      </c>
      <c r="EC276" s="5">
        <f t="shared" si="715"/>
        <v>3.145006713472541</v>
      </c>
      <c r="ED276" s="5"/>
      <c r="EE276" s="173">
        <f t="shared" si="716"/>
        <v>3.1892852462948378</v>
      </c>
      <c r="EF276" s="173">
        <f t="shared" si="717"/>
        <v>7.4208388476760012</v>
      </c>
      <c r="EG276" s="173">
        <f t="shared" si="718"/>
        <v>0.18275634495453058</v>
      </c>
      <c r="EH276" s="173"/>
      <c r="EI276" s="528">
        <f t="shared" si="719"/>
        <v>0.2034308076446785</v>
      </c>
      <c r="EJ276" s="528">
        <f t="shared" si="720"/>
        <v>2.2241666666666671</v>
      </c>
      <c r="EK276" s="528">
        <f t="shared" si="721"/>
        <v>9.8673145824528397E-3</v>
      </c>
      <c r="EL276" s="528">
        <f t="shared" si="722"/>
        <v>8.0047523880173763E-2</v>
      </c>
      <c r="EM276">
        <f t="shared" si="723"/>
        <v>3.8249999999999999E-2</v>
      </c>
      <c r="EN276" s="460">
        <f t="shared" si="724"/>
        <v>48.117314582452835</v>
      </c>
      <c r="EP276" s="460">
        <f t="shared" si="725"/>
        <v>2555.7623127739726</v>
      </c>
      <c r="EQ276" s="173">
        <f t="shared" si="726"/>
        <v>4.1999999999999993</v>
      </c>
      <c r="ER276" s="173">
        <f t="shared" si="772"/>
        <v>6.6562499999999997E-2</v>
      </c>
      <c r="ES276" s="528"/>
      <c r="EU276" s="460">
        <f t="shared" si="727"/>
        <v>4266.5624999999991</v>
      </c>
      <c r="EV276" s="528">
        <f t="shared" si="728"/>
        <v>0.30514621146701776</v>
      </c>
      <c r="EW276" s="528">
        <f t="shared" si="729"/>
        <v>1.6520654760953184</v>
      </c>
      <c r="EX276" s="528">
        <f t="shared" si="730"/>
        <v>1.6699940810569689E-4</v>
      </c>
      <c r="EY276" s="528">
        <f t="shared" si="731"/>
        <v>2.0264675705467927</v>
      </c>
      <c r="EZ276" s="528"/>
      <c r="FA276" s="625">
        <f t="shared" si="732"/>
        <v>1.5449938740504781E-2</v>
      </c>
      <c r="FB276" s="460">
        <f t="shared" si="733"/>
        <v>3999.2961962577397</v>
      </c>
      <c r="FC276" s="173">
        <f t="shared" si="734"/>
        <v>10.821621009031709</v>
      </c>
      <c r="FD276" s="5">
        <f t="shared" si="735"/>
        <v>91.2</v>
      </c>
      <c r="FE276" s="173">
        <f t="shared" si="736"/>
        <v>0.89392816050164792</v>
      </c>
      <c r="FF276" s="5">
        <f t="shared" si="737"/>
        <v>89.392816050164797</v>
      </c>
      <c r="FG276">
        <f t="shared" si="738"/>
        <v>60</v>
      </c>
      <c r="FI276" s="562">
        <f t="shared" si="689"/>
        <v>-50</v>
      </c>
    </row>
    <row r="277" spans="5:165">
      <c r="E277" s="170">
        <v>61</v>
      </c>
      <c r="F277" s="217">
        <f t="shared" si="773"/>
        <v>6.1</v>
      </c>
      <c r="G277" s="217">
        <f t="shared" si="742"/>
        <v>0.1525</v>
      </c>
      <c r="H277" s="217">
        <f t="shared" si="743"/>
        <v>91.5</v>
      </c>
      <c r="I277" s="217">
        <f t="shared" si="744"/>
        <v>1.22</v>
      </c>
      <c r="J277" s="541">
        <f t="shared" si="745"/>
        <v>84.59820813113393</v>
      </c>
      <c r="K277" s="443">
        <f t="shared" si="746"/>
        <v>15.916801176470587</v>
      </c>
      <c r="L277" s="172">
        <f t="shared" si="747"/>
        <v>100.51500930760452</v>
      </c>
      <c r="M277" s="443"/>
      <c r="N277" s="217">
        <f t="shared" si="748"/>
        <v>0.15835248174489691</v>
      </c>
      <c r="O277" s="172">
        <f t="shared" si="749"/>
        <v>330.50171567606185</v>
      </c>
      <c r="P277" s="172">
        <f t="shared" si="750"/>
        <v>4.4654454029121249</v>
      </c>
      <c r="Q277" s="217">
        <f t="shared" si="626"/>
        <v>22.033447711737455</v>
      </c>
      <c r="R277" s="217">
        <f t="shared" si="751"/>
        <v>41.312714459507731</v>
      </c>
      <c r="S277" s="217">
        <f t="shared" si="752"/>
        <v>15</v>
      </c>
      <c r="T277" s="217">
        <f t="shared" si="753"/>
        <v>13.842590773368761</v>
      </c>
      <c r="U277" s="217">
        <f t="shared" si="630"/>
        <v>1.9635296414663981</v>
      </c>
      <c r="V277" s="217">
        <f t="shared" si="631"/>
        <v>10.436210607818802</v>
      </c>
      <c r="W277" s="197">
        <f t="shared" si="632"/>
        <v>111.63613507280313</v>
      </c>
      <c r="X277" s="443">
        <f t="shared" si="691"/>
        <v>79.366715520721257</v>
      </c>
      <c r="Z277" s="217">
        <f t="shared" si="633"/>
        <v>10</v>
      </c>
      <c r="AA277" s="173">
        <f t="shared" si="634"/>
        <v>7.5392033028214884</v>
      </c>
      <c r="AB277" s="173">
        <f t="shared" si="754"/>
        <v>4.1528660440218905</v>
      </c>
      <c r="AC277" s="173"/>
      <c r="AD277" s="173">
        <f t="shared" si="636"/>
        <v>7.5392033028214884</v>
      </c>
      <c r="AE277" s="545">
        <f t="shared" si="755"/>
        <v>161.82081196078428</v>
      </c>
      <c r="AF277" s="528">
        <f t="shared" si="756"/>
        <v>4.2082375912755152</v>
      </c>
      <c r="AH277" s="173">
        <f t="shared" si="757"/>
        <v>6.6447257996384588</v>
      </c>
      <c r="AI277" s="173">
        <f t="shared" si="758"/>
        <v>13.842590773368761</v>
      </c>
      <c r="AJ277" s="173">
        <f t="shared" si="759"/>
        <v>4.0463635358287116</v>
      </c>
      <c r="AL277" s="545">
        <f t="shared" si="760"/>
        <v>6100</v>
      </c>
      <c r="AM277" s="460">
        <f t="shared" si="761"/>
        <v>79.366715520721257</v>
      </c>
      <c r="AO277">
        <f t="shared" si="644"/>
        <v>6100</v>
      </c>
      <c r="AP277">
        <f t="shared" si="645"/>
        <v>79.366715520721257</v>
      </c>
      <c r="AR277" s="5">
        <f t="shared" si="774"/>
        <v>12.599740249285199</v>
      </c>
      <c r="AS277" s="5">
        <f t="shared" si="739"/>
        <v>1.9635296414663981</v>
      </c>
      <c r="AT277" s="5">
        <f t="shared" si="740"/>
        <v>10.636210607818802</v>
      </c>
      <c r="AU277" s="173">
        <f t="shared" si="741"/>
        <v>0.15583889847076743</v>
      </c>
      <c r="BA277" s="173">
        <f t="shared" si="692"/>
        <v>3.1549660310156051</v>
      </c>
      <c r="BB277" s="173">
        <f t="shared" si="693"/>
        <v>7.3429305536769371</v>
      </c>
      <c r="BC277" s="173">
        <f t="shared" si="694"/>
        <v>0.18083766226310263</v>
      </c>
      <c r="BD277" s="173"/>
      <c r="BE277" s="528">
        <f t="shared" si="695"/>
        <v>0.19907621313724722</v>
      </c>
      <c r="BF277" s="528">
        <f t="shared" si="762"/>
        <v>2.0705607510025703</v>
      </c>
      <c r="BG277" s="528">
        <f t="shared" si="763"/>
        <v>0.16785704795766185</v>
      </c>
      <c r="BH277" s="528">
        <f t="shared" si="696"/>
        <v>8.0186312544665309E-2</v>
      </c>
      <c r="BI277">
        <f t="shared" si="697"/>
        <v>3.8069193659010264E-2</v>
      </c>
      <c r="BJ277" s="460">
        <f t="shared" si="698"/>
        <v>205.92624161667212</v>
      </c>
      <c r="BK277">
        <f t="shared" si="764"/>
        <v>2.5229087188813097</v>
      </c>
      <c r="BL277" s="460">
        <f t="shared" si="699"/>
        <v>2555.7495183011551</v>
      </c>
      <c r="BM277" s="173">
        <f t="shared" si="765"/>
        <v>3.7896249999999996</v>
      </c>
      <c r="BN277" s="173">
        <f t="shared" si="766"/>
        <v>6.7671874999999992E-2</v>
      </c>
      <c r="BQ277" s="460">
        <f t="shared" si="700"/>
        <v>3857.2968749999995</v>
      </c>
      <c r="BR277" s="528">
        <f t="shared" si="701"/>
        <v>0.29861431970587082</v>
      </c>
      <c r="BS277" s="528">
        <f t="shared" si="702"/>
        <v>1.6175588734836686</v>
      </c>
      <c r="BT277" s="528">
        <f t="shared" si="703"/>
        <v>1.6351130046391986E-4</v>
      </c>
      <c r="BU277" s="528">
        <f t="shared" si="704"/>
        <v>2.0003660475955201</v>
      </c>
      <c r="BV277" s="528"/>
      <c r="BW277" s="625">
        <f t="shared" si="705"/>
        <v>1.5208037271230625E-2</v>
      </c>
      <c r="BX277" s="460">
        <f t="shared" si="706"/>
        <v>3931.9107893567539</v>
      </c>
      <c r="BY277" s="173">
        <f t="shared" si="707"/>
        <v>10.344957182657909</v>
      </c>
      <c r="BZ277" s="5">
        <f t="shared" si="708"/>
        <v>92.72</v>
      </c>
      <c r="CA277" s="173">
        <f t="shared" si="709"/>
        <v>0.8996268230692227</v>
      </c>
      <c r="CB277" s="5">
        <f t="shared" si="710"/>
        <v>89.962682306922275</v>
      </c>
      <c r="CC277">
        <f t="shared" si="711"/>
        <v>61</v>
      </c>
      <c r="CE277" s="562">
        <f t="shared" si="767"/>
        <v>-50</v>
      </c>
      <c r="CG277" s="173">
        <f t="shared" si="768"/>
        <v>0.84409136047666333</v>
      </c>
      <c r="CH277" s="173">
        <f t="shared" si="769"/>
        <v>0.1020398968288061</v>
      </c>
      <c r="CI277" s="170">
        <v>61</v>
      </c>
      <c r="CJ277" s="217">
        <f t="shared" si="712"/>
        <v>6.1</v>
      </c>
      <c r="CK277" s="217">
        <f t="shared" si="654"/>
        <v>0.1525</v>
      </c>
      <c r="CL277" s="217">
        <f t="shared" si="655"/>
        <v>91.5</v>
      </c>
      <c r="CM277" s="217">
        <f t="shared" si="656"/>
        <v>1.22</v>
      </c>
      <c r="CN277" s="541">
        <f t="shared" si="657"/>
        <v>85</v>
      </c>
      <c r="CO277" s="443">
        <f t="shared" si="770"/>
        <v>15.7</v>
      </c>
      <c r="CP277" s="443">
        <f t="shared" si="771"/>
        <v>100.7</v>
      </c>
      <c r="CQ277" s="443"/>
      <c r="CR277" s="217">
        <f t="shared" si="660"/>
        <v>0.15338645418326693</v>
      </c>
      <c r="CS277" s="172">
        <f t="shared" si="661"/>
        <v>321.65744915076539</v>
      </c>
      <c r="CT277" s="172">
        <f t="shared" si="662"/>
        <v>4.3459495351925632</v>
      </c>
      <c r="CU277" s="217">
        <f t="shared" si="663"/>
        <v>21.443829943384358</v>
      </c>
      <c r="CV277" s="217">
        <f t="shared" si="664"/>
        <v>40.207181143845673</v>
      </c>
      <c r="CW277" s="217">
        <f t="shared" si="665"/>
        <v>15</v>
      </c>
      <c r="CX277" s="217">
        <f t="shared" si="666"/>
        <v>14.223205500381971</v>
      </c>
      <c r="CY277" s="217">
        <f t="shared" si="667"/>
        <v>2.007981952995102</v>
      </c>
      <c r="CZ277" s="217">
        <f t="shared" si="668"/>
        <v>10.871239872903418</v>
      </c>
      <c r="DA277" s="197">
        <f t="shared" si="669"/>
        <v>110.43528632903013</v>
      </c>
      <c r="DB277" s="443">
        <f t="shared" si="670"/>
        <v>77.644442616022332</v>
      </c>
      <c r="DD277" s="217">
        <f t="shared" si="671"/>
        <v>9.9999999999999982</v>
      </c>
      <c r="DE277" s="173">
        <f t="shared" si="672"/>
        <v>7.6433121019108263</v>
      </c>
      <c r="DF277" s="173">
        <f t="shared" si="673"/>
        <v>4.1649244760361679</v>
      </c>
      <c r="DG277" s="173"/>
      <c r="DH277" s="173">
        <f t="shared" si="674"/>
        <v>7.6433121019108281</v>
      </c>
      <c r="DI277" s="545">
        <f t="shared" si="675"/>
        <v>159.61666666666667</v>
      </c>
      <c r="DJ277" s="528">
        <f t="shared" si="676"/>
        <v>4.2204568023833167</v>
      </c>
      <c r="DL277" s="173">
        <f t="shared" si="677"/>
        <v>6.6447257996384588</v>
      </c>
      <c r="DM277" s="173">
        <f t="shared" si="678"/>
        <v>14.223205500381971</v>
      </c>
      <c r="DN277" s="173">
        <f t="shared" si="679"/>
        <v>4.3283003706533112</v>
      </c>
      <c r="DP277" s="545">
        <f t="shared" si="680"/>
        <v>6100</v>
      </c>
      <c r="DQ277" s="460">
        <f t="shared" si="681"/>
        <v>77.644442616022332</v>
      </c>
      <c r="DS277">
        <f t="shared" si="682"/>
        <v>6100</v>
      </c>
      <c r="DT277">
        <f t="shared" si="683"/>
        <v>77.644442616022332</v>
      </c>
      <c r="DV277" s="5">
        <f t="shared" si="684"/>
        <v>12.879221825898519</v>
      </c>
      <c r="DW277" s="5">
        <f t="shared" si="685"/>
        <v>2.007981952995102</v>
      </c>
      <c r="DX277" s="5">
        <f t="shared" si="686"/>
        <v>10.871239872903416</v>
      </c>
      <c r="DY277" s="173">
        <f t="shared" si="687"/>
        <v>0.15590863952333667</v>
      </c>
      <c r="EA277" s="5">
        <f t="shared" si="713"/>
        <v>81.657932755134141</v>
      </c>
      <c r="EB277" s="5">
        <f t="shared" si="714"/>
        <v>3.8277155978969128</v>
      </c>
      <c r="EC277" s="5">
        <f t="shared" si="715"/>
        <v>3.2507138835642566</v>
      </c>
      <c r="ED277" s="5"/>
      <c r="EE277" s="173">
        <f t="shared" si="716"/>
        <v>3.2424400003997516</v>
      </c>
      <c r="EF277" s="173">
        <f t="shared" si="717"/>
        <v>7.5445194951372683</v>
      </c>
      <c r="EG277" s="173">
        <f t="shared" si="718"/>
        <v>0.18580228403710611</v>
      </c>
      <c r="EH277" s="173"/>
      <c r="EI277" s="528">
        <f t="shared" si="719"/>
        <v>0.21026834312384682</v>
      </c>
      <c r="EJ277" s="528">
        <f t="shared" si="720"/>
        <v>2.2241666666666666</v>
      </c>
      <c r="EK277" s="528">
        <f t="shared" si="721"/>
        <v>9.7055553270027906E-3</v>
      </c>
      <c r="EL277" s="528">
        <f t="shared" si="722"/>
        <v>7.8735269390334831E-2</v>
      </c>
      <c r="EM277">
        <f t="shared" si="723"/>
        <v>3.8249999999999999E-2</v>
      </c>
      <c r="EN277" s="460">
        <f t="shared" si="724"/>
        <v>47.955555327002791</v>
      </c>
      <c r="EP277" s="460">
        <f t="shared" si="725"/>
        <v>2561.1258345078513</v>
      </c>
      <c r="EQ277" s="173">
        <f t="shared" si="726"/>
        <v>4.2699999999999996</v>
      </c>
      <c r="ER277" s="173">
        <f t="shared" si="772"/>
        <v>6.7671874999999992E-2</v>
      </c>
      <c r="ES277" s="528"/>
      <c r="EU277" s="460">
        <f t="shared" si="727"/>
        <v>4337.671875</v>
      </c>
      <c r="EV277" s="528">
        <f t="shared" si="728"/>
        <v>0.31540251468577024</v>
      </c>
      <c r="EW277" s="528">
        <f t="shared" si="729"/>
        <v>1.707593232375189</v>
      </c>
      <c r="EX277" s="528">
        <f t="shared" si="730"/>
        <v>1.7261244376702727E-4</v>
      </c>
      <c r="EY277" s="528">
        <f t="shared" si="731"/>
        <v>2.0264675705467892</v>
      </c>
      <c r="EZ277" s="528"/>
      <c r="FA277" s="625">
        <f t="shared" si="732"/>
        <v>1.570743771951319E-2</v>
      </c>
      <c r="FB277" s="460">
        <f t="shared" si="733"/>
        <v>4065.3433677710282</v>
      </c>
      <c r="FC277" s="173">
        <f t="shared" si="734"/>
        <v>10.96414107727888</v>
      </c>
      <c r="FD277" s="5">
        <f t="shared" si="735"/>
        <v>92.72</v>
      </c>
      <c r="FE277" s="173">
        <f t="shared" si="736"/>
        <v>0.89425440608986695</v>
      </c>
      <c r="FF277" s="5">
        <f t="shared" si="737"/>
        <v>89.42544060898669</v>
      </c>
      <c r="FG277">
        <f t="shared" si="738"/>
        <v>61</v>
      </c>
      <c r="FI277" s="562">
        <f t="shared" si="689"/>
        <v>-50</v>
      </c>
    </row>
    <row r="278" spans="5:165">
      <c r="E278" s="170">
        <v>62</v>
      </c>
      <c r="F278" s="217">
        <f t="shared" si="773"/>
        <v>6.2</v>
      </c>
      <c r="G278" s="217">
        <f t="shared" si="742"/>
        <v>0.155</v>
      </c>
      <c r="H278" s="217">
        <f t="shared" si="743"/>
        <v>93</v>
      </c>
      <c r="I278" s="217">
        <f t="shared" si="744"/>
        <v>1.24</v>
      </c>
      <c r="J278" s="541">
        <f t="shared" si="745"/>
        <v>84.591621379185312</v>
      </c>
      <c r="K278" s="443">
        <f t="shared" si="746"/>
        <v>15.920355294117646</v>
      </c>
      <c r="L278" s="172">
        <f t="shared" si="747"/>
        <v>100.51197667330295</v>
      </c>
      <c r="M278" s="443"/>
      <c r="N278" s="217">
        <f t="shared" si="748"/>
        <v>0.15839261967620086</v>
      </c>
      <c r="O278" s="172">
        <f t="shared" si="749"/>
        <v>330.55974949604803</v>
      </c>
      <c r="P278" s="172">
        <f t="shared" si="750"/>
        <v>4.4662295043021603</v>
      </c>
      <c r="Q278" s="217">
        <f t="shared" si="626"/>
        <v>22.037316633069867</v>
      </c>
      <c r="R278" s="217">
        <f t="shared" si="751"/>
        <v>41.319968687006003</v>
      </c>
      <c r="S278" s="217">
        <f t="shared" si="752"/>
        <v>15</v>
      </c>
      <c r="T278" s="217">
        <f t="shared" si="753"/>
        <v>14.067048414361146</v>
      </c>
      <c r="U278" s="217">
        <f t="shared" si="630"/>
        <v>1.9955236490344652</v>
      </c>
      <c r="V278" s="217">
        <f t="shared" si="631"/>
        <v>10.603066191286871</v>
      </c>
      <c r="W278" s="197">
        <f t="shared" si="632"/>
        <v>111.65573760755397</v>
      </c>
      <c r="X278" s="443">
        <f t="shared" si="691"/>
        <v>78.13360787995164</v>
      </c>
      <c r="Z278" s="217">
        <f t="shared" si="633"/>
        <v>10</v>
      </c>
      <c r="AA278" s="173">
        <f t="shared" si="634"/>
        <v>7.5375202238318355</v>
      </c>
      <c r="AB278" s="173">
        <f t="shared" si="754"/>
        <v>4.152667995018744</v>
      </c>
      <c r="AC278" s="173"/>
      <c r="AD278" s="173">
        <f t="shared" si="636"/>
        <v>7.5375202238318355</v>
      </c>
      <c r="AE278" s="545">
        <f t="shared" si="755"/>
        <v>164.51033803921572</v>
      </c>
      <c r="AF278" s="528">
        <f t="shared" si="756"/>
        <v>4.2080369016189945</v>
      </c>
      <c r="AH278" s="173">
        <f t="shared" si="757"/>
        <v>6.6989693592515014</v>
      </c>
      <c r="AI278" s="173">
        <f t="shared" si="758"/>
        <v>14.067048414361146</v>
      </c>
      <c r="AJ278" s="173">
        <f t="shared" si="759"/>
        <v>4.2126284550823305</v>
      </c>
      <c r="AL278" s="545">
        <f t="shared" si="760"/>
        <v>6200</v>
      </c>
      <c r="AM278" s="460">
        <f t="shared" si="761"/>
        <v>78.13360787995164</v>
      </c>
      <c r="AO278">
        <f t="shared" si="644"/>
        <v>6200</v>
      </c>
      <c r="AP278">
        <f t="shared" si="645"/>
        <v>78.13360787995164</v>
      </c>
      <c r="AR278" s="5">
        <f t="shared" si="774"/>
        <v>12.798589840321334</v>
      </c>
      <c r="AS278" s="5">
        <f t="shared" si="739"/>
        <v>1.9955236490344652</v>
      </c>
      <c r="AT278" s="5">
        <f t="shared" si="740"/>
        <v>10.803066191286868</v>
      </c>
      <c r="AU278" s="173">
        <f t="shared" si="741"/>
        <v>0.15591746230882914</v>
      </c>
      <c r="BA278" s="173">
        <f t="shared" si="692"/>
        <v>3.2069318701439649</v>
      </c>
      <c r="BB278" s="173">
        <f t="shared" si="693"/>
        <v>7.4616489471774994</v>
      </c>
      <c r="BC278" s="173">
        <f t="shared" si="694"/>
        <v>0.18376139367950861</v>
      </c>
      <c r="BD278" s="173"/>
      <c r="BE278" s="528">
        <f t="shared" si="695"/>
        <v>0.20568824039490136</v>
      </c>
      <c r="BF278" s="528">
        <f t="shared" si="762"/>
        <v>2.0713808020943731</v>
      </c>
      <c r="BG278" s="528">
        <f t="shared" si="763"/>
        <v>0.16523621436926497</v>
      </c>
      <c r="BH278" s="528">
        <f t="shared" si="696"/>
        <v>7.8935707611682879E-2</v>
      </c>
      <c r="BI278">
        <f t="shared" si="697"/>
        <v>3.8066229620633392E-2</v>
      </c>
      <c r="BJ278" s="460">
        <f t="shared" si="698"/>
        <v>203.30244398989836</v>
      </c>
      <c r="BK278">
        <f t="shared" si="764"/>
        <v>2.5354519822726269</v>
      </c>
      <c r="BL278" s="460">
        <f t="shared" si="699"/>
        <v>2559.3071940908558</v>
      </c>
      <c r="BM278" s="173">
        <f t="shared" si="765"/>
        <v>3.8517499999999996</v>
      </c>
      <c r="BN278" s="173">
        <f t="shared" si="766"/>
        <v>6.8781250000000002E-2</v>
      </c>
      <c r="BQ278" s="460">
        <f t="shared" si="700"/>
        <v>3920.5312499999995</v>
      </c>
      <c r="BR278" s="528">
        <f t="shared" si="701"/>
        <v>0.30853236059235201</v>
      </c>
      <c r="BS278" s="528">
        <f t="shared" si="702"/>
        <v>1.6702861503274524</v>
      </c>
      <c r="BT278" s="528">
        <f t="shared" si="703"/>
        <v>1.6884124903517674E-4</v>
      </c>
      <c r="BU278" s="528">
        <f t="shared" si="704"/>
        <v>2.0024983015119209</v>
      </c>
      <c r="BV278" s="528"/>
      <c r="BW278" s="625">
        <f t="shared" si="705"/>
        <v>1.5461222959779778E-2</v>
      </c>
      <c r="BX278" s="460">
        <f t="shared" si="706"/>
        <v>3996.9468766405403</v>
      </c>
      <c r="BY278" s="173">
        <f t="shared" si="707"/>
        <v>10.476785320731395</v>
      </c>
      <c r="BZ278" s="5">
        <f t="shared" si="708"/>
        <v>94.24</v>
      </c>
      <c r="CA278" s="173">
        <f t="shared" si="709"/>
        <v>0.89995123237747787</v>
      </c>
      <c r="CB278" s="5">
        <f t="shared" si="710"/>
        <v>89.995123237747791</v>
      </c>
      <c r="CC278">
        <f t="shared" si="711"/>
        <v>62</v>
      </c>
      <c r="CE278" s="562">
        <f t="shared" si="767"/>
        <v>-50</v>
      </c>
      <c r="CG278" s="173">
        <f t="shared" si="768"/>
        <v>0.84409136047666333</v>
      </c>
      <c r="CH278" s="173">
        <f t="shared" si="769"/>
        <v>0.10203989682880611</v>
      </c>
      <c r="CI278" s="170">
        <v>62</v>
      </c>
      <c r="CJ278" s="217">
        <f t="shared" si="712"/>
        <v>6.2</v>
      </c>
      <c r="CK278" s="217">
        <f t="shared" si="654"/>
        <v>0.155</v>
      </c>
      <c r="CL278" s="217">
        <f t="shared" si="655"/>
        <v>93</v>
      </c>
      <c r="CM278" s="217">
        <f t="shared" si="656"/>
        <v>1.24</v>
      </c>
      <c r="CN278" s="541">
        <f t="shared" si="657"/>
        <v>85</v>
      </c>
      <c r="CO278" s="443">
        <f t="shared" si="770"/>
        <v>15.7</v>
      </c>
      <c r="CP278" s="443">
        <f t="shared" si="771"/>
        <v>100.7</v>
      </c>
      <c r="CQ278" s="443"/>
      <c r="CR278" s="217">
        <f t="shared" si="660"/>
        <v>0.15338645418326693</v>
      </c>
      <c r="CS278" s="172">
        <f t="shared" si="661"/>
        <v>321.65744915076539</v>
      </c>
      <c r="CT278" s="172">
        <f t="shared" si="662"/>
        <v>4.3459495351925632</v>
      </c>
      <c r="CU278" s="217">
        <f t="shared" si="663"/>
        <v>21.443829943384358</v>
      </c>
      <c r="CV278" s="217">
        <f t="shared" si="664"/>
        <v>40.207181143845673</v>
      </c>
      <c r="CW278" s="217">
        <f t="shared" si="665"/>
        <v>15</v>
      </c>
      <c r="CX278" s="217">
        <f t="shared" si="666"/>
        <v>14.45637280366692</v>
      </c>
      <c r="CY278" s="217">
        <f t="shared" si="667"/>
        <v>2.0408996899294478</v>
      </c>
      <c r="CZ278" s="217">
        <f t="shared" si="668"/>
        <v>11.049456920000194</v>
      </c>
      <c r="DA278" s="197">
        <f t="shared" si="669"/>
        <v>110.43528632903013</v>
      </c>
      <c r="DB278" s="443">
        <f t="shared" si="670"/>
        <v>76.392112896409074</v>
      </c>
      <c r="DD278" s="217">
        <f t="shared" si="671"/>
        <v>9.9999999999999982</v>
      </c>
      <c r="DE278" s="173">
        <f t="shared" si="672"/>
        <v>7.6433121019108263</v>
      </c>
      <c r="DF278" s="173">
        <f t="shared" si="673"/>
        <v>4.1649244760361679</v>
      </c>
      <c r="DG278" s="173"/>
      <c r="DH278" s="173">
        <f t="shared" si="674"/>
        <v>7.6433121019108281</v>
      </c>
      <c r="DI278" s="545">
        <f t="shared" si="675"/>
        <v>162.23333333333335</v>
      </c>
      <c r="DJ278" s="528">
        <f t="shared" si="676"/>
        <v>4.2204568023833167</v>
      </c>
      <c r="DL278" s="173">
        <f t="shared" si="677"/>
        <v>6.6989693592515014</v>
      </c>
      <c r="DM278" s="173">
        <f t="shared" si="678"/>
        <v>14.45637280366692</v>
      </c>
      <c r="DN278" s="173">
        <f t="shared" si="679"/>
        <v>4.5010168916051256</v>
      </c>
      <c r="DP278" s="545">
        <f t="shared" si="680"/>
        <v>6200</v>
      </c>
      <c r="DQ278" s="460">
        <f t="shared" si="681"/>
        <v>76.392112896409074</v>
      </c>
      <c r="DS278">
        <f t="shared" si="682"/>
        <v>6200</v>
      </c>
      <c r="DT278">
        <f t="shared" si="683"/>
        <v>76.392112896409074</v>
      </c>
      <c r="DV278" s="5">
        <f t="shared" si="684"/>
        <v>13.090356609929643</v>
      </c>
      <c r="DW278" s="5">
        <f t="shared" si="685"/>
        <v>2.0408996899294478</v>
      </c>
      <c r="DX278" s="5">
        <f t="shared" si="686"/>
        <v>11.049456920000194</v>
      </c>
      <c r="DY278" s="173">
        <f t="shared" si="687"/>
        <v>0.15590863952333664</v>
      </c>
      <c r="EA278" s="5">
        <f t="shared" si="713"/>
        <v>84.357187183750511</v>
      </c>
      <c r="EB278" s="5">
        <f t="shared" si="714"/>
        <v>3.9542431492383052</v>
      </c>
      <c r="EC278" s="5">
        <f t="shared" si="715"/>
        <v>3.3581682796079022</v>
      </c>
      <c r="ED278" s="5"/>
      <c r="EE278" s="173">
        <f t="shared" si="716"/>
        <v>3.2955947545046653</v>
      </c>
      <c r="EF278" s="173">
        <f t="shared" si="717"/>
        <v>7.6682001425985344</v>
      </c>
      <c r="EG278" s="173">
        <f t="shared" si="718"/>
        <v>0.18884822311968158</v>
      </c>
      <c r="EH278" s="173"/>
      <c r="EI278" s="528">
        <f t="shared" si="719"/>
        <v>0.2172188957183733</v>
      </c>
      <c r="EJ278" s="528">
        <f t="shared" si="720"/>
        <v>2.2241666666666666</v>
      </c>
      <c r="EK278" s="528">
        <f t="shared" si="721"/>
        <v>9.5490141120511338E-3</v>
      </c>
      <c r="EL278" s="528">
        <f t="shared" si="722"/>
        <v>7.7465345690490725E-2</v>
      </c>
      <c r="EM278">
        <f t="shared" si="723"/>
        <v>3.8249999999999999E-2</v>
      </c>
      <c r="EN278" s="460">
        <f t="shared" si="724"/>
        <v>47.799014112051132</v>
      </c>
      <c r="EP278" s="460">
        <f t="shared" si="725"/>
        <v>2566.649922187582</v>
      </c>
      <c r="EQ278" s="173">
        <f t="shared" si="726"/>
        <v>4.34</v>
      </c>
      <c r="ER278" s="173">
        <f t="shared" si="772"/>
        <v>6.8781250000000002E-2</v>
      </c>
      <c r="ES278" s="528"/>
      <c r="EU278" s="460">
        <f t="shared" si="727"/>
        <v>4408.78125</v>
      </c>
      <c r="EV278" s="528">
        <f t="shared" si="728"/>
        <v>0.32582834357755996</v>
      </c>
      <c r="EW278" s="528">
        <f t="shared" si="729"/>
        <v>1.7640388028084455</v>
      </c>
      <c r="EX278" s="528">
        <f t="shared" si="730"/>
        <v>1.7831825687730519E-4</v>
      </c>
      <c r="EY278" s="528">
        <f t="shared" si="731"/>
        <v>2.0264675705467909</v>
      </c>
      <c r="EZ278" s="528"/>
      <c r="FA278" s="625">
        <f t="shared" si="732"/>
        <v>1.5964936698521601E-2</v>
      </c>
      <c r="FB278" s="460">
        <f t="shared" si="733"/>
        <v>4132.4779718881955</v>
      </c>
      <c r="FC278" s="173">
        <f t="shared" si="734"/>
        <v>11.107909144075775</v>
      </c>
      <c r="FD278" s="5">
        <f t="shared" si="735"/>
        <v>94.24</v>
      </c>
      <c r="FE278" s="173">
        <f t="shared" si="736"/>
        <v>0.89455975695839973</v>
      </c>
      <c r="FF278" s="5">
        <f t="shared" si="737"/>
        <v>89.455975695839967</v>
      </c>
      <c r="FG278">
        <f t="shared" si="738"/>
        <v>62</v>
      </c>
      <c r="FI278" s="562">
        <f t="shared" si="689"/>
        <v>-50</v>
      </c>
    </row>
    <row r="279" spans="5:165">
      <c r="E279" s="170">
        <v>63</v>
      </c>
      <c r="F279" s="217">
        <f t="shared" si="773"/>
        <v>6.3</v>
      </c>
      <c r="G279" s="217">
        <f t="shared" si="742"/>
        <v>0.1575</v>
      </c>
      <c r="H279" s="217">
        <f t="shared" si="743"/>
        <v>94.5</v>
      </c>
      <c r="I279" s="217">
        <f t="shared" si="744"/>
        <v>1.26</v>
      </c>
      <c r="J279" s="541">
        <f t="shared" si="745"/>
        <v>84.585034627236681</v>
      </c>
      <c r="K279" s="443">
        <f t="shared" si="746"/>
        <v>15.923909411764706</v>
      </c>
      <c r="L279" s="172">
        <f t="shared" si="747"/>
        <v>100.50894403900139</v>
      </c>
      <c r="M279" s="443"/>
      <c r="N279" s="217">
        <f t="shared" si="748"/>
        <v>0.15843276002965076</v>
      </c>
      <c r="O279" s="172">
        <f t="shared" si="749"/>
        <v>330.61777532557619</v>
      </c>
      <c r="P279" s="172">
        <f t="shared" si="750"/>
        <v>4.4670134977322293</v>
      </c>
      <c r="Q279" s="217">
        <f t="shared" si="626"/>
        <v>22.041185021705079</v>
      </c>
      <c r="R279" s="217">
        <f t="shared" si="751"/>
        <v>41.327221915697024</v>
      </c>
      <c r="S279" s="217">
        <f t="shared" si="752"/>
        <v>15</v>
      </c>
      <c r="T279" s="217">
        <f t="shared" si="753"/>
        <v>14.291427602000683</v>
      </c>
      <c r="U279" s="217">
        <f t="shared" si="630"/>
        <v>2.0275115093324736</v>
      </c>
      <c r="V279" s="217">
        <f t="shared" si="631"/>
        <v>10.769788171320846</v>
      </c>
      <c r="W279" s="197">
        <f t="shared" si="632"/>
        <v>111.67533744330576</v>
      </c>
      <c r="X279" s="443">
        <f t="shared" si="691"/>
        <v>76.939058463698842</v>
      </c>
      <c r="Z279" s="217">
        <f t="shared" si="633"/>
        <v>10</v>
      </c>
      <c r="AA279" s="173">
        <f t="shared" si="634"/>
        <v>7.535837896147731</v>
      </c>
      <c r="AB279" s="173">
        <f t="shared" si="754"/>
        <v>4.1524699340642242</v>
      </c>
      <c r="AC279" s="173"/>
      <c r="AD279" s="173">
        <f t="shared" si="636"/>
        <v>7.535837896147731</v>
      </c>
      <c r="AE279" s="545">
        <f t="shared" si="755"/>
        <v>167.20104882352939</v>
      </c>
      <c r="AF279" s="528">
        <f t="shared" si="756"/>
        <v>4.2078361998517471</v>
      </c>
      <c r="AH279" s="173">
        <f t="shared" si="757"/>
        <v>6.7527772064536533</v>
      </c>
      <c r="AI279" s="173">
        <f t="shared" si="758"/>
        <v>14.291427602000683</v>
      </c>
      <c r="AJ279" s="173">
        <f t="shared" si="759"/>
        <v>4.3788352607412468</v>
      </c>
      <c r="AL279" s="545">
        <f t="shared" si="760"/>
        <v>6300</v>
      </c>
      <c r="AM279" s="460">
        <f t="shared" si="761"/>
        <v>76.939058463698842</v>
      </c>
      <c r="AO279">
        <f t="shared" si="644"/>
        <v>6300</v>
      </c>
      <c r="AP279">
        <f t="shared" si="645"/>
        <v>76.939058463698842</v>
      </c>
      <c r="AR279" s="5">
        <f t="shared" si="774"/>
        <v>12.997299680653319</v>
      </c>
      <c r="AS279" s="5">
        <f t="shared" si="739"/>
        <v>2.0275115093324736</v>
      </c>
      <c r="AT279" s="5">
        <f t="shared" si="740"/>
        <v>10.969788171320845</v>
      </c>
      <c r="AU279" s="173">
        <f t="shared" si="741"/>
        <v>0.15599482655235347</v>
      </c>
      <c r="BA279" s="173">
        <f t="shared" si="692"/>
        <v>3.2588928693955337</v>
      </c>
      <c r="BB279" s="173">
        <f t="shared" si="693"/>
        <v>7.5803200174450822</v>
      </c>
      <c r="BC279" s="173">
        <f t="shared" si="694"/>
        <v>0.18668395964531423</v>
      </c>
      <c r="BD279" s="173"/>
      <c r="BE279" s="528">
        <f t="shared" si="695"/>
        <v>0.2124076546839411</v>
      </c>
      <c r="BF279" s="528">
        <f t="shared" si="762"/>
        <v>2.0721847023708908</v>
      </c>
      <c r="BG279" s="528">
        <f t="shared" si="763"/>
        <v>0.16269732310847385</v>
      </c>
      <c r="BH279" s="528">
        <f t="shared" si="696"/>
        <v>7.772420487366441E-2</v>
      </c>
      <c r="BI279">
        <f t="shared" si="697"/>
        <v>3.8063265582256506E-2</v>
      </c>
      <c r="BJ279" s="460">
        <f t="shared" si="698"/>
        <v>200.76058869073034</v>
      </c>
      <c r="BK279">
        <f t="shared" si="764"/>
        <v>2.548273021247943</v>
      </c>
      <c r="BL279" s="460">
        <f t="shared" si="699"/>
        <v>2563.0771506192268</v>
      </c>
      <c r="BM279" s="173">
        <f t="shared" si="765"/>
        <v>3.9138749999999991</v>
      </c>
      <c r="BN279" s="173">
        <f t="shared" si="766"/>
        <v>6.9890624999999998E-2</v>
      </c>
      <c r="BQ279" s="460">
        <f t="shared" si="700"/>
        <v>3983.7656249999991</v>
      </c>
      <c r="BR279" s="528">
        <f t="shared" si="701"/>
        <v>0.31861148202591161</v>
      </c>
      <c r="BS279" s="528">
        <f t="shared" si="702"/>
        <v>1.7238375470063583</v>
      </c>
      <c r="BT279" s="528">
        <f t="shared" si="703"/>
        <v>1.7425450394426657E-4</v>
      </c>
      <c r="BU279" s="528">
        <f t="shared" si="704"/>
        <v>2.0045929871200512</v>
      </c>
      <c r="BV279" s="528"/>
      <c r="BW279" s="625">
        <f t="shared" si="705"/>
        <v>1.5714410525383873E-2</v>
      </c>
      <c r="BX279" s="460">
        <f t="shared" si="706"/>
        <v>4062.9306811816496</v>
      </c>
      <c r="BY279" s="173">
        <f t="shared" si="707"/>
        <v>10.609773456800877</v>
      </c>
      <c r="BZ279" s="5">
        <f t="shared" si="708"/>
        <v>95.76</v>
      </c>
      <c r="CA279" s="173">
        <f t="shared" si="709"/>
        <v>0.90025574830137489</v>
      </c>
      <c r="CB279" s="5">
        <f t="shared" si="710"/>
        <v>90.025574830137487</v>
      </c>
      <c r="CC279">
        <f t="shared" si="711"/>
        <v>63</v>
      </c>
      <c r="CE279" s="562">
        <f t="shared" si="767"/>
        <v>-50</v>
      </c>
      <c r="CG279" s="173">
        <f t="shared" si="768"/>
        <v>0.84409136047666333</v>
      </c>
      <c r="CH279" s="173">
        <f t="shared" si="769"/>
        <v>0.1020398968288061</v>
      </c>
      <c r="CI279" s="170">
        <v>63</v>
      </c>
      <c r="CJ279" s="217">
        <f t="shared" si="712"/>
        <v>6.3</v>
      </c>
      <c r="CK279" s="217">
        <f t="shared" si="654"/>
        <v>0.1575</v>
      </c>
      <c r="CL279" s="217">
        <f t="shared" si="655"/>
        <v>94.5</v>
      </c>
      <c r="CM279" s="217">
        <f t="shared" si="656"/>
        <v>1.26</v>
      </c>
      <c r="CN279" s="541">
        <f t="shared" si="657"/>
        <v>85</v>
      </c>
      <c r="CO279" s="443">
        <f t="shared" si="770"/>
        <v>15.7</v>
      </c>
      <c r="CP279" s="443">
        <f t="shared" si="771"/>
        <v>100.7</v>
      </c>
      <c r="CQ279" s="443"/>
      <c r="CR279" s="217">
        <f t="shared" si="660"/>
        <v>0.15338645418326693</v>
      </c>
      <c r="CS279" s="172">
        <f t="shared" si="661"/>
        <v>321.65744915076539</v>
      </c>
      <c r="CT279" s="172">
        <f t="shared" si="662"/>
        <v>4.3459495351925632</v>
      </c>
      <c r="CU279" s="217">
        <f t="shared" si="663"/>
        <v>21.443829943384358</v>
      </c>
      <c r="CV279" s="217">
        <f t="shared" si="664"/>
        <v>40.207181143845673</v>
      </c>
      <c r="CW279" s="217">
        <f t="shared" si="665"/>
        <v>15</v>
      </c>
      <c r="CX279" s="217">
        <f t="shared" si="666"/>
        <v>14.689540106951872</v>
      </c>
      <c r="CY279" s="217">
        <f t="shared" si="667"/>
        <v>2.0738174268637937</v>
      </c>
      <c r="CZ279" s="217">
        <f t="shared" si="668"/>
        <v>11.227673967096974</v>
      </c>
      <c r="DA279" s="197">
        <f t="shared" si="669"/>
        <v>110.43528632903013</v>
      </c>
      <c r="DB279" s="443">
        <f t="shared" si="670"/>
        <v>75.179539675831137</v>
      </c>
      <c r="DD279" s="217">
        <f t="shared" si="671"/>
        <v>9.9999999999999982</v>
      </c>
      <c r="DE279" s="173">
        <f t="shared" si="672"/>
        <v>7.6433121019108263</v>
      </c>
      <c r="DF279" s="173">
        <f t="shared" si="673"/>
        <v>4.1649244760361679</v>
      </c>
      <c r="DG279" s="173"/>
      <c r="DH279" s="173">
        <f t="shared" si="674"/>
        <v>7.6433121019108281</v>
      </c>
      <c r="DI279" s="545">
        <f t="shared" si="675"/>
        <v>164.85</v>
      </c>
      <c r="DJ279" s="528">
        <f t="shared" si="676"/>
        <v>4.2204568023833167</v>
      </c>
      <c r="DL279" s="173">
        <f t="shared" si="677"/>
        <v>6.7527772064536533</v>
      </c>
      <c r="DM279" s="173">
        <f t="shared" si="678"/>
        <v>14.689540106951872</v>
      </c>
      <c r="DN279" s="173">
        <f t="shared" si="679"/>
        <v>4.6737334125569419</v>
      </c>
      <c r="DP279" s="545">
        <f t="shared" si="680"/>
        <v>6300</v>
      </c>
      <c r="DQ279" s="460">
        <f t="shared" si="681"/>
        <v>75.179539675831137</v>
      </c>
      <c r="DS279">
        <f t="shared" si="682"/>
        <v>6300</v>
      </c>
      <c r="DT279">
        <f t="shared" si="683"/>
        <v>75.179539675831137</v>
      </c>
      <c r="DV279" s="5">
        <f t="shared" si="684"/>
        <v>13.301491393960768</v>
      </c>
      <c r="DW279" s="5">
        <f t="shared" si="685"/>
        <v>2.0738174268637937</v>
      </c>
      <c r="DX279" s="5">
        <f t="shared" si="686"/>
        <v>11.227673967096974</v>
      </c>
      <c r="DY279" s="173">
        <f t="shared" si="687"/>
        <v>0.15590863952333661</v>
      </c>
      <c r="EA279" s="5">
        <f t="shared" si="713"/>
        <v>87.100331928279331</v>
      </c>
      <c r="EB279" s="5">
        <f t="shared" si="714"/>
        <v>4.0828280591380937</v>
      </c>
      <c r="EC279" s="5">
        <f t="shared" si="715"/>
        <v>3.4673699016034778</v>
      </c>
      <c r="ED279" s="5"/>
      <c r="EE279" s="173">
        <f t="shared" si="716"/>
        <v>3.3487495086095795</v>
      </c>
      <c r="EF279" s="173">
        <f t="shared" si="717"/>
        <v>7.7918807900598024</v>
      </c>
      <c r="EG279" s="173">
        <f t="shared" si="718"/>
        <v>0.19189416220225711</v>
      </c>
      <c r="EH279" s="173"/>
      <c r="EI279" s="528">
        <f t="shared" si="719"/>
        <v>0.224282465428258</v>
      </c>
      <c r="EJ279" s="528">
        <f t="shared" si="720"/>
        <v>2.2241666666666666</v>
      </c>
      <c r="EK279" s="528">
        <f t="shared" si="721"/>
        <v>9.3974424594788913E-3</v>
      </c>
      <c r="EL279" s="528">
        <f t="shared" si="722"/>
        <v>7.6235737028736886E-2</v>
      </c>
      <c r="EM279">
        <f t="shared" si="723"/>
        <v>3.8249999999999999E-2</v>
      </c>
      <c r="EN279" s="460">
        <f t="shared" si="724"/>
        <v>47.647442459478889</v>
      </c>
      <c r="EP279" s="460">
        <f t="shared" si="725"/>
        <v>2572.3323115831399</v>
      </c>
      <c r="EQ279" s="173">
        <f t="shared" si="726"/>
        <v>4.4099999999999993</v>
      </c>
      <c r="ER279" s="173">
        <f t="shared" si="772"/>
        <v>6.9890624999999998E-2</v>
      </c>
      <c r="ES279" s="528"/>
      <c r="EU279" s="460">
        <f t="shared" si="727"/>
        <v>4479.8906249999991</v>
      </c>
      <c r="EV279" s="528">
        <f t="shared" si="728"/>
        <v>0.33642369814238698</v>
      </c>
      <c r="EW279" s="528">
        <f t="shared" si="729"/>
        <v>1.821402187395089</v>
      </c>
      <c r="EX279" s="528">
        <f t="shared" si="730"/>
        <v>1.8411684743653082E-4</v>
      </c>
      <c r="EY279" s="528">
        <f t="shared" si="731"/>
        <v>2.0264675705467923</v>
      </c>
      <c r="EZ279" s="528"/>
      <c r="FA279" s="625">
        <f t="shared" si="732"/>
        <v>1.6222435677530019E-2</v>
      </c>
      <c r="FB279" s="460">
        <f t="shared" si="733"/>
        <v>4200.7000086092357</v>
      </c>
      <c r="FC279" s="173">
        <f t="shared" si="734"/>
        <v>11.252922945192374</v>
      </c>
      <c r="FD279" s="5">
        <f t="shared" si="735"/>
        <v>95.76</v>
      </c>
      <c r="FE279" s="173">
        <f t="shared" si="736"/>
        <v>0.89484519593062928</v>
      </c>
      <c r="FF279" s="5">
        <f t="shared" si="737"/>
        <v>89.484519593062927</v>
      </c>
      <c r="FG279">
        <f t="shared" si="738"/>
        <v>63</v>
      </c>
      <c r="FI279" s="562">
        <f t="shared" si="689"/>
        <v>-50</v>
      </c>
    </row>
    <row r="280" spans="5:165">
      <c r="E280" s="170">
        <v>64</v>
      </c>
      <c r="F280" s="217">
        <f t="shared" si="773"/>
        <v>6.4</v>
      </c>
      <c r="G280" s="217">
        <f t="shared" ref="G280:G316" si="775">IF(PLOT_TYPE=1, E280/100*Iout2, min_I*EXP(Q280*rr/100))</f>
        <v>0.16</v>
      </c>
      <c r="H280" s="217">
        <f t="shared" ref="H280:H316" si="776">F280*Vout</f>
        <v>96</v>
      </c>
      <c r="I280" s="217">
        <f t="shared" ref="I280:I316" si="777">Vout2*G280</f>
        <v>1.28</v>
      </c>
      <c r="J280" s="541">
        <f t="shared" ref="J280:J316" si="778">VIN_max-(F280/CG280/Nps+G280/CH280/(Nps/Nsec1sec2))*(Rdcr_pri+RON/1000)</f>
        <v>84.578447875288063</v>
      </c>
      <c r="K280" s="443">
        <f t="shared" ref="K280:K316" si="779">MAX((S280+Vfwd2+Rdcr_sec*F280/CG280)*Nps,(Vout2+Vfwd22+Rdcr_sec2*G280/CH280)*Nps/Nsec1sec2)</f>
        <v>15.927463529411764</v>
      </c>
      <c r="L280" s="172">
        <f t="shared" ref="L280:L316" si="780">MAX((Vout+Vfwd2+F280/CG280*Rdcr_sec)*Nps+J280, (Vout2+Vfwd22+G280/CH280*Rdcr_sec2)*Nps/Nsec1sec2+J280)</f>
        <v>100.50591140469983</v>
      </c>
      <c r="M280" s="443"/>
      <c r="N280" s="217">
        <f t="shared" ref="N280:N316" si="781">MAX((Vout+Vfwd2+F280/CG280*Rdcr_sec)*Nps/((Vout+Vfwd2+F280/CG280*Rdcr_sec)*Nps+J280), (Vout2+Vfwd22+G280/CH280*Rdcr_sec2)*Nps/Nsec1sec2/((Vout2+Vfwd22+G280/CH280*Rdcr_sec2)*Nps/Nsec1sec2+J280))</f>
        <v>0.15847290280546592</v>
      </c>
      <c r="O280" s="172">
        <f t="shared" ref="O280:O311" si="782">N280*J280*Isw_max*0.5*Efficiency*Pout/(Pout+Pout2)</f>
        <v>330.67579316392329</v>
      </c>
      <c r="P280" s="172">
        <f t="shared" ref="P280:P316" si="783">N280*J280*Isw_max*0.5*Efficiency*(Pout2/Pout_total)</f>
        <v>4.4677973831925639</v>
      </c>
      <c r="Q280" s="217">
        <f t="shared" ref="Q280:Q316" si="784">O280/Vout</f>
        <v>22.045052877594888</v>
      </c>
      <c r="R280" s="217">
        <f t="shared" ref="R280:R316" si="785">O280/Vout2</f>
        <v>41.334474145490411</v>
      </c>
      <c r="S280" s="217">
        <f t="shared" ref="S280:S316" si="786">MIN(Vout,O280/F280)</f>
        <v>15</v>
      </c>
      <c r="T280" s="217">
        <f t="shared" ref="T280:T316" si="787">MIN(2*(Vout*F280+Vout2*G280)/(Efficiency*J280*N280), Isw_max)</f>
        <v>14.515728393884986</v>
      </c>
      <c r="U280" s="217">
        <f t="shared" ref="U280:U316" si="788">L*T280/J280*1000000</f>
        <v>2.0594932290961787</v>
      </c>
      <c r="V280" s="217">
        <f t="shared" ref="V280:V316" si="789">L*T280/K280*1000000</f>
        <v>10.936376680754076</v>
      </c>
      <c r="W280" s="197">
        <f t="shared" ref="W280:W316" si="790">IF(1/((350000*L)*(1/J280+1/K280))&gt;Isw_min, 350, 0.001/((Isw_min*L)*(1/J280+1/K280)))</f>
        <v>111.69493457981406</v>
      </c>
      <c r="X280" s="443">
        <f t="shared" si="691"/>
        <v>75.781286632231428</v>
      </c>
      <c r="Z280" s="217">
        <f t="shared" ref="Z280:Z316" si="791">1/((W280*1000*L)*(1/J280+1/K280))</f>
        <v>10</v>
      </c>
      <c r="AA280" s="173">
        <f t="shared" ref="AA280:AA316" si="792">L*Z280/K280*1000000</f>
        <v>7.5341563192662271</v>
      </c>
      <c r="AB280" s="173">
        <f t="shared" ref="AB280:AB311" si="793">0.5*AA280*Z280*Nps*W280/1000*(Pout/(Pout+Pout2))</f>
        <v>4.1522718611572396</v>
      </c>
      <c r="AC280" s="173"/>
      <c r="AD280" s="173">
        <f t="shared" ref="AD280:AD316" si="794">L*Isw_min/K280*1000000</f>
        <v>7.5341563192662271</v>
      </c>
      <c r="AE280" s="545">
        <f t="shared" ref="AE280:AE311" si="795">MAX(10, F280/(0.5*AD280/1000000*Isw_min*Nps)/1000*Pout_total/Pout)</f>
        <v>169.89294431372548</v>
      </c>
      <c r="AF280" s="528">
        <f t="shared" ref="AF280:AF316" si="796">0.5*AD280/1000000*Isw_min*Nps*W280*1000*(Pout/Pout_total)</f>
        <v>4.2076354859726699</v>
      </c>
      <c r="AH280" s="173">
        <f t="shared" ref="AH280:AH315" si="797">SQRT((H280+I280)/(0.5*L*Fsw_DCM))</f>
        <v>6.8061596751626041</v>
      </c>
      <c r="AI280" s="173">
        <f t="shared" ref="AI280:AI311" si="798">MAX(IF(F280&gt;AB280,T280,AH280),Isw_min)</f>
        <v>14.515728393884986</v>
      </c>
      <c r="AJ280" s="173">
        <f t="shared" ref="AJ280:AJ311" si="799">IF(F280&gt;AF280, (AI280-Isw_min)/1.08*0.8+1.2, AE280*0.2/350+1)</f>
        <v>4.5449839954703597</v>
      </c>
      <c r="AL280" s="545">
        <f t="shared" ref="AL280:AL316" si="800">F280*1000</f>
        <v>6400</v>
      </c>
      <c r="AM280" s="460">
        <f t="shared" ref="AM280:AM316" si="801">IF(F280&gt;AF280, X280, AE280)</f>
        <v>75.781286632231428</v>
      </c>
      <c r="AO280">
        <f t="shared" ref="AO280:AO316" si="802">IF(H280&gt;O280, "",AL280)</f>
        <v>6400</v>
      </c>
      <c r="AP280">
        <f t="shared" ref="AP280:AP316" si="803">IF(H280&gt;O280, "",AM280)</f>
        <v>75.781286632231428</v>
      </c>
      <c r="AR280" s="5">
        <f t="shared" si="774"/>
        <v>13.195869909850256</v>
      </c>
      <c r="AS280" s="5">
        <f t="shared" si="739"/>
        <v>2.0594932290961787</v>
      </c>
      <c r="AT280" s="5">
        <f t="shared" si="740"/>
        <v>11.136376680754077</v>
      </c>
      <c r="AU280" s="173">
        <f t="shared" si="741"/>
        <v>0.15607104671127736</v>
      </c>
      <c r="BA280" s="173">
        <f t="shared" si="692"/>
        <v>3.3108490270763347</v>
      </c>
      <c r="BB280" s="173">
        <f t="shared" si="693"/>
        <v>7.6989438012574576</v>
      </c>
      <c r="BC280" s="173">
        <f t="shared" si="694"/>
        <v>0.18960536106626213</v>
      </c>
      <c r="BD280" s="173"/>
      <c r="BE280" s="528">
        <f t="shared" si="695"/>
        <v>0.21923442560184622</v>
      </c>
      <c r="BF280" s="528">
        <f t="shared" ref="BF280:BF316" si="804">0.5*L280*AI280*AM280*1000*Tfall</f>
        <v>2.0729731943081204</v>
      </c>
      <c r="BG280" s="528">
        <f t="shared" ref="BG280:BG316" si="805">Qg*Vdd*AM280*1000*0+Qg*J280*AM280*1000</f>
        <v>0.16023659003366125</v>
      </c>
      <c r="BH280" s="528">
        <f t="shared" si="696"/>
        <v>7.6549998569999556E-2</v>
      </c>
      <c r="BI280">
        <f t="shared" si="697"/>
        <v>3.8060301543879627E-2</v>
      </c>
      <c r="BJ280" s="460">
        <f t="shared" si="698"/>
        <v>198.29689157754089</v>
      </c>
      <c r="BK280">
        <f t="shared" ref="BK280:BK316" si="806">(BF280+BG280*0+BH280+BI280*0+BE280*(1+RdsonTC*(Ta-25)))/(1-BE280*RdsonTC*ThetaJA)</f>
        <v>2.5613730927071092</v>
      </c>
      <c r="BL280" s="460">
        <f t="shared" si="699"/>
        <v>2567.0545100575073</v>
      </c>
      <c r="BM280" s="173">
        <f t="shared" ref="BM280:BM316" si="807">Vfwd2*F280*(1+Diode_TC/1000*(Ta-25))</f>
        <v>3.9759999999999995</v>
      </c>
      <c r="BN280" s="173">
        <f t="shared" ref="BN280:BN316" si="808">Vfwd22*G280*(1+Diode_TC/1000*(Ta-25))</f>
        <v>7.0999999999999994E-2</v>
      </c>
      <c r="BQ280" s="460">
        <f t="shared" si="700"/>
        <v>4046.9999999999995</v>
      </c>
      <c r="BR280" s="528">
        <f t="shared" si="701"/>
        <v>0.32885163840276932</v>
      </c>
      <c r="BS280" s="528">
        <f t="shared" si="702"/>
        <v>1.7782120696476187</v>
      </c>
      <c r="BT280" s="528">
        <f t="shared" si="703"/>
        <v>1.7975096472533817E-4</v>
      </c>
      <c r="BU280" s="528">
        <f t="shared" si="704"/>
        <v>2.0066518247314056</v>
      </c>
      <c r="BV280" s="528"/>
      <c r="BW280" s="625">
        <f t="shared" si="705"/>
        <v>1.5967599881213889E-2</v>
      </c>
      <c r="BX280" s="460">
        <f t="shared" si="706"/>
        <v>4129.862883627733</v>
      </c>
      <c r="BY280" s="173">
        <f t="shared" si="707"/>
        <v>10.743917393685241</v>
      </c>
      <c r="BZ280" s="5">
        <f t="shared" si="708"/>
        <v>97.28</v>
      </c>
      <c r="CA280" s="173">
        <f t="shared" si="709"/>
        <v>0.9005413092497857</v>
      </c>
      <c r="CB280" s="5">
        <f t="shared" si="710"/>
        <v>90.054130924978566</v>
      </c>
      <c r="CC280">
        <f t="shared" si="711"/>
        <v>64</v>
      </c>
      <c r="CE280" s="562">
        <f t="shared" ref="CE280:CE316" si="809">IF(ABS(F280-Ioutmax_Vinmax)&lt;Iout/200, AM280, -50)</f>
        <v>-50</v>
      </c>
      <c r="CG280" s="173">
        <f t="shared" ref="CG280:CG316" si="810">MIN(SQRT(2*DT280*1000*Ls1_*CL280)/CW280, 1-DY280)</f>
        <v>0.84409136047666333</v>
      </c>
      <c r="CH280" s="173">
        <f t="shared" ref="CH280:CH316" si="811">MIN(SQRT(2*DT280*1000*Ls2_*CM280)/Vout2, 1-DY280)</f>
        <v>0.1020398968288061</v>
      </c>
      <c r="CI280" s="170">
        <v>64</v>
      </c>
      <c r="CJ280" s="217">
        <f t="shared" si="712"/>
        <v>6.4</v>
      </c>
      <c r="CK280" s="217">
        <f t="shared" ref="CK280:CK316" si="812">IF(PLOT_TYPE=1, CI280/100*Iout2, min_I*EXP(CU280*rr/100))</f>
        <v>0.16</v>
      </c>
      <c r="CL280" s="217">
        <f t="shared" ref="CL280:CL316" si="813">CJ280*Vout</f>
        <v>96</v>
      </c>
      <c r="CM280" s="217">
        <f t="shared" ref="CM280:CM316" si="814">Vout2*CK280</f>
        <v>1.28</v>
      </c>
      <c r="CN280" s="541">
        <f t="shared" ref="CN280:CN316" si="815">VIN_max</f>
        <v>85</v>
      </c>
      <c r="CO280" s="443">
        <f t="shared" ref="CO280:CO316" si="816">(CW280+Vfwd2)*Nps</f>
        <v>15.7</v>
      </c>
      <c r="CP280" s="443">
        <f t="shared" ref="CP280:CP316" si="817">(Vout+Vfwd2)*Nps+CN280</f>
        <v>100.7</v>
      </c>
      <c r="CQ280" s="443"/>
      <c r="CR280" s="217">
        <f t="shared" ref="CR280:CR316" si="818">(Vout+Vfwd1)*Nps/((Vout+Vfwd1)*Nps+CN280)</f>
        <v>0.15338645418326693</v>
      </c>
      <c r="CS280" s="172">
        <f t="shared" ref="CS280:CS316" si="819">CR280*CN280*Isw_max*0.5*Efficiency*Pout/(Pout+Pout2)</f>
        <v>321.65744915076539</v>
      </c>
      <c r="CT280" s="172">
        <f t="shared" ref="CT280:CT316" si="820">CR280*CN280*Isw_max*0.5*Efficiency*(Pout2/Pout_total)</f>
        <v>4.3459495351925632</v>
      </c>
      <c r="CU280" s="217">
        <f t="shared" ref="CU280:CU316" si="821">CS280/Vout</f>
        <v>21.443829943384358</v>
      </c>
      <c r="CV280" s="217">
        <f t="shared" ref="CV280:CV316" si="822">CS280/Vout2</f>
        <v>40.207181143845673</v>
      </c>
      <c r="CW280" s="217">
        <f t="shared" ref="CW280:CW316" si="823">MIN(Vout,CS280/CJ280)</f>
        <v>15</v>
      </c>
      <c r="CX280" s="217">
        <f t="shared" ref="CX280:CX316" si="824">MIN(2*(Vout*CJ280+Vout2*CK280)/(Efficiency*CN280*CR280), Isw_max)</f>
        <v>14.922707410236821</v>
      </c>
      <c r="CY280" s="217">
        <f t="shared" ref="CY280:CY316" si="825">L*CX280/CN280*1000000</f>
        <v>2.1067351637981395</v>
      </c>
      <c r="CZ280" s="217">
        <f t="shared" ref="CZ280:CZ316" si="826">L*CX280/CO280*1000000</f>
        <v>11.405891014193751</v>
      </c>
      <c r="DA280" s="197">
        <f t="shared" ref="DA280:DA316" si="827">IF(1/((350000*L)*(1/CN280+1/CO280))&gt;Isw_min, 350, 0.001/((Isw_min*L)*(1/CN280+1/CO280)))</f>
        <v>110.43528632903013</v>
      </c>
      <c r="DB280" s="443">
        <f t="shared" ref="DB280:DB316" si="828">MIN(1/(CY280+CZ280)*1000, 350)</f>
        <v>74.004859368396282</v>
      </c>
      <c r="DD280" s="217">
        <f t="shared" ref="DD280:DD316" si="829">1/((DA280*1000*L)*(1/CN280+1/CO280))</f>
        <v>9.9999999999999982</v>
      </c>
      <c r="DE280" s="173">
        <f t="shared" ref="DE280:DE316" si="830">L*DD280/CO280*1000000</f>
        <v>7.6433121019108263</v>
      </c>
      <c r="DF280" s="173">
        <f t="shared" ref="DF280:DF316" si="831">0.5*DE280*DD280*Nps*DA280/1000*(Pout/(Pout+Pout2))</f>
        <v>4.1649244760361679</v>
      </c>
      <c r="DG280" s="173"/>
      <c r="DH280" s="173">
        <f t="shared" ref="DH280:DH316" si="832">L*Isw_min/CO280*1000000</f>
        <v>7.6433121019108281</v>
      </c>
      <c r="DI280" s="545">
        <f t="shared" ref="DI280:DI316" si="833">MAX(10, CJ280/(0.5*DH280/1000000*Isw_min*Nps)/1000*Pout_total/Pout)</f>
        <v>167.4666666666667</v>
      </c>
      <c r="DJ280" s="528">
        <f t="shared" ref="DJ280:DJ316" si="834">0.5*DH280/1000000*Isw_min*Nps*DA280*1000*(Pout/Pout_total)</f>
        <v>4.2204568023833167</v>
      </c>
      <c r="DL280" s="173">
        <f t="shared" ref="DL280:DL316" si="835">SQRT((CL280+CM280)/(0.5*L*Fsw_DCM))</f>
        <v>6.8061596751626041</v>
      </c>
      <c r="DM280" s="173">
        <f t="shared" ref="DM280:DM316" si="836">MAX(IF(CJ280&gt;DF280,CX280,DL280),Isw_min)</f>
        <v>14.922707410236821</v>
      </c>
      <c r="DN280" s="173">
        <f t="shared" ref="DN280:DN316" si="837">IF(CJ280&gt;DJ280, (DM280-Isw_min)/1.08*0.8+1.2, DI280*0.2/350+1)</f>
        <v>4.8464499335087572</v>
      </c>
      <c r="DP280" s="545">
        <f t="shared" ref="DP280:DP316" si="838">CJ280*1000</f>
        <v>6400</v>
      </c>
      <c r="DQ280" s="460">
        <f t="shared" ref="DQ280:DQ316" si="839">IF(CJ280&gt;DJ280, DB280, DI280)</f>
        <v>74.004859368396282</v>
      </c>
      <c r="DS280">
        <f t="shared" ref="DS280:DS316" si="840">IF(CL280&gt;CS280, "",DP280)</f>
        <v>6400</v>
      </c>
      <c r="DT280">
        <f t="shared" ref="DT280:DT316" si="841">IF(CL280&gt;CS280, "",DQ280)</f>
        <v>74.004859368396282</v>
      </c>
      <c r="DV280" s="5">
        <f t="shared" si="684"/>
        <v>13.512626177991891</v>
      </c>
      <c r="DW280" s="5">
        <f t="shared" ref="DW280:DW316" si="842">L*DM280/CN280*1000000</f>
        <v>2.1067351637981395</v>
      </c>
      <c r="DX280" s="5">
        <f t="shared" ref="DX280:DX316" si="843">DV280-DW280</f>
        <v>11.405891014193751</v>
      </c>
      <c r="DY280" s="173">
        <f t="shared" ref="DY280:DY316" si="844">DW280/DV280</f>
        <v>0.15590863952333661</v>
      </c>
      <c r="EA280" s="5">
        <f t="shared" si="713"/>
        <v>89.887366988720629</v>
      </c>
      <c r="EB280" s="5">
        <f t="shared" si="714"/>
        <v>4.213470327596279</v>
      </c>
      <c r="EC280" s="5">
        <f t="shared" si="715"/>
        <v>3.5783187495509807</v>
      </c>
      <c r="ED280" s="5"/>
      <c r="EE280" s="173">
        <f t="shared" si="716"/>
        <v>3.4019042627144933</v>
      </c>
      <c r="EF280" s="173">
        <f t="shared" si="717"/>
        <v>7.9155614375210686</v>
      </c>
      <c r="EG280" s="173">
        <f t="shared" si="718"/>
        <v>0.19494010128483261</v>
      </c>
      <c r="EH280" s="173"/>
      <c r="EI280" s="528">
        <f t="shared" si="719"/>
        <v>0.2314590522535008</v>
      </c>
      <c r="EJ280" s="528">
        <f t="shared" si="720"/>
        <v>2.2241666666666666</v>
      </c>
      <c r="EK280" s="528">
        <f t="shared" si="721"/>
        <v>9.2506074210495347E-3</v>
      </c>
      <c r="EL280" s="528">
        <f t="shared" si="722"/>
        <v>7.5044553637662881E-2</v>
      </c>
      <c r="EM280">
        <f t="shared" si="723"/>
        <v>3.8249999999999999E-2</v>
      </c>
      <c r="EN280" s="460">
        <f t="shared" si="724"/>
        <v>47.500607421049537</v>
      </c>
      <c r="EP280" s="460">
        <f t="shared" si="725"/>
        <v>2578.1708799788798</v>
      </c>
      <c r="EQ280" s="173">
        <f t="shared" si="726"/>
        <v>4.4799999999999995</v>
      </c>
      <c r="ER280" s="173">
        <f t="shared" ref="ER280:ER316" si="845">Vfwd22*CK280*(1+Diode_TC/1000*(Ta-25))</f>
        <v>7.0999999999999994E-2</v>
      </c>
      <c r="ES280" s="528"/>
      <c r="EU280" s="460">
        <f t="shared" si="727"/>
        <v>4550.9999999999991</v>
      </c>
      <c r="EV280" s="528">
        <f t="shared" si="728"/>
        <v>0.34718857838025119</v>
      </c>
      <c r="EW280" s="528">
        <f t="shared" si="729"/>
        <v>1.8796833861351181</v>
      </c>
      <c r="EX280" s="528">
        <f t="shared" si="730"/>
        <v>1.9000821544470396E-4</v>
      </c>
      <c r="EY280" s="528">
        <f t="shared" si="731"/>
        <v>2.0264675705467927</v>
      </c>
      <c r="EZ280" s="528"/>
      <c r="FA280" s="625">
        <f t="shared" si="732"/>
        <v>1.6479934656538429E-2</v>
      </c>
      <c r="FB280" s="460">
        <f t="shared" si="733"/>
        <v>4270.0094779341443</v>
      </c>
      <c r="FC280" s="173">
        <f t="shared" si="734"/>
        <v>11.399180357913025</v>
      </c>
      <c r="FD280" s="5">
        <f t="shared" si="735"/>
        <v>97.28</v>
      </c>
      <c r="FE280" s="173">
        <f t="shared" si="736"/>
        <v>0.89511164585183545</v>
      </c>
      <c r="FF280" s="5">
        <f t="shared" si="737"/>
        <v>89.51116458518355</v>
      </c>
      <c r="FG280">
        <f t="shared" si="738"/>
        <v>64</v>
      </c>
      <c r="FI280" s="562">
        <f t="shared" ref="FI280:FI316" si="846">IF(ABS(CJ280-Ioutmax_Vinmax)&lt;Iout/200, DQ280, -50)</f>
        <v>-50</v>
      </c>
    </row>
    <row r="281" spans="5:165">
      <c r="E281" s="170">
        <v>65</v>
      </c>
      <c r="F281" s="217">
        <f t="shared" ref="F281:F312" si="847">IF(PLOT_TYPE=1, E281/100*Iout_max, min_I*EXP(O281*rr/100))</f>
        <v>6.5</v>
      </c>
      <c r="G281" s="217">
        <f t="shared" si="775"/>
        <v>0.16250000000000001</v>
      </c>
      <c r="H281" s="217">
        <f t="shared" si="776"/>
        <v>97.5</v>
      </c>
      <c r="I281" s="217">
        <f t="shared" si="777"/>
        <v>1.3</v>
      </c>
      <c r="J281" s="541">
        <f t="shared" si="778"/>
        <v>84.571861123339431</v>
      </c>
      <c r="K281" s="443">
        <f t="shared" si="779"/>
        <v>15.931017647058823</v>
      </c>
      <c r="L281" s="172">
        <f t="shared" si="780"/>
        <v>100.50287877039825</v>
      </c>
      <c r="M281" s="443"/>
      <c r="N281" s="217">
        <f t="shared" si="781"/>
        <v>0.15851304800386559</v>
      </c>
      <c r="O281" s="172">
        <f t="shared" si="782"/>
        <v>330.73380301036576</v>
      </c>
      <c r="P281" s="172">
        <f t="shared" si="783"/>
        <v>4.468581160673387</v>
      </c>
      <c r="Q281" s="217">
        <f t="shared" si="784"/>
        <v>22.04892020069105</v>
      </c>
      <c r="R281" s="217">
        <f t="shared" si="785"/>
        <v>41.34172537629572</v>
      </c>
      <c r="S281" s="217">
        <f t="shared" si="786"/>
        <v>15</v>
      </c>
      <c r="T281" s="217">
        <f t="shared" si="787"/>
        <v>14.739950847561866</v>
      </c>
      <c r="U281" s="217">
        <f t="shared" si="788"/>
        <v>2.0914688150563676</v>
      </c>
      <c r="V281" s="217">
        <f t="shared" si="789"/>
        <v>11.102831852263863</v>
      </c>
      <c r="W281" s="197">
        <f t="shared" si="790"/>
        <v>111.71452901683463</v>
      </c>
      <c r="X281" s="443">
        <f t="shared" ref="X281:X316" si="848">MIN(1/(U281+V281+0.2)*1000, 350)</f>
        <v>74.658619724718179</v>
      </c>
      <c r="Z281" s="217">
        <f t="shared" si="791"/>
        <v>10</v>
      </c>
      <c r="AA281" s="173">
        <f t="shared" si="792"/>
        <v>7.5324754926848216</v>
      </c>
      <c r="AB281" s="173">
        <f t="shared" si="793"/>
        <v>4.1520737762967146</v>
      </c>
      <c r="AC281" s="173"/>
      <c r="AD281" s="173">
        <f t="shared" si="794"/>
        <v>7.5324754926848216</v>
      </c>
      <c r="AE281" s="545">
        <f t="shared" si="795"/>
        <v>172.58602450980391</v>
      </c>
      <c r="AF281" s="528">
        <f t="shared" si="796"/>
        <v>4.2074347599806714</v>
      </c>
      <c r="AH281" s="173">
        <f t="shared" si="797"/>
        <v>6.859126697154605</v>
      </c>
      <c r="AI281" s="173">
        <f t="shared" si="798"/>
        <v>14.739950847561866</v>
      </c>
      <c r="AJ281" s="173">
        <f t="shared" si="799"/>
        <v>4.7110747018976786</v>
      </c>
      <c r="AL281" s="545">
        <f t="shared" si="800"/>
        <v>6500</v>
      </c>
      <c r="AM281" s="460">
        <f t="shared" si="801"/>
        <v>74.658619724718179</v>
      </c>
      <c r="AO281">
        <f t="shared" si="802"/>
        <v>6500</v>
      </c>
      <c r="AP281">
        <f t="shared" si="803"/>
        <v>74.658619724718179</v>
      </c>
      <c r="AR281" s="5">
        <f t="shared" si="774"/>
        <v>13.394300667320231</v>
      </c>
      <c r="AS281" s="5">
        <f t="shared" si="739"/>
        <v>2.0914688150563676</v>
      </c>
      <c r="AT281" s="5">
        <f t="shared" si="740"/>
        <v>11.302831852263862</v>
      </c>
      <c r="AU281" s="173">
        <f t="shared" si="741"/>
        <v>0.15614617492940028</v>
      </c>
      <c r="BA281" s="173">
        <f t="shared" ref="BA281:BA316" si="849">AI281*SQRT(AU281/3)</f>
        <v>3.3628003419022678</v>
      </c>
      <c r="BB281" s="173">
        <f t="shared" ref="BB281:BB316" si="850">AI281*Npri_sec1*SQRT((1-AU281)/3)*(Pout/Pout_total)</f>
        <v>7.817520335120034</v>
      </c>
      <c r="BC281" s="173">
        <f t="shared" ref="BC281:BC316" si="851">AI281*Npri_sec2*SQRT((1-AU281)/3)*(Pout2/Pout_total)</f>
        <v>0.19252559884138751</v>
      </c>
      <c r="BD281" s="173"/>
      <c r="BE281" s="528">
        <f t="shared" ref="BE281:BE315" si="852">Rdson*BA281^2</f>
        <v>0.22616852278996022</v>
      </c>
      <c r="BF281" s="528">
        <f t="shared" si="804"/>
        <v>2.0737469753579356</v>
      </c>
      <c r="BG281" s="528">
        <f t="shared" si="805"/>
        <v>0.15785046047547688</v>
      </c>
      <c r="BH281" s="528">
        <f t="shared" ref="BH281:BH316" si="853">0.5*(Coss+Csw)*L281^2*AM281*1000</f>
        <v>7.5411392442321673E-2</v>
      </c>
      <c r="BI281">
        <f t="shared" ref="BI281:BI316" si="854">J281*IQ</f>
        <v>3.805733750550274E-2</v>
      </c>
      <c r="BJ281" s="460">
        <f t="shared" ref="BJ281:BJ316" si="855">(BG281+BI281)*1000</f>
        <v>195.90779798097964</v>
      </c>
      <c r="BK281">
        <f t="shared" si="806"/>
        <v>2.574753575062005</v>
      </c>
      <c r="BL281" s="460">
        <f t="shared" ref="BL281:BL316" si="856">SUM(BE281:BI281)*1000</f>
        <v>2571.2346885711968</v>
      </c>
      <c r="BM281" s="173">
        <f t="shared" si="807"/>
        <v>4.038125</v>
      </c>
      <c r="BN281" s="173">
        <f t="shared" si="808"/>
        <v>7.2109375000000003E-2</v>
      </c>
      <c r="BQ281" s="460">
        <f t="shared" ref="BQ281:BQ316" si="857">SUM(BM281:BP281)*1000</f>
        <v>4110.234375</v>
      </c>
      <c r="BR281" s="528">
        <f t="shared" ref="BR281:BR316" si="858">Rdcr_pri*BA281^2</f>
        <v>0.33925278418494031</v>
      </c>
      <c r="BS281" s="528">
        <f t="shared" ref="BS281:BS316" si="859">Rdcr_sec*BB281^2</f>
        <v>1.8334087257004574</v>
      </c>
      <c r="BT281" s="528">
        <f t="shared" ref="BT281:BT316" si="860">Rdcr_sec2*BC281^2</f>
        <v>1.8533053104617436E-4</v>
      </c>
      <c r="BU281" s="528">
        <f t="shared" ref="BU281:BU316" si="861">AI281^2.5*AM281^2.5*k_core</f>
        <v>2.0086764315124559</v>
      </c>
      <c r="BV281" s="528"/>
      <c r="BW281" s="625">
        <f t="shared" ref="BW281:BW316" si="862">0.5*Lleak*0.000000001*AI281^2*AM281*1000</f>
        <v>1.6220790945706595E-2</v>
      </c>
      <c r="BX281" s="460">
        <f t="shared" ref="BX281:BX316" si="863">SUM(BR281:BW281)*1000</f>
        <v>4197.7440628746062</v>
      </c>
      <c r="BY281" s="173">
        <f t="shared" ref="BY281:BY315" si="864">SUM(BE281:BI281,BM281:BP281,BR281:BW281)</f>
        <v>10.879213126445801</v>
      </c>
      <c r="BZ281" s="5">
        <f t="shared" ref="BZ281:BZ316" si="865">MIN(H281+I281,O281+P281)</f>
        <v>98.8</v>
      </c>
      <c r="CA281" s="173">
        <f t="shared" ref="CA281:CA316" si="866">BZ281/(BZ281+BY281)</f>
        <v>0.9008087967051378</v>
      </c>
      <c r="CB281" s="5">
        <f t="shared" ref="CB281:CB316" si="867">CA281*100</f>
        <v>90.080879670513781</v>
      </c>
      <c r="CC281">
        <f t="shared" ref="CC281:CC316" si="868">F281/Iout*100</f>
        <v>65</v>
      </c>
      <c r="CE281" s="562">
        <f t="shared" si="809"/>
        <v>-50</v>
      </c>
      <c r="CG281" s="173">
        <f t="shared" si="810"/>
        <v>0.84409136047666333</v>
      </c>
      <c r="CH281" s="173">
        <f t="shared" si="811"/>
        <v>0.1020398968288061</v>
      </c>
      <c r="CI281" s="170">
        <v>65</v>
      </c>
      <c r="CJ281" s="217">
        <f t="shared" ref="CJ281:CJ316" si="869">IF(PLOT_TYPE=1, CI281/100*Iout_max, min_I*EXP(CS281*rr/100))</f>
        <v>6.5</v>
      </c>
      <c r="CK281" s="217">
        <f t="shared" si="812"/>
        <v>0.16250000000000001</v>
      </c>
      <c r="CL281" s="217">
        <f t="shared" si="813"/>
        <v>97.5</v>
      </c>
      <c r="CM281" s="217">
        <f t="shared" si="814"/>
        <v>1.3</v>
      </c>
      <c r="CN281" s="541">
        <f t="shared" si="815"/>
        <v>85</v>
      </c>
      <c r="CO281" s="443">
        <f t="shared" si="816"/>
        <v>15.7</v>
      </c>
      <c r="CP281" s="443">
        <f t="shared" si="817"/>
        <v>100.7</v>
      </c>
      <c r="CQ281" s="443"/>
      <c r="CR281" s="217">
        <f t="shared" si="818"/>
        <v>0.15338645418326693</v>
      </c>
      <c r="CS281" s="172">
        <f t="shared" si="819"/>
        <v>321.65744915076539</v>
      </c>
      <c r="CT281" s="172">
        <f t="shared" si="820"/>
        <v>4.3459495351925632</v>
      </c>
      <c r="CU281" s="217">
        <f t="shared" si="821"/>
        <v>21.443829943384358</v>
      </c>
      <c r="CV281" s="217">
        <f t="shared" si="822"/>
        <v>40.207181143845673</v>
      </c>
      <c r="CW281" s="217">
        <f t="shared" si="823"/>
        <v>15</v>
      </c>
      <c r="CX281" s="217">
        <f t="shared" si="824"/>
        <v>15.155874713521772</v>
      </c>
      <c r="CY281" s="217">
        <f t="shared" si="825"/>
        <v>2.1396529007324854</v>
      </c>
      <c r="CZ281" s="217">
        <f t="shared" si="826"/>
        <v>11.584108061290529</v>
      </c>
      <c r="DA281" s="197">
        <f t="shared" si="827"/>
        <v>110.43528632903013</v>
      </c>
      <c r="DB281" s="443">
        <f t="shared" si="828"/>
        <v>72.866323070420947</v>
      </c>
      <c r="DD281" s="217">
        <f t="shared" si="829"/>
        <v>9.9999999999999982</v>
      </c>
      <c r="DE281" s="173">
        <f t="shared" si="830"/>
        <v>7.6433121019108263</v>
      </c>
      <c r="DF281" s="173">
        <f t="shared" si="831"/>
        <v>4.1649244760361679</v>
      </c>
      <c r="DG281" s="173"/>
      <c r="DH281" s="173">
        <f t="shared" si="832"/>
        <v>7.6433121019108281</v>
      </c>
      <c r="DI281" s="545">
        <f t="shared" si="833"/>
        <v>170.08333333333334</v>
      </c>
      <c r="DJ281" s="528">
        <f t="shared" si="834"/>
        <v>4.2204568023833167</v>
      </c>
      <c r="DL281" s="173">
        <f t="shared" si="835"/>
        <v>6.859126697154605</v>
      </c>
      <c r="DM281" s="173">
        <f t="shared" si="836"/>
        <v>15.155874713521772</v>
      </c>
      <c r="DN281" s="173">
        <f t="shared" si="837"/>
        <v>5.0191664544605716</v>
      </c>
      <c r="DP281" s="545">
        <f t="shared" si="838"/>
        <v>6500</v>
      </c>
      <c r="DQ281" s="460">
        <f t="shared" si="839"/>
        <v>72.866323070420947</v>
      </c>
      <c r="DS281">
        <f t="shared" si="840"/>
        <v>6500</v>
      </c>
      <c r="DT281">
        <f t="shared" si="841"/>
        <v>72.866323070420947</v>
      </c>
      <c r="DV281" s="5">
        <f t="shared" ref="DV281:DV316" si="870">1/DQ281*1000</f>
        <v>13.723760962023015</v>
      </c>
      <c r="DW281" s="5">
        <f t="shared" si="842"/>
        <v>2.1396529007324854</v>
      </c>
      <c r="DX281" s="5">
        <f t="shared" si="843"/>
        <v>11.584108061290529</v>
      </c>
      <c r="DY281" s="173">
        <f t="shared" si="844"/>
        <v>0.15590863952333661</v>
      </c>
      <c r="EA281" s="5">
        <f t="shared" ref="EA281:EA316" si="871">CJ281*DW281/Vout_ripple*1000</f>
        <v>92.718292365074362</v>
      </c>
      <c r="EB281" s="5">
        <f t="shared" ref="EB281:EB316" si="872">CK281*DW281/Vout_ripple2*1000</f>
        <v>4.3461699546128614</v>
      </c>
      <c r="EC281" s="5">
        <f t="shared" ref="EC281:EC316" si="873">CL281/Efficiency/CN281*DX281/Vinripple1</f>
        <v>3.6910148234504132</v>
      </c>
      <c r="ED281" s="5"/>
      <c r="EE281" s="173">
        <f t="shared" ref="EE281:EE316" si="874">DM281*SQRT(DY281/3)</f>
        <v>3.4550590168194071</v>
      </c>
      <c r="EF281" s="173">
        <f t="shared" ref="EF281:EF316" si="875">DM281*Npri_sec1*SQRT((1-DY281)/3)*(Pout/Pout_total)</f>
        <v>8.0392420849823356</v>
      </c>
      <c r="EG281" s="173">
        <f t="shared" ref="EG281:EG316" si="876">DM281*Npri_sec2*SQRT((1-DY281)/3)*(Pout2/Pout_total)</f>
        <v>0.19798604036740813</v>
      </c>
      <c r="EH281" s="173"/>
      <c r="EI281" s="528">
        <f t="shared" ref="EI281:EI316" si="877">Rdson*EE281^2</f>
        <v>0.23874865619410177</v>
      </c>
      <c r="EJ281" s="528">
        <f t="shared" ref="EJ281:EJ316" si="878">0.5*CP281*DM281*DQ281*1000*Trise</f>
        <v>2.2241666666666662</v>
      </c>
      <c r="EK281" s="528">
        <f t="shared" ref="EK281:EK316" si="879">Qg*Vdd*DQ281*1000</f>
        <v>9.1082903838026179E-3</v>
      </c>
      <c r="EL281" s="528">
        <f t="shared" ref="EL281:EL316" si="880">0.5*(Coss+Csw)*CP281^2*DQ281*1000</f>
        <v>7.3890022043237302E-2</v>
      </c>
      <c r="EM281">
        <f t="shared" ref="EM281:EM316" si="881">CN281*IQ</f>
        <v>3.8249999999999999E-2</v>
      </c>
      <c r="EN281" s="460">
        <f t="shared" ref="EN281:EN316" si="882">(EK281+EM281)*1000</f>
        <v>47.358290383802618</v>
      </c>
      <c r="EP281" s="460">
        <f t="shared" ref="EP281:EP316" si="883">SUM(EI281:EM281)*1000</f>
        <v>2584.1636352878086</v>
      </c>
      <c r="EQ281" s="173">
        <f t="shared" ref="EQ281:EQ316" si="884">Vfwd2*CJ281</f>
        <v>4.55</v>
      </c>
      <c r="ER281" s="173">
        <f t="shared" si="845"/>
        <v>7.2109375000000003E-2</v>
      </c>
      <c r="ES281" s="528"/>
      <c r="EU281" s="460">
        <f t="shared" ref="EU281:EU316" si="885">SUM(EQ281:ET281)*1000</f>
        <v>4622.109375</v>
      </c>
      <c r="EV281" s="528">
        <f t="shared" ref="EV281:EV316" si="886">Rdcr_pri*EE281^2</f>
        <v>0.35812298429115264</v>
      </c>
      <c r="EW281" s="528">
        <f t="shared" ref="EW281:EW316" si="887">Rdcr_sec*EF281^2</f>
        <v>1.9388823990285338</v>
      </c>
      <c r="EX281" s="528">
        <f t="shared" ref="EX281:EX316" si="888">Rdcr_sec2*EG281^2</f>
        <v>1.9599236090182481E-4</v>
      </c>
      <c r="EY281" s="528">
        <f t="shared" ref="EY281:EY316" si="889">DM281^2.5*DQ281^2.5*k_core</f>
        <v>2.0264675705467909</v>
      </c>
      <c r="EZ281" s="528"/>
      <c r="FA281" s="625">
        <f t="shared" ref="FA281:FA316" si="890">0.5*Lleak*0.000000001*DM281^2*DQ281*1000</f>
        <v>1.673743363554684E-2</v>
      </c>
      <c r="FB281" s="460">
        <f t="shared" ref="FB281:FB316" si="891">SUM(EV281:FA281)*1000</f>
        <v>4340.4063798629259</v>
      </c>
      <c r="FC281" s="173">
        <f t="shared" ref="FC281:FC316" si="892">SUM(EI281:EM281,EQ281:ET281,EV281:FA281)</f>
        <v>11.546679390150734</v>
      </c>
      <c r="FD281" s="5">
        <f t="shared" ref="FD281:FD316" si="893">MIN(CL281+CM281,CS281+CT281)</f>
        <v>98.8</v>
      </c>
      <c r="FE281" s="173">
        <f t="shared" ref="FE281:FE316" si="894">FD281/(FD281+FC281)</f>
        <v>0.89535997409287371</v>
      </c>
      <c r="FF281" s="5">
        <f t="shared" ref="FF281:FF316" si="895">FE281*100</f>
        <v>89.535997409287376</v>
      </c>
      <c r="FG281">
        <f t="shared" ref="FG281:FG316" si="896">CJ281/Iout*100</f>
        <v>65</v>
      </c>
      <c r="FI281" s="562">
        <f t="shared" si="846"/>
        <v>-50</v>
      </c>
    </row>
    <row r="282" spans="5:165">
      <c r="E282" s="170">
        <v>66</v>
      </c>
      <c r="F282" s="217">
        <f t="shared" si="847"/>
        <v>6.6000000000000005</v>
      </c>
      <c r="G282" s="217">
        <f t="shared" si="775"/>
        <v>0.16500000000000001</v>
      </c>
      <c r="H282" s="217">
        <f t="shared" si="776"/>
        <v>99.000000000000014</v>
      </c>
      <c r="I282" s="217">
        <f t="shared" si="777"/>
        <v>1.32</v>
      </c>
      <c r="J282" s="541">
        <f t="shared" si="778"/>
        <v>84.565274371390814</v>
      </c>
      <c r="K282" s="443">
        <f t="shared" si="779"/>
        <v>15.934571764705881</v>
      </c>
      <c r="L282" s="172">
        <f t="shared" si="780"/>
        <v>100.49984613609669</v>
      </c>
      <c r="M282" s="443"/>
      <c r="N282" s="217">
        <f t="shared" si="781"/>
        <v>0.15855319562506906</v>
      </c>
      <c r="O282" s="172">
        <f t="shared" si="782"/>
        <v>330.79180486418005</v>
      </c>
      <c r="P282" s="172">
        <f t="shared" si="783"/>
        <v>4.4693648301649223</v>
      </c>
      <c r="Q282" s="217">
        <f t="shared" si="784"/>
        <v>22.052786990945336</v>
      </c>
      <c r="R282" s="217">
        <f t="shared" si="785"/>
        <v>41.348975608022506</v>
      </c>
      <c r="S282" s="217">
        <f t="shared" si="786"/>
        <v>15</v>
      </c>
      <c r="T282" s="217">
        <f t="shared" si="787"/>
        <v>14.964095020529369</v>
      </c>
      <c r="U282" s="217">
        <f t="shared" si="788"/>
        <v>2.1234382739388624</v>
      </c>
      <c r="V282" s="217">
        <f t="shared" si="789"/>
        <v>11.269153818371654</v>
      </c>
      <c r="W282" s="197">
        <f t="shared" si="790"/>
        <v>111.73412075412305</v>
      </c>
      <c r="X282" s="443">
        <f t="shared" si="848"/>
        <v>73.569484996589523</v>
      </c>
      <c r="Z282" s="217">
        <f t="shared" si="791"/>
        <v>10</v>
      </c>
      <c r="AA282" s="173">
        <f t="shared" si="792"/>
        <v>7.5307954159014674</v>
      </c>
      <c r="AB282" s="173">
        <f t="shared" si="793"/>
        <v>4.1518756794815657</v>
      </c>
      <c r="AC282" s="173"/>
      <c r="AD282" s="173">
        <f t="shared" si="794"/>
        <v>7.5307954159014674</v>
      </c>
      <c r="AE282" s="545">
        <f t="shared" si="795"/>
        <v>175.2802894117647</v>
      </c>
      <c r="AF282" s="528">
        <f t="shared" si="796"/>
        <v>4.2072340218746547</v>
      </c>
      <c r="AH282" s="173">
        <f t="shared" si="797"/>
        <v>6.9116878236382009</v>
      </c>
      <c r="AI282" s="173">
        <f t="shared" si="798"/>
        <v>14.964095020529369</v>
      </c>
      <c r="AJ282" s="173">
        <f t="shared" si="799"/>
        <v>4.8771074226143467</v>
      </c>
      <c r="AL282" s="545">
        <f t="shared" si="800"/>
        <v>6600.0000000000009</v>
      </c>
      <c r="AM282" s="460">
        <f t="shared" si="801"/>
        <v>73.569484996589523</v>
      </c>
      <c r="AO282">
        <f t="shared" si="802"/>
        <v>6600.0000000000009</v>
      </c>
      <c r="AP282">
        <f t="shared" si="803"/>
        <v>73.569484996589523</v>
      </c>
      <c r="AR282" s="5">
        <f t="shared" si="774"/>
        <v>13.592592092310518</v>
      </c>
      <c r="AS282" s="5">
        <f t="shared" si="739"/>
        <v>2.1234382739388624</v>
      </c>
      <c r="AT282" s="5">
        <f t="shared" si="740"/>
        <v>11.469153818371655</v>
      </c>
      <c r="AU282" s="173">
        <f t="shared" si="741"/>
        <v>0.15622026023572907</v>
      </c>
      <c r="BA282" s="173">
        <f t="shared" si="849"/>
        <v>3.4147468129682026</v>
      </c>
      <c r="BB282" s="173">
        <f t="shared" si="850"/>
        <v>7.9360496552840525</v>
      </c>
      <c r="BC282" s="173">
        <f t="shared" si="851"/>
        <v>0.19544467386346609</v>
      </c>
      <c r="BD282" s="173"/>
      <c r="BE282" s="528">
        <f t="shared" si="852"/>
        <v>0.23320991593352994</v>
      </c>
      <c r="BF282" s="528">
        <f t="shared" si="804"/>
        <v>2.0745067013099812</v>
      </c>
      <c r="BG282" s="528">
        <f t="shared" si="805"/>
        <v>0.15553559210246282</v>
      </c>
      <c r="BH282" s="528">
        <f t="shared" si="853"/>
        <v>7.430679155812317E-2</v>
      </c>
      <c r="BI282">
        <f t="shared" si="854"/>
        <v>3.8054373467125868E-2</v>
      </c>
      <c r="BJ282" s="460">
        <f t="shared" si="855"/>
        <v>193.58996556958868</v>
      </c>
      <c r="BK282">
        <f t="shared" si="806"/>
        <v>2.5884159645345362</v>
      </c>
      <c r="BL282" s="460">
        <f t="shared" si="856"/>
        <v>2575.613374371223</v>
      </c>
      <c r="BM282" s="173">
        <f t="shared" si="807"/>
        <v>4.10025</v>
      </c>
      <c r="BN282" s="173">
        <f t="shared" si="808"/>
        <v>7.3218749999999999E-2</v>
      </c>
      <c r="BQ282" s="460">
        <f t="shared" si="857"/>
        <v>4173.46875</v>
      </c>
      <c r="BR282" s="528">
        <f t="shared" si="858"/>
        <v>0.34981487390029486</v>
      </c>
      <c r="BS282" s="528">
        <f t="shared" si="859"/>
        <v>1.8894265239340238</v>
      </c>
      <c r="BT282" s="528">
        <f t="shared" si="860"/>
        <v>1.9099310270798313E-4</v>
      </c>
      <c r="BU282" s="528">
        <f t="shared" si="861"/>
        <v>2.0106683290997376</v>
      </c>
      <c r="BV282" s="528"/>
      <c r="BW282" s="625">
        <f t="shared" si="862"/>
        <v>1.6473983642171407E-2</v>
      </c>
      <c r="BX282" s="460">
        <f t="shared" si="863"/>
        <v>4266.5747036789362</v>
      </c>
      <c r="BY282" s="173">
        <f t="shared" si="864"/>
        <v>11.015656828050158</v>
      </c>
      <c r="BZ282" s="5">
        <f t="shared" si="865"/>
        <v>100.32000000000001</v>
      </c>
      <c r="CA282" s="173">
        <f t="shared" si="866"/>
        <v>0.90105903946780463</v>
      </c>
      <c r="CB282" s="5">
        <f t="shared" si="867"/>
        <v>90.105903946780458</v>
      </c>
      <c r="CC282">
        <f t="shared" si="868"/>
        <v>66</v>
      </c>
      <c r="CE282" s="562">
        <f t="shared" si="809"/>
        <v>-50</v>
      </c>
      <c r="CG282" s="173">
        <f t="shared" si="810"/>
        <v>0.84409136047666333</v>
      </c>
      <c r="CH282" s="173">
        <f t="shared" si="811"/>
        <v>0.10203989682880608</v>
      </c>
      <c r="CI282" s="170">
        <v>66</v>
      </c>
      <c r="CJ282" s="217">
        <f t="shared" si="869"/>
        <v>6.6000000000000005</v>
      </c>
      <c r="CK282" s="217">
        <f t="shared" si="812"/>
        <v>0.16500000000000001</v>
      </c>
      <c r="CL282" s="217">
        <f t="shared" si="813"/>
        <v>99.000000000000014</v>
      </c>
      <c r="CM282" s="217">
        <f t="shared" si="814"/>
        <v>1.32</v>
      </c>
      <c r="CN282" s="541">
        <f t="shared" si="815"/>
        <v>85</v>
      </c>
      <c r="CO282" s="443">
        <f t="shared" si="816"/>
        <v>15.7</v>
      </c>
      <c r="CP282" s="443">
        <f t="shared" si="817"/>
        <v>100.7</v>
      </c>
      <c r="CQ282" s="443"/>
      <c r="CR282" s="217">
        <f t="shared" si="818"/>
        <v>0.15338645418326693</v>
      </c>
      <c r="CS282" s="172">
        <f t="shared" si="819"/>
        <v>321.65744915076539</v>
      </c>
      <c r="CT282" s="172">
        <f t="shared" si="820"/>
        <v>4.3459495351925632</v>
      </c>
      <c r="CU282" s="217">
        <f t="shared" si="821"/>
        <v>21.443829943384358</v>
      </c>
      <c r="CV282" s="217">
        <f t="shared" si="822"/>
        <v>40.207181143845673</v>
      </c>
      <c r="CW282" s="217">
        <f t="shared" si="823"/>
        <v>15</v>
      </c>
      <c r="CX282" s="217">
        <f t="shared" si="824"/>
        <v>15.389042016806723</v>
      </c>
      <c r="CY282" s="217">
        <f t="shared" si="825"/>
        <v>2.1725706376668317</v>
      </c>
      <c r="CZ282" s="217">
        <f t="shared" si="826"/>
        <v>11.762325108387305</v>
      </c>
      <c r="DA282" s="197">
        <f t="shared" si="827"/>
        <v>110.43528632903013</v>
      </c>
      <c r="DB282" s="443">
        <f t="shared" si="828"/>
        <v>71.762287872384263</v>
      </c>
      <c r="DD282" s="217">
        <f t="shared" si="829"/>
        <v>9.9999999999999982</v>
      </c>
      <c r="DE282" s="173">
        <f t="shared" si="830"/>
        <v>7.6433121019108263</v>
      </c>
      <c r="DF282" s="173">
        <f t="shared" si="831"/>
        <v>4.1649244760361679</v>
      </c>
      <c r="DG282" s="173"/>
      <c r="DH282" s="173">
        <f t="shared" si="832"/>
        <v>7.6433121019108281</v>
      </c>
      <c r="DI282" s="545">
        <f t="shared" si="833"/>
        <v>172.70000000000002</v>
      </c>
      <c r="DJ282" s="528">
        <f t="shared" si="834"/>
        <v>4.2204568023833167</v>
      </c>
      <c r="DL282" s="173">
        <f t="shared" si="835"/>
        <v>6.9116878236382009</v>
      </c>
      <c r="DM282" s="173">
        <f t="shared" si="836"/>
        <v>15.389042016806723</v>
      </c>
      <c r="DN282" s="173">
        <f t="shared" si="837"/>
        <v>5.191882975412387</v>
      </c>
      <c r="DP282" s="545">
        <f t="shared" si="838"/>
        <v>6600.0000000000009</v>
      </c>
      <c r="DQ282" s="460">
        <f t="shared" si="839"/>
        <v>71.762287872384263</v>
      </c>
      <c r="DS282">
        <f t="shared" si="840"/>
        <v>6600.0000000000009</v>
      </c>
      <c r="DT282">
        <f t="shared" si="841"/>
        <v>71.762287872384263</v>
      </c>
      <c r="DV282" s="5">
        <f t="shared" si="870"/>
        <v>13.93489574605414</v>
      </c>
      <c r="DW282" s="5">
        <f t="shared" si="842"/>
        <v>2.1725706376668317</v>
      </c>
      <c r="DX282" s="5">
        <f t="shared" si="843"/>
        <v>11.762325108387309</v>
      </c>
      <c r="DY282" s="173">
        <f t="shared" si="844"/>
        <v>0.15590863952333661</v>
      </c>
      <c r="EA282" s="5">
        <f t="shared" si="871"/>
        <v>95.593108057340601</v>
      </c>
      <c r="EB282" s="5">
        <f t="shared" si="872"/>
        <v>4.4809269401878407</v>
      </c>
      <c r="EC282" s="5">
        <f t="shared" si="873"/>
        <v>3.8054581233017766</v>
      </c>
      <c r="ED282" s="5"/>
      <c r="EE282" s="173">
        <f t="shared" si="874"/>
        <v>3.5082137709243213</v>
      </c>
      <c r="EF282" s="173">
        <f t="shared" si="875"/>
        <v>8.1629227324436027</v>
      </c>
      <c r="EG282" s="173">
        <f t="shared" si="876"/>
        <v>0.20103197944998366</v>
      </c>
      <c r="EH282" s="173"/>
      <c r="EI282" s="528">
        <f t="shared" si="877"/>
        <v>0.24615127725006095</v>
      </c>
      <c r="EJ282" s="528">
        <f t="shared" si="878"/>
        <v>2.2241666666666662</v>
      </c>
      <c r="EK282" s="528">
        <f t="shared" si="879"/>
        <v>8.9702859840480337E-3</v>
      </c>
      <c r="EL282" s="528">
        <f t="shared" si="880"/>
        <v>7.2770476254703398E-2</v>
      </c>
      <c r="EM282">
        <f t="shared" si="881"/>
        <v>3.8249999999999999E-2</v>
      </c>
      <c r="EN282" s="460">
        <f t="shared" si="882"/>
        <v>47.220285984048033</v>
      </c>
      <c r="EP282" s="460">
        <f t="shared" si="883"/>
        <v>2590.3087061554788</v>
      </c>
      <c r="EQ282" s="173">
        <f t="shared" si="884"/>
        <v>4.62</v>
      </c>
      <c r="ER282" s="173">
        <f t="shared" si="845"/>
        <v>7.3218749999999999E-2</v>
      </c>
      <c r="ES282" s="528"/>
      <c r="EU282" s="460">
        <f t="shared" si="885"/>
        <v>4693.21875</v>
      </c>
      <c r="EV282" s="528">
        <f t="shared" si="886"/>
        <v>0.36922691587509138</v>
      </c>
      <c r="EW282" s="528">
        <f t="shared" si="887"/>
        <v>1.998999226075336</v>
      </c>
      <c r="EX282" s="528">
        <f t="shared" si="888"/>
        <v>2.0206928380789326E-4</v>
      </c>
      <c r="EY282" s="528">
        <f t="shared" si="889"/>
        <v>2.0264675705467852</v>
      </c>
      <c r="EZ282" s="528"/>
      <c r="FA282" s="625">
        <f t="shared" si="890"/>
        <v>1.6994932614555255E-2</v>
      </c>
      <c r="FB282" s="460">
        <f t="shared" si="891"/>
        <v>4411.8907143955748</v>
      </c>
      <c r="FC282" s="173">
        <f t="shared" si="892"/>
        <v>11.695418170551054</v>
      </c>
      <c r="FD282" s="5">
        <f t="shared" si="893"/>
        <v>100.32000000000001</v>
      </c>
      <c r="FE282" s="173">
        <f t="shared" si="894"/>
        <v>0.89559099665419284</v>
      </c>
      <c r="FF282" s="5">
        <f t="shared" si="895"/>
        <v>89.559099665419282</v>
      </c>
      <c r="FG282">
        <f t="shared" si="896"/>
        <v>66</v>
      </c>
      <c r="FI282" s="562">
        <f t="shared" si="846"/>
        <v>-50</v>
      </c>
    </row>
    <row r="283" spans="5:165">
      <c r="E283" s="170">
        <v>67</v>
      </c>
      <c r="F283" s="217">
        <f t="shared" si="847"/>
        <v>6.7</v>
      </c>
      <c r="G283" s="217">
        <f t="shared" si="775"/>
        <v>0.16750000000000001</v>
      </c>
      <c r="H283" s="217">
        <f t="shared" si="776"/>
        <v>100.5</v>
      </c>
      <c r="I283" s="217">
        <f t="shared" si="777"/>
        <v>1.34</v>
      </c>
      <c r="J283" s="541">
        <f t="shared" si="778"/>
        <v>84.558687619442182</v>
      </c>
      <c r="K283" s="443">
        <f t="shared" si="779"/>
        <v>15.93812588235294</v>
      </c>
      <c r="L283" s="172">
        <f t="shared" si="780"/>
        <v>100.49681350179512</v>
      </c>
      <c r="M283" s="443"/>
      <c r="N283" s="217">
        <f t="shared" si="781"/>
        <v>0.15859334566929575</v>
      </c>
      <c r="O283" s="172">
        <f t="shared" si="782"/>
        <v>330.84979872464294</v>
      </c>
      <c r="P283" s="172">
        <f t="shared" si="783"/>
        <v>4.4701483916573972</v>
      </c>
      <c r="Q283" s="217">
        <f t="shared" si="784"/>
        <v>22.05665324830953</v>
      </c>
      <c r="R283" s="217">
        <f t="shared" si="785"/>
        <v>41.356224840580367</v>
      </c>
      <c r="S283" s="217">
        <f t="shared" si="786"/>
        <v>15</v>
      </c>
      <c r="T283" s="217">
        <f t="shared" si="787"/>
        <v>15.188160970235826</v>
      </c>
      <c r="U283" s="217">
        <f t="shared" si="788"/>
        <v>2.1554016124645274</v>
      </c>
      <c r="V283" s="217">
        <f t="shared" si="789"/>
        <v>11.435342711443262</v>
      </c>
      <c r="W283" s="197">
        <f t="shared" si="790"/>
        <v>111.75370979143493</v>
      </c>
      <c r="X283" s="443">
        <f t="shared" si="848"/>
        <v>72.512402268700527</v>
      </c>
      <c r="Z283" s="217">
        <f t="shared" si="791"/>
        <v>10</v>
      </c>
      <c r="AA283" s="173">
        <f t="shared" si="792"/>
        <v>7.5291160884145585</v>
      </c>
      <c r="AB283" s="173">
        <f t="shared" si="793"/>
        <v>4.151677570710711</v>
      </c>
      <c r="AC283" s="173"/>
      <c r="AD283" s="173">
        <f t="shared" si="794"/>
        <v>7.5291160884145585</v>
      </c>
      <c r="AE283" s="545">
        <f t="shared" si="795"/>
        <v>177.97573901960783</v>
      </c>
      <c r="AF283" s="528">
        <f t="shared" si="796"/>
        <v>4.2070332716535219</v>
      </c>
      <c r="AH283" s="173">
        <f t="shared" si="797"/>
        <v>6.9638522453623395</v>
      </c>
      <c r="AI283" s="173">
        <f t="shared" si="798"/>
        <v>15.188160970235826</v>
      </c>
      <c r="AJ283" s="173">
        <f t="shared" si="799"/>
        <v>5.0430822001746858</v>
      </c>
      <c r="AL283" s="545">
        <f t="shared" si="800"/>
        <v>6700</v>
      </c>
      <c r="AM283" s="460">
        <f t="shared" si="801"/>
        <v>72.512402268700527</v>
      </c>
      <c r="AO283">
        <f t="shared" si="802"/>
        <v>6700</v>
      </c>
      <c r="AP283">
        <f t="shared" si="803"/>
        <v>72.512402268700527</v>
      </c>
      <c r="AR283" s="5">
        <f t="shared" si="774"/>
        <v>13.790744323907788</v>
      </c>
      <c r="AS283" s="5">
        <f t="shared" si="739"/>
        <v>2.1554016124645274</v>
      </c>
      <c r="AT283" s="5">
        <f t="shared" si="740"/>
        <v>11.635342711443261</v>
      </c>
      <c r="AU283" s="173">
        <f t="shared" si="741"/>
        <v>0.15629334877363357</v>
      </c>
      <c r="BA283" s="173">
        <f t="shared" si="849"/>
        <v>3.4666884397198152</v>
      </c>
      <c r="BB283" s="173">
        <f t="shared" si="850"/>
        <v>8.0545317977631665</v>
      </c>
      <c r="BC283" s="173">
        <f t="shared" si="851"/>
        <v>0.19836258701942233</v>
      </c>
      <c r="BD283" s="173"/>
      <c r="BE283" s="528">
        <f t="shared" si="852"/>
        <v>0.24035857476174013</v>
      </c>
      <c r="BF283" s="528">
        <f t="shared" si="804"/>
        <v>2.0752529893567577</v>
      </c>
      <c r="BG283" s="528">
        <f t="shared" si="805"/>
        <v>0.15328883929935944</v>
      </c>
      <c r="BH283" s="528">
        <f t="shared" si="853"/>
        <v>7.3234694856214505E-2</v>
      </c>
      <c r="BI283">
        <f t="shared" si="854"/>
        <v>3.8051409428748982E-2</v>
      </c>
      <c r="BJ283" s="460">
        <f t="shared" si="855"/>
        <v>191.34024872810843</v>
      </c>
      <c r="BK283">
        <f t="shared" si="806"/>
        <v>2.6023618719145074</v>
      </c>
      <c r="BL283" s="460">
        <f t="shared" si="856"/>
        <v>2580.1865077028206</v>
      </c>
      <c r="BM283" s="173">
        <f t="shared" si="807"/>
        <v>4.162374999999999</v>
      </c>
      <c r="BN283" s="173">
        <f t="shared" si="808"/>
        <v>7.4328124999999995E-2</v>
      </c>
      <c r="BQ283" s="460">
        <f t="shared" si="857"/>
        <v>4236.7031249999991</v>
      </c>
      <c r="BR283" s="528">
        <f t="shared" si="858"/>
        <v>0.36053786214261019</v>
      </c>
      <c r="BS283" s="528">
        <f t="shared" si="859"/>
        <v>1.9462644744353386</v>
      </c>
      <c r="BT283" s="528">
        <f t="shared" si="860"/>
        <v>1.9673857964518947E-4</v>
      </c>
      <c r="BU283" s="528">
        <f t="shared" si="861"/>
        <v>2.0126289505501136</v>
      </c>
      <c r="BV283" s="528"/>
      <c r="BW283" s="625">
        <f t="shared" si="862"/>
        <v>1.6727177898431853E-2</v>
      </c>
      <c r="BX283" s="460">
        <f t="shared" si="863"/>
        <v>4336.3552036061392</v>
      </c>
      <c r="BY283" s="173">
        <f t="shared" si="864"/>
        <v>11.153244836308957</v>
      </c>
      <c r="BZ283" s="5">
        <f t="shared" si="865"/>
        <v>101.84</v>
      </c>
      <c r="CA283" s="173">
        <f t="shared" si="866"/>
        <v>0.90129281752668988</v>
      </c>
      <c r="CB283" s="5">
        <f t="shared" si="867"/>
        <v>90.129281752668987</v>
      </c>
      <c r="CC283">
        <f t="shared" si="868"/>
        <v>67</v>
      </c>
      <c r="CE283" s="562">
        <f t="shared" si="809"/>
        <v>-50</v>
      </c>
      <c r="CG283" s="173">
        <f t="shared" si="810"/>
        <v>0.84409136047666333</v>
      </c>
      <c r="CH283" s="173">
        <f t="shared" si="811"/>
        <v>0.1020398968288061</v>
      </c>
      <c r="CI283" s="170">
        <v>67</v>
      </c>
      <c r="CJ283" s="217">
        <f t="shared" si="869"/>
        <v>6.7</v>
      </c>
      <c r="CK283" s="217">
        <f t="shared" si="812"/>
        <v>0.16750000000000001</v>
      </c>
      <c r="CL283" s="217">
        <f t="shared" si="813"/>
        <v>100.5</v>
      </c>
      <c r="CM283" s="217">
        <f t="shared" si="814"/>
        <v>1.34</v>
      </c>
      <c r="CN283" s="541">
        <f t="shared" si="815"/>
        <v>85</v>
      </c>
      <c r="CO283" s="443">
        <f t="shared" si="816"/>
        <v>15.7</v>
      </c>
      <c r="CP283" s="443">
        <f t="shared" si="817"/>
        <v>100.7</v>
      </c>
      <c r="CQ283" s="443"/>
      <c r="CR283" s="217">
        <f t="shared" si="818"/>
        <v>0.15338645418326693</v>
      </c>
      <c r="CS283" s="172">
        <f t="shared" si="819"/>
        <v>321.65744915076539</v>
      </c>
      <c r="CT283" s="172">
        <f t="shared" si="820"/>
        <v>4.3459495351925632</v>
      </c>
      <c r="CU283" s="217">
        <f t="shared" si="821"/>
        <v>21.443829943384358</v>
      </c>
      <c r="CV283" s="217">
        <f t="shared" si="822"/>
        <v>40.207181143845673</v>
      </c>
      <c r="CW283" s="217">
        <f t="shared" si="823"/>
        <v>15</v>
      </c>
      <c r="CX283" s="217">
        <f t="shared" si="824"/>
        <v>15.622209320091674</v>
      </c>
      <c r="CY283" s="217">
        <f t="shared" si="825"/>
        <v>2.2054883746011775</v>
      </c>
      <c r="CZ283" s="217">
        <f t="shared" si="826"/>
        <v>11.940542155484081</v>
      </c>
      <c r="DA283" s="197">
        <f t="shared" si="827"/>
        <v>110.43528632903013</v>
      </c>
      <c r="DB283" s="443">
        <f t="shared" si="828"/>
        <v>70.691208948915857</v>
      </c>
      <c r="DD283" s="217">
        <f t="shared" si="829"/>
        <v>9.9999999999999982</v>
      </c>
      <c r="DE283" s="173">
        <f t="shared" si="830"/>
        <v>7.6433121019108263</v>
      </c>
      <c r="DF283" s="173">
        <f t="shared" si="831"/>
        <v>4.1649244760361679</v>
      </c>
      <c r="DG283" s="173"/>
      <c r="DH283" s="173">
        <f t="shared" si="832"/>
        <v>7.6433121019108281</v>
      </c>
      <c r="DI283" s="545">
        <f t="shared" si="833"/>
        <v>175.31666666666669</v>
      </c>
      <c r="DJ283" s="528">
        <f t="shared" si="834"/>
        <v>4.2204568023833167</v>
      </c>
      <c r="DL283" s="173">
        <f t="shared" si="835"/>
        <v>6.9638522453623395</v>
      </c>
      <c r="DM283" s="173">
        <f t="shared" si="836"/>
        <v>15.622209320091674</v>
      </c>
      <c r="DN283" s="173">
        <f t="shared" si="837"/>
        <v>5.3645994963642032</v>
      </c>
      <c r="DP283" s="545">
        <f t="shared" si="838"/>
        <v>6700</v>
      </c>
      <c r="DQ283" s="460">
        <f t="shared" si="839"/>
        <v>70.691208948915857</v>
      </c>
      <c r="DS283">
        <f t="shared" si="840"/>
        <v>6700</v>
      </c>
      <c r="DT283">
        <f t="shared" si="841"/>
        <v>70.691208948915857</v>
      </c>
      <c r="DV283" s="5">
        <f t="shared" si="870"/>
        <v>14.146030530085259</v>
      </c>
      <c r="DW283" s="5">
        <f t="shared" si="842"/>
        <v>2.2054883746011775</v>
      </c>
      <c r="DX283" s="5">
        <f t="shared" si="843"/>
        <v>11.940542155484081</v>
      </c>
      <c r="DY283" s="173">
        <f t="shared" si="844"/>
        <v>0.15590863952333664</v>
      </c>
      <c r="EA283" s="5">
        <f t="shared" si="871"/>
        <v>98.511814065519275</v>
      </c>
      <c r="EB283" s="5">
        <f t="shared" si="872"/>
        <v>4.617741284321216</v>
      </c>
      <c r="EC283" s="5">
        <f t="shared" si="873"/>
        <v>3.9216486491050659</v>
      </c>
      <c r="ED283" s="5"/>
      <c r="EE283" s="173">
        <f t="shared" si="874"/>
        <v>3.561368525029236</v>
      </c>
      <c r="EF283" s="173">
        <f t="shared" si="875"/>
        <v>8.2866033799048697</v>
      </c>
      <c r="EG283" s="173">
        <f t="shared" si="876"/>
        <v>0.20407791853255913</v>
      </c>
      <c r="EH283" s="173"/>
      <c r="EI283" s="528">
        <f t="shared" si="877"/>
        <v>0.25366691542137831</v>
      </c>
      <c r="EJ283" s="528">
        <f t="shared" si="878"/>
        <v>2.2241666666666671</v>
      </c>
      <c r="EK283" s="528">
        <f t="shared" si="879"/>
        <v>8.8364011186144818E-3</v>
      </c>
      <c r="EL283" s="528">
        <f t="shared" si="880"/>
        <v>7.168434974343918E-2</v>
      </c>
      <c r="EM283">
        <f t="shared" si="881"/>
        <v>3.8249999999999999E-2</v>
      </c>
      <c r="EN283" s="460">
        <f t="shared" si="882"/>
        <v>47.086401118614482</v>
      </c>
      <c r="EP283" s="460">
        <f t="shared" si="883"/>
        <v>2596.604332950099</v>
      </c>
      <c r="EQ283" s="173">
        <f t="shared" si="884"/>
        <v>4.6899999999999995</v>
      </c>
      <c r="ER283" s="173">
        <f t="shared" si="845"/>
        <v>7.4328124999999995E-2</v>
      </c>
      <c r="ES283" s="528"/>
      <c r="EU283" s="460">
        <f t="shared" si="885"/>
        <v>4764.328125</v>
      </c>
      <c r="EV283" s="528">
        <f t="shared" si="886"/>
        <v>0.38050037313206747</v>
      </c>
      <c r="EW283" s="528">
        <f t="shared" si="887"/>
        <v>2.0600338672755245</v>
      </c>
      <c r="EX283" s="528">
        <f t="shared" si="888"/>
        <v>2.0823898416290923E-4</v>
      </c>
      <c r="EY283" s="528">
        <f t="shared" si="889"/>
        <v>2.0264675705467909</v>
      </c>
      <c r="EZ283" s="528"/>
      <c r="FA283" s="625">
        <f t="shared" si="890"/>
        <v>1.7252431593563669E-2</v>
      </c>
      <c r="FB283" s="460">
        <f t="shared" si="891"/>
        <v>4484.4624815321095</v>
      </c>
      <c r="FC283" s="173">
        <f t="shared" si="892"/>
        <v>11.845394939482206</v>
      </c>
      <c r="FD283" s="5">
        <f t="shared" si="893"/>
        <v>101.84</v>
      </c>
      <c r="FE283" s="173">
        <f t="shared" si="894"/>
        <v>0.8958054819109541</v>
      </c>
      <c r="FF283" s="5">
        <f t="shared" si="895"/>
        <v>89.580548191095417</v>
      </c>
      <c r="FG283">
        <f t="shared" si="896"/>
        <v>67</v>
      </c>
      <c r="FI283" s="562">
        <f t="shared" si="846"/>
        <v>-50</v>
      </c>
    </row>
    <row r="284" spans="5:165">
      <c r="E284" s="170">
        <v>68</v>
      </c>
      <c r="F284" s="217">
        <f t="shared" si="847"/>
        <v>6.8000000000000007</v>
      </c>
      <c r="G284" s="217">
        <f t="shared" si="775"/>
        <v>0.17</v>
      </c>
      <c r="H284" s="217">
        <f t="shared" si="776"/>
        <v>102.00000000000001</v>
      </c>
      <c r="I284" s="217">
        <f t="shared" si="777"/>
        <v>1.36</v>
      </c>
      <c r="J284" s="541">
        <f t="shared" si="778"/>
        <v>84.552100867493564</v>
      </c>
      <c r="K284" s="443">
        <f t="shared" si="779"/>
        <v>15.94168</v>
      </c>
      <c r="L284" s="172">
        <f t="shared" si="780"/>
        <v>100.49378086749357</v>
      </c>
      <c r="M284" s="443"/>
      <c r="N284" s="217">
        <f t="shared" si="781"/>
        <v>0.15863349813676489</v>
      </c>
      <c r="O284" s="172">
        <f t="shared" si="782"/>
        <v>330.90778459103035</v>
      </c>
      <c r="P284" s="172">
        <f t="shared" si="783"/>
        <v>4.4709318451410329</v>
      </c>
      <c r="Q284" s="217">
        <f t="shared" si="784"/>
        <v>22.060518972735355</v>
      </c>
      <c r="R284" s="217">
        <f t="shared" si="785"/>
        <v>41.363473073878794</v>
      </c>
      <c r="S284" s="217">
        <f t="shared" si="786"/>
        <v>15</v>
      </c>
      <c r="T284" s="217">
        <f t="shared" si="787"/>
        <v>15.412148754079936</v>
      </c>
      <c r="U284" s="217">
        <f t="shared" si="788"/>
        <v>2.1873588373492736</v>
      </c>
      <c r="V284" s="217">
        <f t="shared" si="789"/>
        <v>11.6013986636891</v>
      </c>
      <c r="W284" s="197">
        <f t="shared" si="790"/>
        <v>111.77329612852581</v>
      </c>
      <c r="X284" s="443">
        <f t="shared" si="848"/>
        <v>71.485977216044446</v>
      </c>
      <c r="Z284" s="217">
        <f t="shared" si="791"/>
        <v>10</v>
      </c>
      <c r="AA284" s="173">
        <f t="shared" si="792"/>
        <v>7.5274375097229402</v>
      </c>
      <c r="AB284" s="173">
        <f t="shared" si="793"/>
        <v>4.1514794499830678</v>
      </c>
      <c r="AC284" s="173"/>
      <c r="AD284" s="173">
        <f t="shared" si="794"/>
        <v>7.5274375097229402</v>
      </c>
      <c r="AE284" s="545">
        <f t="shared" si="795"/>
        <v>180.67237333333333</v>
      </c>
      <c r="AF284" s="528">
        <f t="shared" si="796"/>
        <v>4.2068325093161754</v>
      </c>
      <c r="AH284" s="173">
        <f t="shared" si="797"/>
        <v>7.0156288113787504</v>
      </c>
      <c r="AI284" s="173">
        <f t="shared" si="798"/>
        <v>15.412148754079936</v>
      </c>
      <c r="AJ284" s="173">
        <f t="shared" si="799"/>
        <v>5.2089990770962489</v>
      </c>
      <c r="AL284" s="545">
        <f t="shared" si="800"/>
        <v>6800.0000000000009</v>
      </c>
      <c r="AM284" s="460">
        <f t="shared" si="801"/>
        <v>71.485977216044446</v>
      </c>
      <c r="AO284">
        <f t="shared" si="802"/>
        <v>6800.0000000000009</v>
      </c>
      <c r="AP284">
        <f t="shared" si="803"/>
        <v>71.485977216044446</v>
      </c>
      <c r="AR284" s="5">
        <f t="shared" si="774"/>
        <v>13.988757501038373</v>
      </c>
      <c r="AS284" s="5">
        <f t="shared" si="739"/>
        <v>2.1873588373492736</v>
      </c>
      <c r="AT284" s="5">
        <f t="shared" si="740"/>
        <v>11.801398663689099</v>
      </c>
      <c r="AU284" s="173">
        <f t="shared" si="741"/>
        <v>0.15636548401006364</v>
      </c>
      <c r="BA284" s="173">
        <f t="shared" si="849"/>
        <v>3.5186252219278678</v>
      </c>
      <c r="BB284" s="173">
        <f t="shared" si="850"/>
        <v>8.1729667983486252</v>
      </c>
      <c r="BC284" s="173">
        <f t="shared" si="851"/>
        <v>0.2012793391907034</v>
      </c>
      <c r="BD284" s="173"/>
      <c r="BE284" s="528">
        <f t="shared" si="852"/>
        <v>0.24761446904773873</v>
      </c>
      <c r="BF284" s="528">
        <f t="shared" si="804"/>
        <v>2.0759864208920384</v>
      </c>
      <c r="BG284" s="528">
        <f t="shared" si="805"/>
        <v>0.15110723890455843</v>
      </c>
      <c r="BH284" s="528">
        <f t="shared" si="853"/>
        <v>7.2193688340756332E-2</v>
      </c>
      <c r="BI284">
        <f t="shared" si="854"/>
        <v>3.8048445390372103E-2</v>
      </c>
      <c r="BJ284" s="460">
        <f t="shared" si="855"/>
        <v>189.15568429493055</v>
      </c>
      <c r="BK284">
        <f t="shared" si="806"/>
        <v>2.6165930197352996</v>
      </c>
      <c r="BL284" s="460">
        <f t="shared" si="856"/>
        <v>2584.950262575464</v>
      </c>
      <c r="BM284" s="173">
        <f t="shared" si="807"/>
        <v>4.2244999999999999</v>
      </c>
      <c r="BN284" s="173">
        <f t="shared" si="808"/>
        <v>7.5437500000000005E-2</v>
      </c>
      <c r="BQ284" s="460">
        <f t="shared" si="857"/>
        <v>4299.9374999999991</v>
      </c>
      <c r="BR284" s="528">
        <f t="shared" si="858"/>
        <v>0.37142170357160809</v>
      </c>
      <c r="BS284" s="528">
        <f t="shared" si="859"/>
        <v>2.0039215886072692</v>
      </c>
      <c r="BT284" s="528">
        <f t="shared" si="860"/>
        <v>2.0256686192523116E-4</v>
      </c>
      <c r="BU284" s="528">
        <f t="shared" si="861"/>
        <v>2.0145596466929927</v>
      </c>
      <c r="BV284" s="528"/>
      <c r="BW284" s="625">
        <f t="shared" si="862"/>
        <v>1.6980373646498324E-2</v>
      </c>
      <c r="BX284" s="460">
        <f t="shared" si="863"/>
        <v>4407.0858793802936</v>
      </c>
      <c r="BY284" s="173">
        <f t="shared" si="864"/>
        <v>11.291973641955758</v>
      </c>
      <c r="BZ284" s="5">
        <f t="shared" si="865"/>
        <v>103.36000000000001</v>
      </c>
      <c r="CA284" s="173">
        <f t="shared" si="866"/>
        <v>0.90151086559382543</v>
      </c>
      <c r="CB284" s="5">
        <f t="shared" si="867"/>
        <v>90.151086559382549</v>
      </c>
      <c r="CC284">
        <f t="shared" si="868"/>
        <v>68</v>
      </c>
      <c r="CE284" s="562">
        <f t="shared" si="809"/>
        <v>-50</v>
      </c>
      <c r="CG284" s="173">
        <f t="shared" si="810"/>
        <v>0.84409136047666333</v>
      </c>
      <c r="CH284" s="173">
        <f t="shared" si="811"/>
        <v>0.10203989682880611</v>
      </c>
      <c r="CI284" s="170">
        <v>68</v>
      </c>
      <c r="CJ284" s="217">
        <f t="shared" si="869"/>
        <v>6.8000000000000007</v>
      </c>
      <c r="CK284" s="217">
        <f t="shared" si="812"/>
        <v>0.17</v>
      </c>
      <c r="CL284" s="217">
        <f t="shared" si="813"/>
        <v>102.00000000000001</v>
      </c>
      <c r="CM284" s="217">
        <f t="shared" si="814"/>
        <v>1.36</v>
      </c>
      <c r="CN284" s="541">
        <f t="shared" si="815"/>
        <v>85</v>
      </c>
      <c r="CO284" s="443">
        <f t="shared" si="816"/>
        <v>15.7</v>
      </c>
      <c r="CP284" s="443">
        <f t="shared" si="817"/>
        <v>100.7</v>
      </c>
      <c r="CQ284" s="443"/>
      <c r="CR284" s="217">
        <f t="shared" si="818"/>
        <v>0.15338645418326693</v>
      </c>
      <c r="CS284" s="172">
        <f t="shared" si="819"/>
        <v>321.65744915076539</v>
      </c>
      <c r="CT284" s="172">
        <f t="shared" si="820"/>
        <v>4.3459495351925632</v>
      </c>
      <c r="CU284" s="217">
        <f t="shared" si="821"/>
        <v>21.443829943384358</v>
      </c>
      <c r="CV284" s="217">
        <f t="shared" si="822"/>
        <v>40.207181143845673</v>
      </c>
      <c r="CW284" s="217">
        <f t="shared" si="823"/>
        <v>15</v>
      </c>
      <c r="CX284" s="217">
        <f t="shared" si="824"/>
        <v>15.855376623376625</v>
      </c>
      <c r="CY284" s="217">
        <f t="shared" si="825"/>
        <v>2.2384061115355234</v>
      </c>
      <c r="CZ284" s="217">
        <f t="shared" si="826"/>
        <v>12.118759202580859</v>
      </c>
      <c r="DA284" s="197">
        <f t="shared" si="827"/>
        <v>110.43528632903013</v>
      </c>
      <c r="DB284" s="443">
        <f t="shared" si="828"/>
        <v>69.651632346725918</v>
      </c>
      <c r="DD284" s="217">
        <f t="shared" si="829"/>
        <v>9.9999999999999982</v>
      </c>
      <c r="DE284" s="173">
        <f t="shared" si="830"/>
        <v>7.6433121019108263</v>
      </c>
      <c r="DF284" s="173">
        <f t="shared" si="831"/>
        <v>4.1649244760361679</v>
      </c>
      <c r="DG284" s="173"/>
      <c r="DH284" s="173">
        <f t="shared" si="832"/>
        <v>7.6433121019108281</v>
      </c>
      <c r="DI284" s="545">
        <f t="shared" si="833"/>
        <v>177.93333333333337</v>
      </c>
      <c r="DJ284" s="528">
        <f t="shared" si="834"/>
        <v>4.2204568023833167</v>
      </c>
      <c r="DL284" s="173">
        <f t="shared" si="835"/>
        <v>7.0156288113787504</v>
      </c>
      <c r="DM284" s="173">
        <f t="shared" si="836"/>
        <v>15.855376623376625</v>
      </c>
      <c r="DN284" s="173">
        <f t="shared" si="837"/>
        <v>5.5373160173160185</v>
      </c>
      <c r="DP284" s="545">
        <f t="shared" si="838"/>
        <v>6800.0000000000009</v>
      </c>
      <c r="DQ284" s="460">
        <f t="shared" si="839"/>
        <v>69.651632346725918</v>
      </c>
      <c r="DS284">
        <f t="shared" si="840"/>
        <v>6800.0000000000009</v>
      </c>
      <c r="DT284">
        <f t="shared" si="841"/>
        <v>69.651632346725918</v>
      </c>
      <c r="DV284" s="5">
        <f t="shared" si="870"/>
        <v>14.357165314116383</v>
      </c>
      <c r="DW284" s="5">
        <f t="shared" si="842"/>
        <v>2.2384061115355234</v>
      </c>
      <c r="DX284" s="5">
        <f t="shared" si="843"/>
        <v>12.118759202580859</v>
      </c>
      <c r="DY284" s="173">
        <f t="shared" si="844"/>
        <v>0.15590863952333664</v>
      </c>
      <c r="EA284" s="5">
        <f t="shared" si="871"/>
        <v>101.4744103896104</v>
      </c>
      <c r="EB284" s="5">
        <f t="shared" si="872"/>
        <v>4.7566129870129874</v>
      </c>
      <c r="EC284" s="5">
        <f t="shared" si="873"/>
        <v>4.0395864008602871</v>
      </c>
      <c r="ED284" s="5"/>
      <c r="EE284" s="173">
        <f t="shared" si="874"/>
        <v>3.6145232791341497</v>
      </c>
      <c r="EF284" s="173">
        <f t="shared" si="875"/>
        <v>8.4102840273661368</v>
      </c>
      <c r="EG284" s="173">
        <f t="shared" si="876"/>
        <v>0.20712385761513469</v>
      </c>
      <c r="EH284" s="173"/>
      <c r="EI284" s="528">
        <f t="shared" si="877"/>
        <v>0.2612955707080537</v>
      </c>
      <c r="EJ284" s="528">
        <f t="shared" si="878"/>
        <v>2.2241666666666671</v>
      </c>
      <c r="EK284" s="528">
        <f t="shared" si="879"/>
        <v>8.7064540433407396E-3</v>
      </c>
      <c r="EL284" s="528">
        <f t="shared" si="880"/>
        <v>7.0630168129565074E-2</v>
      </c>
      <c r="EM284">
        <f t="shared" si="881"/>
        <v>3.8249999999999999E-2</v>
      </c>
      <c r="EN284" s="460">
        <f t="shared" si="882"/>
        <v>46.956454043340742</v>
      </c>
      <c r="EP284" s="460">
        <f t="shared" si="883"/>
        <v>2603.0488595476268</v>
      </c>
      <c r="EQ284" s="173">
        <f t="shared" si="884"/>
        <v>4.76</v>
      </c>
      <c r="ER284" s="173">
        <f t="shared" si="845"/>
        <v>7.5437500000000005E-2</v>
      </c>
      <c r="ES284" s="528"/>
      <c r="EU284" s="460">
        <f t="shared" si="885"/>
        <v>4835.4374999999991</v>
      </c>
      <c r="EV284" s="528">
        <f t="shared" si="886"/>
        <v>0.39194335606208058</v>
      </c>
      <c r="EW284" s="528">
        <f t="shared" si="887"/>
        <v>2.1219863226290991</v>
      </c>
      <c r="EX284" s="528">
        <f t="shared" si="888"/>
        <v>2.1450146196687296E-4</v>
      </c>
      <c r="EY284" s="528">
        <f t="shared" si="889"/>
        <v>2.0264675705467892</v>
      </c>
      <c r="EZ284" s="528"/>
      <c r="FA284" s="625">
        <f t="shared" si="890"/>
        <v>1.7509930572572087E-2</v>
      </c>
      <c r="FB284" s="460">
        <f t="shared" si="891"/>
        <v>4558.1216812725088</v>
      </c>
      <c r="FC284" s="173">
        <f t="shared" si="892"/>
        <v>11.996608040820133</v>
      </c>
      <c r="FD284" s="5">
        <f t="shared" si="893"/>
        <v>103.36000000000001</v>
      </c>
      <c r="FE284" s="173">
        <f t="shared" si="894"/>
        <v>0.8960041540353284</v>
      </c>
      <c r="FF284" s="5">
        <f t="shared" si="895"/>
        <v>89.600415403532836</v>
      </c>
      <c r="FG284">
        <f t="shared" si="896"/>
        <v>68</v>
      </c>
      <c r="FI284" s="562">
        <f t="shared" si="846"/>
        <v>-50</v>
      </c>
    </row>
    <row r="285" spans="5:165">
      <c r="E285" s="170">
        <v>69</v>
      </c>
      <c r="F285" s="217">
        <f t="shared" si="847"/>
        <v>6.8999999999999995</v>
      </c>
      <c r="G285" s="217">
        <f t="shared" si="775"/>
        <v>0.17249999999999999</v>
      </c>
      <c r="H285" s="217">
        <f t="shared" si="776"/>
        <v>103.49999999999999</v>
      </c>
      <c r="I285" s="217">
        <f t="shared" si="777"/>
        <v>1.38</v>
      </c>
      <c r="J285" s="541">
        <f t="shared" si="778"/>
        <v>84.545514115544933</v>
      </c>
      <c r="K285" s="443">
        <f t="shared" si="779"/>
        <v>15.945234117647058</v>
      </c>
      <c r="L285" s="172">
        <f t="shared" si="780"/>
        <v>100.49074823319199</v>
      </c>
      <c r="M285" s="443"/>
      <c r="N285" s="217">
        <f t="shared" si="781"/>
        <v>0.15867365302769595</v>
      </c>
      <c r="O285" s="172">
        <f t="shared" si="782"/>
        <v>330.96576246261878</v>
      </c>
      <c r="P285" s="172">
        <f t="shared" si="783"/>
        <v>4.4717151906060497</v>
      </c>
      <c r="Q285" s="217">
        <f t="shared" si="784"/>
        <v>22.064384164174587</v>
      </c>
      <c r="R285" s="217">
        <f t="shared" si="785"/>
        <v>41.370720307827348</v>
      </c>
      <c r="S285" s="217">
        <f t="shared" si="786"/>
        <v>15</v>
      </c>
      <c r="T285" s="217">
        <f t="shared" si="787"/>
        <v>15.63605842941079</v>
      </c>
      <c r="U285" s="217">
        <f t="shared" si="788"/>
        <v>2.2193099553040683</v>
      </c>
      <c r="V285" s="217">
        <f t="shared" si="789"/>
        <v>11.767321807164368</v>
      </c>
      <c r="W285" s="197">
        <f t="shared" si="790"/>
        <v>111.79287976515123</v>
      </c>
      <c r="X285" s="443">
        <f t="shared" si="848"/>
        <v>70.488895232028128</v>
      </c>
      <c r="Z285" s="217">
        <f t="shared" si="791"/>
        <v>10</v>
      </c>
      <c r="AA285" s="173">
        <f t="shared" si="792"/>
        <v>7.5257596793259056</v>
      </c>
      <c r="AB285" s="173">
        <f t="shared" si="793"/>
        <v>4.1512813172975527</v>
      </c>
      <c r="AC285" s="173"/>
      <c r="AD285" s="173">
        <f t="shared" si="794"/>
        <v>7.5257596793259056</v>
      </c>
      <c r="AE285" s="545">
        <f t="shared" si="795"/>
        <v>183.3701923529411</v>
      </c>
      <c r="AF285" s="528">
        <f t="shared" si="796"/>
        <v>4.2066317348615208</v>
      </c>
      <c r="AH285" s="173">
        <f t="shared" si="797"/>
        <v>7.0670260465670518</v>
      </c>
      <c r="AI285" s="173">
        <f t="shared" si="798"/>
        <v>15.63605842941079</v>
      </c>
      <c r="AJ285" s="173">
        <f t="shared" si="799"/>
        <v>5.3748580958598442</v>
      </c>
      <c r="AL285" s="545">
        <f t="shared" si="800"/>
        <v>6899.9999999999991</v>
      </c>
      <c r="AM285" s="460">
        <f t="shared" si="801"/>
        <v>70.488895232028128</v>
      </c>
      <c r="AO285">
        <f t="shared" si="802"/>
        <v>6899.9999999999991</v>
      </c>
      <c r="AP285">
        <f t="shared" si="803"/>
        <v>70.488895232028128</v>
      </c>
      <c r="AR285" s="5">
        <f t="shared" si="774"/>
        <v>14.186631762468433</v>
      </c>
      <c r="AS285" s="5">
        <f t="shared" si="739"/>
        <v>2.2193099553040683</v>
      </c>
      <c r="AT285" s="5">
        <f t="shared" si="740"/>
        <v>11.967321807164366</v>
      </c>
      <c r="AU285" s="173">
        <f t="shared" si="741"/>
        <v>0.15643670692682551</v>
      </c>
      <c r="BA285" s="173">
        <f t="shared" si="849"/>
        <v>3.5705571596647179</v>
      </c>
      <c r="BB285" s="173">
        <f t="shared" si="850"/>
        <v>8.2913546926230985</v>
      </c>
      <c r="BC285" s="173">
        <f t="shared" si="851"/>
        <v>0.20419493125361987</v>
      </c>
      <c r="BD285" s="173"/>
      <c r="BE285" s="528">
        <f t="shared" si="852"/>
        <v>0.25497756860865955</v>
      </c>
      <c r="BF285" s="528">
        <f t="shared" si="804"/>
        <v>2.0767075440692917</v>
      </c>
      <c r="BG285" s="528">
        <f t="shared" si="805"/>
        <v>0.14898799717071504</v>
      </c>
      <c r="BH285" s="528">
        <f t="shared" si="853"/>
        <v>7.118243885897331E-2</v>
      </c>
      <c r="BI285">
        <f t="shared" si="854"/>
        <v>3.8045481351995217E-2</v>
      </c>
      <c r="BJ285" s="460">
        <f t="shared" si="855"/>
        <v>187.03347852271023</v>
      </c>
      <c r="BK285">
        <f t="shared" si="806"/>
        <v>2.6311112398302527</v>
      </c>
      <c r="BL285" s="460">
        <f t="shared" si="856"/>
        <v>2589.9010300596346</v>
      </c>
      <c r="BM285" s="173">
        <f t="shared" si="807"/>
        <v>4.286624999999999</v>
      </c>
      <c r="BN285" s="173">
        <f t="shared" si="808"/>
        <v>7.6546874999999986E-2</v>
      </c>
      <c r="BQ285" s="460">
        <f t="shared" si="857"/>
        <v>4363.1718749999991</v>
      </c>
      <c r="BR285" s="528">
        <f t="shared" si="858"/>
        <v>0.3824663529129893</v>
      </c>
      <c r="BS285" s="528">
        <f t="shared" si="859"/>
        <v>2.0623968791664922</v>
      </c>
      <c r="BT285" s="528">
        <f t="shared" si="860"/>
        <v>2.0847784974835273E-4</v>
      </c>
      <c r="BU285" s="528">
        <f t="shared" si="861"/>
        <v>2.0164616919437264</v>
      </c>
      <c r="BV285" s="528"/>
      <c r="BW285" s="625">
        <f t="shared" si="862"/>
        <v>1.723357082226883E-2</v>
      </c>
      <c r="BX285" s="460">
        <f t="shared" si="863"/>
        <v>4478.7669726952254</v>
      </c>
      <c r="BY285" s="173">
        <f t="shared" si="864"/>
        <v>11.431839877754859</v>
      </c>
      <c r="BZ285" s="5">
        <f t="shared" si="865"/>
        <v>104.87999999999998</v>
      </c>
      <c r="CA285" s="173">
        <f t="shared" si="866"/>
        <v>0.90171387633649458</v>
      </c>
      <c r="CB285" s="5">
        <f t="shared" si="867"/>
        <v>90.171387633649459</v>
      </c>
      <c r="CC285">
        <f t="shared" si="868"/>
        <v>69</v>
      </c>
      <c r="CE285" s="562">
        <f t="shared" si="809"/>
        <v>-50</v>
      </c>
      <c r="CG285" s="173">
        <f t="shared" si="810"/>
        <v>0.84409136047666333</v>
      </c>
      <c r="CH285" s="173">
        <f t="shared" si="811"/>
        <v>0.1020398968288061</v>
      </c>
      <c r="CI285" s="170">
        <v>69</v>
      </c>
      <c r="CJ285" s="217">
        <f t="shared" si="869"/>
        <v>6.8999999999999995</v>
      </c>
      <c r="CK285" s="217">
        <f t="shared" si="812"/>
        <v>0.17249999999999999</v>
      </c>
      <c r="CL285" s="217">
        <f t="shared" si="813"/>
        <v>103.49999999999999</v>
      </c>
      <c r="CM285" s="217">
        <f t="shared" si="814"/>
        <v>1.38</v>
      </c>
      <c r="CN285" s="541">
        <f t="shared" si="815"/>
        <v>85</v>
      </c>
      <c r="CO285" s="443">
        <f t="shared" si="816"/>
        <v>15.7</v>
      </c>
      <c r="CP285" s="443">
        <f t="shared" si="817"/>
        <v>100.7</v>
      </c>
      <c r="CQ285" s="443"/>
      <c r="CR285" s="217">
        <f t="shared" si="818"/>
        <v>0.15338645418326693</v>
      </c>
      <c r="CS285" s="172">
        <f t="shared" si="819"/>
        <v>321.65744915076539</v>
      </c>
      <c r="CT285" s="172">
        <f t="shared" si="820"/>
        <v>4.3459495351925632</v>
      </c>
      <c r="CU285" s="217">
        <f t="shared" si="821"/>
        <v>21.443829943384358</v>
      </c>
      <c r="CV285" s="217">
        <f t="shared" si="822"/>
        <v>40.207181143845673</v>
      </c>
      <c r="CW285" s="217">
        <f t="shared" si="823"/>
        <v>15</v>
      </c>
      <c r="CX285" s="217">
        <f t="shared" si="824"/>
        <v>16.088543926661572</v>
      </c>
      <c r="CY285" s="217">
        <f t="shared" si="825"/>
        <v>2.2713238484698688</v>
      </c>
      <c r="CZ285" s="217">
        <f t="shared" si="826"/>
        <v>12.296976249677636</v>
      </c>
      <c r="DA285" s="197">
        <f t="shared" si="827"/>
        <v>110.43528632903013</v>
      </c>
      <c r="DB285" s="443">
        <f t="shared" si="828"/>
        <v>68.642188399671923</v>
      </c>
      <c r="DD285" s="217">
        <f t="shared" si="829"/>
        <v>9.9999999999999982</v>
      </c>
      <c r="DE285" s="173">
        <f t="shared" si="830"/>
        <v>7.6433121019108263</v>
      </c>
      <c r="DF285" s="173">
        <f t="shared" si="831"/>
        <v>4.1649244760361679</v>
      </c>
      <c r="DG285" s="173"/>
      <c r="DH285" s="173">
        <f t="shared" si="832"/>
        <v>7.6433121019108281</v>
      </c>
      <c r="DI285" s="545">
        <f t="shared" si="833"/>
        <v>180.55</v>
      </c>
      <c r="DJ285" s="528">
        <f t="shared" si="834"/>
        <v>4.2204568023833167</v>
      </c>
      <c r="DL285" s="173">
        <f t="shared" si="835"/>
        <v>7.0670260465670518</v>
      </c>
      <c r="DM285" s="173">
        <f t="shared" si="836"/>
        <v>16.088543926661572</v>
      </c>
      <c r="DN285" s="173">
        <f t="shared" si="837"/>
        <v>5.7100325382678312</v>
      </c>
      <c r="DP285" s="545">
        <f t="shared" si="838"/>
        <v>6899.9999999999991</v>
      </c>
      <c r="DQ285" s="460">
        <f t="shared" si="839"/>
        <v>68.642188399671923</v>
      </c>
      <c r="DS285">
        <f t="shared" si="840"/>
        <v>6899.9999999999991</v>
      </c>
      <c r="DT285">
        <f t="shared" si="841"/>
        <v>68.642188399671923</v>
      </c>
      <c r="DV285" s="5">
        <f t="shared" si="870"/>
        <v>14.568300098147505</v>
      </c>
      <c r="DW285" s="5">
        <f t="shared" si="842"/>
        <v>2.2713238484698688</v>
      </c>
      <c r="DX285" s="5">
        <f t="shared" si="843"/>
        <v>12.296976249677636</v>
      </c>
      <c r="DY285" s="173">
        <f t="shared" si="844"/>
        <v>0.15590863952333661</v>
      </c>
      <c r="EA285" s="5">
        <f t="shared" si="871"/>
        <v>104.48089702961396</v>
      </c>
      <c r="EB285" s="5">
        <f t="shared" si="872"/>
        <v>4.897542048263154</v>
      </c>
      <c r="EC285" s="5">
        <f t="shared" si="873"/>
        <v>4.1592713785674356</v>
      </c>
      <c r="ED285" s="5"/>
      <c r="EE285" s="173">
        <f t="shared" si="874"/>
        <v>3.6676780332390626</v>
      </c>
      <c r="EF285" s="173">
        <f t="shared" si="875"/>
        <v>8.5339646748274021</v>
      </c>
      <c r="EG285" s="173">
        <f t="shared" si="876"/>
        <v>0.21016979669771016</v>
      </c>
      <c r="EH285" s="173"/>
      <c r="EI285" s="528">
        <f t="shared" si="877"/>
        <v>0.26903724311008714</v>
      </c>
      <c r="EJ285" s="528">
        <f t="shared" si="878"/>
        <v>2.2241666666666666</v>
      </c>
      <c r="EK285" s="528">
        <f t="shared" si="879"/>
        <v>8.5802735499589892E-3</v>
      </c>
      <c r="EL285" s="528">
        <f t="shared" si="880"/>
        <v>6.9606542504498922E-2</v>
      </c>
      <c r="EM285">
        <f t="shared" si="881"/>
        <v>3.8249999999999999E-2</v>
      </c>
      <c r="EN285" s="460">
        <f t="shared" si="882"/>
        <v>46.830273549958989</v>
      </c>
      <c r="EP285" s="460">
        <f t="shared" si="883"/>
        <v>2609.640725831212</v>
      </c>
      <c r="EQ285" s="173">
        <f t="shared" si="884"/>
        <v>4.8299999999999992</v>
      </c>
      <c r="ER285" s="173">
        <f t="shared" si="845"/>
        <v>7.6546874999999986E-2</v>
      </c>
      <c r="ES285" s="528"/>
      <c r="EU285" s="460">
        <f t="shared" si="885"/>
        <v>4906.5468749999991</v>
      </c>
      <c r="EV285" s="528">
        <f t="shared" si="886"/>
        <v>0.40355586466513071</v>
      </c>
      <c r="EW285" s="528">
        <f t="shared" si="887"/>
        <v>2.1848565921360588</v>
      </c>
      <c r="EX285" s="528">
        <f t="shared" si="888"/>
        <v>2.2085671721978409E-4</v>
      </c>
      <c r="EY285" s="528">
        <f t="shared" si="889"/>
        <v>2.0264675705467945</v>
      </c>
      <c r="EZ285" s="528"/>
      <c r="FA285" s="625">
        <f t="shared" si="890"/>
        <v>1.7767429551580494E-2</v>
      </c>
      <c r="FB285" s="460">
        <f t="shared" si="891"/>
        <v>4632.8683136167847</v>
      </c>
      <c r="FC285" s="173">
        <f t="shared" si="892"/>
        <v>12.149055914447995</v>
      </c>
      <c r="FD285" s="5">
        <f t="shared" si="893"/>
        <v>104.87999999999998</v>
      </c>
      <c r="FE285" s="173">
        <f t="shared" si="894"/>
        <v>0.89618769612796545</v>
      </c>
      <c r="FF285" s="5">
        <f t="shared" si="895"/>
        <v>89.618769612796541</v>
      </c>
      <c r="FG285">
        <f t="shared" si="896"/>
        <v>69</v>
      </c>
      <c r="FI285" s="562">
        <f t="shared" si="846"/>
        <v>-50</v>
      </c>
    </row>
    <row r="286" spans="5:165">
      <c r="E286" s="170">
        <v>70</v>
      </c>
      <c r="F286" s="217">
        <f t="shared" si="847"/>
        <v>7</v>
      </c>
      <c r="G286" s="217">
        <f t="shared" si="775"/>
        <v>0.17499999999999999</v>
      </c>
      <c r="H286" s="217">
        <f t="shared" si="776"/>
        <v>105</v>
      </c>
      <c r="I286" s="217">
        <f t="shared" si="777"/>
        <v>1.4</v>
      </c>
      <c r="J286" s="541">
        <f t="shared" si="778"/>
        <v>84.538927363596315</v>
      </c>
      <c r="K286" s="443">
        <f t="shared" si="779"/>
        <v>15.948788235294117</v>
      </c>
      <c r="L286" s="172">
        <f t="shared" si="780"/>
        <v>100.48771559889043</v>
      </c>
      <c r="M286" s="443"/>
      <c r="N286" s="217">
        <f t="shared" si="781"/>
        <v>0.15871381034230836</v>
      </c>
      <c r="O286" s="172">
        <f t="shared" si="782"/>
        <v>331.0237323386844</v>
      </c>
      <c r="P286" s="172">
        <f t="shared" si="783"/>
        <v>4.4724984280426687</v>
      </c>
      <c r="Q286" s="217">
        <f t="shared" si="784"/>
        <v>22.068248822578958</v>
      </c>
      <c r="R286" s="217">
        <f t="shared" si="785"/>
        <v>41.37796654233555</v>
      </c>
      <c r="S286" s="217">
        <f t="shared" si="786"/>
        <v>15</v>
      </c>
      <c r="T286" s="217">
        <f t="shared" si="787"/>
        <v>15.859890053527954</v>
      </c>
      <c r="U286" s="217">
        <f t="shared" si="788"/>
        <v>2.251254973034936</v>
      </c>
      <c r="V286" s="217">
        <f t="shared" si="789"/>
        <v>11.933112273769288</v>
      </c>
      <c r="W286" s="197">
        <f t="shared" si="790"/>
        <v>111.81246070106673</v>
      </c>
      <c r="X286" s="443">
        <f t="shared" si="848"/>
        <v>69.51991581153284</v>
      </c>
      <c r="Z286" s="217">
        <f t="shared" si="791"/>
        <v>10</v>
      </c>
      <c r="AA286" s="173">
        <f t="shared" si="792"/>
        <v>7.524082596723189</v>
      </c>
      <c r="AB286" s="173">
        <f t="shared" si="793"/>
        <v>4.1510831726530837</v>
      </c>
      <c r="AC286" s="173"/>
      <c r="AD286" s="173">
        <f t="shared" si="794"/>
        <v>7.524082596723189</v>
      </c>
      <c r="AE286" s="545">
        <f t="shared" si="795"/>
        <v>186.06919607843136</v>
      </c>
      <c r="AF286" s="528">
        <f t="shared" si="796"/>
        <v>4.2064309482884576</v>
      </c>
      <c r="AH286" s="173">
        <f t="shared" si="797"/>
        <v>7.1180521680208741</v>
      </c>
      <c r="AI286" s="173">
        <f t="shared" si="798"/>
        <v>15.859890053527954</v>
      </c>
      <c r="AJ286" s="173">
        <f t="shared" si="799"/>
        <v>5.5406592989095955</v>
      </c>
      <c r="AL286" s="545">
        <f t="shared" si="800"/>
        <v>7000</v>
      </c>
      <c r="AM286" s="460">
        <f t="shared" si="801"/>
        <v>69.51991581153284</v>
      </c>
      <c r="AO286">
        <f t="shared" si="802"/>
        <v>7000</v>
      </c>
      <c r="AP286">
        <f t="shared" si="803"/>
        <v>69.51991581153284</v>
      </c>
      <c r="AR286" s="5">
        <f t="shared" si="774"/>
        <v>14.384367246804223</v>
      </c>
      <c r="AS286" s="5">
        <f t="shared" si="739"/>
        <v>2.251254973034936</v>
      </c>
      <c r="AT286" s="5">
        <f t="shared" si="740"/>
        <v>12.133112273769287</v>
      </c>
      <c r="AU286" s="173">
        <f t="shared" si="741"/>
        <v>0.15650705619568339</v>
      </c>
      <c r="BA286" s="173">
        <f t="shared" si="849"/>
        <v>3.6224842532827992</v>
      </c>
      <c r="BB286" s="173">
        <f t="shared" si="850"/>
        <v>8.4096955159734019</v>
      </c>
      <c r="BC286" s="173">
        <f t="shared" si="851"/>
        <v>0.20710936407965871</v>
      </c>
      <c r="BD286" s="173"/>
      <c r="BE286" s="528">
        <f t="shared" si="852"/>
        <v>0.26244784330563681</v>
      </c>
      <c r="BF286" s="528">
        <f t="shared" si="804"/>
        <v>2.0774168761437863</v>
      </c>
      <c r="BG286" s="528">
        <f t="shared" si="805"/>
        <v>0.14692847782786264</v>
      </c>
      <c r="BH286" s="528">
        <f t="shared" si="853"/>
        <v>7.019968840497251E-2</v>
      </c>
      <c r="BI286">
        <f t="shared" si="854"/>
        <v>3.8042517313618338E-2</v>
      </c>
      <c r="BJ286" s="460">
        <f t="shared" si="855"/>
        <v>184.97099514148096</v>
      </c>
      <c r="BK286">
        <f t="shared" si="806"/>
        <v>2.6459184712369921</v>
      </c>
      <c r="BL286" s="460">
        <f t="shared" si="856"/>
        <v>2595.0354029958767</v>
      </c>
      <c r="BM286" s="173">
        <f t="shared" si="807"/>
        <v>4.348749999999999</v>
      </c>
      <c r="BN286" s="173">
        <f t="shared" si="808"/>
        <v>7.7656249999999996E-2</v>
      </c>
      <c r="BQ286" s="460">
        <f t="shared" si="857"/>
        <v>4426.4062499999991</v>
      </c>
      <c r="BR286" s="528">
        <f t="shared" si="858"/>
        <v>0.39367176495845518</v>
      </c>
      <c r="BS286" s="528">
        <f t="shared" si="859"/>
        <v>2.1216893601414943</v>
      </c>
      <c r="BT286" s="528">
        <f t="shared" si="860"/>
        <v>2.1447144344740313E-4</v>
      </c>
      <c r="BU286" s="528">
        <f t="shared" si="861"/>
        <v>2.018336289630688</v>
      </c>
      <c r="BV286" s="528"/>
      <c r="BW286" s="625">
        <f t="shared" si="862"/>
        <v>1.7486769365255103E-2</v>
      </c>
      <c r="BX286" s="460">
        <f t="shared" si="863"/>
        <v>4551.3986555393403</v>
      </c>
      <c r="BY286" s="173">
        <f t="shared" si="864"/>
        <v>11.572840308535216</v>
      </c>
      <c r="BZ286" s="5">
        <f t="shared" si="865"/>
        <v>106.4</v>
      </c>
      <c r="CA286" s="173">
        <f t="shared" si="866"/>
        <v>0.90190250333662658</v>
      </c>
      <c r="CB286" s="5">
        <f t="shared" si="867"/>
        <v>90.190250333662661</v>
      </c>
      <c r="CC286">
        <f t="shared" si="868"/>
        <v>70</v>
      </c>
      <c r="CE286" s="562">
        <f t="shared" si="809"/>
        <v>-50</v>
      </c>
      <c r="CG286" s="173">
        <f t="shared" si="810"/>
        <v>0.84409136047666333</v>
      </c>
      <c r="CH286" s="173">
        <f t="shared" si="811"/>
        <v>0.1020398968288061</v>
      </c>
      <c r="CI286" s="170">
        <v>70</v>
      </c>
      <c r="CJ286" s="217">
        <f t="shared" si="869"/>
        <v>7</v>
      </c>
      <c r="CK286" s="217">
        <f t="shared" si="812"/>
        <v>0.17499999999999999</v>
      </c>
      <c r="CL286" s="217">
        <f t="shared" si="813"/>
        <v>105</v>
      </c>
      <c r="CM286" s="217">
        <f t="shared" si="814"/>
        <v>1.4</v>
      </c>
      <c r="CN286" s="541">
        <f t="shared" si="815"/>
        <v>85</v>
      </c>
      <c r="CO286" s="443">
        <f t="shared" si="816"/>
        <v>15.7</v>
      </c>
      <c r="CP286" s="443">
        <f t="shared" si="817"/>
        <v>100.7</v>
      </c>
      <c r="CQ286" s="443"/>
      <c r="CR286" s="217">
        <f t="shared" si="818"/>
        <v>0.15338645418326693</v>
      </c>
      <c r="CS286" s="172">
        <f t="shared" si="819"/>
        <v>321.65744915076539</v>
      </c>
      <c r="CT286" s="172">
        <f t="shared" si="820"/>
        <v>4.3459495351925632</v>
      </c>
      <c r="CU286" s="217">
        <f t="shared" si="821"/>
        <v>21.443829943384358</v>
      </c>
      <c r="CV286" s="217">
        <f t="shared" si="822"/>
        <v>40.207181143845673</v>
      </c>
      <c r="CW286" s="217">
        <f t="shared" si="823"/>
        <v>15</v>
      </c>
      <c r="CX286" s="217">
        <f t="shared" si="824"/>
        <v>16.321711229946523</v>
      </c>
      <c r="CY286" s="217">
        <f t="shared" si="825"/>
        <v>2.3042415854042151</v>
      </c>
      <c r="CZ286" s="217">
        <f t="shared" si="826"/>
        <v>12.475193296774414</v>
      </c>
      <c r="DA286" s="197">
        <f t="shared" si="827"/>
        <v>110.43528632903013</v>
      </c>
      <c r="DB286" s="443">
        <f t="shared" si="828"/>
        <v>67.66158570824804</v>
      </c>
      <c r="DD286" s="217">
        <f t="shared" si="829"/>
        <v>9.9999999999999982</v>
      </c>
      <c r="DE286" s="173">
        <f t="shared" si="830"/>
        <v>7.6433121019108263</v>
      </c>
      <c r="DF286" s="173">
        <f t="shared" si="831"/>
        <v>4.1649244760361679</v>
      </c>
      <c r="DG286" s="173"/>
      <c r="DH286" s="173">
        <f t="shared" si="832"/>
        <v>7.6433121019108281</v>
      </c>
      <c r="DI286" s="545">
        <f t="shared" si="833"/>
        <v>183.16666666666669</v>
      </c>
      <c r="DJ286" s="528">
        <f t="shared" si="834"/>
        <v>4.2204568023833167</v>
      </c>
      <c r="DL286" s="173">
        <f t="shared" si="835"/>
        <v>7.1180521680208741</v>
      </c>
      <c r="DM286" s="173">
        <f t="shared" si="836"/>
        <v>16.321711229946523</v>
      </c>
      <c r="DN286" s="173">
        <f t="shared" si="837"/>
        <v>5.8827490592196465</v>
      </c>
      <c r="DP286" s="545">
        <f t="shared" si="838"/>
        <v>7000</v>
      </c>
      <c r="DQ286" s="460">
        <f t="shared" si="839"/>
        <v>67.66158570824804</v>
      </c>
      <c r="DS286">
        <f t="shared" si="840"/>
        <v>7000</v>
      </c>
      <c r="DT286">
        <f t="shared" si="841"/>
        <v>67.66158570824804</v>
      </c>
      <c r="DV286" s="5">
        <f t="shared" si="870"/>
        <v>14.779434882178627</v>
      </c>
      <c r="DW286" s="5">
        <f t="shared" si="842"/>
        <v>2.3042415854042151</v>
      </c>
      <c r="DX286" s="5">
        <f t="shared" si="843"/>
        <v>12.475193296774412</v>
      </c>
      <c r="DY286" s="173">
        <f t="shared" si="844"/>
        <v>0.15590863952333664</v>
      </c>
      <c r="EA286" s="5">
        <f t="shared" si="871"/>
        <v>107.53127398553005</v>
      </c>
      <c r="EB286" s="5">
        <f t="shared" si="872"/>
        <v>5.0405284680717202</v>
      </c>
      <c r="EC286" s="5">
        <f t="shared" si="873"/>
        <v>4.280703582226514</v>
      </c>
      <c r="ED286" s="5"/>
      <c r="EE286" s="173">
        <f t="shared" si="874"/>
        <v>3.7208327873439773</v>
      </c>
      <c r="EF286" s="173">
        <f t="shared" si="875"/>
        <v>8.6576453222886691</v>
      </c>
      <c r="EG286" s="173">
        <f t="shared" si="876"/>
        <v>0.21321573578028566</v>
      </c>
      <c r="EH286" s="173"/>
      <c r="EI286" s="528">
        <f t="shared" si="877"/>
        <v>0.27689193262747902</v>
      </c>
      <c r="EJ286" s="528">
        <f t="shared" si="878"/>
        <v>2.2241666666666671</v>
      </c>
      <c r="EK286" s="528">
        <f t="shared" si="879"/>
        <v>8.457698213531005E-3</v>
      </c>
      <c r="EL286" s="528">
        <f t="shared" si="880"/>
        <v>6.8612163325863229E-2</v>
      </c>
      <c r="EM286">
        <f t="shared" si="881"/>
        <v>3.8249999999999999E-2</v>
      </c>
      <c r="EN286" s="460">
        <f t="shared" si="882"/>
        <v>46.707698213531003</v>
      </c>
      <c r="EP286" s="460">
        <f t="shared" si="883"/>
        <v>2616.3784608335409</v>
      </c>
      <c r="EQ286" s="173">
        <f t="shared" si="884"/>
        <v>4.8999999999999995</v>
      </c>
      <c r="ER286" s="173">
        <f t="shared" si="845"/>
        <v>7.7656249999999996E-2</v>
      </c>
      <c r="ES286" s="528"/>
      <c r="EU286" s="460">
        <f t="shared" si="885"/>
        <v>4977.65625</v>
      </c>
      <c r="EV286" s="528">
        <f t="shared" si="886"/>
        <v>0.41533789894121853</v>
      </c>
      <c r="EW286" s="528">
        <f t="shared" si="887"/>
        <v>2.248644675796406</v>
      </c>
      <c r="EX286" s="528">
        <f t="shared" si="888"/>
        <v>2.2730474992164294E-4</v>
      </c>
      <c r="EY286" s="528">
        <f t="shared" si="889"/>
        <v>2.0264675705467909</v>
      </c>
      <c r="EZ286" s="528"/>
      <c r="FA286" s="625">
        <f t="shared" si="890"/>
        <v>1.8024928530588905E-2</v>
      </c>
      <c r="FB286" s="460">
        <f t="shared" si="891"/>
        <v>4708.7023785649262</v>
      </c>
      <c r="FC286" s="173">
        <f t="shared" si="892"/>
        <v>12.302737089398468</v>
      </c>
      <c r="FD286" s="5">
        <f t="shared" si="893"/>
        <v>106.4</v>
      </c>
      <c r="FE286" s="173">
        <f t="shared" si="894"/>
        <v>0.89635675308705887</v>
      </c>
      <c r="FF286" s="5">
        <f t="shared" si="895"/>
        <v>89.635675308705885</v>
      </c>
      <c r="FG286">
        <f t="shared" si="896"/>
        <v>70</v>
      </c>
      <c r="FI286" s="562">
        <f t="shared" si="846"/>
        <v>-50</v>
      </c>
    </row>
    <row r="287" spans="5:165">
      <c r="E287" s="170">
        <v>71</v>
      </c>
      <c r="F287" s="217">
        <f t="shared" si="847"/>
        <v>7.1</v>
      </c>
      <c r="G287" s="217">
        <f t="shared" si="775"/>
        <v>0.17749999999999999</v>
      </c>
      <c r="H287" s="217">
        <f t="shared" si="776"/>
        <v>106.5</v>
      </c>
      <c r="I287" s="217">
        <f t="shared" si="777"/>
        <v>1.42</v>
      </c>
      <c r="J287" s="541">
        <f t="shared" si="778"/>
        <v>84.532340611647697</v>
      </c>
      <c r="K287" s="443">
        <f t="shared" si="779"/>
        <v>15.952342352941177</v>
      </c>
      <c r="L287" s="172">
        <f t="shared" si="780"/>
        <v>100.48468296458887</v>
      </c>
      <c r="M287" s="443"/>
      <c r="N287" s="217">
        <f t="shared" si="781"/>
        <v>0.15875397008082151</v>
      </c>
      <c r="O287" s="172">
        <f t="shared" si="782"/>
        <v>331.08169421850323</v>
      </c>
      <c r="P287" s="172">
        <f t="shared" si="783"/>
        <v>4.4732815574411111</v>
      </c>
      <c r="Q287" s="217">
        <f t="shared" si="784"/>
        <v>22.072112947900216</v>
      </c>
      <c r="R287" s="217">
        <f t="shared" si="785"/>
        <v>41.385211777312904</v>
      </c>
      <c r="S287" s="217">
        <f t="shared" si="786"/>
        <v>15</v>
      </c>
      <c r="T287" s="217">
        <f t="shared" si="787"/>
        <v>16.083643683681501</v>
      </c>
      <c r="U287" s="217">
        <f t="shared" si="788"/>
        <v>2.2831938972429691</v>
      </c>
      <c r="V287" s="217">
        <f t="shared" si="789"/>
        <v>12.098770195249314</v>
      </c>
      <c r="W287" s="197">
        <f t="shared" si="790"/>
        <v>111.83203893602776</v>
      </c>
      <c r="X287" s="443">
        <f t="shared" si="848"/>
        <v>68.577867402297557</v>
      </c>
      <c r="Z287" s="217">
        <f t="shared" si="791"/>
        <v>10</v>
      </c>
      <c r="AA287" s="173">
        <f t="shared" si="792"/>
        <v>7.5224062614149751</v>
      </c>
      <c r="AB287" s="173">
        <f t="shared" si="793"/>
        <v>4.1508850160485773</v>
      </c>
      <c r="AC287" s="173"/>
      <c r="AD287" s="173">
        <f t="shared" si="794"/>
        <v>7.5224062614149751</v>
      </c>
      <c r="AE287" s="545">
        <f t="shared" si="795"/>
        <v>188.76938450980393</v>
      </c>
      <c r="AF287" s="528">
        <f t="shared" si="796"/>
        <v>4.2062301495958918</v>
      </c>
      <c r="AH287" s="173">
        <f t="shared" si="797"/>
        <v>7.1687151003841816</v>
      </c>
      <c r="AI287" s="173">
        <f t="shared" si="798"/>
        <v>16.083643683681501</v>
      </c>
      <c r="AJ287" s="173">
        <f t="shared" si="799"/>
        <v>5.7064027286529644</v>
      </c>
      <c r="AL287" s="545">
        <f t="shared" si="800"/>
        <v>7100</v>
      </c>
      <c r="AM287" s="460">
        <f t="shared" si="801"/>
        <v>68.577867402297557</v>
      </c>
      <c r="AO287">
        <f t="shared" si="802"/>
        <v>7100</v>
      </c>
      <c r="AP287">
        <f t="shared" si="803"/>
        <v>68.577867402297557</v>
      </c>
      <c r="AR287" s="5">
        <f t="shared" si="774"/>
        <v>14.581964092492282</v>
      </c>
      <c r="AS287" s="5">
        <f t="shared" si="739"/>
        <v>2.2831938972429691</v>
      </c>
      <c r="AT287" s="5">
        <f t="shared" si="740"/>
        <v>12.298770195249313</v>
      </c>
      <c r="AU287" s="173">
        <f t="shared" si="741"/>
        <v>0.15657656833886335</v>
      </c>
      <c r="BA287" s="173">
        <f t="shared" si="849"/>
        <v>3.6744065033949154</v>
      </c>
      <c r="BB287" s="173">
        <f t="shared" si="850"/>
        <v>8.5279893036020962</v>
      </c>
      <c r="BC287" s="173">
        <f t="shared" si="851"/>
        <v>0.2100226385357693</v>
      </c>
      <c r="BD287" s="173"/>
      <c r="BE287" s="528">
        <f t="shared" si="852"/>
        <v>0.27002526304381697</v>
      </c>
      <c r="BF287" s="528">
        <f t="shared" si="804"/>
        <v>2.078114905619413</v>
      </c>
      <c r="BG287" s="528">
        <f t="shared" si="805"/>
        <v>0.1449261911417857</v>
      </c>
      <c r="BH287" s="528">
        <f t="shared" si="853"/>
        <v>6.9244248898490984E-2</v>
      </c>
      <c r="BI287">
        <f t="shared" si="854"/>
        <v>3.8039553275241465E-2</v>
      </c>
      <c r="BJ287" s="460">
        <f t="shared" si="855"/>
        <v>182.96574441702717</v>
      </c>
      <c r="BK287">
        <f t="shared" si="806"/>
        <v>2.6610167584207525</v>
      </c>
      <c r="BL287" s="460">
        <f t="shared" si="856"/>
        <v>2600.3501619787485</v>
      </c>
      <c r="BM287" s="173">
        <f t="shared" si="807"/>
        <v>4.4108749999999999</v>
      </c>
      <c r="BN287" s="173">
        <f t="shared" si="808"/>
        <v>7.8765624999999992E-2</v>
      </c>
      <c r="BQ287" s="460">
        <f t="shared" si="857"/>
        <v>4489.640625</v>
      </c>
      <c r="BR287" s="528">
        <f t="shared" si="858"/>
        <v>0.40503789456572542</v>
      </c>
      <c r="BS287" s="528">
        <f t="shared" si="859"/>
        <v>2.1817980468705529</v>
      </c>
      <c r="BT287" s="528">
        <f t="shared" si="860"/>
        <v>2.2054754348763204E-4</v>
      </c>
      <c r="BU287" s="528">
        <f t="shared" si="861"/>
        <v>2.0201845768828894</v>
      </c>
      <c r="BV287" s="528"/>
      <c r="BW287" s="625">
        <f t="shared" si="862"/>
        <v>1.7739969218331465E-2</v>
      </c>
      <c r="BX287" s="460">
        <f t="shared" si="863"/>
        <v>4624.9810350809867</v>
      </c>
      <c r="BY287" s="173">
        <f t="shared" si="864"/>
        <v>11.714971822059736</v>
      </c>
      <c r="BZ287" s="5">
        <f t="shared" si="865"/>
        <v>107.92</v>
      </c>
      <c r="CA287" s="173">
        <f t="shared" si="866"/>
        <v>0.90207736380392078</v>
      </c>
      <c r="CB287" s="5">
        <f t="shared" si="867"/>
        <v>90.207736380392078</v>
      </c>
      <c r="CC287">
        <f t="shared" si="868"/>
        <v>71</v>
      </c>
      <c r="CE287" s="562">
        <f t="shared" si="809"/>
        <v>-50</v>
      </c>
      <c r="CG287" s="173">
        <f t="shared" si="810"/>
        <v>0.84409136047666333</v>
      </c>
      <c r="CH287" s="173">
        <f t="shared" si="811"/>
        <v>0.1020398968288061</v>
      </c>
      <c r="CI287" s="170">
        <v>71</v>
      </c>
      <c r="CJ287" s="217">
        <f t="shared" si="869"/>
        <v>7.1</v>
      </c>
      <c r="CK287" s="217">
        <f t="shared" si="812"/>
        <v>0.17749999999999999</v>
      </c>
      <c r="CL287" s="217">
        <f t="shared" si="813"/>
        <v>106.5</v>
      </c>
      <c r="CM287" s="217">
        <f t="shared" si="814"/>
        <v>1.42</v>
      </c>
      <c r="CN287" s="541">
        <f t="shared" si="815"/>
        <v>85</v>
      </c>
      <c r="CO287" s="443">
        <f t="shared" si="816"/>
        <v>15.7</v>
      </c>
      <c r="CP287" s="443">
        <f t="shared" si="817"/>
        <v>100.7</v>
      </c>
      <c r="CQ287" s="443"/>
      <c r="CR287" s="217">
        <f t="shared" si="818"/>
        <v>0.15338645418326693</v>
      </c>
      <c r="CS287" s="172">
        <f t="shared" si="819"/>
        <v>321.65744915076539</v>
      </c>
      <c r="CT287" s="172">
        <f t="shared" si="820"/>
        <v>4.3459495351925632</v>
      </c>
      <c r="CU287" s="217">
        <f t="shared" si="821"/>
        <v>21.443829943384358</v>
      </c>
      <c r="CV287" s="217">
        <f t="shared" si="822"/>
        <v>40.207181143845673</v>
      </c>
      <c r="CW287" s="217">
        <f t="shared" si="823"/>
        <v>15</v>
      </c>
      <c r="CX287" s="217">
        <f t="shared" si="824"/>
        <v>16.554878533231474</v>
      </c>
      <c r="CY287" s="217">
        <f t="shared" si="825"/>
        <v>2.3371593223385609</v>
      </c>
      <c r="CZ287" s="217">
        <f t="shared" si="826"/>
        <v>12.65341034387119</v>
      </c>
      <c r="DA287" s="197">
        <f t="shared" si="827"/>
        <v>110.43528632903013</v>
      </c>
      <c r="DB287" s="443">
        <f t="shared" si="828"/>
        <v>66.708605627850176</v>
      </c>
      <c r="DD287" s="217">
        <f t="shared" si="829"/>
        <v>9.9999999999999982</v>
      </c>
      <c r="DE287" s="173">
        <f t="shared" si="830"/>
        <v>7.6433121019108263</v>
      </c>
      <c r="DF287" s="173">
        <f t="shared" si="831"/>
        <v>4.1649244760361679</v>
      </c>
      <c r="DG287" s="173"/>
      <c r="DH287" s="173">
        <f t="shared" si="832"/>
        <v>7.6433121019108281</v>
      </c>
      <c r="DI287" s="545">
        <f t="shared" si="833"/>
        <v>185.78333333333333</v>
      </c>
      <c r="DJ287" s="528">
        <f t="shared" si="834"/>
        <v>4.2204568023833167</v>
      </c>
      <c r="DL287" s="173">
        <f t="shared" si="835"/>
        <v>7.1687151003841816</v>
      </c>
      <c r="DM287" s="173">
        <f t="shared" si="836"/>
        <v>16.554878533231474</v>
      </c>
      <c r="DN287" s="173">
        <f t="shared" si="837"/>
        <v>6.0554655801714619</v>
      </c>
      <c r="DP287" s="545">
        <f t="shared" si="838"/>
        <v>7100</v>
      </c>
      <c r="DQ287" s="460">
        <f t="shared" si="839"/>
        <v>66.708605627850176</v>
      </c>
      <c r="DS287">
        <f t="shared" si="840"/>
        <v>7100</v>
      </c>
      <c r="DT287">
        <f t="shared" si="841"/>
        <v>66.708605627850176</v>
      </c>
      <c r="DV287" s="5">
        <f t="shared" si="870"/>
        <v>14.990569666209753</v>
      </c>
      <c r="DW287" s="5">
        <f t="shared" si="842"/>
        <v>2.3371593223385609</v>
      </c>
      <c r="DX287" s="5">
        <f t="shared" si="843"/>
        <v>12.653410343871192</v>
      </c>
      <c r="DY287" s="173">
        <f t="shared" si="844"/>
        <v>0.15590863952333661</v>
      </c>
      <c r="EA287" s="5">
        <f t="shared" si="871"/>
        <v>110.62554125735856</v>
      </c>
      <c r="EB287" s="5">
        <f t="shared" si="872"/>
        <v>5.1855722464386824</v>
      </c>
      <c r="EC287" s="5">
        <f t="shared" si="873"/>
        <v>4.4038830118375225</v>
      </c>
      <c r="ED287" s="5"/>
      <c r="EE287" s="173">
        <f t="shared" si="874"/>
        <v>3.773987541448891</v>
      </c>
      <c r="EF287" s="173">
        <f t="shared" si="875"/>
        <v>8.7813259697499362</v>
      </c>
      <c r="EG287" s="173">
        <f t="shared" si="876"/>
        <v>0.21626167486286119</v>
      </c>
      <c r="EH287" s="173"/>
      <c r="EI287" s="528">
        <f t="shared" si="877"/>
        <v>0.28485963926022889</v>
      </c>
      <c r="EJ287" s="528">
        <f t="shared" si="878"/>
        <v>2.2241666666666666</v>
      </c>
      <c r="EK287" s="528">
        <f t="shared" si="879"/>
        <v>8.3385757034812706E-3</v>
      </c>
      <c r="EL287" s="528">
        <f t="shared" si="880"/>
        <v>6.7645794828315842E-2</v>
      </c>
      <c r="EM287">
        <f t="shared" si="881"/>
        <v>3.8249999999999999E-2</v>
      </c>
      <c r="EN287" s="460">
        <f t="shared" si="882"/>
        <v>46.588575703481268</v>
      </c>
      <c r="EP287" s="460">
        <f t="shared" si="883"/>
        <v>2623.2606764586922</v>
      </c>
      <c r="EQ287" s="173">
        <f t="shared" si="884"/>
        <v>4.97</v>
      </c>
      <c r="ER287" s="173">
        <f t="shared" si="845"/>
        <v>7.8765624999999992E-2</v>
      </c>
      <c r="ES287" s="528"/>
      <c r="EU287" s="460">
        <f t="shared" si="885"/>
        <v>5048.765625</v>
      </c>
      <c r="EV287" s="528">
        <f t="shared" si="886"/>
        <v>0.42728945889034337</v>
      </c>
      <c r="EW287" s="528">
        <f t="shared" si="887"/>
        <v>2.3133505736101396</v>
      </c>
      <c r="EX287" s="528">
        <f t="shared" si="888"/>
        <v>2.3384556007244943E-4</v>
      </c>
      <c r="EY287" s="528">
        <f t="shared" si="889"/>
        <v>2.0264675705467892</v>
      </c>
      <c r="EZ287" s="528"/>
      <c r="FA287" s="625">
        <f t="shared" si="890"/>
        <v>1.828242750959732E-2</v>
      </c>
      <c r="FB287" s="460">
        <f t="shared" si="891"/>
        <v>4785.6238761169425</v>
      </c>
      <c r="FC287" s="173">
        <f t="shared" si="892"/>
        <v>12.457650177575635</v>
      </c>
      <c r="FD287" s="5">
        <f t="shared" si="893"/>
        <v>107.92</v>
      </c>
      <c r="FE287" s="173">
        <f t="shared" si="894"/>
        <v>0.89651193424029563</v>
      </c>
      <c r="FF287" s="5">
        <f t="shared" si="895"/>
        <v>89.651193424029557</v>
      </c>
      <c r="FG287">
        <f t="shared" si="896"/>
        <v>71</v>
      </c>
      <c r="FI287" s="562">
        <f t="shared" si="846"/>
        <v>-50</v>
      </c>
    </row>
    <row r="288" spans="5:165">
      <c r="E288" s="170">
        <v>72</v>
      </c>
      <c r="F288" s="217">
        <f t="shared" si="847"/>
        <v>7.1999999999999993</v>
      </c>
      <c r="G288" s="217">
        <f t="shared" si="775"/>
        <v>0.18</v>
      </c>
      <c r="H288" s="217">
        <f t="shared" si="776"/>
        <v>107.99999999999999</v>
      </c>
      <c r="I288" s="217">
        <f t="shared" si="777"/>
        <v>1.44</v>
      </c>
      <c r="J288" s="541">
        <f t="shared" si="778"/>
        <v>84.525753859699066</v>
      </c>
      <c r="K288" s="443">
        <f t="shared" si="779"/>
        <v>15.955896470588234</v>
      </c>
      <c r="L288" s="172">
        <f t="shared" si="780"/>
        <v>100.48165033028729</v>
      </c>
      <c r="M288" s="443"/>
      <c r="N288" s="217">
        <f t="shared" si="781"/>
        <v>0.1587941322434549</v>
      </c>
      <c r="O288" s="172">
        <f t="shared" si="782"/>
        <v>331.13964810135121</v>
      </c>
      <c r="P288" s="172">
        <f t="shared" si="783"/>
        <v>4.47406457879159</v>
      </c>
      <c r="Q288" s="217">
        <f t="shared" si="784"/>
        <v>22.075976540090082</v>
      </c>
      <c r="R288" s="217">
        <f t="shared" si="785"/>
        <v>41.392456012668902</v>
      </c>
      <c r="S288" s="217">
        <f t="shared" si="786"/>
        <v>15</v>
      </c>
      <c r="T288" s="217">
        <f t="shared" si="787"/>
        <v>16.307319377072091</v>
      </c>
      <c r="U288" s="217">
        <f t="shared" si="788"/>
        <v>2.3151267346243318</v>
      </c>
      <c r="V288" s="217">
        <f t="shared" si="789"/>
        <v>12.264295703195348</v>
      </c>
      <c r="W288" s="197">
        <f t="shared" si="790"/>
        <v>111.85161446978977</v>
      </c>
      <c r="X288" s="443">
        <f t="shared" si="848"/>
        <v>67.661642679693514</v>
      </c>
      <c r="Z288" s="217">
        <f t="shared" si="791"/>
        <v>10</v>
      </c>
      <c r="AA288" s="173">
        <f t="shared" si="792"/>
        <v>7.5207306729018937</v>
      </c>
      <c r="AB288" s="173">
        <f t="shared" si="793"/>
        <v>4.1506868474829535</v>
      </c>
      <c r="AC288" s="173"/>
      <c r="AD288" s="173">
        <f t="shared" si="794"/>
        <v>7.5207306729018937</v>
      </c>
      <c r="AE288" s="545">
        <f t="shared" si="795"/>
        <v>191.4707576470588</v>
      </c>
      <c r="AF288" s="528">
        <f t="shared" si="796"/>
        <v>4.2060293387827254</v>
      </c>
      <c r="AH288" s="173">
        <f t="shared" si="797"/>
        <v>7.21902249021886</v>
      </c>
      <c r="AI288" s="173">
        <f t="shared" si="798"/>
        <v>16.307319377072091</v>
      </c>
      <c r="AJ288" s="173">
        <f t="shared" si="799"/>
        <v>5.8720884274608078</v>
      </c>
      <c r="AL288" s="545">
        <f t="shared" si="800"/>
        <v>7199.9999999999991</v>
      </c>
      <c r="AM288" s="460">
        <f t="shared" si="801"/>
        <v>67.661642679693514</v>
      </c>
      <c r="AO288">
        <f t="shared" si="802"/>
        <v>7199.9999999999991</v>
      </c>
      <c r="AP288">
        <f t="shared" si="803"/>
        <v>67.661642679693514</v>
      </c>
      <c r="AR288" s="5">
        <f t="shared" si="774"/>
        <v>14.779422437819679</v>
      </c>
      <c r="AS288" s="5">
        <f t="shared" si="739"/>
        <v>2.3151267346243318</v>
      </c>
      <c r="AT288" s="5">
        <f t="shared" si="740"/>
        <v>12.464295703195347</v>
      </c>
      <c r="AU288" s="173">
        <f t="shared" si="741"/>
        <v>0.15664527787635718</v>
      </c>
      <c r="BA288" s="173">
        <f t="shared" si="849"/>
        <v>3.7263239108561517</v>
      </c>
      <c r="BB288" s="173">
        <f t="shared" si="850"/>
        <v>8.6462360905382027</v>
      </c>
      <c r="BC288" s="173">
        <f t="shared" si="851"/>
        <v>0.21293475548462712</v>
      </c>
      <c r="BD288" s="173"/>
      <c r="BE288" s="528">
        <f t="shared" si="852"/>
        <v>0.27770979777236571</v>
      </c>
      <c r="BF288" s="528">
        <f t="shared" si="804"/>
        <v>2.0788020942189727</v>
      </c>
      <c r="BG288" s="528">
        <f t="shared" si="805"/>
        <v>0.14297878387216709</v>
      </c>
      <c r="BH288" s="528">
        <f t="shared" si="853"/>
        <v>6.8314997393007809E-2</v>
      </c>
      <c r="BI288">
        <f t="shared" si="854"/>
        <v>3.8036589236864579E-2</v>
      </c>
      <c r="BJ288" s="460">
        <f t="shared" si="855"/>
        <v>181.01537310903166</v>
      </c>
      <c r="BK288">
        <f t="shared" si="806"/>
        <v>2.6764082497911406</v>
      </c>
      <c r="BL288" s="460">
        <f t="shared" si="856"/>
        <v>2605.8422624933778</v>
      </c>
      <c r="BM288" s="173">
        <f t="shared" si="807"/>
        <v>4.472999999999999</v>
      </c>
      <c r="BN288" s="173">
        <f t="shared" si="808"/>
        <v>7.9874999999999988E-2</v>
      </c>
      <c r="BQ288" s="460">
        <f t="shared" si="857"/>
        <v>4552.8749999999991</v>
      </c>
      <c r="BR288" s="528">
        <f t="shared" si="858"/>
        <v>0.41656469665854851</v>
      </c>
      <c r="BS288" s="528">
        <f t="shared" si="859"/>
        <v>2.2427219559997602</v>
      </c>
      <c r="BT288" s="528">
        <f t="shared" si="860"/>
        <v>2.2670605046648971E-4</v>
      </c>
      <c r="BU288" s="528">
        <f t="shared" si="861"/>
        <v>2.0220076291198636</v>
      </c>
      <c r="BV288" s="528"/>
      <c r="BW288" s="625">
        <f t="shared" si="862"/>
        <v>1.7993170327504474E-2</v>
      </c>
      <c r="BX288" s="460">
        <f t="shared" si="863"/>
        <v>4699.5141581561438</v>
      </c>
      <c r="BY288" s="173">
        <f t="shared" si="864"/>
        <v>11.858231420649519</v>
      </c>
      <c r="BZ288" s="5">
        <f t="shared" si="865"/>
        <v>109.43999999999998</v>
      </c>
      <c r="CA288" s="173">
        <f t="shared" si="866"/>
        <v>0.90223904106625907</v>
      </c>
      <c r="CB288" s="5">
        <f t="shared" si="867"/>
        <v>90.223904106625909</v>
      </c>
      <c r="CC288">
        <f t="shared" si="868"/>
        <v>72</v>
      </c>
      <c r="CE288" s="562">
        <f t="shared" si="809"/>
        <v>-50</v>
      </c>
      <c r="CG288" s="173">
        <f t="shared" si="810"/>
        <v>0.84409136047666333</v>
      </c>
      <c r="CH288" s="173">
        <f t="shared" si="811"/>
        <v>0.10203989682880611</v>
      </c>
      <c r="CI288" s="170">
        <v>72</v>
      </c>
      <c r="CJ288" s="217">
        <f t="shared" si="869"/>
        <v>7.1999999999999993</v>
      </c>
      <c r="CK288" s="217">
        <f t="shared" si="812"/>
        <v>0.18</v>
      </c>
      <c r="CL288" s="217">
        <f t="shared" si="813"/>
        <v>107.99999999999999</v>
      </c>
      <c r="CM288" s="217">
        <f t="shared" si="814"/>
        <v>1.44</v>
      </c>
      <c r="CN288" s="541">
        <f t="shared" si="815"/>
        <v>85</v>
      </c>
      <c r="CO288" s="443">
        <f t="shared" si="816"/>
        <v>15.7</v>
      </c>
      <c r="CP288" s="443">
        <f t="shared" si="817"/>
        <v>100.7</v>
      </c>
      <c r="CQ288" s="443"/>
      <c r="CR288" s="217">
        <f t="shared" si="818"/>
        <v>0.15338645418326693</v>
      </c>
      <c r="CS288" s="172">
        <f t="shared" si="819"/>
        <v>321.65744915076539</v>
      </c>
      <c r="CT288" s="172">
        <f t="shared" si="820"/>
        <v>4.3459495351925632</v>
      </c>
      <c r="CU288" s="217">
        <f t="shared" si="821"/>
        <v>21.443829943384358</v>
      </c>
      <c r="CV288" s="217">
        <f t="shared" si="822"/>
        <v>40.207181143845673</v>
      </c>
      <c r="CW288" s="217">
        <f t="shared" si="823"/>
        <v>15</v>
      </c>
      <c r="CX288" s="217">
        <f t="shared" si="824"/>
        <v>16.788045836516421</v>
      </c>
      <c r="CY288" s="217">
        <f t="shared" si="825"/>
        <v>2.3700770592729068</v>
      </c>
      <c r="CZ288" s="217">
        <f t="shared" si="826"/>
        <v>12.831627390967967</v>
      </c>
      <c r="DA288" s="197">
        <f t="shared" si="827"/>
        <v>110.43528632903013</v>
      </c>
      <c r="DB288" s="443">
        <f t="shared" si="828"/>
        <v>65.78209721635227</v>
      </c>
      <c r="DD288" s="217">
        <f t="shared" si="829"/>
        <v>9.9999999999999982</v>
      </c>
      <c r="DE288" s="173">
        <f t="shared" si="830"/>
        <v>7.6433121019108263</v>
      </c>
      <c r="DF288" s="173">
        <f t="shared" si="831"/>
        <v>4.1649244760361679</v>
      </c>
      <c r="DG288" s="173"/>
      <c r="DH288" s="173">
        <f t="shared" si="832"/>
        <v>7.6433121019108281</v>
      </c>
      <c r="DI288" s="545">
        <f t="shared" si="833"/>
        <v>188.4</v>
      </c>
      <c r="DJ288" s="528">
        <f t="shared" si="834"/>
        <v>4.2204568023833167</v>
      </c>
      <c r="DL288" s="173">
        <f t="shared" si="835"/>
        <v>7.21902249021886</v>
      </c>
      <c r="DM288" s="173">
        <f t="shared" si="836"/>
        <v>16.788045836516421</v>
      </c>
      <c r="DN288" s="173">
        <f t="shared" si="837"/>
        <v>6.2281821011232745</v>
      </c>
      <c r="DP288" s="545">
        <f t="shared" si="838"/>
        <v>7199.9999999999991</v>
      </c>
      <c r="DQ288" s="460">
        <f t="shared" si="839"/>
        <v>65.78209721635227</v>
      </c>
      <c r="DS288">
        <f t="shared" si="840"/>
        <v>7199.9999999999991</v>
      </c>
      <c r="DT288">
        <f t="shared" si="841"/>
        <v>65.78209721635227</v>
      </c>
      <c r="DV288" s="5">
        <f t="shared" si="870"/>
        <v>15.201704450240872</v>
      </c>
      <c r="DW288" s="5">
        <f t="shared" si="842"/>
        <v>2.3700770592729068</v>
      </c>
      <c r="DX288" s="5">
        <f t="shared" si="843"/>
        <v>12.831627390967965</v>
      </c>
      <c r="DY288" s="173">
        <f t="shared" si="844"/>
        <v>0.15590863952333667</v>
      </c>
      <c r="EA288" s="5">
        <f t="shared" si="871"/>
        <v>113.7636988450995</v>
      </c>
      <c r="EB288" s="5">
        <f t="shared" si="872"/>
        <v>5.3326733833640398</v>
      </c>
      <c r="EC288" s="5">
        <f t="shared" si="873"/>
        <v>4.5288096674004574</v>
      </c>
      <c r="ED288" s="5"/>
      <c r="EE288" s="173">
        <f t="shared" si="874"/>
        <v>3.8271422955538044</v>
      </c>
      <c r="EF288" s="173">
        <f t="shared" si="875"/>
        <v>8.9050066172111997</v>
      </c>
      <c r="EG288" s="173">
        <f t="shared" si="876"/>
        <v>0.21930761394543666</v>
      </c>
      <c r="EH288" s="173"/>
      <c r="EI288" s="528">
        <f t="shared" si="877"/>
        <v>0.29294036300833687</v>
      </c>
      <c r="EJ288" s="528">
        <f t="shared" si="878"/>
        <v>2.2241666666666671</v>
      </c>
      <c r="EK288" s="528">
        <f t="shared" si="879"/>
        <v>8.2227621520440334E-3</v>
      </c>
      <c r="EL288" s="528">
        <f t="shared" si="880"/>
        <v>6.6706269900144805E-2</v>
      </c>
      <c r="EM288">
        <f t="shared" si="881"/>
        <v>3.8249999999999999E-2</v>
      </c>
      <c r="EN288" s="460">
        <f t="shared" si="882"/>
        <v>46.472762152044034</v>
      </c>
      <c r="EP288" s="460">
        <f t="shared" si="883"/>
        <v>2630.2860617271931</v>
      </c>
      <c r="EQ288" s="173">
        <f t="shared" si="884"/>
        <v>5.0399999999999991</v>
      </c>
      <c r="ER288" s="173">
        <f t="shared" si="845"/>
        <v>7.9874999999999988E-2</v>
      </c>
      <c r="ES288" s="528"/>
      <c r="EU288" s="460">
        <f t="shared" si="885"/>
        <v>5119.8749999999991</v>
      </c>
      <c r="EV288" s="528">
        <f t="shared" si="886"/>
        <v>0.43941054451250527</v>
      </c>
      <c r="EW288" s="528">
        <f t="shared" si="887"/>
        <v>2.3789742855772578</v>
      </c>
      <c r="EX288" s="528">
        <f t="shared" si="888"/>
        <v>2.4047914767220344E-4</v>
      </c>
      <c r="EY288" s="528">
        <f t="shared" si="889"/>
        <v>2.0264675705467869</v>
      </c>
      <c r="EZ288" s="528"/>
      <c r="FA288" s="625">
        <f t="shared" si="890"/>
        <v>1.8539926488605727E-2</v>
      </c>
      <c r="FB288" s="460">
        <f t="shared" si="891"/>
        <v>4863.6328062728271</v>
      </c>
      <c r="FC288" s="173">
        <f t="shared" si="892"/>
        <v>12.61379386800002</v>
      </c>
      <c r="FD288" s="5">
        <f t="shared" si="893"/>
        <v>109.43999999999998</v>
      </c>
      <c r="FE288" s="173">
        <f t="shared" si="894"/>
        <v>0.89665381576223913</v>
      </c>
      <c r="FF288" s="5">
        <f t="shared" si="895"/>
        <v>89.665381576223908</v>
      </c>
      <c r="FG288">
        <f t="shared" si="896"/>
        <v>72</v>
      </c>
      <c r="FI288" s="562">
        <f t="shared" si="846"/>
        <v>-50</v>
      </c>
    </row>
    <row r="289" spans="5:165">
      <c r="E289" s="170">
        <v>73</v>
      </c>
      <c r="F289" s="217">
        <f t="shared" si="847"/>
        <v>7.3</v>
      </c>
      <c r="G289" s="217">
        <f t="shared" si="775"/>
        <v>0.1825</v>
      </c>
      <c r="H289" s="217">
        <f t="shared" si="776"/>
        <v>109.5</v>
      </c>
      <c r="I289" s="217">
        <f t="shared" si="777"/>
        <v>1.46</v>
      </c>
      <c r="J289" s="541">
        <f t="shared" si="778"/>
        <v>84.519167107750448</v>
      </c>
      <c r="K289" s="443">
        <f t="shared" si="779"/>
        <v>15.959450588235294</v>
      </c>
      <c r="L289" s="172">
        <f t="shared" si="780"/>
        <v>100.47861769598575</v>
      </c>
      <c r="M289" s="443"/>
      <c r="N289" s="217">
        <f t="shared" si="781"/>
        <v>0.15883429683042799</v>
      </c>
      <c r="O289" s="172">
        <f t="shared" si="782"/>
        <v>331.1975939865045</v>
      </c>
      <c r="P289" s="172">
        <f t="shared" si="783"/>
        <v>4.4748474920843275</v>
      </c>
      <c r="Q289" s="217">
        <f t="shared" si="784"/>
        <v>22.0798395991003</v>
      </c>
      <c r="R289" s="217">
        <f t="shared" si="785"/>
        <v>41.399699248313063</v>
      </c>
      <c r="S289" s="217">
        <f t="shared" si="786"/>
        <v>15</v>
      </c>
      <c r="T289" s="217">
        <f t="shared" si="787"/>
        <v>16.53091719085101</v>
      </c>
      <c r="U289" s="217">
        <f t="shared" si="788"/>
        <v>2.3470534918702648</v>
      </c>
      <c r="V289" s="217">
        <f t="shared" si="789"/>
        <v>12.429688929043946</v>
      </c>
      <c r="W289" s="197">
        <f t="shared" si="790"/>
        <v>111.87118730210817</v>
      </c>
      <c r="X289" s="443">
        <f t="shared" si="848"/>
        <v>66.770194204819475</v>
      </c>
      <c r="Z289" s="217">
        <f t="shared" si="791"/>
        <v>10</v>
      </c>
      <c r="AA289" s="173">
        <f t="shared" si="792"/>
        <v>7.5190558306850166</v>
      </c>
      <c r="AB289" s="173">
        <f t="shared" si="793"/>
        <v>4.1504886669551251</v>
      </c>
      <c r="AC289" s="173"/>
      <c r="AD289" s="173">
        <f t="shared" si="794"/>
        <v>7.5190558306850166</v>
      </c>
      <c r="AE289" s="545">
        <f t="shared" si="795"/>
        <v>194.17331549019607</v>
      </c>
      <c r="AF289" s="528">
        <f t="shared" si="796"/>
        <v>4.2058285158478599</v>
      </c>
      <c r="AH289" s="173">
        <f t="shared" si="797"/>
        <v>7.2689817194773045</v>
      </c>
      <c r="AI289" s="173">
        <f t="shared" si="798"/>
        <v>16.53091719085101</v>
      </c>
      <c r="AJ289" s="173">
        <f t="shared" si="799"/>
        <v>6.0377164376674148</v>
      </c>
      <c r="AL289" s="545">
        <f t="shared" si="800"/>
        <v>7300</v>
      </c>
      <c r="AM289" s="460">
        <f t="shared" si="801"/>
        <v>66.770194204819475</v>
      </c>
      <c r="AO289">
        <f t="shared" si="802"/>
        <v>7300</v>
      </c>
      <c r="AP289">
        <f t="shared" si="803"/>
        <v>66.770194204819475</v>
      </c>
      <c r="AR289" s="5">
        <f t="shared" si="774"/>
        <v>14.976742420914212</v>
      </c>
      <c r="AS289" s="5">
        <f t="shared" si="739"/>
        <v>2.3470534918702648</v>
      </c>
      <c r="AT289" s="5">
        <f t="shared" si="740"/>
        <v>12.629688929043947</v>
      </c>
      <c r="AU289" s="173">
        <f t="shared" si="741"/>
        <v>0.15671321746127725</v>
      </c>
      <c r="BA289" s="173">
        <f t="shared" si="849"/>
        <v>3.77823647674726</v>
      </c>
      <c r="BB289" s="173">
        <f t="shared" si="850"/>
        <v>8.7644359116470021</v>
      </c>
      <c r="BC289" s="173">
        <f t="shared" si="851"/>
        <v>0.21584571578487519</v>
      </c>
      <c r="BD289" s="173"/>
      <c r="BE289" s="528">
        <f t="shared" si="852"/>
        <v>0.28550141748447094</v>
      </c>
      <c r="BF289" s="528">
        <f t="shared" si="804"/>
        <v>2.0794788786946277</v>
      </c>
      <c r="BG289" s="528">
        <f t="shared" si="805"/>
        <v>0.14108403004535219</v>
      </c>
      <c r="BH289" s="528">
        <f t="shared" si="853"/>
        <v>6.7410871672584902E-2</v>
      </c>
      <c r="BI289">
        <f t="shared" si="854"/>
        <v>3.80336251984877E-2</v>
      </c>
      <c r="BJ289" s="460">
        <f t="shared" si="855"/>
        <v>179.11765524383989</v>
      </c>
      <c r="BK289">
        <f t="shared" si="806"/>
        <v>2.6920951964896735</v>
      </c>
      <c r="BL289" s="460">
        <f t="shared" si="856"/>
        <v>2611.5088230955234</v>
      </c>
      <c r="BM289" s="173">
        <f t="shared" si="807"/>
        <v>4.535124999999999</v>
      </c>
      <c r="BN289" s="173">
        <f t="shared" si="808"/>
        <v>8.0984374999999997E-2</v>
      </c>
      <c r="BQ289" s="460">
        <f t="shared" si="857"/>
        <v>4616.1093749999991</v>
      </c>
      <c r="BR289" s="528">
        <f t="shared" si="858"/>
        <v>0.42825212622670644</v>
      </c>
      <c r="BS289" s="528">
        <f t="shared" si="859"/>
        <v>2.3044601054810281</v>
      </c>
      <c r="BT289" s="528">
        <f t="shared" si="860"/>
        <v>2.3294686511342557E-4</v>
      </c>
      <c r="BU289" s="528">
        <f t="shared" si="861"/>
        <v>2.0238064641810092</v>
      </c>
      <c r="BV289" s="528"/>
      <c r="BW289" s="625">
        <f t="shared" si="862"/>
        <v>1.8246372641701109E-2</v>
      </c>
      <c r="BX289" s="460">
        <f t="shared" si="863"/>
        <v>4774.9980153955576</v>
      </c>
      <c r="BY289" s="173">
        <f t="shared" si="864"/>
        <v>12.002616213491081</v>
      </c>
      <c r="BZ289" s="5">
        <f t="shared" si="865"/>
        <v>110.96</v>
      </c>
      <c r="CA289" s="173">
        <f t="shared" si="866"/>
        <v>0.90238808685843341</v>
      </c>
      <c r="CB289" s="5">
        <f t="shared" si="867"/>
        <v>90.238808685843338</v>
      </c>
      <c r="CC289">
        <f t="shared" si="868"/>
        <v>73</v>
      </c>
      <c r="CE289" s="562">
        <f t="shared" si="809"/>
        <v>-50</v>
      </c>
      <c r="CG289" s="173">
        <f t="shared" si="810"/>
        <v>0.84409136047666333</v>
      </c>
      <c r="CH289" s="173">
        <f t="shared" si="811"/>
        <v>0.10203989682880608</v>
      </c>
      <c r="CI289" s="170">
        <v>73</v>
      </c>
      <c r="CJ289" s="217">
        <f t="shared" si="869"/>
        <v>7.3</v>
      </c>
      <c r="CK289" s="217">
        <f t="shared" si="812"/>
        <v>0.1825</v>
      </c>
      <c r="CL289" s="217">
        <f t="shared" si="813"/>
        <v>109.5</v>
      </c>
      <c r="CM289" s="217">
        <f t="shared" si="814"/>
        <v>1.46</v>
      </c>
      <c r="CN289" s="541">
        <f t="shared" si="815"/>
        <v>85</v>
      </c>
      <c r="CO289" s="443">
        <f t="shared" si="816"/>
        <v>15.7</v>
      </c>
      <c r="CP289" s="443">
        <f t="shared" si="817"/>
        <v>100.7</v>
      </c>
      <c r="CQ289" s="443"/>
      <c r="CR289" s="217">
        <f t="shared" si="818"/>
        <v>0.15338645418326693</v>
      </c>
      <c r="CS289" s="172">
        <f t="shared" si="819"/>
        <v>321.65744915076539</v>
      </c>
      <c r="CT289" s="172">
        <f t="shared" si="820"/>
        <v>4.3459495351925632</v>
      </c>
      <c r="CU289" s="217">
        <f t="shared" si="821"/>
        <v>21.443829943384358</v>
      </c>
      <c r="CV289" s="217">
        <f t="shared" si="822"/>
        <v>40.207181143845673</v>
      </c>
      <c r="CW289" s="217">
        <f t="shared" si="823"/>
        <v>15</v>
      </c>
      <c r="CX289" s="217">
        <f t="shared" si="824"/>
        <v>17.021213139801375</v>
      </c>
      <c r="CY289" s="217">
        <f t="shared" si="825"/>
        <v>2.4029947962072531</v>
      </c>
      <c r="CZ289" s="217">
        <f t="shared" si="826"/>
        <v>13.009844438064746</v>
      </c>
      <c r="DA289" s="197">
        <f t="shared" si="827"/>
        <v>110.43528632903013</v>
      </c>
      <c r="DB289" s="443">
        <f t="shared" si="828"/>
        <v>64.880972596950159</v>
      </c>
      <c r="DD289" s="217">
        <f t="shared" si="829"/>
        <v>9.9999999999999982</v>
      </c>
      <c r="DE289" s="173">
        <f t="shared" si="830"/>
        <v>7.6433121019108263</v>
      </c>
      <c r="DF289" s="173">
        <f t="shared" si="831"/>
        <v>4.1649244760361679</v>
      </c>
      <c r="DG289" s="173"/>
      <c r="DH289" s="173">
        <f t="shared" si="832"/>
        <v>7.6433121019108281</v>
      </c>
      <c r="DI289" s="545">
        <f t="shared" si="833"/>
        <v>191.01666666666668</v>
      </c>
      <c r="DJ289" s="528">
        <f t="shared" si="834"/>
        <v>4.2204568023833167</v>
      </c>
      <c r="DL289" s="173">
        <f t="shared" si="835"/>
        <v>7.2689817194773045</v>
      </c>
      <c r="DM289" s="173">
        <f t="shared" si="836"/>
        <v>17.021213139801375</v>
      </c>
      <c r="DN289" s="173">
        <f t="shared" si="837"/>
        <v>6.4008986220750934</v>
      </c>
      <c r="DP289" s="545">
        <f t="shared" si="838"/>
        <v>7300</v>
      </c>
      <c r="DQ289" s="460">
        <f t="shared" si="839"/>
        <v>64.880972596950159</v>
      </c>
      <c r="DS289">
        <f t="shared" si="840"/>
        <v>7300</v>
      </c>
      <c r="DT289">
        <f t="shared" si="841"/>
        <v>64.880972596950159</v>
      </c>
      <c r="DV289" s="5">
        <f t="shared" si="870"/>
        <v>15.412839234272003</v>
      </c>
      <c r="DW289" s="5">
        <f t="shared" si="842"/>
        <v>2.4029947962072531</v>
      </c>
      <c r="DX289" s="5">
        <f t="shared" si="843"/>
        <v>13.00984443806475</v>
      </c>
      <c r="DY289" s="173">
        <f t="shared" si="844"/>
        <v>0.15590863952333661</v>
      </c>
      <c r="EA289" s="5">
        <f t="shared" si="871"/>
        <v>116.94574674875298</v>
      </c>
      <c r="EB289" s="5">
        <f t="shared" si="872"/>
        <v>5.481831878847796</v>
      </c>
      <c r="EC289" s="5">
        <f t="shared" si="873"/>
        <v>4.6554835489153268</v>
      </c>
      <c r="ED289" s="5"/>
      <c r="EE289" s="173">
        <f t="shared" si="874"/>
        <v>3.880297049658719</v>
      </c>
      <c r="EF289" s="173">
        <f t="shared" si="875"/>
        <v>9.0286872646724685</v>
      </c>
      <c r="EG289" s="173">
        <f t="shared" si="876"/>
        <v>0.22235355302801221</v>
      </c>
      <c r="EH289" s="173"/>
      <c r="EI289" s="528">
        <f t="shared" si="877"/>
        <v>0.30113410387180323</v>
      </c>
      <c r="EJ289" s="528">
        <f t="shared" si="878"/>
        <v>2.2241666666666662</v>
      </c>
      <c r="EK289" s="528">
        <f t="shared" si="879"/>
        <v>8.1101215746187689E-3</v>
      </c>
      <c r="EL289" s="528">
        <f t="shared" si="880"/>
        <v>6.5792485380964716E-2</v>
      </c>
      <c r="EM289">
        <f t="shared" si="881"/>
        <v>3.8249999999999999E-2</v>
      </c>
      <c r="EN289" s="460">
        <f t="shared" si="882"/>
        <v>46.360121574618766</v>
      </c>
      <c r="EP289" s="460">
        <f t="shared" si="883"/>
        <v>2637.4533774940533</v>
      </c>
      <c r="EQ289" s="173">
        <f t="shared" si="884"/>
        <v>5.1099999999999994</v>
      </c>
      <c r="ER289" s="173">
        <f t="shared" si="845"/>
        <v>8.0984374999999997E-2</v>
      </c>
      <c r="ES289" s="528"/>
      <c r="EU289" s="460">
        <f t="shared" si="885"/>
        <v>5190.9843749999991</v>
      </c>
      <c r="EV289" s="528">
        <f t="shared" si="886"/>
        <v>0.45170115580770476</v>
      </c>
      <c r="EW289" s="528">
        <f t="shared" si="887"/>
        <v>2.4455158116977649</v>
      </c>
      <c r="EX289" s="528">
        <f t="shared" si="888"/>
        <v>2.4720551272090519E-4</v>
      </c>
      <c r="EY289" s="528">
        <f t="shared" si="889"/>
        <v>2.0264675705467923</v>
      </c>
      <c r="EZ289" s="528"/>
      <c r="FA289" s="625">
        <f t="shared" si="890"/>
        <v>1.8797425467614141E-2</v>
      </c>
      <c r="FB289" s="460">
        <f t="shared" si="891"/>
        <v>4942.7291690325974</v>
      </c>
      <c r="FC289" s="173">
        <f t="shared" si="892"/>
        <v>12.77116692152665</v>
      </c>
      <c r="FD289" s="5">
        <f t="shared" si="893"/>
        <v>110.96</v>
      </c>
      <c r="FE289" s="173">
        <f t="shared" si="894"/>
        <v>0.8967829428972699</v>
      </c>
      <c r="FF289" s="5">
        <f t="shared" si="895"/>
        <v>89.678294289726992</v>
      </c>
      <c r="FG289">
        <f t="shared" si="896"/>
        <v>73</v>
      </c>
      <c r="FI289" s="562">
        <f t="shared" si="846"/>
        <v>-50</v>
      </c>
    </row>
    <row r="290" spans="5:165">
      <c r="E290" s="170">
        <v>74</v>
      </c>
      <c r="F290" s="217">
        <f t="shared" si="847"/>
        <v>7.4</v>
      </c>
      <c r="G290" s="217">
        <f t="shared" si="775"/>
        <v>0.185</v>
      </c>
      <c r="H290" s="217">
        <f t="shared" si="776"/>
        <v>111</v>
      </c>
      <c r="I290" s="217">
        <f t="shared" si="777"/>
        <v>1.48</v>
      </c>
      <c r="J290" s="541">
        <f t="shared" si="778"/>
        <v>84.512580355801816</v>
      </c>
      <c r="K290" s="443">
        <f t="shared" si="779"/>
        <v>15.963004705882351</v>
      </c>
      <c r="L290" s="172">
        <f t="shared" si="780"/>
        <v>100.47558506168417</v>
      </c>
      <c r="M290" s="443"/>
      <c r="N290" s="217">
        <f t="shared" si="781"/>
        <v>0.15887446384196033</v>
      </c>
      <c r="O290" s="172">
        <f t="shared" si="782"/>
        <v>331.25553187323857</v>
      </c>
      <c r="P290" s="172">
        <f t="shared" si="783"/>
        <v>4.4756302973095341</v>
      </c>
      <c r="Q290" s="217">
        <f t="shared" si="784"/>
        <v>22.083702124882571</v>
      </c>
      <c r="R290" s="217">
        <f t="shared" si="785"/>
        <v>41.406941484154821</v>
      </c>
      <c r="S290" s="217">
        <f t="shared" si="786"/>
        <v>15</v>
      </c>
      <c r="T290" s="217">
        <f t="shared" si="787"/>
        <v>16.754437182120228</v>
      </c>
      <c r="U290" s="217">
        <f t="shared" si="788"/>
        <v>2.378974175667095</v>
      </c>
      <c r="V290" s="217">
        <f t="shared" si="789"/>
        <v>12.594950004077543</v>
      </c>
      <c r="W290" s="197">
        <f t="shared" si="790"/>
        <v>111.89075743273835</v>
      </c>
      <c r="X290" s="443">
        <f t="shared" si="848"/>
        <v>65.902530430122994</v>
      </c>
      <c r="Z290" s="217">
        <f t="shared" si="791"/>
        <v>10</v>
      </c>
      <c r="AA290" s="173">
        <f t="shared" si="792"/>
        <v>7.5173817342658626</v>
      </c>
      <c r="AB290" s="173">
        <f t="shared" si="793"/>
        <v>4.1502904744640103</v>
      </c>
      <c r="AC290" s="173"/>
      <c r="AD290" s="173">
        <f t="shared" si="794"/>
        <v>7.5173817342658626</v>
      </c>
      <c r="AE290" s="545">
        <f t="shared" si="795"/>
        <v>196.87705803921568</v>
      </c>
      <c r="AF290" s="528">
        <f t="shared" si="796"/>
        <v>4.2056276807901973</v>
      </c>
      <c r="AH290" s="173">
        <f t="shared" si="797"/>
        <v>7.3185999181472381</v>
      </c>
      <c r="AI290" s="173">
        <f t="shared" si="798"/>
        <v>16.754437182120228</v>
      </c>
      <c r="AJ290" s="173">
        <f t="shared" si="799"/>
        <v>6.2032868015705391</v>
      </c>
      <c r="AL290" s="545">
        <f t="shared" si="800"/>
        <v>7400</v>
      </c>
      <c r="AM290" s="460">
        <f t="shared" si="801"/>
        <v>65.902530430122994</v>
      </c>
      <c r="AO290">
        <f t="shared" si="802"/>
        <v>7400</v>
      </c>
      <c r="AP290">
        <f t="shared" si="803"/>
        <v>65.902530430122994</v>
      </c>
      <c r="AR290" s="5">
        <f t="shared" si="774"/>
        <v>15.173924179744636</v>
      </c>
      <c r="AS290" s="5">
        <f t="shared" si="739"/>
        <v>2.378974175667095</v>
      </c>
      <c r="AT290" s="5">
        <f t="shared" si="740"/>
        <v>12.794950004077542</v>
      </c>
      <c r="AU290" s="173">
        <f t="shared" si="741"/>
        <v>0.1567804180043775</v>
      </c>
      <c r="BA290" s="173">
        <f t="shared" si="849"/>
        <v>3.8301442023593748</v>
      </c>
      <c r="BB290" s="173">
        <f t="shared" si="850"/>
        <v>8.8825888016390699</v>
      </c>
      <c r="BC290" s="173">
        <f t="shared" si="851"/>
        <v>0.21875552029134648</v>
      </c>
      <c r="BD290" s="173"/>
      <c r="BE290" s="528">
        <f t="shared" si="852"/>
        <v>0.29340009221734265</v>
      </c>
      <c r="BF290" s="528">
        <f t="shared" si="804"/>
        <v>2.0801456724934377</v>
      </c>
      <c r="BG290" s="528">
        <f t="shared" si="805"/>
        <v>0.13923982246566111</v>
      </c>
      <c r="BH290" s="528">
        <f t="shared" si="853"/>
        <v>6.6530866201136019E-2</v>
      </c>
      <c r="BI290">
        <f t="shared" si="854"/>
        <v>3.8030661160110814E-2</v>
      </c>
      <c r="BJ290" s="460">
        <f t="shared" si="855"/>
        <v>177.2704836257719</v>
      </c>
      <c r="BK290">
        <f t="shared" si="806"/>
        <v>2.708079951428068</v>
      </c>
      <c r="BL290" s="460">
        <f t="shared" si="856"/>
        <v>2617.3471145376884</v>
      </c>
      <c r="BM290" s="173">
        <f t="shared" si="807"/>
        <v>4.5972499999999998</v>
      </c>
      <c r="BN290" s="173">
        <f t="shared" si="808"/>
        <v>8.2093749999999993E-2</v>
      </c>
      <c r="BQ290" s="460">
        <f t="shared" si="857"/>
        <v>4679.34375</v>
      </c>
      <c r="BR290" s="528">
        <f t="shared" si="858"/>
        <v>0.44010013832601391</v>
      </c>
      <c r="BS290" s="528">
        <f t="shared" si="859"/>
        <v>2.3670115145701143</v>
      </c>
      <c r="BT290" s="528">
        <f t="shared" si="860"/>
        <v>2.3926988828968851E-4</v>
      </c>
      <c r="BU290" s="528">
        <f t="shared" si="861"/>
        <v>2.0255820461277456</v>
      </c>
      <c r="BV290" s="528"/>
      <c r="BW290" s="625">
        <f t="shared" si="862"/>
        <v>1.8499576112573995E-2</v>
      </c>
      <c r="BX290" s="460">
        <f t="shared" si="863"/>
        <v>4851.432545024737</v>
      </c>
      <c r="BY290" s="173">
        <f t="shared" si="864"/>
        <v>12.148123409562427</v>
      </c>
      <c r="BZ290" s="5">
        <f t="shared" si="865"/>
        <v>112.48</v>
      </c>
      <c r="CA290" s="173">
        <f t="shared" si="866"/>
        <v>0.90252502342797591</v>
      </c>
      <c r="CB290" s="5">
        <f t="shared" si="867"/>
        <v>90.252502342797598</v>
      </c>
      <c r="CC290">
        <f t="shared" si="868"/>
        <v>74</v>
      </c>
      <c r="CE290" s="562">
        <f t="shared" si="809"/>
        <v>-50</v>
      </c>
      <c r="CG290" s="173">
        <f t="shared" si="810"/>
        <v>0.84409136047666333</v>
      </c>
      <c r="CH290" s="173">
        <f t="shared" si="811"/>
        <v>0.10203989682880608</v>
      </c>
      <c r="CI290" s="170">
        <v>74</v>
      </c>
      <c r="CJ290" s="217">
        <f t="shared" si="869"/>
        <v>7.4</v>
      </c>
      <c r="CK290" s="217">
        <f t="shared" si="812"/>
        <v>0.185</v>
      </c>
      <c r="CL290" s="217">
        <f t="shared" si="813"/>
        <v>111</v>
      </c>
      <c r="CM290" s="217">
        <f t="shared" si="814"/>
        <v>1.48</v>
      </c>
      <c r="CN290" s="541">
        <f t="shared" si="815"/>
        <v>85</v>
      </c>
      <c r="CO290" s="443">
        <f t="shared" si="816"/>
        <v>15.7</v>
      </c>
      <c r="CP290" s="443">
        <f t="shared" si="817"/>
        <v>100.7</v>
      </c>
      <c r="CQ290" s="443"/>
      <c r="CR290" s="217">
        <f t="shared" si="818"/>
        <v>0.15338645418326693</v>
      </c>
      <c r="CS290" s="172">
        <f t="shared" si="819"/>
        <v>321.65744915076539</v>
      </c>
      <c r="CT290" s="172">
        <f t="shared" si="820"/>
        <v>4.3459495351925632</v>
      </c>
      <c r="CU290" s="217">
        <f t="shared" si="821"/>
        <v>21.443829943384358</v>
      </c>
      <c r="CV290" s="217">
        <f t="shared" si="822"/>
        <v>40.207181143845673</v>
      </c>
      <c r="CW290" s="217">
        <f t="shared" si="823"/>
        <v>15</v>
      </c>
      <c r="CX290" s="217">
        <f t="shared" si="824"/>
        <v>17.254380443086326</v>
      </c>
      <c r="CY290" s="217">
        <f t="shared" si="825"/>
        <v>2.4359125331415989</v>
      </c>
      <c r="CZ290" s="217">
        <f t="shared" si="826"/>
        <v>13.188061485161525</v>
      </c>
      <c r="DA290" s="197">
        <f t="shared" si="827"/>
        <v>110.43528632903013</v>
      </c>
      <c r="DB290" s="443">
        <f t="shared" si="828"/>
        <v>64.004202696991371</v>
      </c>
      <c r="DD290" s="217">
        <f t="shared" si="829"/>
        <v>9.9999999999999982</v>
      </c>
      <c r="DE290" s="173">
        <f t="shared" si="830"/>
        <v>7.6433121019108263</v>
      </c>
      <c r="DF290" s="173">
        <f t="shared" si="831"/>
        <v>4.1649244760361679</v>
      </c>
      <c r="DG290" s="173"/>
      <c r="DH290" s="173">
        <f t="shared" si="832"/>
        <v>7.6433121019108281</v>
      </c>
      <c r="DI290" s="545">
        <f t="shared" si="833"/>
        <v>193.63333333333338</v>
      </c>
      <c r="DJ290" s="528">
        <f t="shared" si="834"/>
        <v>4.2204568023833167</v>
      </c>
      <c r="DL290" s="173">
        <f t="shared" si="835"/>
        <v>7.3185999181472381</v>
      </c>
      <c r="DM290" s="173">
        <f t="shared" si="836"/>
        <v>17.254380443086326</v>
      </c>
      <c r="DN290" s="173">
        <f t="shared" si="837"/>
        <v>6.5736151430269087</v>
      </c>
      <c r="DP290" s="545">
        <f t="shared" si="838"/>
        <v>7400</v>
      </c>
      <c r="DQ290" s="460">
        <f t="shared" si="839"/>
        <v>64.004202696991371</v>
      </c>
      <c r="DS290">
        <f t="shared" si="840"/>
        <v>7400</v>
      </c>
      <c r="DT290">
        <f t="shared" si="841"/>
        <v>64.004202696991371</v>
      </c>
      <c r="DV290" s="5">
        <f t="shared" si="870"/>
        <v>15.623974018303125</v>
      </c>
      <c r="DW290" s="5">
        <f t="shared" si="842"/>
        <v>2.4359125331415989</v>
      </c>
      <c r="DX290" s="5">
        <f t="shared" si="843"/>
        <v>13.188061485161526</v>
      </c>
      <c r="DY290" s="173">
        <f t="shared" si="844"/>
        <v>0.15590863952333661</v>
      </c>
      <c r="EA290" s="5">
        <f t="shared" si="871"/>
        <v>120.17168496831889</v>
      </c>
      <c r="EB290" s="5">
        <f t="shared" si="872"/>
        <v>5.6330477328899473</v>
      </c>
      <c r="EC290" s="5">
        <f t="shared" si="873"/>
        <v>4.7839046563821226</v>
      </c>
      <c r="ED290" s="5"/>
      <c r="EE290" s="173">
        <f t="shared" si="874"/>
        <v>3.9334518037636332</v>
      </c>
      <c r="EF290" s="173">
        <f t="shared" si="875"/>
        <v>9.1523679121337356</v>
      </c>
      <c r="EG290" s="173">
        <f t="shared" si="876"/>
        <v>0.22539949211058771</v>
      </c>
      <c r="EH290" s="173"/>
      <c r="EI290" s="528">
        <f t="shared" si="877"/>
        <v>0.30944086185062758</v>
      </c>
      <c r="EJ290" s="528">
        <f t="shared" si="878"/>
        <v>2.2241666666666662</v>
      </c>
      <c r="EK290" s="528">
        <f t="shared" si="879"/>
        <v>8.0005253371239222E-3</v>
      </c>
      <c r="EL290" s="528">
        <f t="shared" si="880"/>
        <v>6.4903397740681393E-2</v>
      </c>
      <c r="EM290">
        <f t="shared" si="881"/>
        <v>3.8249999999999999E-2</v>
      </c>
      <c r="EN290" s="460">
        <f t="shared" si="882"/>
        <v>46.250525337123918</v>
      </c>
      <c r="EP290" s="460">
        <f t="shared" si="883"/>
        <v>2644.7614515950995</v>
      </c>
      <c r="EQ290" s="173">
        <f t="shared" si="884"/>
        <v>5.18</v>
      </c>
      <c r="ER290" s="173">
        <f t="shared" si="845"/>
        <v>8.2093749999999993E-2</v>
      </c>
      <c r="ES290" s="528"/>
      <c r="EU290" s="460">
        <f t="shared" si="885"/>
        <v>5262.09375</v>
      </c>
      <c r="EV290" s="528">
        <f t="shared" si="886"/>
        <v>0.46416129277594137</v>
      </c>
      <c r="EW290" s="528">
        <f t="shared" si="887"/>
        <v>2.512975151971657</v>
      </c>
      <c r="EX290" s="528">
        <f t="shared" si="888"/>
        <v>2.5402465521855448E-4</v>
      </c>
      <c r="EY290" s="528">
        <f t="shared" si="889"/>
        <v>2.0264675705467892</v>
      </c>
      <c r="EZ290" s="528"/>
      <c r="FA290" s="625">
        <f t="shared" si="890"/>
        <v>1.9054924446622556E-2</v>
      </c>
      <c r="FB290" s="460">
        <f t="shared" si="891"/>
        <v>5022.9129643962297</v>
      </c>
      <c r="FC290" s="173">
        <f t="shared" si="892"/>
        <v>12.929768165991328</v>
      </c>
      <c r="FD290" s="5">
        <f t="shared" si="893"/>
        <v>112.48</v>
      </c>
      <c r="FE290" s="173">
        <f t="shared" si="894"/>
        <v>0.89689983200608747</v>
      </c>
      <c r="FF290" s="5">
        <f t="shared" si="895"/>
        <v>89.689983200608751</v>
      </c>
      <c r="FG290">
        <f t="shared" si="896"/>
        <v>74</v>
      </c>
      <c r="FI290" s="562">
        <f t="shared" si="846"/>
        <v>-50</v>
      </c>
    </row>
    <row r="291" spans="5:165">
      <c r="E291" s="170">
        <v>75</v>
      </c>
      <c r="F291" s="217">
        <f t="shared" si="847"/>
        <v>7.5</v>
      </c>
      <c r="G291" s="217">
        <f t="shared" si="775"/>
        <v>0.1875</v>
      </c>
      <c r="H291" s="217">
        <f t="shared" si="776"/>
        <v>112.5</v>
      </c>
      <c r="I291" s="217">
        <f t="shared" si="777"/>
        <v>1.5</v>
      </c>
      <c r="J291" s="541">
        <f t="shared" si="778"/>
        <v>84.505993603853199</v>
      </c>
      <c r="K291" s="443">
        <f t="shared" si="779"/>
        <v>15.966558823529411</v>
      </c>
      <c r="L291" s="172">
        <f t="shared" si="780"/>
        <v>100.47255242738261</v>
      </c>
      <c r="M291" s="443"/>
      <c r="N291" s="217">
        <f t="shared" si="781"/>
        <v>0.15891463327827146</v>
      </c>
      <c r="O291" s="172">
        <f t="shared" si="782"/>
        <v>331.3134617608294</v>
      </c>
      <c r="P291" s="172">
        <f t="shared" si="783"/>
        <v>4.4764129944574282</v>
      </c>
      <c r="Q291" s="217">
        <f t="shared" si="784"/>
        <v>22.087564117388627</v>
      </c>
      <c r="R291" s="217">
        <f t="shared" si="785"/>
        <v>41.414182720103675</v>
      </c>
      <c r="S291" s="217">
        <f t="shared" si="786"/>
        <v>15</v>
      </c>
      <c r="T291" s="217">
        <f t="shared" si="787"/>
        <v>16.977879407932448</v>
      </c>
      <c r="U291" s="217">
        <f t="shared" si="788"/>
        <v>2.4108887926962348</v>
      </c>
      <c r="V291" s="217">
        <f t="shared" si="789"/>
        <v>12.760079059424642</v>
      </c>
      <c r="W291" s="197">
        <f t="shared" si="790"/>
        <v>111.9103248614357</v>
      </c>
      <c r="X291" s="443">
        <f t="shared" si="848"/>
        <v>65.057712020523198</v>
      </c>
      <c r="Z291" s="217">
        <f t="shared" si="791"/>
        <v>10</v>
      </c>
      <c r="AA291" s="173">
        <f t="shared" si="792"/>
        <v>7.5157083831463929</v>
      </c>
      <c r="AB291" s="173">
        <f t="shared" si="793"/>
        <v>4.1500922700085283</v>
      </c>
      <c r="AC291" s="173"/>
      <c r="AD291" s="173">
        <f t="shared" si="794"/>
        <v>7.5157083831463929</v>
      </c>
      <c r="AE291" s="545">
        <f t="shared" si="795"/>
        <v>199.58198529411763</v>
      </c>
      <c r="AF291" s="528">
        <f t="shared" si="796"/>
        <v>4.2054268336086418</v>
      </c>
      <c r="AH291" s="173">
        <f t="shared" si="797"/>
        <v>7.3678839761300727</v>
      </c>
      <c r="AI291" s="173">
        <f t="shared" si="798"/>
        <v>16.977879407932448</v>
      </c>
      <c r="AJ291" s="173">
        <f t="shared" si="799"/>
        <v>6.3687995614314437</v>
      </c>
      <c r="AL291" s="545">
        <f t="shared" si="800"/>
        <v>7500</v>
      </c>
      <c r="AM291" s="460">
        <f t="shared" si="801"/>
        <v>65.057712020523198</v>
      </c>
      <c r="AO291">
        <f t="shared" si="802"/>
        <v>7500</v>
      </c>
      <c r="AP291">
        <f t="shared" si="803"/>
        <v>65.057712020523198</v>
      </c>
      <c r="AR291" s="5">
        <f t="shared" si="774"/>
        <v>15.370967852120877</v>
      </c>
      <c r="AS291" s="5">
        <f t="shared" si="739"/>
        <v>2.4108887926962348</v>
      </c>
      <c r="AT291" s="5">
        <f t="shared" si="740"/>
        <v>12.960079059424643</v>
      </c>
      <c r="AU291" s="173">
        <f t="shared" si="741"/>
        <v>0.1568469087887385</v>
      </c>
      <c r="BA291" s="173">
        <f t="shared" si="849"/>
        <v>3.8820470891799368</v>
      </c>
      <c r="BB291" s="173">
        <f t="shared" si="850"/>
        <v>9.0006947950786067</v>
      </c>
      <c r="BC291" s="173">
        <f t="shared" si="851"/>
        <v>0.22166416985526924</v>
      </c>
      <c r="BD291" s="173"/>
      <c r="BE291" s="528">
        <f t="shared" si="852"/>
        <v>0.30140579205220841</v>
      </c>
      <c r="BF291" s="528">
        <f t="shared" si="804"/>
        <v>2.080802867291355</v>
      </c>
      <c r="BG291" s="528">
        <f t="shared" si="805"/>
        <v>0.13744416489719141</v>
      </c>
      <c r="BH291" s="528">
        <f t="shared" si="853"/>
        <v>6.5674028391649264E-2</v>
      </c>
      <c r="BI291">
        <f t="shared" si="854"/>
        <v>3.8027697121733942E-2</v>
      </c>
      <c r="BJ291" s="460">
        <f t="shared" si="855"/>
        <v>175.47186201892535</v>
      </c>
      <c r="BK291">
        <f t="shared" si="806"/>
        <v>2.7243649685595748</v>
      </c>
      <c r="BL291" s="460">
        <f t="shared" si="856"/>
        <v>2623.3545497541381</v>
      </c>
      <c r="BM291" s="173">
        <f t="shared" si="807"/>
        <v>4.6593749999999998</v>
      </c>
      <c r="BN291" s="173">
        <f t="shared" si="808"/>
        <v>8.3203124999999989E-2</v>
      </c>
      <c r="BQ291" s="460">
        <f t="shared" si="857"/>
        <v>4742.578125</v>
      </c>
      <c r="BR291" s="528">
        <f t="shared" si="858"/>
        <v>0.45210868807831261</v>
      </c>
      <c r="BS291" s="528">
        <f t="shared" si="859"/>
        <v>2.4303752038246533</v>
      </c>
      <c r="BT291" s="528">
        <f t="shared" si="860"/>
        <v>2.4567502098812828E-4</v>
      </c>
      <c r="BU291" s="528">
        <f t="shared" si="861"/>
        <v>2.0273352887484148</v>
      </c>
      <c r="BV291" s="528"/>
      <c r="BW291" s="625">
        <f t="shared" si="862"/>
        <v>1.8752780694322013E-2</v>
      </c>
      <c r="BX291" s="460">
        <f t="shared" si="863"/>
        <v>4928.8176363666907</v>
      </c>
      <c r="BY291" s="173">
        <f t="shared" si="864"/>
        <v>12.294750311120829</v>
      </c>
      <c r="BZ291" s="5">
        <f t="shared" si="865"/>
        <v>114</v>
      </c>
      <c r="CA291" s="173">
        <f t="shared" si="866"/>
        <v>0.90265034547490441</v>
      </c>
      <c r="CB291" s="5">
        <f t="shared" si="867"/>
        <v>90.265034547490444</v>
      </c>
      <c r="CC291">
        <f t="shared" si="868"/>
        <v>75</v>
      </c>
      <c r="CE291" s="562">
        <f t="shared" si="809"/>
        <v>-50</v>
      </c>
      <c r="CG291" s="173">
        <f t="shared" si="810"/>
        <v>0.84409136047666333</v>
      </c>
      <c r="CH291" s="173">
        <f t="shared" si="811"/>
        <v>0.1020398968288061</v>
      </c>
      <c r="CI291" s="170">
        <v>75</v>
      </c>
      <c r="CJ291" s="217">
        <f t="shared" si="869"/>
        <v>7.5</v>
      </c>
      <c r="CK291" s="217">
        <f t="shared" si="812"/>
        <v>0.1875</v>
      </c>
      <c r="CL291" s="217">
        <f t="shared" si="813"/>
        <v>112.5</v>
      </c>
      <c r="CM291" s="217">
        <f t="shared" si="814"/>
        <v>1.5</v>
      </c>
      <c r="CN291" s="541">
        <f t="shared" si="815"/>
        <v>85</v>
      </c>
      <c r="CO291" s="443">
        <f t="shared" si="816"/>
        <v>15.7</v>
      </c>
      <c r="CP291" s="443">
        <f t="shared" si="817"/>
        <v>100.7</v>
      </c>
      <c r="CQ291" s="443"/>
      <c r="CR291" s="217">
        <f t="shared" si="818"/>
        <v>0.15338645418326693</v>
      </c>
      <c r="CS291" s="172">
        <f t="shared" si="819"/>
        <v>321.65744915076539</v>
      </c>
      <c r="CT291" s="172">
        <f t="shared" si="820"/>
        <v>4.3459495351925632</v>
      </c>
      <c r="CU291" s="217">
        <f t="shared" si="821"/>
        <v>21.443829943384358</v>
      </c>
      <c r="CV291" s="217">
        <f t="shared" si="822"/>
        <v>40.207181143845673</v>
      </c>
      <c r="CW291" s="217">
        <f t="shared" si="823"/>
        <v>15</v>
      </c>
      <c r="CX291" s="217">
        <f t="shared" si="824"/>
        <v>17.487547746371277</v>
      </c>
      <c r="CY291" s="217">
        <f t="shared" si="825"/>
        <v>2.4688302700759448</v>
      </c>
      <c r="CZ291" s="217">
        <f t="shared" si="826"/>
        <v>13.366278532258301</v>
      </c>
      <c r="DA291" s="197">
        <f t="shared" si="827"/>
        <v>110.43528632903013</v>
      </c>
      <c r="DB291" s="443">
        <f t="shared" si="828"/>
        <v>63.15081332769816</v>
      </c>
      <c r="DD291" s="217">
        <f t="shared" si="829"/>
        <v>9.9999999999999982</v>
      </c>
      <c r="DE291" s="173">
        <f t="shared" si="830"/>
        <v>7.6433121019108263</v>
      </c>
      <c r="DF291" s="173">
        <f t="shared" si="831"/>
        <v>4.1649244760361679</v>
      </c>
      <c r="DG291" s="173"/>
      <c r="DH291" s="173">
        <f t="shared" si="832"/>
        <v>7.6433121019108281</v>
      </c>
      <c r="DI291" s="545">
        <f t="shared" si="833"/>
        <v>196.25000000000003</v>
      </c>
      <c r="DJ291" s="528">
        <f t="shared" si="834"/>
        <v>4.2204568023833167</v>
      </c>
      <c r="DL291" s="173">
        <f t="shared" si="835"/>
        <v>7.3678839761300727</v>
      </c>
      <c r="DM291" s="173">
        <f t="shared" si="836"/>
        <v>17.487547746371277</v>
      </c>
      <c r="DN291" s="173">
        <f t="shared" si="837"/>
        <v>6.7463316639787232</v>
      </c>
      <c r="DP291" s="545">
        <f t="shared" si="838"/>
        <v>7500</v>
      </c>
      <c r="DQ291" s="460">
        <f t="shared" si="839"/>
        <v>63.15081332769816</v>
      </c>
      <c r="DS291">
        <f t="shared" si="840"/>
        <v>7500</v>
      </c>
      <c r="DT291">
        <f t="shared" si="841"/>
        <v>63.15081332769816</v>
      </c>
      <c r="DV291" s="5">
        <f t="shared" si="870"/>
        <v>15.835108802334249</v>
      </c>
      <c r="DW291" s="5">
        <f t="shared" si="842"/>
        <v>2.4688302700759448</v>
      </c>
      <c r="DX291" s="5">
        <f t="shared" si="843"/>
        <v>13.366278532258304</v>
      </c>
      <c r="DY291" s="173">
        <f t="shared" si="844"/>
        <v>0.15590863952333661</v>
      </c>
      <c r="EA291" s="5">
        <f t="shared" si="871"/>
        <v>123.44151350379722</v>
      </c>
      <c r="EB291" s="5">
        <f t="shared" si="872"/>
        <v>5.7863209454904956</v>
      </c>
      <c r="EC291" s="5">
        <f t="shared" si="873"/>
        <v>4.9140729898008475</v>
      </c>
      <c r="ED291" s="5"/>
      <c r="EE291" s="173">
        <f t="shared" si="874"/>
        <v>3.986606557868547</v>
      </c>
      <c r="EF291" s="173">
        <f t="shared" si="875"/>
        <v>9.2760485595950026</v>
      </c>
      <c r="EG291" s="173">
        <f t="shared" si="876"/>
        <v>0.22844543119316324</v>
      </c>
      <c r="EH291" s="173"/>
      <c r="EI291" s="528">
        <f t="shared" si="877"/>
        <v>0.31786063694481009</v>
      </c>
      <c r="EJ291" s="528">
        <f t="shared" si="878"/>
        <v>2.2241666666666666</v>
      </c>
      <c r="EK291" s="528">
        <f t="shared" si="879"/>
        <v>7.89385166596227E-3</v>
      </c>
      <c r="EL291" s="528">
        <f t="shared" si="880"/>
        <v>6.4038019104138991E-2</v>
      </c>
      <c r="EM291">
        <f t="shared" si="881"/>
        <v>3.8249999999999999E-2</v>
      </c>
      <c r="EN291" s="460">
        <f t="shared" si="882"/>
        <v>46.143851665962274</v>
      </c>
      <c r="EP291" s="460">
        <f t="shared" si="883"/>
        <v>2652.2091743815786</v>
      </c>
      <c r="EQ291" s="173">
        <f t="shared" si="884"/>
        <v>5.25</v>
      </c>
      <c r="ER291" s="173">
        <f t="shared" si="845"/>
        <v>8.3203124999999989E-2</v>
      </c>
      <c r="ES291" s="528"/>
      <c r="EU291" s="460">
        <f t="shared" si="885"/>
        <v>5333.203125</v>
      </c>
      <c r="EV291" s="528">
        <f t="shared" si="886"/>
        <v>0.47679095541721511</v>
      </c>
      <c r="EW291" s="528">
        <f t="shared" si="887"/>
        <v>2.5813523063989359</v>
      </c>
      <c r="EX291" s="528">
        <f t="shared" si="888"/>
        <v>2.6093657516515137E-4</v>
      </c>
      <c r="EY291" s="528">
        <f t="shared" si="889"/>
        <v>2.0264675705467909</v>
      </c>
      <c r="EZ291" s="528"/>
      <c r="FA291" s="625">
        <f t="shared" si="890"/>
        <v>1.931242342563097E-2</v>
      </c>
      <c r="FB291" s="460">
        <f t="shared" si="891"/>
        <v>5104.1841923637385</v>
      </c>
      <c r="FC291" s="173">
        <f t="shared" si="892"/>
        <v>13.089596491745317</v>
      </c>
      <c r="FD291" s="5">
        <f t="shared" si="893"/>
        <v>114</v>
      </c>
      <c r="FE291" s="173">
        <f t="shared" si="894"/>
        <v>0.89700497245189137</v>
      </c>
      <c r="FF291" s="5">
        <f t="shared" si="895"/>
        <v>89.70049724518914</v>
      </c>
      <c r="FG291">
        <f t="shared" si="896"/>
        <v>75</v>
      </c>
      <c r="FI291" s="562">
        <f t="shared" si="846"/>
        <v>-50</v>
      </c>
    </row>
    <row r="292" spans="5:165">
      <c r="E292" s="170">
        <v>76</v>
      </c>
      <c r="F292" s="217">
        <f t="shared" si="847"/>
        <v>7.6</v>
      </c>
      <c r="G292" s="217">
        <f t="shared" si="775"/>
        <v>0.19</v>
      </c>
      <c r="H292" s="217">
        <f t="shared" si="776"/>
        <v>114</v>
      </c>
      <c r="I292" s="217">
        <f t="shared" si="777"/>
        <v>1.52</v>
      </c>
      <c r="J292" s="541">
        <f t="shared" si="778"/>
        <v>84.499406851904567</v>
      </c>
      <c r="K292" s="443">
        <f t="shared" si="779"/>
        <v>15.97011294117647</v>
      </c>
      <c r="L292" s="172">
        <f t="shared" si="780"/>
        <v>100.46951979308103</v>
      </c>
      <c r="M292" s="443"/>
      <c r="N292" s="217">
        <f t="shared" si="781"/>
        <v>0.15895480513958099</v>
      </c>
      <c r="O292" s="172">
        <f t="shared" si="782"/>
        <v>331.37138364855264</v>
      </c>
      <c r="P292" s="172">
        <f t="shared" si="783"/>
        <v>4.4771955835182222</v>
      </c>
      <c r="Q292" s="217">
        <f t="shared" si="784"/>
        <v>22.091425576570177</v>
      </c>
      <c r="R292" s="217">
        <f t="shared" si="785"/>
        <v>41.42142295606908</v>
      </c>
      <c r="S292" s="217">
        <f t="shared" si="786"/>
        <v>15</v>
      </c>
      <c r="T292" s="217">
        <f t="shared" si="787"/>
        <v>17.201243925291184</v>
      </c>
      <c r="U292" s="217">
        <f t="shared" si="788"/>
        <v>2.4427973496341973</v>
      </c>
      <c r="V292" s="217">
        <f t="shared" si="789"/>
        <v>12.925076226060067</v>
      </c>
      <c r="W292" s="197">
        <f t="shared" si="790"/>
        <v>111.92988958795553</v>
      </c>
      <c r="X292" s="443">
        <f t="shared" si="848"/>
        <v>64.234848461338686</v>
      </c>
      <c r="Z292" s="217">
        <f t="shared" si="791"/>
        <v>9.9999999999999982</v>
      </c>
      <c r="AA292" s="173">
        <f t="shared" si="792"/>
        <v>7.5140357768290107</v>
      </c>
      <c r="AB292" s="173">
        <f t="shared" si="793"/>
        <v>4.149894053587591</v>
      </c>
      <c r="AC292" s="173"/>
      <c r="AD292" s="173">
        <f t="shared" si="794"/>
        <v>7.5140357768290125</v>
      </c>
      <c r="AE292" s="545">
        <f t="shared" si="795"/>
        <v>202.28809725490194</v>
      </c>
      <c r="AF292" s="528">
        <f t="shared" si="796"/>
        <v>4.2052259743020945</v>
      </c>
      <c r="AH292" s="173">
        <f t="shared" si="797"/>
        <v>7.4168405544088518</v>
      </c>
      <c r="AI292" s="173">
        <f t="shared" si="798"/>
        <v>17.201243925291184</v>
      </c>
      <c r="AJ292" s="173">
        <f t="shared" si="799"/>
        <v>6.5342547594749512</v>
      </c>
      <c r="AL292" s="545">
        <f t="shared" si="800"/>
        <v>7600</v>
      </c>
      <c r="AM292" s="460">
        <f t="shared" si="801"/>
        <v>64.234848461338686</v>
      </c>
      <c r="AO292">
        <f t="shared" si="802"/>
        <v>7600</v>
      </c>
      <c r="AP292">
        <f t="shared" si="803"/>
        <v>64.234848461338686</v>
      </c>
      <c r="AR292" s="5">
        <f t="shared" si="774"/>
        <v>15.567873575694266</v>
      </c>
      <c r="AS292" s="5">
        <f t="shared" si="739"/>
        <v>2.4427973496341973</v>
      </c>
      <c r="AT292" s="5">
        <f t="shared" si="740"/>
        <v>13.125076226060068</v>
      </c>
      <c r="AU292" s="173">
        <f t="shared" si="741"/>
        <v>0.15691271757551242</v>
      </c>
      <c r="BA292" s="173">
        <f t="shared" si="849"/>
        <v>3.9339451388797264</v>
      </c>
      <c r="BB292" s="173">
        <f t="shared" si="850"/>
        <v>9.1187539263911237</v>
      </c>
      <c r="BC292" s="173">
        <f t="shared" si="851"/>
        <v>0.22457166532445591</v>
      </c>
      <c r="BD292" s="173"/>
      <c r="BE292" s="528">
        <f t="shared" si="852"/>
        <v>0.30951848711430857</v>
      </c>
      <c r="BF292" s="528">
        <f t="shared" si="804"/>
        <v>2.0814508344076144</v>
      </c>
      <c r="BG292" s="528">
        <f t="shared" si="805"/>
        <v>0.13569516485512734</v>
      </c>
      <c r="BH292" s="528">
        <f t="shared" si="853"/>
        <v>6.4839455166259871E-2</v>
      </c>
      <c r="BI292">
        <f t="shared" si="854"/>
        <v>3.8024733083357055E-2</v>
      </c>
      <c r="BJ292" s="460">
        <f t="shared" si="855"/>
        <v>173.71989793848439</v>
      </c>
      <c r="BK292">
        <f t="shared" si="806"/>
        <v>2.7409528023676426</v>
      </c>
      <c r="BL292" s="460">
        <f t="shared" si="856"/>
        <v>2629.5286746266675</v>
      </c>
      <c r="BM292" s="173">
        <f t="shared" si="807"/>
        <v>4.7214999999999989</v>
      </c>
      <c r="BN292" s="173">
        <f t="shared" si="808"/>
        <v>8.4312499999999999E-2</v>
      </c>
      <c r="BQ292" s="460">
        <f t="shared" si="857"/>
        <v>4805.8124999999991</v>
      </c>
      <c r="BR292" s="528">
        <f t="shared" si="858"/>
        <v>0.46427773067146288</v>
      </c>
      <c r="BS292" s="528">
        <f t="shared" si="859"/>
        <v>2.4945501951022062</v>
      </c>
      <c r="BT292" s="528">
        <f t="shared" si="860"/>
        <v>2.5216216433299714E-4</v>
      </c>
      <c r="BU292" s="528">
        <f t="shared" si="861"/>
        <v>2.0290670587925335</v>
      </c>
      <c r="BV292" s="528"/>
      <c r="BW292" s="625">
        <f t="shared" si="862"/>
        <v>1.9005986343524867E-2</v>
      </c>
      <c r="BX292" s="460">
        <f t="shared" si="863"/>
        <v>5007.1531330740609</v>
      </c>
      <c r="BY292" s="173">
        <f t="shared" si="864"/>
        <v>12.442494307700727</v>
      </c>
      <c r="BZ292" s="5">
        <f t="shared" si="865"/>
        <v>115.52</v>
      </c>
      <c r="CA292" s="173">
        <f t="shared" si="866"/>
        <v>0.90276452194045775</v>
      </c>
      <c r="CB292" s="5">
        <f t="shared" si="867"/>
        <v>90.276452194045774</v>
      </c>
      <c r="CC292">
        <f t="shared" si="868"/>
        <v>76</v>
      </c>
      <c r="CE292" s="562">
        <f t="shared" si="809"/>
        <v>-50</v>
      </c>
      <c r="CG292" s="173">
        <f t="shared" si="810"/>
        <v>0.84409136047666333</v>
      </c>
      <c r="CH292" s="173">
        <f t="shared" si="811"/>
        <v>0.1020398968288061</v>
      </c>
      <c r="CI292" s="170">
        <v>76</v>
      </c>
      <c r="CJ292" s="217">
        <f t="shared" si="869"/>
        <v>7.6</v>
      </c>
      <c r="CK292" s="217">
        <f t="shared" si="812"/>
        <v>0.19</v>
      </c>
      <c r="CL292" s="217">
        <f t="shared" si="813"/>
        <v>114</v>
      </c>
      <c r="CM292" s="217">
        <f t="shared" si="814"/>
        <v>1.52</v>
      </c>
      <c r="CN292" s="541">
        <f t="shared" si="815"/>
        <v>85</v>
      </c>
      <c r="CO292" s="443">
        <f t="shared" si="816"/>
        <v>15.7</v>
      </c>
      <c r="CP292" s="443">
        <f t="shared" si="817"/>
        <v>100.7</v>
      </c>
      <c r="CQ292" s="443"/>
      <c r="CR292" s="217">
        <f t="shared" si="818"/>
        <v>0.15338645418326693</v>
      </c>
      <c r="CS292" s="172">
        <f t="shared" si="819"/>
        <v>321.65744915076539</v>
      </c>
      <c r="CT292" s="172">
        <f t="shared" si="820"/>
        <v>4.3459495351925632</v>
      </c>
      <c r="CU292" s="217">
        <f t="shared" si="821"/>
        <v>21.443829943384358</v>
      </c>
      <c r="CV292" s="217">
        <f t="shared" si="822"/>
        <v>40.207181143845673</v>
      </c>
      <c r="CW292" s="217">
        <f t="shared" si="823"/>
        <v>15</v>
      </c>
      <c r="CX292" s="217">
        <f t="shared" si="824"/>
        <v>17.720715049656224</v>
      </c>
      <c r="CY292" s="217">
        <f t="shared" si="825"/>
        <v>2.5017480070102907</v>
      </c>
      <c r="CZ292" s="217">
        <f t="shared" si="826"/>
        <v>13.544495579355075</v>
      </c>
      <c r="DA292" s="197">
        <f t="shared" si="827"/>
        <v>110.43528632903013</v>
      </c>
      <c r="DB292" s="443">
        <f t="shared" si="828"/>
        <v>62.319881573386354</v>
      </c>
      <c r="DD292" s="217">
        <f t="shared" si="829"/>
        <v>9.9999999999999982</v>
      </c>
      <c r="DE292" s="173">
        <f t="shared" si="830"/>
        <v>7.6433121019108263</v>
      </c>
      <c r="DF292" s="173">
        <f t="shared" si="831"/>
        <v>4.1649244760361679</v>
      </c>
      <c r="DG292" s="173"/>
      <c r="DH292" s="173">
        <f t="shared" si="832"/>
        <v>7.6433121019108281</v>
      </c>
      <c r="DI292" s="545">
        <f t="shared" si="833"/>
        <v>198.86666666666667</v>
      </c>
      <c r="DJ292" s="528">
        <f t="shared" si="834"/>
        <v>4.2204568023833167</v>
      </c>
      <c r="DL292" s="173">
        <f t="shared" si="835"/>
        <v>7.4168405544088518</v>
      </c>
      <c r="DM292" s="173">
        <f t="shared" si="836"/>
        <v>17.720715049656224</v>
      </c>
      <c r="DN292" s="173">
        <f t="shared" si="837"/>
        <v>6.9190481849305367</v>
      </c>
      <c r="DP292" s="545">
        <f t="shared" si="838"/>
        <v>7600</v>
      </c>
      <c r="DQ292" s="460">
        <f t="shared" si="839"/>
        <v>62.319881573386354</v>
      </c>
      <c r="DS292">
        <f t="shared" si="840"/>
        <v>7600</v>
      </c>
      <c r="DT292">
        <f t="shared" si="841"/>
        <v>62.319881573386354</v>
      </c>
      <c r="DV292" s="5">
        <f t="shared" si="870"/>
        <v>16.046243586365367</v>
      </c>
      <c r="DW292" s="5">
        <f t="shared" si="842"/>
        <v>2.5017480070102907</v>
      </c>
      <c r="DX292" s="5">
        <f t="shared" si="843"/>
        <v>13.544495579355077</v>
      </c>
      <c r="DY292" s="173">
        <f t="shared" si="844"/>
        <v>0.15590863952333664</v>
      </c>
      <c r="EA292" s="5">
        <f t="shared" si="871"/>
        <v>126.75523235518804</v>
      </c>
      <c r="EB292" s="5">
        <f t="shared" si="872"/>
        <v>5.9416515166494399</v>
      </c>
      <c r="EC292" s="5">
        <f t="shared" si="873"/>
        <v>5.0459885491714989</v>
      </c>
      <c r="ED292" s="5"/>
      <c r="EE292" s="173">
        <f t="shared" si="874"/>
        <v>4.0397613119734608</v>
      </c>
      <c r="EF292" s="173">
        <f t="shared" si="875"/>
        <v>9.3997292070562679</v>
      </c>
      <c r="EG292" s="173">
        <f t="shared" si="876"/>
        <v>0.23149137027573868</v>
      </c>
      <c r="EH292" s="173"/>
      <c r="EI292" s="528">
        <f t="shared" si="877"/>
        <v>0.32639342915435071</v>
      </c>
      <c r="EJ292" s="528">
        <f t="shared" si="878"/>
        <v>2.2241666666666671</v>
      </c>
      <c r="EK292" s="528">
        <f t="shared" si="879"/>
        <v>7.7899851966732941E-3</v>
      </c>
      <c r="EL292" s="528">
        <f t="shared" si="880"/>
        <v>6.3195413589610866E-2</v>
      </c>
      <c r="EM292">
        <f t="shared" si="881"/>
        <v>3.8249999999999999E-2</v>
      </c>
      <c r="EN292" s="460">
        <f t="shared" si="882"/>
        <v>46.039985196673292</v>
      </c>
      <c r="EP292" s="460">
        <f t="shared" si="883"/>
        <v>2659.7954946073023</v>
      </c>
      <c r="EQ292" s="173">
        <f t="shared" si="884"/>
        <v>5.3199999999999994</v>
      </c>
      <c r="ER292" s="173">
        <f t="shared" si="845"/>
        <v>8.4312499999999999E-2</v>
      </c>
      <c r="ES292" s="528"/>
      <c r="EU292" s="460">
        <f t="shared" si="885"/>
        <v>5404.3125</v>
      </c>
      <c r="EV292" s="528">
        <f t="shared" si="886"/>
        <v>0.4895901437315261</v>
      </c>
      <c r="EW292" s="528">
        <f t="shared" si="887"/>
        <v>2.6506472749795997</v>
      </c>
      <c r="EX292" s="528">
        <f t="shared" si="888"/>
        <v>2.6794127256069575E-4</v>
      </c>
      <c r="EY292" s="528">
        <f t="shared" si="889"/>
        <v>2.0264675705467887</v>
      </c>
      <c r="EZ292" s="528"/>
      <c r="FA292" s="625">
        <f t="shared" si="890"/>
        <v>1.9569922404639385E-2</v>
      </c>
      <c r="FB292" s="460">
        <f t="shared" si="891"/>
        <v>5186.5428529351148</v>
      </c>
      <c r="FC292" s="173">
        <f t="shared" si="892"/>
        <v>13.250650847542415</v>
      </c>
      <c r="FD292" s="5">
        <f t="shared" si="893"/>
        <v>115.52</v>
      </c>
      <c r="FE292" s="173">
        <f t="shared" si="894"/>
        <v>0.89709882834070254</v>
      </c>
      <c r="FF292" s="5">
        <f t="shared" si="895"/>
        <v>89.709882834070257</v>
      </c>
      <c r="FG292">
        <f t="shared" si="896"/>
        <v>76</v>
      </c>
      <c r="FI292" s="562">
        <f t="shared" si="846"/>
        <v>-50</v>
      </c>
    </row>
    <row r="293" spans="5:165">
      <c r="E293" s="170">
        <v>77</v>
      </c>
      <c r="F293" s="217">
        <f t="shared" si="847"/>
        <v>7.7</v>
      </c>
      <c r="G293" s="217">
        <f t="shared" si="775"/>
        <v>0.1925</v>
      </c>
      <c r="H293" s="217">
        <f t="shared" si="776"/>
        <v>115.5</v>
      </c>
      <c r="I293" s="217">
        <f t="shared" si="777"/>
        <v>1.54</v>
      </c>
      <c r="J293" s="541">
        <f t="shared" si="778"/>
        <v>84.492820099955949</v>
      </c>
      <c r="K293" s="443">
        <f t="shared" si="779"/>
        <v>15.973667058823528</v>
      </c>
      <c r="L293" s="172">
        <f t="shared" si="780"/>
        <v>100.46648715877947</v>
      </c>
      <c r="M293" s="443"/>
      <c r="N293" s="217">
        <f t="shared" si="781"/>
        <v>0.15899497942610843</v>
      </c>
      <c r="O293" s="172">
        <f t="shared" si="782"/>
        <v>331.4292975356837</v>
      </c>
      <c r="P293" s="172">
        <f t="shared" si="783"/>
        <v>4.4779780644821265</v>
      </c>
      <c r="Q293" s="217">
        <f t="shared" si="784"/>
        <v>22.095286502378915</v>
      </c>
      <c r="R293" s="217">
        <f t="shared" si="785"/>
        <v>41.428662191960463</v>
      </c>
      <c r="S293" s="217">
        <f t="shared" si="786"/>
        <v>15</v>
      </c>
      <c r="T293" s="217">
        <f t="shared" si="787"/>
        <v>17.424530791150801</v>
      </c>
      <c r="U293" s="217">
        <f t="shared" si="788"/>
        <v>2.474699853152595</v>
      </c>
      <c r="V293" s="217">
        <f t="shared" si="789"/>
        <v>13.08994163480515</v>
      </c>
      <c r="W293" s="197">
        <f t="shared" si="790"/>
        <v>111.94945161205312</v>
      </c>
      <c r="X293" s="443">
        <f t="shared" si="848"/>
        <v>63.433094927269842</v>
      </c>
      <c r="Z293" s="217">
        <f t="shared" si="791"/>
        <v>10</v>
      </c>
      <c r="AA293" s="173">
        <f t="shared" si="792"/>
        <v>7.5123639148165697</v>
      </c>
      <c r="AB293" s="173">
        <f t="shared" si="793"/>
        <v>4.1496958252001228</v>
      </c>
      <c r="AC293" s="173"/>
      <c r="AD293" s="173">
        <f t="shared" si="794"/>
        <v>7.5123639148165697</v>
      </c>
      <c r="AE293" s="545">
        <f t="shared" si="795"/>
        <v>204.99539392156862</v>
      </c>
      <c r="AF293" s="528">
        <f t="shared" si="796"/>
        <v>4.2050251028694579</v>
      </c>
      <c r="AH293" s="173">
        <f t="shared" si="797"/>
        <v>7.4654760955570234</v>
      </c>
      <c r="AI293" s="173">
        <f t="shared" si="798"/>
        <v>17.424530791150801</v>
      </c>
      <c r="AJ293" s="173">
        <f t="shared" si="799"/>
        <v>6.6996524378894824</v>
      </c>
      <c r="AL293" s="545">
        <f t="shared" si="800"/>
        <v>7700</v>
      </c>
      <c r="AM293" s="460">
        <f t="shared" si="801"/>
        <v>63.433094927269842</v>
      </c>
      <c r="AO293">
        <f t="shared" si="802"/>
        <v>7700</v>
      </c>
      <c r="AP293">
        <f t="shared" si="803"/>
        <v>63.433094927269842</v>
      </c>
      <c r="AR293" s="5">
        <f t="shared" si="774"/>
        <v>15.764641487957743</v>
      </c>
      <c r="AS293" s="5">
        <f t="shared" si="739"/>
        <v>2.474699853152595</v>
      </c>
      <c r="AT293" s="5">
        <f t="shared" si="740"/>
        <v>13.289941634805148</v>
      </c>
      <c r="AU293" s="173">
        <f t="shared" si="741"/>
        <v>0.1569778707015293</v>
      </c>
      <c r="BA293" s="173">
        <f t="shared" si="849"/>
        <v>3.9858383533008896</v>
      </c>
      <c r="BB293" s="173">
        <f t="shared" si="850"/>
        <v>9.2367662298705202</v>
      </c>
      <c r="BC293" s="173">
        <f t="shared" si="851"/>
        <v>0.22747800754347794</v>
      </c>
      <c r="BD293" s="173"/>
      <c r="BE293" s="528">
        <f t="shared" si="852"/>
        <v>0.31773814757288693</v>
      </c>
      <c r="BF293" s="528">
        <f t="shared" si="804"/>
        <v>2.0820899261102834</v>
      </c>
      <c r="BG293" s="528">
        <f t="shared" si="805"/>
        <v>0.13399102695183099</v>
      </c>
      <c r="BH293" s="528">
        <f t="shared" si="853"/>
        <v>6.4026289781061077E-2</v>
      </c>
      <c r="BI293">
        <f t="shared" si="854"/>
        <v>3.8021769044980176E-2</v>
      </c>
      <c r="BJ293" s="460">
        <f t="shared" si="855"/>
        <v>172.01279599681115</v>
      </c>
      <c r="BK293">
        <f t="shared" si="806"/>
        <v>2.7578461075580791</v>
      </c>
      <c r="BL293" s="460">
        <f t="shared" si="856"/>
        <v>2635.8671594610428</v>
      </c>
      <c r="BM293" s="173">
        <f t="shared" si="807"/>
        <v>4.7836249999999998</v>
      </c>
      <c r="BN293" s="173">
        <f t="shared" si="808"/>
        <v>8.5421874999999994E-2</v>
      </c>
      <c r="BQ293" s="460">
        <f t="shared" si="857"/>
        <v>4869.046875</v>
      </c>
      <c r="BR293" s="528">
        <f t="shared" si="858"/>
        <v>0.47660722135933037</v>
      </c>
      <c r="BS293" s="528">
        <f t="shared" si="859"/>
        <v>2.5595355115582938</v>
      </c>
      <c r="BT293" s="528">
        <f t="shared" si="860"/>
        <v>2.5873121957975303E-4</v>
      </c>
      <c r="BU293" s="528">
        <f t="shared" si="861"/>
        <v>2.0307781789585957</v>
      </c>
      <c r="BV293" s="528"/>
      <c r="BW293" s="625">
        <f t="shared" si="862"/>
        <v>1.9259193018990407E-2</v>
      </c>
      <c r="BX293" s="460">
        <f t="shared" si="863"/>
        <v>5086.4388361147903</v>
      </c>
      <c r="BY293" s="173">
        <f t="shared" si="864"/>
        <v>12.591352870575832</v>
      </c>
      <c r="BZ293" s="5">
        <f t="shared" si="865"/>
        <v>117.04</v>
      </c>
      <c r="CA293" s="173">
        <f t="shared" si="866"/>
        <v>0.90286799765835157</v>
      </c>
      <c r="CB293" s="5">
        <f t="shared" si="867"/>
        <v>90.286799765835156</v>
      </c>
      <c r="CC293">
        <f t="shared" si="868"/>
        <v>77</v>
      </c>
      <c r="CE293" s="562">
        <f t="shared" si="809"/>
        <v>-50</v>
      </c>
      <c r="CG293" s="173">
        <f t="shared" si="810"/>
        <v>0.84409136047666333</v>
      </c>
      <c r="CH293" s="173">
        <f t="shared" si="811"/>
        <v>0.1020398968288061</v>
      </c>
      <c r="CI293" s="170">
        <v>77</v>
      </c>
      <c r="CJ293" s="217">
        <f t="shared" si="869"/>
        <v>7.7</v>
      </c>
      <c r="CK293" s="217">
        <f t="shared" si="812"/>
        <v>0.1925</v>
      </c>
      <c r="CL293" s="217">
        <f t="shared" si="813"/>
        <v>115.5</v>
      </c>
      <c r="CM293" s="217">
        <f t="shared" si="814"/>
        <v>1.54</v>
      </c>
      <c r="CN293" s="541">
        <f t="shared" si="815"/>
        <v>85</v>
      </c>
      <c r="CO293" s="443">
        <f t="shared" si="816"/>
        <v>15.7</v>
      </c>
      <c r="CP293" s="443">
        <f t="shared" si="817"/>
        <v>100.7</v>
      </c>
      <c r="CQ293" s="443"/>
      <c r="CR293" s="217">
        <f t="shared" si="818"/>
        <v>0.15338645418326693</v>
      </c>
      <c r="CS293" s="172">
        <f t="shared" si="819"/>
        <v>321.65744915076539</v>
      </c>
      <c r="CT293" s="172">
        <f t="shared" si="820"/>
        <v>4.3459495351925632</v>
      </c>
      <c r="CU293" s="217">
        <f t="shared" si="821"/>
        <v>21.443829943384358</v>
      </c>
      <c r="CV293" s="217">
        <f t="shared" si="822"/>
        <v>40.207181143845673</v>
      </c>
      <c r="CW293" s="217">
        <f t="shared" si="823"/>
        <v>15</v>
      </c>
      <c r="CX293" s="217">
        <f t="shared" si="824"/>
        <v>17.953882352941179</v>
      </c>
      <c r="CY293" s="217">
        <f t="shared" si="825"/>
        <v>2.534665743944637</v>
      </c>
      <c r="CZ293" s="217">
        <f t="shared" si="826"/>
        <v>13.722712626451857</v>
      </c>
      <c r="DA293" s="197">
        <f t="shared" si="827"/>
        <v>110.43528632903013</v>
      </c>
      <c r="DB293" s="443">
        <f t="shared" si="828"/>
        <v>61.510532462043656</v>
      </c>
      <c r="DD293" s="217">
        <f t="shared" si="829"/>
        <v>9.9999999999999982</v>
      </c>
      <c r="DE293" s="173">
        <f t="shared" si="830"/>
        <v>7.6433121019108263</v>
      </c>
      <c r="DF293" s="173">
        <f t="shared" si="831"/>
        <v>4.1649244760361679</v>
      </c>
      <c r="DG293" s="173"/>
      <c r="DH293" s="173">
        <f t="shared" si="832"/>
        <v>7.6433121019108281</v>
      </c>
      <c r="DI293" s="545">
        <f t="shared" si="833"/>
        <v>201.48333333333335</v>
      </c>
      <c r="DJ293" s="528">
        <f t="shared" si="834"/>
        <v>4.2204568023833167</v>
      </c>
      <c r="DL293" s="173">
        <f t="shared" si="835"/>
        <v>7.4654760955570234</v>
      </c>
      <c r="DM293" s="173">
        <f t="shared" si="836"/>
        <v>17.953882352941179</v>
      </c>
      <c r="DN293" s="173">
        <f t="shared" si="837"/>
        <v>7.0917647058823547</v>
      </c>
      <c r="DP293" s="545">
        <f t="shared" si="838"/>
        <v>7700</v>
      </c>
      <c r="DQ293" s="460">
        <f t="shared" si="839"/>
        <v>61.510532462043656</v>
      </c>
      <c r="DS293">
        <f t="shared" si="840"/>
        <v>7700</v>
      </c>
      <c r="DT293">
        <f t="shared" si="841"/>
        <v>61.510532462043656</v>
      </c>
      <c r="DV293" s="5">
        <f t="shared" si="870"/>
        <v>16.257378370396495</v>
      </c>
      <c r="DW293" s="5">
        <f t="shared" si="842"/>
        <v>2.534665743944637</v>
      </c>
      <c r="DX293" s="5">
        <f t="shared" si="843"/>
        <v>13.722712626451859</v>
      </c>
      <c r="DY293" s="173">
        <f t="shared" si="844"/>
        <v>0.15590863952333661</v>
      </c>
      <c r="EA293" s="5">
        <f t="shared" si="871"/>
        <v>130.11284152249135</v>
      </c>
      <c r="EB293" s="5">
        <f t="shared" si="872"/>
        <v>6.099039446366783</v>
      </c>
      <c r="EC293" s="5">
        <f t="shared" si="873"/>
        <v>5.1796513344940838</v>
      </c>
      <c r="ED293" s="5"/>
      <c r="EE293" s="173">
        <f t="shared" si="874"/>
        <v>4.0929160660783754</v>
      </c>
      <c r="EF293" s="173">
        <f t="shared" si="875"/>
        <v>9.5234098545175367</v>
      </c>
      <c r="EG293" s="173">
        <f t="shared" si="876"/>
        <v>0.23453730935831427</v>
      </c>
      <c r="EH293" s="173"/>
      <c r="EI293" s="528">
        <f t="shared" si="877"/>
        <v>0.33503923847924966</v>
      </c>
      <c r="EJ293" s="528">
        <f t="shared" si="878"/>
        <v>2.2241666666666666</v>
      </c>
      <c r="EK293" s="528">
        <f t="shared" si="879"/>
        <v>7.6888165577554566E-3</v>
      </c>
      <c r="EL293" s="528">
        <f t="shared" si="880"/>
        <v>6.2374693932602907E-2</v>
      </c>
      <c r="EM293">
        <f t="shared" si="881"/>
        <v>3.8249999999999999E-2</v>
      </c>
      <c r="EN293" s="460">
        <f t="shared" si="882"/>
        <v>45.938816557755452</v>
      </c>
      <c r="EP293" s="460">
        <f t="shared" si="883"/>
        <v>2667.519415636275</v>
      </c>
      <c r="EQ293" s="173">
        <f t="shared" si="884"/>
        <v>5.39</v>
      </c>
      <c r="ER293" s="173">
        <f t="shared" si="845"/>
        <v>8.5421874999999994E-2</v>
      </c>
      <c r="ES293" s="528"/>
      <c r="EU293" s="460">
        <f t="shared" si="885"/>
        <v>5475.4218749999991</v>
      </c>
      <c r="EV293" s="528">
        <f t="shared" si="886"/>
        <v>0.50255885771887443</v>
      </c>
      <c r="EW293" s="528">
        <f t="shared" si="887"/>
        <v>2.7208600577136517</v>
      </c>
      <c r="EX293" s="528">
        <f t="shared" si="888"/>
        <v>2.7503874740518805E-4</v>
      </c>
      <c r="EY293" s="528">
        <f t="shared" si="889"/>
        <v>2.0264675705467892</v>
      </c>
      <c r="EZ293" s="528"/>
      <c r="FA293" s="625">
        <f t="shared" si="890"/>
        <v>1.9827421383647802E-2</v>
      </c>
      <c r="FB293" s="460">
        <f t="shared" si="891"/>
        <v>5269.9889461103685</v>
      </c>
      <c r="FC293" s="173">
        <f t="shared" si="892"/>
        <v>13.412930236746643</v>
      </c>
      <c r="FD293" s="5">
        <f t="shared" si="893"/>
        <v>117.04</v>
      </c>
      <c r="FE293" s="173">
        <f t="shared" si="894"/>
        <v>0.89718184012881286</v>
      </c>
      <c r="FF293" s="5">
        <f t="shared" si="895"/>
        <v>89.718184012881281</v>
      </c>
      <c r="FG293">
        <f t="shared" si="896"/>
        <v>77</v>
      </c>
      <c r="FI293" s="562">
        <f t="shared" si="846"/>
        <v>-50</v>
      </c>
    </row>
    <row r="294" spans="5:165">
      <c r="E294" s="170">
        <v>78</v>
      </c>
      <c r="F294" s="217">
        <f t="shared" si="847"/>
        <v>7.8000000000000007</v>
      </c>
      <c r="G294" s="217">
        <f t="shared" si="775"/>
        <v>0.19500000000000001</v>
      </c>
      <c r="H294" s="217">
        <f t="shared" si="776"/>
        <v>117.00000000000001</v>
      </c>
      <c r="I294" s="217">
        <f t="shared" si="777"/>
        <v>1.56</v>
      </c>
      <c r="J294" s="541">
        <f t="shared" si="778"/>
        <v>84.486233348007318</v>
      </c>
      <c r="K294" s="443">
        <f t="shared" si="779"/>
        <v>15.977221176470588</v>
      </c>
      <c r="L294" s="172">
        <f t="shared" si="780"/>
        <v>100.46345452447791</v>
      </c>
      <c r="M294" s="443"/>
      <c r="N294" s="217">
        <f t="shared" si="781"/>
        <v>0.15903515613807345</v>
      </c>
      <c r="O294" s="172">
        <f t="shared" si="782"/>
        <v>331.48720342149801</v>
      </c>
      <c r="P294" s="172">
        <f t="shared" si="783"/>
        <v>4.4787604373393508</v>
      </c>
      <c r="Q294" s="217">
        <f t="shared" si="784"/>
        <v>22.099146894766534</v>
      </c>
      <c r="R294" s="217">
        <f t="shared" si="785"/>
        <v>41.435900427687251</v>
      </c>
      <c r="S294" s="217">
        <f t="shared" si="786"/>
        <v>15</v>
      </c>
      <c r="T294" s="217">
        <f t="shared" si="787"/>
        <v>17.64774006241657</v>
      </c>
      <c r="U294" s="217">
        <f t="shared" si="788"/>
        <v>2.5065963099181494</v>
      </c>
      <c r="V294" s="217">
        <f t="shared" si="789"/>
        <v>13.25467541632794</v>
      </c>
      <c r="W294" s="197">
        <f t="shared" si="790"/>
        <v>111.96901093348379</v>
      </c>
      <c r="X294" s="443">
        <f t="shared" si="848"/>
        <v>62.651649389292658</v>
      </c>
      <c r="Z294" s="217">
        <f t="shared" si="791"/>
        <v>9.9999999999999982</v>
      </c>
      <c r="AA294" s="173">
        <f t="shared" si="792"/>
        <v>7.5106927966123518</v>
      </c>
      <c r="AB294" s="173">
        <f t="shared" si="793"/>
        <v>4.1494975848450304</v>
      </c>
      <c r="AC294" s="173"/>
      <c r="AD294" s="173">
        <f t="shared" si="794"/>
        <v>7.5106927966123536</v>
      </c>
      <c r="AE294" s="545">
        <f t="shared" si="795"/>
        <v>207.70387529411767</v>
      </c>
      <c r="AF294" s="528">
        <f t="shared" si="796"/>
        <v>4.2048242193096321</v>
      </c>
      <c r="AH294" s="173">
        <f t="shared" si="797"/>
        <v>7.5137968336349674</v>
      </c>
      <c r="AI294" s="173">
        <f t="shared" si="798"/>
        <v>17.64774006241657</v>
      </c>
      <c r="AJ294" s="173">
        <f t="shared" si="799"/>
        <v>6.864992638827089</v>
      </c>
      <c r="AL294" s="545">
        <f t="shared" si="800"/>
        <v>7800.0000000000009</v>
      </c>
      <c r="AM294" s="460">
        <f t="shared" si="801"/>
        <v>62.651649389292658</v>
      </c>
      <c r="AO294">
        <f t="shared" si="802"/>
        <v>7800.0000000000009</v>
      </c>
      <c r="AP294">
        <f t="shared" si="803"/>
        <v>62.651649389292658</v>
      </c>
      <c r="AR294" s="5">
        <f t="shared" si="774"/>
        <v>15.961271726246091</v>
      </c>
      <c r="AS294" s="5">
        <f t="shared" si="739"/>
        <v>2.5065963099181494</v>
      </c>
      <c r="AT294" s="5">
        <f t="shared" si="740"/>
        <v>13.454675416327941</v>
      </c>
      <c r="AU294" s="173">
        <f t="shared" si="741"/>
        <v>0.15704239316948665</v>
      </c>
      <c r="BA294" s="173">
        <f t="shared" si="849"/>
        <v>4.037726734445874</v>
      </c>
      <c r="BB294" s="173">
        <f t="shared" si="850"/>
        <v>9.3547317396856435</v>
      </c>
      <c r="BC294" s="173">
        <f t="shared" si="851"/>
        <v>0.23038319735382687</v>
      </c>
      <c r="BD294" s="173"/>
      <c r="BE294" s="528">
        <f t="shared" si="852"/>
        <v>0.32606474364117888</v>
      </c>
      <c r="BF294" s="528">
        <f t="shared" si="804"/>
        <v>2.0827204768226029</v>
      </c>
      <c r="BG294" s="528">
        <f t="shared" si="805"/>
        <v>0.13233004674853299</v>
      </c>
      <c r="BH294" s="528">
        <f t="shared" si="853"/>
        <v>6.3233718892182406E-2</v>
      </c>
      <c r="BI294">
        <f t="shared" si="854"/>
        <v>3.801880500660329E-2</v>
      </c>
      <c r="BJ294" s="460">
        <f t="shared" si="855"/>
        <v>170.34885175513628</v>
      </c>
      <c r="BK294">
        <f t="shared" si="806"/>
        <v>2.7750476389424392</v>
      </c>
      <c r="BL294" s="460">
        <f t="shared" si="856"/>
        <v>2642.3677911111008</v>
      </c>
      <c r="BM294" s="173">
        <f t="shared" si="807"/>
        <v>4.8457499999999998</v>
      </c>
      <c r="BN294" s="173">
        <f t="shared" si="808"/>
        <v>8.6531250000000004E-2</v>
      </c>
      <c r="BQ294" s="460">
        <f t="shared" si="857"/>
        <v>4932.28125</v>
      </c>
      <c r="BR294" s="528">
        <f t="shared" si="858"/>
        <v>0.48909711546176826</v>
      </c>
      <c r="BS294" s="528">
        <f t="shared" si="859"/>
        <v>2.6253301776444595</v>
      </c>
      <c r="BT294" s="528">
        <f t="shared" si="860"/>
        <v>2.6538208811486169E-4</v>
      </c>
      <c r="BU294" s="528">
        <f t="shared" si="861"/>
        <v>2.0324694306569975</v>
      </c>
      <c r="BV294" s="528"/>
      <c r="BW294" s="625">
        <f t="shared" si="862"/>
        <v>1.9512400681613522E-2</v>
      </c>
      <c r="BX294" s="460">
        <f t="shared" si="863"/>
        <v>5166.6745065329542</v>
      </c>
      <c r="BY294" s="173">
        <f t="shared" si="864"/>
        <v>12.741323547644052</v>
      </c>
      <c r="BZ294" s="5">
        <f t="shared" si="865"/>
        <v>118.56000000000002</v>
      </c>
      <c r="CA294" s="173">
        <f t="shared" si="866"/>
        <v>0.90296119488071469</v>
      </c>
      <c r="CB294" s="5">
        <f t="shared" si="867"/>
        <v>90.296119488071469</v>
      </c>
      <c r="CC294">
        <f t="shared" si="868"/>
        <v>78</v>
      </c>
      <c r="CE294" s="562">
        <f t="shared" si="809"/>
        <v>-50</v>
      </c>
      <c r="CG294" s="173">
        <f t="shared" si="810"/>
        <v>0.84409136047666333</v>
      </c>
      <c r="CH294" s="173">
        <f t="shared" si="811"/>
        <v>0.10203989682880608</v>
      </c>
      <c r="CI294" s="170">
        <v>78</v>
      </c>
      <c r="CJ294" s="217">
        <f t="shared" si="869"/>
        <v>7.8000000000000007</v>
      </c>
      <c r="CK294" s="217">
        <f t="shared" si="812"/>
        <v>0.19500000000000001</v>
      </c>
      <c r="CL294" s="217">
        <f t="shared" si="813"/>
        <v>117.00000000000001</v>
      </c>
      <c r="CM294" s="217">
        <f t="shared" si="814"/>
        <v>1.56</v>
      </c>
      <c r="CN294" s="541">
        <f t="shared" si="815"/>
        <v>85</v>
      </c>
      <c r="CO294" s="443">
        <f t="shared" si="816"/>
        <v>15.7</v>
      </c>
      <c r="CP294" s="443">
        <f t="shared" si="817"/>
        <v>100.7</v>
      </c>
      <c r="CQ294" s="443"/>
      <c r="CR294" s="217">
        <f t="shared" si="818"/>
        <v>0.15338645418326693</v>
      </c>
      <c r="CS294" s="172">
        <f t="shared" si="819"/>
        <v>321.65744915076539</v>
      </c>
      <c r="CT294" s="172">
        <f t="shared" si="820"/>
        <v>4.3459495351925632</v>
      </c>
      <c r="CU294" s="217">
        <f t="shared" si="821"/>
        <v>21.443829943384358</v>
      </c>
      <c r="CV294" s="217">
        <f t="shared" si="822"/>
        <v>40.207181143845673</v>
      </c>
      <c r="CW294" s="217">
        <f t="shared" si="823"/>
        <v>15</v>
      </c>
      <c r="CX294" s="217">
        <f t="shared" si="824"/>
        <v>18.187049656226129</v>
      </c>
      <c r="CY294" s="217">
        <f t="shared" si="825"/>
        <v>2.5675834808789828</v>
      </c>
      <c r="CZ294" s="217">
        <f t="shared" si="826"/>
        <v>13.900929673548635</v>
      </c>
      <c r="DA294" s="197">
        <f t="shared" si="827"/>
        <v>110.43528632903013</v>
      </c>
      <c r="DB294" s="443">
        <f t="shared" si="828"/>
        <v>60.721935892017449</v>
      </c>
      <c r="DD294" s="217">
        <f t="shared" si="829"/>
        <v>9.9999999999999982</v>
      </c>
      <c r="DE294" s="173">
        <f t="shared" si="830"/>
        <v>7.6433121019108263</v>
      </c>
      <c r="DF294" s="173">
        <f t="shared" si="831"/>
        <v>4.1649244760361679</v>
      </c>
      <c r="DG294" s="173"/>
      <c r="DH294" s="173">
        <f t="shared" si="832"/>
        <v>7.6433121019108281</v>
      </c>
      <c r="DI294" s="545">
        <f t="shared" si="833"/>
        <v>204.10000000000002</v>
      </c>
      <c r="DJ294" s="528">
        <f t="shared" si="834"/>
        <v>4.2204568023833167</v>
      </c>
      <c r="DL294" s="173">
        <f t="shared" si="835"/>
        <v>7.5137968336349674</v>
      </c>
      <c r="DM294" s="173">
        <f t="shared" si="836"/>
        <v>18.187049656226129</v>
      </c>
      <c r="DN294" s="173">
        <f t="shared" si="837"/>
        <v>7.2644812268341701</v>
      </c>
      <c r="DP294" s="545">
        <f t="shared" si="838"/>
        <v>7800.0000000000009</v>
      </c>
      <c r="DQ294" s="460">
        <f t="shared" si="839"/>
        <v>60.721935892017449</v>
      </c>
      <c r="DS294">
        <f t="shared" si="840"/>
        <v>7800.0000000000009</v>
      </c>
      <c r="DT294">
        <f t="shared" si="841"/>
        <v>60.721935892017449</v>
      </c>
      <c r="DV294" s="5">
        <f t="shared" si="870"/>
        <v>16.468513154427619</v>
      </c>
      <c r="DW294" s="5">
        <f t="shared" si="842"/>
        <v>2.5675834808789828</v>
      </c>
      <c r="DX294" s="5">
        <f t="shared" si="843"/>
        <v>13.900929673548635</v>
      </c>
      <c r="DY294" s="173">
        <f t="shared" si="844"/>
        <v>0.15590863952333661</v>
      </c>
      <c r="EA294" s="5">
        <f t="shared" si="871"/>
        <v>133.51434100570711</v>
      </c>
      <c r="EB294" s="5">
        <f t="shared" si="872"/>
        <v>6.2584847346425203</v>
      </c>
      <c r="EC294" s="5">
        <f t="shared" si="873"/>
        <v>5.315061345768596</v>
      </c>
      <c r="ED294" s="5"/>
      <c r="EE294" s="173">
        <f t="shared" si="874"/>
        <v>4.1460708201832892</v>
      </c>
      <c r="EF294" s="173">
        <f t="shared" si="875"/>
        <v>9.6470905019788038</v>
      </c>
      <c r="EG294" s="173">
        <f t="shared" si="876"/>
        <v>0.23758324844088982</v>
      </c>
      <c r="EH294" s="173"/>
      <c r="EI294" s="528">
        <f t="shared" si="877"/>
        <v>0.34379806491950665</v>
      </c>
      <c r="EJ294" s="528">
        <f t="shared" si="878"/>
        <v>2.2241666666666662</v>
      </c>
      <c r="EK294" s="528">
        <f t="shared" si="879"/>
        <v>7.5902419865021805E-3</v>
      </c>
      <c r="EL294" s="528">
        <f t="shared" si="880"/>
        <v>6.1575018369364395E-2</v>
      </c>
      <c r="EM294">
        <f t="shared" si="881"/>
        <v>3.8249999999999999E-2</v>
      </c>
      <c r="EN294" s="460">
        <f t="shared" si="882"/>
        <v>45.840241986502186</v>
      </c>
      <c r="EP294" s="460">
        <f t="shared" si="883"/>
        <v>2675.3799919420394</v>
      </c>
      <c r="EQ294" s="173">
        <f t="shared" si="884"/>
        <v>5.46</v>
      </c>
      <c r="ER294" s="173">
        <f t="shared" si="845"/>
        <v>8.6531250000000004E-2</v>
      </c>
      <c r="ES294" s="528"/>
      <c r="EU294" s="460">
        <f t="shared" si="885"/>
        <v>5546.53125</v>
      </c>
      <c r="EV294" s="528">
        <f t="shared" si="886"/>
        <v>0.51569709737925995</v>
      </c>
      <c r="EW294" s="528">
        <f t="shared" si="887"/>
        <v>2.7919906546010891</v>
      </c>
      <c r="EX294" s="528">
        <f t="shared" si="888"/>
        <v>2.822289996986279E-4</v>
      </c>
      <c r="EY294" s="528">
        <f t="shared" si="889"/>
        <v>2.0264675705467909</v>
      </c>
      <c r="EZ294" s="528"/>
      <c r="FA294" s="625">
        <f t="shared" si="890"/>
        <v>2.008492036265621E-2</v>
      </c>
      <c r="FB294" s="460">
        <f t="shared" si="891"/>
        <v>5354.5224718894951</v>
      </c>
      <c r="FC294" s="173">
        <f t="shared" si="892"/>
        <v>13.576433713831532</v>
      </c>
      <c r="FD294" s="5">
        <f t="shared" si="893"/>
        <v>118.56000000000002</v>
      </c>
      <c r="FE294" s="173">
        <f t="shared" si="894"/>
        <v>0.89725442610904682</v>
      </c>
      <c r="FF294" s="5">
        <f t="shared" si="895"/>
        <v>89.725442610904679</v>
      </c>
      <c r="FG294">
        <f t="shared" si="896"/>
        <v>78</v>
      </c>
      <c r="FI294" s="562">
        <f t="shared" si="846"/>
        <v>-50</v>
      </c>
    </row>
    <row r="295" spans="5:165">
      <c r="E295" s="170">
        <v>79</v>
      </c>
      <c r="F295" s="217">
        <f t="shared" si="847"/>
        <v>7.9</v>
      </c>
      <c r="G295" s="217">
        <f t="shared" si="775"/>
        <v>0.19750000000000001</v>
      </c>
      <c r="H295" s="217">
        <f t="shared" si="776"/>
        <v>118.5</v>
      </c>
      <c r="I295" s="217">
        <f t="shared" si="777"/>
        <v>1.58</v>
      </c>
      <c r="J295" s="541">
        <f t="shared" si="778"/>
        <v>84.4796465960587</v>
      </c>
      <c r="K295" s="443">
        <f t="shared" si="779"/>
        <v>15.980775294117647</v>
      </c>
      <c r="L295" s="172">
        <f t="shared" si="780"/>
        <v>100.46042189017635</v>
      </c>
      <c r="M295" s="443"/>
      <c r="N295" s="217">
        <f t="shared" si="781"/>
        <v>0.15907533527569576</v>
      </c>
      <c r="O295" s="172">
        <f t="shared" si="782"/>
        <v>331.54510130527126</v>
      </c>
      <c r="P295" s="172">
        <f t="shared" si="783"/>
        <v>4.47954270208011</v>
      </c>
      <c r="Q295" s="217">
        <f t="shared" si="784"/>
        <v>22.103006753684749</v>
      </c>
      <c r="R295" s="217">
        <f t="shared" si="785"/>
        <v>41.443137663158907</v>
      </c>
      <c r="S295" s="217">
        <f t="shared" si="786"/>
        <v>15</v>
      </c>
      <c r="T295" s="217">
        <f t="shared" si="787"/>
        <v>17.870871795944698</v>
      </c>
      <c r="U295" s="217">
        <f t="shared" si="788"/>
        <v>2.5384867265926903</v>
      </c>
      <c r="V295" s="217">
        <f t="shared" si="789"/>
        <v>13.419277701143406</v>
      </c>
      <c r="W295" s="197">
        <f t="shared" si="790"/>
        <v>111.98856755200273</v>
      </c>
      <c r="X295" s="443">
        <f t="shared" si="848"/>
        <v>61.889749938637543</v>
      </c>
      <c r="Z295" s="217">
        <f t="shared" si="791"/>
        <v>10</v>
      </c>
      <c r="AA295" s="173">
        <f t="shared" si="792"/>
        <v>7.5090224217200978</v>
      </c>
      <c r="AB295" s="173">
        <f t="shared" si="793"/>
        <v>4.1492993325212391</v>
      </c>
      <c r="AC295" s="173"/>
      <c r="AD295" s="173">
        <f t="shared" si="794"/>
        <v>7.5090224217200978</v>
      </c>
      <c r="AE295" s="545">
        <f t="shared" si="795"/>
        <v>210.41354137254905</v>
      </c>
      <c r="AF295" s="528">
        <f t="shared" si="796"/>
        <v>4.2046233236215214</v>
      </c>
      <c r="AH295" s="173">
        <f t="shared" si="797"/>
        <v>7.5618088035173425</v>
      </c>
      <c r="AI295" s="173">
        <f t="shared" si="798"/>
        <v>17.870871795944698</v>
      </c>
      <c r="AJ295" s="173">
        <f t="shared" si="799"/>
        <v>7.0302754044034801</v>
      </c>
      <c r="AL295" s="545">
        <f t="shared" si="800"/>
        <v>7900</v>
      </c>
      <c r="AM295" s="460">
        <f t="shared" si="801"/>
        <v>61.889749938637543</v>
      </c>
      <c r="AO295">
        <f t="shared" si="802"/>
        <v>7900</v>
      </c>
      <c r="AP295">
        <f t="shared" si="803"/>
        <v>61.889749938637543</v>
      </c>
      <c r="AR295" s="5">
        <f t="shared" si="774"/>
        <v>16.157764427736097</v>
      </c>
      <c r="AS295" s="5">
        <f t="shared" si="739"/>
        <v>2.5384867265926903</v>
      </c>
      <c r="AT295" s="5">
        <f t="shared" si="740"/>
        <v>13.619277701143407</v>
      </c>
      <c r="AU295" s="173">
        <f t="shared" si="741"/>
        <v>0.15710630873137216</v>
      </c>
      <c r="BA295" s="173">
        <f t="shared" si="849"/>
        <v>4.089610284467196</v>
      </c>
      <c r="BB295" s="173">
        <f t="shared" si="850"/>
        <v>9.4726504898863446</v>
      </c>
      <c r="BC295" s="173">
        <f t="shared" si="851"/>
        <v>0.23328723559406372</v>
      </c>
      <c r="BD295" s="173"/>
      <c r="BE295" s="528">
        <f t="shared" si="852"/>
        <v>0.33449824557639724</v>
      </c>
      <c r="BF295" s="528">
        <f t="shared" si="804"/>
        <v>2.0833428042388111</v>
      </c>
      <c r="BG295" s="528">
        <f t="shared" si="805"/>
        <v>0.13071060506836363</v>
      </c>
      <c r="BH295" s="528">
        <f t="shared" si="853"/>
        <v>6.2460969842015934E-2</v>
      </c>
      <c r="BI295">
        <f t="shared" si="854"/>
        <v>3.8015840968226411E-2</v>
      </c>
      <c r="BJ295" s="460">
        <f t="shared" si="855"/>
        <v>168.72644603659003</v>
      </c>
      <c r="BK295">
        <f t="shared" si="806"/>
        <v>2.7925602515018464</v>
      </c>
      <c r="BL295" s="460">
        <f t="shared" si="856"/>
        <v>2649.0284656938143</v>
      </c>
      <c r="BM295" s="173">
        <f t="shared" si="807"/>
        <v>4.9078749999999998</v>
      </c>
      <c r="BN295" s="173">
        <f t="shared" si="808"/>
        <v>8.7640625E-2</v>
      </c>
      <c r="BQ295" s="460">
        <f t="shared" si="857"/>
        <v>4995.5156249999991</v>
      </c>
      <c r="BR295" s="528">
        <f t="shared" si="858"/>
        <v>0.50174736836459577</v>
      </c>
      <c r="BS295" s="528">
        <f t="shared" si="859"/>
        <v>2.6919332191063203</v>
      </c>
      <c r="BT295" s="528">
        <f t="shared" si="860"/>
        <v>2.7211467145560098E-4</v>
      </c>
      <c r="BU295" s="528">
        <f t="shared" si="861"/>
        <v>2.0341415565675978</v>
      </c>
      <c r="BV295" s="528"/>
      <c r="BW295" s="625">
        <f t="shared" si="862"/>
        <v>1.976560929424561E-2</v>
      </c>
      <c r="BX295" s="460">
        <f t="shared" si="863"/>
        <v>5247.8598680042151</v>
      </c>
      <c r="BY295" s="173">
        <f t="shared" si="864"/>
        <v>12.892403958698029</v>
      </c>
      <c r="BZ295" s="5">
        <f t="shared" si="865"/>
        <v>120.08</v>
      </c>
      <c r="CA295" s="173">
        <f t="shared" si="866"/>
        <v>0.90304451468966074</v>
      </c>
      <c r="CB295" s="5">
        <f t="shared" si="867"/>
        <v>90.304451468966079</v>
      </c>
      <c r="CC295">
        <f t="shared" si="868"/>
        <v>79</v>
      </c>
      <c r="CE295" s="562">
        <f t="shared" si="809"/>
        <v>-50</v>
      </c>
      <c r="CG295" s="173">
        <f t="shared" si="810"/>
        <v>0.84409136047666333</v>
      </c>
      <c r="CH295" s="173">
        <f t="shared" si="811"/>
        <v>0.1020398968288061</v>
      </c>
      <c r="CI295" s="170">
        <v>79</v>
      </c>
      <c r="CJ295" s="217">
        <f t="shared" si="869"/>
        <v>7.9</v>
      </c>
      <c r="CK295" s="217">
        <f t="shared" si="812"/>
        <v>0.19750000000000001</v>
      </c>
      <c r="CL295" s="217">
        <f t="shared" si="813"/>
        <v>118.5</v>
      </c>
      <c r="CM295" s="217">
        <f t="shared" si="814"/>
        <v>1.58</v>
      </c>
      <c r="CN295" s="541">
        <f t="shared" si="815"/>
        <v>85</v>
      </c>
      <c r="CO295" s="443">
        <f t="shared" si="816"/>
        <v>15.7</v>
      </c>
      <c r="CP295" s="443">
        <f t="shared" si="817"/>
        <v>100.7</v>
      </c>
      <c r="CQ295" s="443"/>
      <c r="CR295" s="217">
        <f t="shared" si="818"/>
        <v>0.15338645418326693</v>
      </c>
      <c r="CS295" s="172">
        <f t="shared" si="819"/>
        <v>321.65744915076539</v>
      </c>
      <c r="CT295" s="172">
        <f t="shared" si="820"/>
        <v>4.3459495351925632</v>
      </c>
      <c r="CU295" s="217">
        <f t="shared" si="821"/>
        <v>21.443829943384358</v>
      </c>
      <c r="CV295" s="217">
        <f t="shared" si="822"/>
        <v>40.207181143845673</v>
      </c>
      <c r="CW295" s="217">
        <f t="shared" si="823"/>
        <v>15</v>
      </c>
      <c r="CX295" s="217">
        <f t="shared" si="824"/>
        <v>18.420216959511077</v>
      </c>
      <c r="CY295" s="217">
        <f t="shared" si="825"/>
        <v>2.6005012178133282</v>
      </c>
      <c r="CZ295" s="217">
        <f t="shared" si="826"/>
        <v>14.07914672064541</v>
      </c>
      <c r="DA295" s="197">
        <f t="shared" si="827"/>
        <v>110.43528632903013</v>
      </c>
      <c r="DB295" s="443">
        <f t="shared" si="828"/>
        <v>59.953303792118511</v>
      </c>
      <c r="DD295" s="217">
        <f t="shared" si="829"/>
        <v>9.9999999999999982</v>
      </c>
      <c r="DE295" s="173">
        <f t="shared" si="830"/>
        <v>7.6433121019108263</v>
      </c>
      <c r="DF295" s="173">
        <f t="shared" si="831"/>
        <v>4.1649244760361679</v>
      </c>
      <c r="DG295" s="173"/>
      <c r="DH295" s="173">
        <f t="shared" si="832"/>
        <v>7.6433121019108281</v>
      </c>
      <c r="DI295" s="545">
        <f t="shared" si="833"/>
        <v>206.7166666666667</v>
      </c>
      <c r="DJ295" s="528">
        <f t="shared" si="834"/>
        <v>4.2204568023833167</v>
      </c>
      <c r="DL295" s="173">
        <f t="shared" si="835"/>
        <v>7.5618088035173425</v>
      </c>
      <c r="DM295" s="173">
        <f t="shared" si="836"/>
        <v>18.420216959511077</v>
      </c>
      <c r="DN295" s="173">
        <f t="shared" si="837"/>
        <v>7.4371977477859827</v>
      </c>
      <c r="DP295" s="545">
        <f t="shared" si="838"/>
        <v>7900</v>
      </c>
      <c r="DQ295" s="460">
        <f t="shared" si="839"/>
        <v>59.953303792118511</v>
      </c>
      <c r="DS295">
        <f t="shared" si="840"/>
        <v>7900</v>
      </c>
      <c r="DT295">
        <f t="shared" si="841"/>
        <v>59.953303792118511</v>
      </c>
      <c r="DV295" s="5">
        <f t="shared" si="870"/>
        <v>16.679647938458739</v>
      </c>
      <c r="DW295" s="5">
        <f t="shared" si="842"/>
        <v>2.6005012178133282</v>
      </c>
      <c r="DX295" s="5">
        <f t="shared" si="843"/>
        <v>14.079146720645412</v>
      </c>
      <c r="DY295" s="173">
        <f t="shared" si="844"/>
        <v>0.15590863952333661</v>
      </c>
      <c r="EA295" s="5">
        <f t="shared" si="871"/>
        <v>136.95973080483529</v>
      </c>
      <c r="EB295" s="5">
        <f t="shared" si="872"/>
        <v>6.4199873814766537</v>
      </c>
      <c r="EC295" s="5">
        <f t="shared" si="873"/>
        <v>5.4522185829950365</v>
      </c>
      <c r="ED295" s="5"/>
      <c r="EE295" s="173">
        <f t="shared" si="874"/>
        <v>4.199225574288203</v>
      </c>
      <c r="EF295" s="173">
        <f t="shared" si="875"/>
        <v>9.7707711494400691</v>
      </c>
      <c r="EG295" s="173">
        <f t="shared" si="876"/>
        <v>0.24062918752346527</v>
      </c>
      <c r="EH295" s="173"/>
      <c r="EI295" s="528">
        <f t="shared" si="877"/>
        <v>0.35266990847512175</v>
      </c>
      <c r="EJ295" s="528">
        <f t="shared" si="878"/>
        <v>2.2241666666666666</v>
      </c>
      <c r="EK295" s="528">
        <f t="shared" si="879"/>
        <v>7.4941629740148136E-3</v>
      </c>
      <c r="EL295" s="528">
        <f t="shared" si="880"/>
        <v>6.079558775709399E-2</v>
      </c>
      <c r="EM295">
        <f t="shared" si="881"/>
        <v>3.8249999999999999E-2</v>
      </c>
      <c r="EN295" s="460">
        <f t="shared" si="882"/>
        <v>45.744162974014813</v>
      </c>
      <c r="EP295" s="460">
        <f t="shared" si="883"/>
        <v>2683.3763258728973</v>
      </c>
      <c r="EQ295" s="173">
        <f t="shared" si="884"/>
        <v>5.53</v>
      </c>
      <c r="ER295" s="173">
        <f t="shared" si="845"/>
        <v>8.7640625E-2</v>
      </c>
      <c r="ES295" s="528"/>
      <c r="EU295" s="460">
        <f t="shared" si="885"/>
        <v>5617.640625</v>
      </c>
      <c r="EV295" s="528">
        <f t="shared" si="886"/>
        <v>0.52900486271268266</v>
      </c>
      <c r="EW295" s="528">
        <f t="shared" si="887"/>
        <v>2.8640390656419124</v>
      </c>
      <c r="EX295" s="528">
        <f t="shared" si="888"/>
        <v>2.8951202944101507E-4</v>
      </c>
      <c r="EY295" s="528">
        <f t="shared" si="889"/>
        <v>2.0264675705467909</v>
      </c>
      <c r="EZ295" s="528"/>
      <c r="FA295" s="625">
        <f t="shared" si="890"/>
        <v>2.0342419341664628E-2</v>
      </c>
      <c r="FB295" s="460">
        <f t="shared" si="891"/>
        <v>5440.143430272492</v>
      </c>
      <c r="FC295" s="173">
        <f t="shared" si="892"/>
        <v>13.74116038114539</v>
      </c>
      <c r="FD295" s="5">
        <f t="shared" si="893"/>
        <v>120.08</v>
      </c>
      <c r="FE295" s="173">
        <f t="shared" si="894"/>
        <v>0.89731698378635916</v>
      </c>
      <c r="FF295" s="5">
        <f t="shared" si="895"/>
        <v>89.731698378635912</v>
      </c>
      <c r="FG295">
        <f t="shared" si="896"/>
        <v>79</v>
      </c>
      <c r="FI295" s="562">
        <f t="shared" si="846"/>
        <v>-50</v>
      </c>
    </row>
    <row r="296" spans="5:165">
      <c r="E296" s="170">
        <v>80</v>
      </c>
      <c r="F296" s="217">
        <f t="shared" si="847"/>
        <v>8</v>
      </c>
      <c r="G296" s="217">
        <f t="shared" si="775"/>
        <v>0.2</v>
      </c>
      <c r="H296" s="217">
        <f t="shared" si="776"/>
        <v>120</v>
      </c>
      <c r="I296" s="217">
        <f t="shared" si="777"/>
        <v>1.6</v>
      </c>
      <c r="J296" s="541">
        <f t="shared" si="778"/>
        <v>84.473059844110068</v>
      </c>
      <c r="K296" s="443">
        <f t="shared" si="779"/>
        <v>15.984329411764705</v>
      </c>
      <c r="L296" s="172">
        <f t="shared" si="780"/>
        <v>100.45738925587477</v>
      </c>
      <c r="M296" s="443"/>
      <c r="N296" s="217">
        <f t="shared" si="781"/>
        <v>0.15911551683919495</v>
      </c>
      <c r="O296" s="172">
        <f t="shared" si="782"/>
        <v>331.60299118627836</v>
      </c>
      <c r="P296" s="172">
        <f t="shared" si="783"/>
        <v>4.4803248586946065</v>
      </c>
      <c r="Q296" s="217">
        <f t="shared" si="784"/>
        <v>22.106866079085226</v>
      </c>
      <c r="R296" s="217">
        <f t="shared" si="785"/>
        <v>41.450373898284795</v>
      </c>
      <c r="S296" s="217">
        <f t="shared" si="786"/>
        <v>15</v>
      </c>
      <c r="T296" s="217">
        <f t="shared" si="787"/>
        <v>18.093926048542464</v>
      </c>
      <c r="U296" s="217">
        <f t="shared" si="788"/>
        <v>2.570371109833177</v>
      </c>
      <c r="V296" s="217">
        <f t="shared" si="789"/>
        <v>13.583748619613706</v>
      </c>
      <c r="W296" s="197">
        <f t="shared" si="790"/>
        <v>112.00812146736517</v>
      </c>
      <c r="X296" s="443">
        <f t="shared" si="848"/>
        <v>61.146672309083144</v>
      </c>
      <c r="Z296" s="217">
        <f t="shared" si="791"/>
        <v>9.9999999999999982</v>
      </c>
      <c r="AA296" s="173">
        <f t="shared" si="792"/>
        <v>7.5073527896439742</v>
      </c>
      <c r="AB296" s="173">
        <f t="shared" si="793"/>
        <v>4.1491010682276555</v>
      </c>
      <c r="AC296" s="173"/>
      <c r="AD296" s="173">
        <f t="shared" si="794"/>
        <v>7.5073527896439751</v>
      </c>
      <c r="AE296" s="545">
        <f t="shared" si="795"/>
        <v>213.12439215686271</v>
      </c>
      <c r="AF296" s="528">
        <f t="shared" si="796"/>
        <v>4.204422415804026</v>
      </c>
      <c r="AH296" s="173">
        <f t="shared" si="797"/>
        <v>7.6095178496907341</v>
      </c>
      <c r="AI296" s="173">
        <f t="shared" si="798"/>
        <v>18.093926048542464</v>
      </c>
      <c r="AJ296" s="173">
        <f t="shared" si="799"/>
        <v>7.1955007766981218</v>
      </c>
      <c r="AL296" s="545">
        <f t="shared" si="800"/>
        <v>8000</v>
      </c>
      <c r="AM296" s="460">
        <f t="shared" si="801"/>
        <v>61.146672309083144</v>
      </c>
      <c r="AO296">
        <f t="shared" si="802"/>
        <v>8000</v>
      </c>
      <c r="AP296">
        <f t="shared" si="803"/>
        <v>61.146672309083144</v>
      </c>
      <c r="AR296" s="5">
        <f t="shared" si="774"/>
        <v>16.354119729446882</v>
      </c>
      <c r="AS296" s="5">
        <f t="shared" si="739"/>
        <v>2.570371109833177</v>
      </c>
      <c r="AT296" s="5">
        <f t="shared" si="740"/>
        <v>13.783748619613705</v>
      </c>
      <c r="AU296" s="173">
        <f t="shared" si="741"/>
        <v>0.15716963996570363</v>
      </c>
      <c r="BA296" s="173">
        <f t="shared" si="849"/>
        <v>4.1414890056579923</v>
      </c>
      <c r="BB296" s="173">
        <f t="shared" si="850"/>
        <v>9.5905225144091322</v>
      </c>
      <c r="BC296" s="173">
        <f t="shared" si="851"/>
        <v>0.23619012309995829</v>
      </c>
      <c r="BD296" s="173"/>
      <c r="BE296" s="528">
        <f t="shared" si="852"/>
        <v>0.34303862367972054</v>
      </c>
      <c r="BF296" s="528">
        <f t="shared" si="804"/>
        <v>2.0839572103572777</v>
      </c>
      <c r="BG296" s="528">
        <f t="shared" si="805"/>
        <v>0.12913116273083419</v>
      </c>
      <c r="BH296" s="528">
        <f t="shared" si="853"/>
        <v>6.1707308146555062E-2</v>
      </c>
      <c r="BI296">
        <f t="shared" si="854"/>
        <v>3.8012876929849532E-2</v>
      </c>
      <c r="BJ296" s="460">
        <f t="shared" si="855"/>
        <v>167.14403966068372</v>
      </c>
      <c r="BK296">
        <f t="shared" si="806"/>
        <v>2.8103869006217583</v>
      </c>
      <c r="BL296" s="460">
        <f t="shared" si="856"/>
        <v>2655.8471818442372</v>
      </c>
      <c r="BM296" s="173">
        <f t="shared" si="807"/>
        <v>4.97</v>
      </c>
      <c r="BN296" s="173">
        <f t="shared" si="808"/>
        <v>8.8749999999999996E-2</v>
      </c>
      <c r="BQ296" s="460">
        <f t="shared" si="857"/>
        <v>5058.75</v>
      </c>
      <c r="BR296" s="528">
        <f t="shared" si="858"/>
        <v>0.51455793551958073</v>
      </c>
      <c r="BS296" s="528">
        <f t="shared" si="859"/>
        <v>2.7593436629816535</v>
      </c>
      <c r="BT296" s="528">
        <f t="shared" si="860"/>
        <v>2.7892887124986729E-4</v>
      </c>
      <c r="BU296" s="528">
        <f t="shared" si="861"/>
        <v>2.0357952630095379</v>
      </c>
      <c r="BV296" s="528"/>
      <c r="BW296" s="625">
        <f t="shared" si="862"/>
        <v>2.0018818821573851E-2</v>
      </c>
      <c r="BX296" s="460">
        <f t="shared" si="863"/>
        <v>5329.9946092035962</v>
      </c>
      <c r="BY296" s="173">
        <f t="shared" si="864"/>
        <v>13.044591791047832</v>
      </c>
      <c r="BZ296" s="5">
        <f t="shared" si="865"/>
        <v>121.6</v>
      </c>
      <c r="CA296" s="173">
        <f t="shared" si="866"/>
        <v>0.90311833830436017</v>
      </c>
      <c r="CB296" s="5">
        <f t="shared" si="867"/>
        <v>90.311833830436015</v>
      </c>
      <c r="CC296">
        <f t="shared" si="868"/>
        <v>80</v>
      </c>
      <c r="CE296" s="562">
        <f t="shared" si="809"/>
        <v>-50</v>
      </c>
      <c r="CG296" s="173">
        <f t="shared" si="810"/>
        <v>0.84409136047666333</v>
      </c>
      <c r="CH296" s="173">
        <f t="shared" si="811"/>
        <v>0.10203989682880611</v>
      </c>
      <c r="CI296" s="170">
        <v>80</v>
      </c>
      <c r="CJ296" s="217">
        <f t="shared" si="869"/>
        <v>8</v>
      </c>
      <c r="CK296" s="217">
        <f t="shared" si="812"/>
        <v>0.2</v>
      </c>
      <c r="CL296" s="217">
        <f t="shared" si="813"/>
        <v>120</v>
      </c>
      <c r="CM296" s="217">
        <f t="shared" si="814"/>
        <v>1.6</v>
      </c>
      <c r="CN296" s="541">
        <f t="shared" si="815"/>
        <v>85</v>
      </c>
      <c r="CO296" s="443">
        <f t="shared" si="816"/>
        <v>15.7</v>
      </c>
      <c r="CP296" s="443">
        <f t="shared" si="817"/>
        <v>100.7</v>
      </c>
      <c r="CQ296" s="443"/>
      <c r="CR296" s="217">
        <f t="shared" si="818"/>
        <v>0.15338645418326693</v>
      </c>
      <c r="CS296" s="172">
        <f t="shared" si="819"/>
        <v>321.65744915076539</v>
      </c>
      <c r="CT296" s="172">
        <f t="shared" si="820"/>
        <v>4.3459495351925632</v>
      </c>
      <c r="CU296" s="217">
        <f t="shared" si="821"/>
        <v>21.443829943384358</v>
      </c>
      <c r="CV296" s="217">
        <f t="shared" si="822"/>
        <v>40.207181143845673</v>
      </c>
      <c r="CW296" s="217">
        <f t="shared" si="823"/>
        <v>15</v>
      </c>
      <c r="CX296" s="217">
        <f t="shared" si="824"/>
        <v>18.653384262796028</v>
      </c>
      <c r="CY296" s="217">
        <f t="shared" si="825"/>
        <v>2.6334189547476741</v>
      </c>
      <c r="CZ296" s="217">
        <f t="shared" si="826"/>
        <v>14.257363767742186</v>
      </c>
      <c r="DA296" s="197">
        <f t="shared" si="827"/>
        <v>110.43528632903013</v>
      </c>
      <c r="DB296" s="443">
        <f t="shared" si="828"/>
        <v>59.203887494717037</v>
      </c>
      <c r="DD296" s="217">
        <f t="shared" si="829"/>
        <v>9.9999999999999982</v>
      </c>
      <c r="DE296" s="173">
        <f t="shared" si="830"/>
        <v>7.6433121019108263</v>
      </c>
      <c r="DF296" s="173">
        <f t="shared" si="831"/>
        <v>4.1649244760361679</v>
      </c>
      <c r="DG296" s="173"/>
      <c r="DH296" s="173">
        <f t="shared" si="832"/>
        <v>7.6433121019108281</v>
      </c>
      <c r="DI296" s="545">
        <f t="shared" si="833"/>
        <v>209.33333333333334</v>
      </c>
      <c r="DJ296" s="528">
        <f t="shared" si="834"/>
        <v>4.2204568023833167</v>
      </c>
      <c r="DL296" s="173">
        <f t="shared" si="835"/>
        <v>7.6095178496907341</v>
      </c>
      <c r="DM296" s="173">
        <f t="shared" si="836"/>
        <v>18.653384262796028</v>
      </c>
      <c r="DN296" s="173">
        <f t="shared" si="837"/>
        <v>7.6099142687377981</v>
      </c>
      <c r="DP296" s="545">
        <f t="shared" si="838"/>
        <v>8000</v>
      </c>
      <c r="DQ296" s="460">
        <f t="shared" si="839"/>
        <v>59.203887494717037</v>
      </c>
      <c r="DS296">
        <f t="shared" si="840"/>
        <v>8000</v>
      </c>
      <c r="DT296">
        <f t="shared" si="841"/>
        <v>59.203887494717037</v>
      </c>
      <c r="DV296" s="5">
        <f t="shared" si="870"/>
        <v>16.89078272248986</v>
      </c>
      <c r="DW296" s="5">
        <f t="shared" si="842"/>
        <v>2.6334189547476741</v>
      </c>
      <c r="DX296" s="5">
        <f t="shared" si="843"/>
        <v>14.257363767742186</v>
      </c>
      <c r="DY296" s="173">
        <f t="shared" si="844"/>
        <v>0.15590863952333664</v>
      </c>
      <c r="EA296" s="5">
        <f t="shared" si="871"/>
        <v>140.44901091987595</v>
      </c>
      <c r="EB296" s="5">
        <f t="shared" si="872"/>
        <v>6.5835473868691867</v>
      </c>
      <c r="EC296" s="5">
        <f t="shared" si="873"/>
        <v>5.5911230461734069</v>
      </c>
      <c r="ED296" s="5"/>
      <c r="EE296" s="173">
        <f t="shared" si="874"/>
        <v>4.2523803283931167</v>
      </c>
      <c r="EF296" s="173">
        <f t="shared" si="875"/>
        <v>9.8944517969013361</v>
      </c>
      <c r="EG296" s="173">
        <f t="shared" si="876"/>
        <v>0.24367512660604079</v>
      </c>
      <c r="EH296" s="173"/>
      <c r="EI296" s="528">
        <f t="shared" si="877"/>
        <v>0.36165476914609507</v>
      </c>
      <c r="EJ296" s="528">
        <f t="shared" si="878"/>
        <v>2.2241666666666671</v>
      </c>
      <c r="EK296" s="528">
        <f t="shared" si="879"/>
        <v>7.4004859368396294E-3</v>
      </c>
      <c r="EL296" s="528">
        <f t="shared" si="880"/>
        <v>6.0035642910130319E-2</v>
      </c>
      <c r="EM296">
        <f t="shared" si="881"/>
        <v>3.8249999999999999E-2</v>
      </c>
      <c r="EN296" s="460">
        <f t="shared" si="882"/>
        <v>45.65048593683963</v>
      </c>
      <c r="EP296" s="460">
        <f t="shared" si="883"/>
        <v>2691.5075646597325</v>
      </c>
      <c r="EQ296" s="173">
        <f t="shared" si="884"/>
        <v>5.6</v>
      </c>
      <c r="ER296" s="173">
        <f t="shared" si="845"/>
        <v>8.8749999999999996E-2</v>
      </c>
      <c r="ES296" s="528"/>
      <c r="EU296" s="460">
        <f t="shared" si="885"/>
        <v>5688.75</v>
      </c>
      <c r="EV296" s="528">
        <f t="shared" si="886"/>
        <v>0.54248215371914255</v>
      </c>
      <c r="EW296" s="528">
        <f t="shared" si="887"/>
        <v>2.9370052908361219</v>
      </c>
      <c r="EX296" s="528">
        <f t="shared" si="888"/>
        <v>2.9688783663235006E-4</v>
      </c>
      <c r="EY296" s="528">
        <f t="shared" si="889"/>
        <v>2.0264675705467909</v>
      </c>
      <c r="EZ296" s="528"/>
      <c r="FA296" s="625">
        <f t="shared" si="890"/>
        <v>2.0599918320673042E-2</v>
      </c>
      <c r="FB296" s="460">
        <f t="shared" si="891"/>
        <v>5526.8518212593608</v>
      </c>
      <c r="FC296" s="173">
        <f t="shared" si="892"/>
        <v>13.907109385919092</v>
      </c>
      <c r="FD296" s="5">
        <f t="shared" si="893"/>
        <v>121.6</v>
      </c>
      <c r="FE296" s="173">
        <f t="shared" si="894"/>
        <v>0.89736989115226296</v>
      </c>
      <c r="FF296" s="5">
        <f t="shared" si="895"/>
        <v>89.736989115226294</v>
      </c>
      <c r="FG296">
        <f t="shared" si="896"/>
        <v>80</v>
      </c>
      <c r="FI296" s="562">
        <f t="shared" si="846"/>
        <v>-50</v>
      </c>
    </row>
    <row r="297" spans="5:165">
      <c r="E297" s="170">
        <v>81</v>
      </c>
      <c r="F297" s="217">
        <f t="shared" si="847"/>
        <v>8.1000000000000014</v>
      </c>
      <c r="G297" s="217">
        <f t="shared" si="775"/>
        <v>0.20250000000000001</v>
      </c>
      <c r="H297" s="217">
        <f t="shared" si="776"/>
        <v>121.50000000000003</v>
      </c>
      <c r="I297" s="217">
        <f t="shared" si="777"/>
        <v>1.62</v>
      </c>
      <c r="J297" s="541">
        <f t="shared" si="778"/>
        <v>84.466473092161451</v>
      </c>
      <c r="K297" s="443">
        <f t="shared" si="779"/>
        <v>15.987883529411764</v>
      </c>
      <c r="L297" s="172">
        <f t="shared" si="780"/>
        <v>100.45435662157321</v>
      </c>
      <c r="M297" s="443"/>
      <c r="N297" s="217">
        <f t="shared" si="781"/>
        <v>0.15915570082879077</v>
      </c>
      <c r="O297" s="172">
        <f t="shared" si="782"/>
        <v>331.6608730637949</v>
      </c>
      <c r="P297" s="172">
        <f t="shared" si="783"/>
        <v>4.4811069071730509</v>
      </c>
      <c r="Q297" s="217">
        <f t="shared" si="784"/>
        <v>22.110724870919661</v>
      </c>
      <c r="R297" s="217">
        <f t="shared" si="785"/>
        <v>41.457609132974362</v>
      </c>
      <c r="S297" s="217">
        <f t="shared" si="786"/>
        <v>15</v>
      </c>
      <c r="T297" s="217">
        <f t="shared" si="787"/>
        <v>18.316902876968175</v>
      </c>
      <c r="U297" s="217">
        <f t="shared" si="788"/>
        <v>2.6022494662916849</v>
      </c>
      <c r="V297" s="217">
        <f t="shared" si="789"/>
        <v>13.74808830194832</v>
      </c>
      <c r="W297" s="197">
        <f t="shared" si="790"/>
        <v>112.02767267932627</v>
      </c>
      <c r="X297" s="443">
        <f t="shared" si="848"/>
        <v>60.421727580629437</v>
      </c>
      <c r="Z297" s="217">
        <f t="shared" si="791"/>
        <v>10</v>
      </c>
      <c r="AA297" s="173">
        <f t="shared" si="792"/>
        <v>7.5056838998885995</v>
      </c>
      <c r="AB297" s="173">
        <f t="shared" si="793"/>
        <v>4.1489027919632031</v>
      </c>
      <c r="AC297" s="173"/>
      <c r="AD297" s="173">
        <f t="shared" si="794"/>
        <v>7.5056838998885995</v>
      </c>
      <c r="AE297" s="545">
        <f t="shared" si="795"/>
        <v>215.83642764705885</v>
      </c>
      <c r="AF297" s="528">
        <f t="shared" si="796"/>
        <v>4.2042214958560455</v>
      </c>
      <c r="AH297" s="173">
        <f t="shared" si="797"/>
        <v>7.6569296345579305</v>
      </c>
      <c r="AI297" s="173">
        <f t="shared" si="798"/>
        <v>18.316902876968175</v>
      </c>
      <c r="AJ297" s="173">
        <f t="shared" si="799"/>
        <v>7.3606687977542045</v>
      </c>
      <c r="AL297" s="545">
        <f t="shared" si="800"/>
        <v>8100.0000000000018</v>
      </c>
      <c r="AM297" s="460">
        <f t="shared" si="801"/>
        <v>60.421727580629437</v>
      </c>
      <c r="AO297">
        <f t="shared" si="802"/>
        <v>8100.0000000000018</v>
      </c>
      <c r="AP297">
        <f t="shared" si="803"/>
        <v>60.421727580629437</v>
      </c>
      <c r="AR297" s="5">
        <f t="shared" si="774"/>
        <v>16.550337768240002</v>
      </c>
      <c r="AS297" s="5">
        <f t="shared" si="739"/>
        <v>2.6022494662916849</v>
      </c>
      <c r="AT297" s="5">
        <f t="shared" si="740"/>
        <v>13.948088301948317</v>
      </c>
      <c r="AU297" s="173">
        <f t="shared" si="741"/>
        <v>0.15723240834911453</v>
      </c>
      <c r="BA297" s="173">
        <f t="shared" si="849"/>
        <v>4.1933629004432165</v>
      </c>
      <c r="BB297" s="173">
        <f t="shared" si="850"/>
        <v>9.7083478470823295</v>
      </c>
      <c r="BC297" s="173">
        <f t="shared" si="851"/>
        <v>0.23909186070461583</v>
      </c>
      <c r="BD297" s="173"/>
      <c r="BE297" s="528">
        <f t="shared" si="852"/>
        <v>0.35168584829627092</v>
      </c>
      <c r="BF297" s="528">
        <f t="shared" si="804"/>
        <v>2.0845639824380062</v>
      </c>
      <c r="BG297" s="528">
        <f t="shared" si="805"/>
        <v>0.12759025567177865</v>
      </c>
      <c r="BH297" s="528">
        <f t="shared" si="853"/>
        <v>6.0972035166671497E-2</v>
      </c>
      <c r="BI297">
        <f t="shared" si="854"/>
        <v>3.8009912891472653E-2</v>
      </c>
      <c r="BJ297" s="460">
        <f t="shared" si="855"/>
        <v>165.60016856325129</v>
      </c>
      <c r="BK297">
        <f t="shared" si="806"/>
        <v>2.8285306424892984</v>
      </c>
      <c r="BL297" s="460">
        <f t="shared" si="856"/>
        <v>2662.8220344641995</v>
      </c>
      <c r="BM297" s="173">
        <f t="shared" si="807"/>
        <v>5.0321250000000006</v>
      </c>
      <c r="BN297" s="173">
        <f t="shared" si="808"/>
        <v>8.9859375000000005E-2</v>
      </c>
      <c r="BQ297" s="460">
        <f t="shared" si="857"/>
        <v>5121.984375</v>
      </c>
      <c r="BR297" s="528">
        <f t="shared" si="858"/>
        <v>0.52752877244440644</v>
      </c>
      <c r="BS297" s="528">
        <f t="shared" si="859"/>
        <v>2.8275605375984432</v>
      </c>
      <c r="BT297" s="528">
        <f t="shared" si="860"/>
        <v>2.8582458927597709E-4</v>
      </c>
      <c r="BU297" s="528">
        <f t="shared" si="861"/>
        <v>2.0374312221391193</v>
      </c>
      <c r="BV297" s="528"/>
      <c r="BW297" s="625">
        <f t="shared" si="862"/>
        <v>2.0272029230009106E-2</v>
      </c>
      <c r="BX297" s="460">
        <f t="shared" si="863"/>
        <v>5413.0783860012534</v>
      </c>
      <c r="BY297" s="173">
        <f t="shared" si="864"/>
        <v>13.197884795465454</v>
      </c>
      <c r="BZ297" s="5">
        <f t="shared" si="865"/>
        <v>123.12000000000003</v>
      </c>
      <c r="CA297" s="173">
        <f t="shared" si="866"/>
        <v>0.90318302829252473</v>
      </c>
      <c r="CB297" s="5">
        <f t="shared" si="867"/>
        <v>90.318302829252474</v>
      </c>
      <c r="CC297">
        <f t="shared" si="868"/>
        <v>81.000000000000014</v>
      </c>
      <c r="CE297" s="562">
        <f t="shared" si="809"/>
        <v>-50</v>
      </c>
      <c r="CG297" s="173">
        <f t="shared" si="810"/>
        <v>0.84409136047666333</v>
      </c>
      <c r="CH297" s="173">
        <f t="shared" si="811"/>
        <v>0.10203989682880608</v>
      </c>
      <c r="CI297" s="170">
        <v>81</v>
      </c>
      <c r="CJ297" s="217">
        <f t="shared" si="869"/>
        <v>8.1000000000000014</v>
      </c>
      <c r="CK297" s="217">
        <f t="shared" si="812"/>
        <v>0.20250000000000001</v>
      </c>
      <c r="CL297" s="217">
        <f t="shared" si="813"/>
        <v>121.50000000000003</v>
      </c>
      <c r="CM297" s="217">
        <f t="shared" si="814"/>
        <v>1.62</v>
      </c>
      <c r="CN297" s="541">
        <f t="shared" si="815"/>
        <v>85</v>
      </c>
      <c r="CO297" s="443">
        <f t="shared" si="816"/>
        <v>15.7</v>
      </c>
      <c r="CP297" s="443">
        <f t="shared" si="817"/>
        <v>100.7</v>
      </c>
      <c r="CQ297" s="443"/>
      <c r="CR297" s="217">
        <f t="shared" si="818"/>
        <v>0.15338645418326693</v>
      </c>
      <c r="CS297" s="172">
        <f t="shared" si="819"/>
        <v>321.65744915076539</v>
      </c>
      <c r="CT297" s="172">
        <f t="shared" si="820"/>
        <v>4.3459495351925632</v>
      </c>
      <c r="CU297" s="217">
        <f t="shared" si="821"/>
        <v>21.443829943384358</v>
      </c>
      <c r="CV297" s="217">
        <f t="shared" si="822"/>
        <v>40.207181143845673</v>
      </c>
      <c r="CW297" s="217">
        <f t="shared" si="823"/>
        <v>15</v>
      </c>
      <c r="CX297" s="217">
        <f t="shared" si="824"/>
        <v>18.886551566080982</v>
      </c>
      <c r="CY297" s="217">
        <f t="shared" si="825"/>
        <v>2.6663366916820213</v>
      </c>
      <c r="CZ297" s="217">
        <f t="shared" si="826"/>
        <v>14.435580814838968</v>
      </c>
      <c r="DA297" s="197">
        <f t="shared" si="827"/>
        <v>110.43528632903013</v>
      </c>
      <c r="DB297" s="443">
        <f t="shared" si="828"/>
        <v>58.472975303424207</v>
      </c>
      <c r="DD297" s="217">
        <f t="shared" si="829"/>
        <v>9.9999999999999982</v>
      </c>
      <c r="DE297" s="173">
        <f t="shared" si="830"/>
        <v>7.6433121019108263</v>
      </c>
      <c r="DF297" s="173">
        <f t="shared" si="831"/>
        <v>4.1649244760361679</v>
      </c>
      <c r="DG297" s="173"/>
      <c r="DH297" s="173">
        <f t="shared" si="832"/>
        <v>7.6433121019108281</v>
      </c>
      <c r="DI297" s="545">
        <f t="shared" si="833"/>
        <v>211.95000000000005</v>
      </c>
      <c r="DJ297" s="528">
        <f t="shared" si="834"/>
        <v>4.2204568023833167</v>
      </c>
      <c r="DL297" s="173">
        <f t="shared" si="835"/>
        <v>7.6569296345579305</v>
      </c>
      <c r="DM297" s="173">
        <f t="shared" si="836"/>
        <v>18.886551566080982</v>
      </c>
      <c r="DN297" s="173">
        <f t="shared" si="837"/>
        <v>7.7826307896896161</v>
      </c>
      <c r="DP297" s="545">
        <f t="shared" si="838"/>
        <v>8100.0000000000018</v>
      </c>
      <c r="DQ297" s="460">
        <f t="shared" si="839"/>
        <v>58.472975303424207</v>
      </c>
      <c r="DS297">
        <f t="shared" si="840"/>
        <v>8100.0000000000018</v>
      </c>
      <c r="DT297">
        <f t="shared" si="841"/>
        <v>58.472975303424207</v>
      </c>
      <c r="DV297" s="5">
        <f t="shared" si="870"/>
        <v>17.101917506520991</v>
      </c>
      <c r="DW297" s="5">
        <f t="shared" si="842"/>
        <v>2.6663366916820213</v>
      </c>
      <c r="DX297" s="5">
        <f t="shared" si="843"/>
        <v>14.435580814838969</v>
      </c>
      <c r="DY297" s="173">
        <f t="shared" si="844"/>
        <v>0.15590863952333664</v>
      </c>
      <c r="EA297" s="5">
        <f t="shared" si="871"/>
        <v>143.98218135082919</v>
      </c>
      <c r="EB297" s="5">
        <f t="shared" si="872"/>
        <v>6.7491647508201167</v>
      </c>
      <c r="EC297" s="5">
        <f t="shared" si="873"/>
        <v>5.7317747353037092</v>
      </c>
      <c r="ED297" s="5"/>
      <c r="EE297" s="173">
        <f t="shared" si="874"/>
        <v>4.3055350824980323</v>
      </c>
      <c r="EF297" s="173">
        <f t="shared" si="875"/>
        <v>10.018132444362605</v>
      </c>
      <c r="EG297" s="173">
        <f t="shared" si="876"/>
        <v>0.24672106568861638</v>
      </c>
      <c r="EH297" s="173"/>
      <c r="EI297" s="528">
        <f t="shared" si="877"/>
        <v>0.37075264693242671</v>
      </c>
      <c r="EJ297" s="528">
        <f t="shared" si="878"/>
        <v>2.2241666666666662</v>
      </c>
      <c r="EK297" s="528">
        <f t="shared" si="879"/>
        <v>7.3091219129280249E-3</v>
      </c>
      <c r="EL297" s="528">
        <f t="shared" si="880"/>
        <v>5.9294462133462018E-2</v>
      </c>
      <c r="EM297">
        <f t="shared" si="881"/>
        <v>3.8249999999999999E-2</v>
      </c>
      <c r="EN297" s="460">
        <f t="shared" si="882"/>
        <v>45.559121912928028</v>
      </c>
      <c r="EP297" s="460">
        <f t="shared" si="883"/>
        <v>2699.7728976454832</v>
      </c>
      <c r="EQ297" s="173">
        <f t="shared" si="884"/>
        <v>5.6700000000000008</v>
      </c>
      <c r="ER297" s="173">
        <f t="shared" si="845"/>
        <v>8.9859375000000005E-2</v>
      </c>
      <c r="ES297" s="528"/>
      <c r="EU297" s="460">
        <f t="shared" si="885"/>
        <v>5759.859375</v>
      </c>
      <c r="EV297" s="528">
        <f t="shared" si="886"/>
        <v>0.55612897039864007</v>
      </c>
      <c r="EW297" s="528">
        <f t="shared" si="887"/>
        <v>3.0108893301837196</v>
      </c>
      <c r="EX297" s="528">
        <f t="shared" si="888"/>
        <v>3.0435642127263281E-4</v>
      </c>
      <c r="EY297" s="528">
        <f t="shared" si="889"/>
        <v>2.0264675705467909</v>
      </c>
      <c r="EZ297" s="528"/>
      <c r="FA297" s="625">
        <f t="shared" si="890"/>
        <v>2.0857417299681453E-2</v>
      </c>
      <c r="FB297" s="460">
        <f t="shared" si="891"/>
        <v>5614.6476448501044</v>
      </c>
      <c r="FC297" s="173">
        <f t="shared" si="892"/>
        <v>14.074279917495589</v>
      </c>
      <c r="FD297" s="5">
        <f t="shared" si="893"/>
        <v>123.12000000000003</v>
      </c>
      <c r="FE297" s="173">
        <f t="shared" si="894"/>
        <v>0.89741350786665863</v>
      </c>
      <c r="FF297" s="5">
        <f t="shared" si="895"/>
        <v>89.741350786665862</v>
      </c>
      <c r="FG297">
        <f t="shared" si="896"/>
        <v>81.000000000000014</v>
      </c>
      <c r="FI297" s="562">
        <f t="shared" si="846"/>
        <v>-50</v>
      </c>
    </row>
    <row r="298" spans="5:165">
      <c r="E298" s="170">
        <v>82</v>
      </c>
      <c r="F298" s="217">
        <f t="shared" si="847"/>
        <v>8.1999999999999993</v>
      </c>
      <c r="G298" s="217">
        <f t="shared" si="775"/>
        <v>0.20499999999999999</v>
      </c>
      <c r="H298" s="217">
        <f t="shared" si="776"/>
        <v>122.99999999999999</v>
      </c>
      <c r="I298" s="217">
        <f t="shared" si="777"/>
        <v>1.64</v>
      </c>
      <c r="J298" s="541">
        <f t="shared" si="778"/>
        <v>84.459886340212833</v>
      </c>
      <c r="K298" s="443">
        <f t="shared" si="779"/>
        <v>15.991437647058822</v>
      </c>
      <c r="L298" s="172">
        <f t="shared" si="780"/>
        <v>100.45132398727165</v>
      </c>
      <c r="M298" s="443"/>
      <c r="N298" s="217">
        <f t="shared" si="781"/>
        <v>0.15919588724470296</v>
      </c>
      <c r="O298" s="172">
        <f t="shared" si="782"/>
        <v>331.71874693709577</v>
      </c>
      <c r="P298" s="172">
        <f t="shared" si="783"/>
        <v>4.4818888475056502</v>
      </c>
      <c r="Q298" s="217">
        <f t="shared" si="784"/>
        <v>22.114583129139717</v>
      </c>
      <c r="R298" s="217">
        <f t="shared" si="785"/>
        <v>41.464843367136972</v>
      </c>
      <c r="S298" s="217">
        <f t="shared" si="786"/>
        <v>15</v>
      </c>
      <c r="T298" s="217">
        <f t="shared" si="787"/>
        <v>18.539802337931267</v>
      </c>
      <c r="U298" s="217">
        <f t="shared" si="788"/>
        <v>2.6341218026154234</v>
      </c>
      <c r="V298" s="217">
        <f t="shared" si="789"/>
        <v>13.912296878204302</v>
      </c>
      <c r="W298" s="197">
        <f t="shared" si="790"/>
        <v>112.04722118764124</v>
      </c>
      <c r="X298" s="443">
        <f t="shared" si="848"/>
        <v>59.714260049244785</v>
      </c>
      <c r="Z298" s="217">
        <f t="shared" si="791"/>
        <v>10</v>
      </c>
      <c r="AA298" s="173">
        <f t="shared" si="792"/>
        <v>7.5040157519590274</v>
      </c>
      <c r="AB298" s="173">
        <f t="shared" si="793"/>
        <v>4.1487045037267958</v>
      </c>
      <c r="AC298" s="173"/>
      <c r="AD298" s="173">
        <f t="shared" si="794"/>
        <v>7.5040157519590274</v>
      </c>
      <c r="AE298" s="545">
        <f t="shared" si="795"/>
        <v>218.54964784313725</v>
      </c>
      <c r="AF298" s="528">
        <f t="shared" si="796"/>
        <v>4.2040205637764858</v>
      </c>
      <c r="AH298" s="173">
        <f t="shared" si="797"/>
        <v>7.7040496462822032</v>
      </c>
      <c r="AI298" s="173">
        <f t="shared" si="798"/>
        <v>18.539802337931267</v>
      </c>
      <c r="AJ298" s="173">
        <f t="shared" si="799"/>
        <v>7.5257795095787161</v>
      </c>
      <c r="AL298" s="545">
        <f t="shared" si="800"/>
        <v>8200</v>
      </c>
      <c r="AM298" s="460">
        <f t="shared" si="801"/>
        <v>59.714260049244785</v>
      </c>
      <c r="AO298">
        <f t="shared" si="802"/>
        <v>8200</v>
      </c>
      <c r="AP298">
        <f t="shared" si="803"/>
        <v>59.714260049244785</v>
      </c>
      <c r="AR298" s="5">
        <f t="shared" si="774"/>
        <v>16.746418680819726</v>
      </c>
      <c r="AS298" s="5">
        <f t="shared" si="739"/>
        <v>2.6341218026154234</v>
      </c>
      <c r="AT298" s="5">
        <f t="shared" si="740"/>
        <v>14.112296878204303</v>
      </c>
      <c r="AU298" s="173">
        <f t="shared" si="741"/>
        <v>0.15729463432276283</v>
      </c>
      <c r="BA298" s="173">
        <f t="shared" si="849"/>
        <v>4.2452319713715188</v>
      </c>
      <c r="BB298" s="173">
        <f t="shared" si="850"/>
        <v>9.8261265216309415</v>
      </c>
      <c r="BC298" s="173">
        <f t="shared" si="851"/>
        <v>0.24199244923859733</v>
      </c>
      <c r="BD298" s="173"/>
      <c r="BE298" s="528">
        <f t="shared" si="852"/>
        <v>0.36043988981509822</v>
      </c>
      <c r="BF298" s="528">
        <f t="shared" si="804"/>
        <v>2.0851633938908867</v>
      </c>
      <c r="BG298" s="528">
        <f t="shared" si="805"/>
        <v>0.12608649041622816</v>
      </c>
      <c r="BH298" s="528">
        <f t="shared" si="853"/>
        <v>6.0254485947809196E-2</v>
      </c>
      <c r="BI298">
        <f t="shared" si="854"/>
        <v>3.8006948853095773E-2</v>
      </c>
      <c r="BJ298" s="460">
        <f t="shared" si="855"/>
        <v>164.09343926932394</v>
      </c>
      <c r="BK298">
        <f t="shared" si="806"/>
        <v>2.8469946346458985</v>
      </c>
      <c r="BL298" s="460">
        <f t="shared" si="856"/>
        <v>2669.951208923118</v>
      </c>
      <c r="BM298" s="173">
        <f t="shared" si="807"/>
        <v>5.0942499999999988</v>
      </c>
      <c r="BN298" s="173">
        <f t="shared" si="808"/>
        <v>9.0968749999999987E-2</v>
      </c>
      <c r="BQ298" s="460">
        <f t="shared" si="857"/>
        <v>5185.2187499999991</v>
      </c>
      <c r="BR298" s="528">
        <f t="shared" si="858"/>
        <v>0.54065983472264723</v>
      </c>
      <c r="BS298" s="528">
        <f t="shared" si="859"/>
        <v>2.8965828725729694</v>
      </c>
      <c r="BT298" s="528">
        <f t="shared" si="860"/>
        <v>2.9280172744247554E-4</v>
      </c>
      <c r="BU298" s="528">
        <f t="shared" si="861"/>
        <v>2.0390500739902135</v>
      </c>
      <c r="BV298" s="528"/>
      <c r="BW298" s="625">
        <f t="shared" si="862"/>
        <v>2.0525240487582065E-2</v>
      </c>
      <c r="BX298" s="460">
        <f t="shared" si="863"/>
        <v>5497.1108235008551</v>
      </c>
      <c r="BY298" s="173">
        <f t="shared" si="864"/>
        <v>13.352280782423971</v>
      </c>
      <c r="BZ298" s="5">
        <f t="shared" si="865"/>
        <v>124.63999999999999</v>
      </c>
      <c r="CA298" s="173">
        <f t="shared" si="866"/>
        <v>0.90323892969435826</v>
      </c>
      <c r="CB298" s="5">
        <f t="shared" si="867"/>
        <v>90.323892969435832</v>
      </c>
      <c r="CC298">
        <f t="shared" si="868"/>
        <v>82</v>
      </c>
      <c r="CE298" s="562">
        <f t="shared" si="809"/>
        <v>-50</v>
      </c>
      <c r="CG298" s="173">
        <f t="shared" si="810"/>
        <v>0.84409136047666333</v>
      </c>
      <c r="CH298" s="173">
        <f t="shared" si="811"/>
        <v>0.1020398968288061</v>
      </c>
      <c r="CI298" s="170">
        <v>82</v>
      </c>
      <c r="CJ298" s="217">
        <f t="shared" si="869"/>
        <v>8.1999999999999993</v>
      </c>
      <c r="CK298" s="217">
        <f t="shared" si="812"/>
        <v>0.20499999999999999</v>
      </c>
      <c r="CL298" s="217">
        <f t="shared" si="813"/>
        <v>122.99999999999999</v>
      </c>
      <c r="CM298" s="217">
        <f t="shared" si="814"/>
        <v>1.64</v>
      </c>
      <c r="CN298" s="541">
        <f t="shared" si="815"/>
        <v>85</v>
      </c>
      <c r="CO298" s="443">
        <f t="shared" si="816"/>
        <v>15.7</v>
      </c>
      <c r="CP298" s="443">
        <f t="shared" si="817"/>
        <v>100.7</v>
      </c>
      <c r="CQ298" s="443"/>
      <c r="CR298" s="217">
        <f t="shared" si="818"/>
        <v>0.15338645418326693</v>
      </c>
      <c r="CS298" s="172">
        <f t="shared" si="819"/>
        <v>321.65744915076539</v>
      </c>
      <c r="CT298" s="172">
        <f t="shared" si="820"/>
        <v>4.3459495351925632</v>
      </c>
      <c r="CU298" s="217">
        <f t="shared" si="821"/>
        <v>21.443829943384358</v>
      </c>
      <c r="CV298" s="217">
        <f t="shared" si="822"/>
        <v>40.207181143845673</v>
      </c>
      <c r="CW298" s="217">
        <f t="shared" si="823"/>
        <v>15</v>
      </c>
      <c r="CX298" s="217">
        <f t="shared" si="824"/>
        <v>19.119718869365926</v>
      </c>
      <c r="CY298" s="217">
        <f t="shared" si="825"/>
        <v>2.6992544286163658</v>
      </c>
      <c r="CZ298" s="217">
        <f t="shared" si="826"/>
        <v>14.61379786193574</v>
      </c>
      <c r="DA298" s="197">
        <f t="shared" si="827"/>
        <v>110.43528632903013</v>
      </c>
      <c r="DB298" s="443">
        <f t="shared" si="828"/>
        <v>57.759890238748326</v>
      </c>
      <c r="DD298" s="217">
        <f t="shared" si="829"/>
        <v>9.9999999999999982</v>
      </c>
      <c r="DE298" s="173">
        <f t="shared" si="830"/>
        <v>7.6433121019108263</v>
      </c>
      <c r="DF298" s="173">
        <f t="shared" si="831"/>
        <v>4.1649244760361679</v>
      </c>
      <c r="DG298" s="173"/>
      <c r="DH298" s="173">
        <f t="shared" si="832"/>
        <v>7.6433121019108281</v>
      </c>
      <c r="DI298" s="545">
        <f t="shared" si="833"/>
        <v>214.56666666666666</v>
      </c>
      <c r="DJ298" s="528">
        <f t="shared" si="834"/>
        <v>4.2204568023833167</v>
      </c>
      <c r="DL298" s="173">
        <f t="shared" si="835"/>
        <v>7.7040496462822032</v>
      </c>
      <c r="DM298" s="173">
        <f t="shared" si="836"/>
        <v>19.119718869365926</v>
      </c>
      <c r="DN298" s="173">
        <f t="shared" si="837"/>
        <v>7.9553473106414261</v>
      </c>
      <c r="DP298" s="545">
        <f t="shared" si="838"/>
        <v>8200</v>
      </c>
      <c r="DQ298" s="460">
        <f t="shared" si="839"/>
        <v>57.759890238748326</v>
      </c>
      <c r="DS298">
        <f t="shared" si="840"/>
        <v>8200</v>
      </c>
      <c r="DT298">
        <f t="shared" si="841"/>
        <v>57.759890238748326</v>
      </c>
      <c r="DV298" s="5">
        <f t="shared" si="870"/>
        <v>17.313052290552104</v>
      </c>
      <c r="DW298" s="5">
        <f t="shared" si="842"/>
        <v>2.6992544286163658</v>
      </c>
      <c r="DX298" s="5">
        <f t="shared" si="843"/>
        <v>14.613797861935739</v>
      </c>
      <c r="DY298" s="173">
        <f t="shared" si="844"/>
        <v>0.15590863952333664</v>
      </c>
      <c r="EA298" s="5">
        <f t="shared" si="871"/>
        <v>147.55924209769466</v>
      </c>
      <c r="EB298" s="5">
        <f t="shared" si="872"/>
        <v>6.9168394733294365</v>
      </c>
      <c r="EC298" s="5">
        <f t="shared" si="873"/>
        <v>5.8741736503859334</v>
      </c>
      <c r="ED298" s="5"/>
      <c r="EE298" s="173">
        <f t="shared" si="874"/>
        <v>4.3586898366029443</v>
      </c>
      <c r="EF298" s="173">
        <f t="shared" si="875"/>
        <v>10.141813091823868</v>
      </c>
      <c r="EG298" s="173">
        <f t="shared" si="876"/>
        <v>0.24976700477119174</v>
      </c>
      <c r="EH298" s="173"/>
      <c r="EI298" s="528">
        <f t="shared" si="877"/>
        <v>0.37996354183411607</v>
      </c>
      <c r="EJ298" s="528">
        <f t="shared" si="878"/>
        <v>2.2241666666666666</v>
      </c>
      <c r="EK298" s="528">
        <f t="shared" si="879"/>
        <v>7.219986279843541E-3</v>
      </c>
      <c r="EL298" s="528">
        <f t="shared" si="880"/>
        <v>5.8571358936712503E-2</v>
      </c>
      <c r="EM298">
        <f t="shared" si="881"/>
        <v>3.8249999999999999E-2</v>
      </c>
      <c r="EN298" s="460">
        <f t="shared" si="882"/>
        <v>45.469986279843539</v>
      </c>
      <c r="EP298" s="460">
        <f t="shared" si="883"/>
        <v>2708.1715537173386</v>
      </c>
      <c r="EQ298" s="173">
        <f t="shared" si="884"/>
        <v>5.7399999999999993</v>
      </c>
      <c r="ER298" s="173">
        <f t="shared" si="845"/>
        <v>9.0968749999999987E-2</v>
      </c>
      <c r="ES298" s="528"/>
      <c r="EU298" s="460">
        <f t="shared" si="885"/>
        <v>5830.9687499999991</v>
      </c>
      <c r="EV298" s="528">
        <f t="shared" si="886"/>
        <v>0.56994531275117399</v>
      </c>
      <c r="EW298" s="528">
        <f t="shared" si="887"/>
        <v>3.0856911836847001</v>
      </c>
      <c r="EX298" s="528">
        <f t="shared" si="888"/>
        <v>3.1191778336186262E-4</v>
      </c>
      <c r="EY298" s="528">
        <f t="shared" si="889"/>
        <v>2.0264675705467892</v>
      </c>
      <c r="EZ298" s="528"/>
      <c r="FA298" s="625">
        <f t="shared" si="890"/>
        <v>2.111491627868986E-2</v>
      </c>
      <c r="FB298" s="460">
        <f t="shared" si="891"/>
        <v>5703.5309010447154</v>
      </c>
      <c r="FC298" s="173">
        <f t="shared" si="892"/>
        <v>14.242671204762052</v>
      </c>
      <c r="FD298" s="5">
        <f t="shared" si="893"/>
        <v>124.63999999999999</v>
      </c>
      <c r="FE298" s="173">
        <f t="shared" si="894"/>
        <v>0.89744817635482166</v>
      </c>
      <c r="FF298" s="5">
        <f t="shared" si="895"/>
        <v>89.744817635482164</v>
      </c>
      <c r="FG298">
        <f t="shared" si="896"/>
        <v>82</v>
      </c>
      <c r="FI298" s="562">
        <f t="shared" si="846"/>
        <v>-50</v>
      </c>
    </row>
    <row r="299" spans="5:165">
      <c r="E299" s="170">
        <v>83</v>
      </c>
      <c r="F299" s="217">
        <f t="shared" si="847"/>
        <v>8.2999999999999989</v>
      </c>
      <c r="G299" s="217">
        <f t="shared" si="775"/>
        <v>0.20749999999999999</v>
      </c>
      <c r="H299" s="217">
        <f t="shared" si="776"/>
        <v>124.49999999999999</v>
      </c>
      <c r="I299" s="217">
        <f t="shared" si="777"/>
        <v>1.66</v>
      </c>
      <c r="J299" s="541">
        <f t="shared" si="778"/>
        <v>84.453299588264201</v>
      </c>
      <c r="K299" s="443">
        <f t="shared" si="779"/>
        <v>15.994991764705881</v>
      </c>
      <c r="L299" s="172">
        <f t="shared" si="780"/>
        <v>100.44829135297009</v>
      </c>
      <c r="M299" s="443"/>
      <c r="N299" s="217">
        <f t="shared" si="781"/>
        <v>0.15923607608715123</v>
      </c>
      <c r="O299" s="172">
        <f t="shared" si="782"/>
        <v>331.77661280545601</v>
      </c>
      <c r="P299" s="172">
        <f t="shared" si="783"/>
        <v>4.4826706796826059</v>
      </c>
      <c r="Q299" s="217">
        <f t="shared" si="784"/>
        <v>22.118440853697066</v>
      </c>
      <c r="R299" s="217">
        <f t="shared" si="785"/>
        <v>41.472076600682001</v>
      </c>
      <c r="S299" s="217">
        <f t="shared" si="786"/>
        <v>15</v>
      </c>
      <c r="T299" s="217">
        <f t="shared" si="787"/>
        <v>18.762624488092399</v>
      </c>
      <c r="U299" s="217">
        <f t="shared" si="788"/>
        <v>2.6659881254467441</v>
      </c>
      <c r="V299" s="217">
        <f t="shared" si="789"/>
        <v>14.07637447828651</v>
      </c>
      <c r="W299" s="197">
        <f t="shared" si="790"/>
        <v>112.06676699206514</v>
      </c>
      <c r="X299" s="443">
        <f t="shared" si="848"/>
        <v>59.02364524884208</v>
      </c>
      <c r="Z299" s="217">
        <f t="shared" si="791"/>
        <v>10</v>
      </c>
      <c r="AA299" s="173">
        <f t="shared" si="792"/>
        <v>7.5023483453607511</v>
      </c>
      <c r="AB299" s="173">
        <f t="shared" si="793"/>
        <v>4.1485062035173454</v>
      </c>
      <c r="AC299" s="173"/>
      <c r="AD299" s="173">
        <f t="shared" si="794"/>
        <v>7.5023483453607511</v>
      </c>
      <c r="AE299" s="545">
        <f t="shared" si="795"/>
        <v>221.26405274509796</v>
      </c>
      <c r="AF299" s="528">
        <f t="shared" si="796"/>
        <v>4.2038196195642437</v>
      </c>
      <c r="AH299" s="173">
        <f t="shared" si="797"/>
        <v>7.7508832062024045</v>
      </c>
      <c r="AI299" s="173">
        <f t="shared" si="798"/>
        <v>18.762624488092399</v>
      </c>
      <c r="AJ299" s="173">
        <f t="shared" si="799"/>
        <v>7.6908329541425182</v>
      </c>
      <c r="AL299" s="545">
        <f t="shared" si="800"/>
        <v>8299.9999999999982</v>
      </c>
      <c r="AM299" s="460">
        <f t="shared" si="801"/>
        <v>59.02364524884208</v>
      </c>
      <c r="AO299">
        <f t="shared" si="802"/>
        <v>8299.9999999999982</v>
      </c>
      <c r="AP299">
        <f t="shared" si="803"/>
        <v>59.02364524884208</v>
      </c>
      <c r="AR299" s="5">
        <f t="shared" si="774"/>
        <v>16.942362603733255</v>
      </c>
      <c r="AS299" s="5">
        <f t="shared" si="739"/>
        <v>2.6659881254467441</v>
      </c>
      <c r="AT299" s="5">
        <f t="shared" si="740"/>
        <v>14.27637447828651</v>
      </c>
      <c r="AU299" s="173">
        <f t="shared" si="741"/>
        <v>0.15735633735399412</v>
      </c>
      <c r="BA299" s="173">
        <f t="shared" si="849"/>
        <v>4.2970962211077</v>
      </c>
      <c r="BB299" s="173">
        <f t="shared" si="850"/>
        <v>9.9438585716811563</v>
      </c>
      <c r="BC299" s="173">
        <f t="shared" si="851"/>
        <v>0.24489188953003005</v>
      </c>
      <c r="BD299" s="173"/>
      <c r="BE299" s="528">
        <f t="shared" si="852"/>
        <v>0.36930071866916153</v>
      </c>
      <c r="BF299" s="528">
        <f t="shared" si="804"/>
        <v>2.0857557051004818</v>
      </c>
      <c r="BG299" s="528">
        <f t="shared" si="805"/>
        <v>0.12461853987479719</v>
      </c>
      <c r="BH299" s="528">
        <f t="shared" si="853"/>
        <v>5.9554027214054915E-2</v>
      </c>
      <c r="BI299">
        <f t="shared" si="854"/>
        <v>3.8003984814718887E-2</v>
      </c>
      <c r="BJ299" s="460">
        <f t="shared" si="855"/>
        <v>162.62252468951607</v>
      </c>
      <c r="BK299">
        <f t="shared" si="806"/>
        <v>2.8657821366888925</v>
      </c>
      <c r="BL299" s="460">
        <f t="shared" si="856"/>
        <v>2677.2329756732142</v>
      </c>
      <c r="BM299" s="173">
        <f t="shared" si="807"/>
        <v>5.1563749999999988</v>
      </c>
      <c r="BN299" s="173">
        <f t="shared" si="808"/>
        <v>9.2078124999999997E-2</v>
      </c>
      <c r="BQ299" s="460">
        <f t="shared" si="857"/>
        <v>5248.4531249999982</v>
      </c>
      <c r="BR299" s="528">
        <f t="shared" si="858"/>
        <v>0.55395107800374221</v>
      </c>
      <c r="BS299" s="528">
        <f t="shared" si="859"/>
        <v>2.9664096988079041</v>
      </c>
      <c r="BT299" s="528">
        <f t="shared" si="860"/>
        <v>2.998601877879422E-4</v>
      </c>
      <c r="BU299" s="528">
        <f t="shared" si="861"/>
        <v>2.0406524283701653</v>
      </c>
      <c r="BV299" s="528"/>
      <c r="BW299" s="625">
        <f t="shared" si="862"/>
        <v>2.0778452563846871E-2</v>
      </c>
      <c r="BX299" s="460">
        <f t="shared" si="863"/>
        <v>5582.0915179334461</v>
      </c>
      <c r="BY299" s="173">
        <f t="shared" si="864"/>
        <v>13.50777761860666</v>
      </c>
      <c r="BZ299" s="5">
        <f t="shared" si="865"/>
        <v>126.15999999999998</v>
      </c>
      <c r="CA299" s="173">
        <f t="shared" si="866"/>
        <v>0.90328637106625564</v>
      </c>
      <c r="CB299" s="5">
        <f t="shared" si="867"/>
        <v>90.328637106625564</v>
      </c>
      <c r="CC299">
        <f t="shared" si="868"/>
        <v>82.999999999999986</v>
      </c>
      <c r="CE299" s="562">
        <f t="shared" si="809"/>
        <v>-50</v>
      </c>
      <c r="CG299" s="173">
        <f t="shared" si="810"/>
        <v>0.84409136047666333</v>
      </c>
      <c r="CH299" s="173">
        <f t="shared" si="811"/>
        <v>0.1020398968288061</v>
      </c>
      <c r="CI299" s="170">
        <v>83</v>
      </c>
      <c r="CJ299" s="217">
        <f t="shared" si="869"/>
        <v>8.2999999999999989</v>
      </c>
      <c r="CK299" s="217">
        <f t="shared" si="812"/>
        <v>0.20749999999999999</v>
      </c>
      <c r="CL299" s="217">
        <f t="shared" si="813"/>
        <v>124.49999999999999</v>
      </c>
      <c r="CM299" s="217">
        <f t="shared" si="814"/>
        <v>1.66</v>
      </c>
      <c r="CN299" s="541">
        <f t="shared" si="815"/>
        <v>85</v>
      </c>
      <c r="CO299" s="443">
        <f t="shared" si="816"/>
        <v>15.7</v>
      </c>
      <c r="CP299" s="443">
        <f t="shared" si="817"/>
        <v>100.7</v>
      </c>
      <c r="CQ299" s="443"/>
      <c r="CR299" s="217">
        <f t="shared" si="818"/>
        <v>0.15338645418326693</v>
      </c>
      <c r="CS299" s="172">
        <f t="shared" si="819"/>
        <v>321.65744915076539</v>
      </c>
      <c r="CT299" s="172">
        <f t="shared" si="820"/>
        <v>4.3459495351925632</v>
      </c>
      <c r="CU299" s="217">
        <f t="shared" si="821"/>
        <v>21.443829943384358</v>
      </c>
      <c r="CV299" s="217">
        <f t="shared" si="822"/>
        <v>40.207181143845673</v>
      </c>
      <c r="CW299" s="217">
        <f t="shared" si="823"/>
        <v>15</v>
      </c>
      <c r="CX299" s="217">
        <f t="shared" si="824"/>
        <v>19.352886172650877</v>
      </c>
      <c r="CY299" s="217">
        <f t="shared" si="825"/>
        <v>2.7321721655507121</v>
      </c>
      <c r="CZ299" s="217">
        <f t="shared" si="826"/>
        <v>14.792014909032519</v>
      </c>
      <c r="DA299" s="197">
        <f t="shared" si="827"/>
        <v>110.43528632903013</v>
      </c>
      <c r="DB299" s="443">
        <f t="shared" si="828"/>
        <v>57.063987946715208</v>
      </c>
      <c r="DD299" s="217">
        <f t="shared" si="829"/>
        <v>9.9999999999999982</v>
      </c>
      <c r="DE299" s="173">
        <f t="shared" si="830"/>
        <v>7.6433121019108263</v>
      </c>
      <c r="DF299" s="173">
        <f t="shared" si="831"/>
        <v>4.1649244760361679</v>
      </c>
      <c r="DG299" s="173"/>
      <c r="DH299" s="173">
        <f t="shared" si="832"/>
        <v>7.6433121019108281</v>
      </c>
      <c r="DI299" s="545">
        <f t="shared" si="833"/>
        <v>217.18333333333331</v>
      </c>
      <c r="DJ299" s="528">
        <f t="shared" si="834"/>
        <v>4.2204568023833167</v>
      </c>
      <c r="DL299" s="173">
        <f t="shared" si="835"/>
        <v>7.7508832062024045</v>
      </c>
      <c r="DM299" s="173">
        <f t="shared" si="836"/>
        <v>19.352886172650877</v>
      </c>
      <c r="DN299" s="173">
        <f t="shared" si="837"/>
        <v>8.1280638315932414</v>
      </c>
      <c r="DP299" s="545">
        <f t="shared" si="838"/>
        <v>8299.9999999999982</v>
      </c>
      <c r="DQ299" s="460">
        <f t="shared" si="839"/>
        <v>57.063987946715208</v>
      </c>
      <c r="DS299">
        <f t="shared" si="840"/>
        <v>8299.9999999999982</v>
      </c>
      <c r="DT299">
        <f t="shared" si="841"/>
        <v>57.063987946715208</v>
      </c>
      <c r="DV299" s="5">
        <f t="shared" si="870"/>
        <v>17.524187074583232</v>
      </c>
      <c r="DW299" s="5">
        <f t="shared" si="842"/>
        <v>2.7321721655507121</v>
      </c>
      <c r="DX299" s="5">
        <f t="shared" si="843"/>
        <v>14.79201490903252</v>
      </c>
      <c r="DY299" s="173">
        <f t="shared" si="844"/>
        <v>0.15590863952333664</v>
      </c>
      <c r="EA299" s="5">
        <f t="shared" si="871"/>
        <v>151.1801931604727</v>
      </c>
      <c r="EB299" s="5">
        <f t="shared" si="872"/>
        <v>7.0865715543971586</v>
      </c>
      <c r="EC299" s="5">
        <f t="shared" si="873"/>
        <v>6.018319791420093</v>
      </c>
      <c r="ED299" s="5"/>
      <c r="EE299" s="173">
        <f t="shared" si="874"/>
        <v>4.4118445907078589</v>
      </c>
      <c r="EF299" s="173">
        <f t="shared" si="875"/>
        <v>10.265493739285136</v>
      </c>
      <c r="EG299" s="173">
        <f t="shared" si="876"/>
        <v>0.25281294385376729</v>
      </c>
      <c r="EH299" s="173"/>
      <c r="EI299" s="528">
        <f t="shared" si="877"/>
        <v>0.38928745385116392</v>
      </c>
      <c r="EJ299" s="528">
        <f t="shared" si="878"/>
        <v>2.2241666666666662</v>
      </c>
      <c r="EK299" s="528">
        <f t="shared" si="879"/>
        <v>7.1329984933394004E-3</v>
      </c>
      <c r="EL299" s="528">
        <f t="shared" si="880"/>
        <v>5.7865679913378612E-2</v>
      </c>
      <c r="EM299">
        <f t="shared" si="881"/>
        <v>3.8249999999999999E-2</v>
      </c>
      <c r="EN299" s="460">
        <f t="shared" si="882"/>
        <v>45.3829984933394</v>
      </c>
      <c r="EP299" s="460">
        <f t="shared" si="883"/>
        <v>2716.7027989245485</v>
      </c>
      <c r="EQ299" s="173">
        <f t="shared" si="884"/>
        <v>5.8099999999999987</v>
      </c>
      <c r="ER299" s="173">
        <f t="shared" si="845"/>
        <v>9.2078124999999997E-2</v>
      </c>
      <c r="ES299" s="528"/>
      <c r="EU299" s="460">
        <f t="shared" si="885"/>
        <v>5902.0781249999982</v>
      </c>
      <c r="EV299" s="528">
        <f t="shared" si="886"/>
        <v>0.58393118077674588</v>
      </c>
      <c r="EW299" s="528">
        <f t="shared" si="887"/>
        <v>3.1614108513390691</v>
      </c>
      <c r="EX299" s="528">
        <f t="shared" si="888"/>
        <v>3.1957192290004045E-4</v>
      </c>
      <c r="EY299" s="528">
        <f t="shared" si="889"/>
        <v>2.0264675705467874</v>
      </c>
      <c r="EZ299" s="528"/>
      <c r="FA299" s="625">
        <f t="shared" si="890"/>
        <v>2.1372415257698271E-2</v>
      </c>
      <c r="FB299" s="460">
        <f t="shared" si="891"/>
        <v>5793.5015898432002</v>
      </c>
      <c r="FC299" s="173">
        <f t="shared" si="892"/>
        <v>14.412282513767746</v>
      </c>
      <c r="FD299" s="5">
        <f t="shared" si="893"/>
        <v>126.15999999999998</v>
      </c>
      <c r="FE299" s="173">
        <f t="shared" si="894"/>
        <v>0.89747422282656464</v>
      </c>
      <c r="FF299" s="5">
        <f t="shared" si="895"/>
        <v>89.747422282656458</v>
      </c>
      <c r="FG299">
        <f t="shared" si="896"/>
        <v>82.999999999999986</v>
      </c>
      <c r="FI299" s="562">
        <f t="shared" si="846"/>
        <v>-50</v>
      </c>
    </row>
    <row r="300" spans="5:165">
      <c r="E300" s="170">
        <v>84</v>
      </c>
      <c r="F300" s="217">
        <f t="shared" si="847"/>
        <v>8.4</v>
      </c>
      <c r="G300" s="217">
        <f t="shared" si="775"/>
        <v>0.21</v>
      </c>
      <c r="H300" s="217">
        <f t="shared" si="776"/>
        <v>126</v>
      </c>
      <c r="I300" s="217">
        <f t="shared" si="777"/>
        <v>1.68</v>
      </c>
      <c r="J300" s="541">
        <f t="shared" si="778"/>
        <v>84.446712836315584</v>
      </c>
      <c r="K300" s="443">
        <f t="shared" si="779"/>
        <v>15.998545882352941</v>
      </c>
      <c r="L300" s="172">
        <f t="shared" si="780"/>
        <v>100.44525871866853</v>
      </c>
      <c r="M300" s="443"/>
      <c r="N300" s="217">
        <f t="shared" si="781"/>
        <v>0.15927626735635544</v>
      </c>
      <c r="O300" s="172">
        <f t="shared" si="782"/>
        <v>331.83447066815069</v>
      </c>
      <c r="P300" s="172">
        <f t="shared" si="783"/>
        <v>4.483452403694125</v>
      </c>
      <c r="Q300" s="217">
        <f t="shared" si="784"/>
        <v>22.122298044543378</v>
      </c>
      <c r="R300" s="217">
        <f t="shared" si="785"/>
        <v>41.479308833518836</v>
      </c>
      <c r="S300" s="217">
        <f t="shared" si="786"/>
        <v>15</v>
      </c>
      <c r="T300" s="217">
        <f t="shared" si="787"/>
        <v>18.985369384063425</v>
      </c>
      <c r="U300" s="217">
        <f t="shared" si="788"/>
        <v>2.6978484414231358</v>
      </c>
      <c r="V300" s="217">
        <f t="shared" si="789"/>
        <v>14.240321231947767</v>
      </c>
      <c r="W300" s="197">
        <f t="shared" si="790"/>
        <v>112.08631009235312</v>
      </c>
      <c r="X300" s="443">
        <f t="shared" si="848"/>
        <v>58.349288112941771</v>
      </c>
      <c r="Z300" s="217">
        <f t="shared" si="791"/>
        <v>10</v>
      </c>
      <c r="AA300" s="173">
        <f t="shared" si="792"/>
        <v>7.5006816795997056</v>
      </c>
      <c r="AB300" s="173">
        <f t="shared" si="793"/>
        <v>4.1483078913337721</v>
      </c>
      <c r="AC300" s="173"/>
      <c r="AD300" s="173">
        <f t="shared" si="794"/>
        <v>7.5006816795997056</v>
      </c>
      <c r="AE300" s="545">
        <f t="shared" si="795"/>
        <v>223.97964235294114</v>
      </c>
      <c r="AF300" s="528">
        <f t="shared" si="796"/>
        <v>4.2036186632182222</v>
      </c>
      <c r="AH300" s="173">
        <f t="shared" si="797"/>
        <v>7.7974354758471707</v>
      </c>
      <c r="AI300" s="173">
        <f t="shared" si="798"/>
        <v>18.985369384063425</v>
      </c>
      <c r="AJ300" s="173">
        <f t="shared" si="799"/>
        <v>7.8558291733803154</v>
      </c>
      <c r="AL300" s="545">
        <f t="shared" si="800"/>
        <v>8400</v>
      </c>
      <c r="AM300" s="460">
        <f t="shared" si="801"/>
        <v>58.349288112941771</v>
      </c>
      <c r="AO300">
        <f t="shared" si="802"/>
        <v>8400</v>
      </c>
      <c r="AP300">
        <f t="shared" si="803"/>
        <v>58.349288112941771</v>
      </c>
      <c r="AR300" s="5">
        <f t="shared" si="774"/>
        <v>17.138169673370903</v>
      </c>
      <c r="AS300" s="5">
        <f t="shared" si="739"/>
        <v>2.6978484414231358</v>
      </c>
      <c r="AT300" s="5">
        <f t="shared" si="740"/>
        <v>14.440321231947767</v>
      </c>
      <c r="AU300" s="173">
        <f t="shared" si="741"/>
        <v>0.15741753599364947</v>
      </c>
      <c r="BA300" s="173">
        <f t="shared" si="849"/>
        <v>4.348955652425663</v>
      </c>
      <c r="BB300" s="173">
        <f t="shared" si="850"/>
        <v>10.061544030764487</v>
      </c>
      <c r="BC300" s="173">
        <f t="shared" si="851"/>
        <v>0.24779018240470974</v>
      </c>
      <c r="BD300" s="173"/>
      <c r="BE300" s="528">
        <f t="shared" si="852"/>
        <v>0.37826830533530248</v>
      </c>
      <c r="BF300" s="528">
        <f t="shared" si="804"/>
        <v>2.0863411641925502</v>
      </c>
      <c r="BG300" s="528">
        <f t="shared" si="805"/>
        <v>0.12318513943692593</v>
      </c>
      <c r="BH300" s="528">
        <f t="shared" si="853"/>
        <v>5.8870055503866432E-2</v>
      </c>
      <c r="BI300">
        <f t="shared" si="854"/>
        <v>3.8001020776342015E-2</v>
      </c>
      <c r="BJ300" s="460">
        <f t="shared" si="855"/>
        <v>161.18616021326793</v>
      </c>
      <c r="BK300">
        <f t="shared" si="806"/>
        <v>2.8848965111165308</v>
      </c>
      <c r="BL300" s="460">
        <f t="shared" si="856"/>
        <v>2684.6656852449873</v>
      </c>
      <c r="BM300" s="173">
        <f t="shared" si="807"/>
        <v>5.2184999999999997</v>
      </c>
      <c r="BN300" s="173">
        <f t="shared" si="808"/>
        <v>9.3187499999999993E-2</v>
      </c>
      <c r="BQ300" s="460">
        <f t="shared" si="857"/>
        <v>5311.6875</v>
      </c>
      <c r="BR300" s="528">
        <f t="shared" si="858"/>
        <v>0.56740245800295375</v>
      </c>
      <c r="BS300" s="528">
        <f t="shared" si="859"/>
        <v>3.0370400484903746</v>
      </c>
      <c r="BT300" s="528">
        <f t="shared" si="860"/>
        <v>3.0699987248079661E-4</v>
      </c>
      <c r="BU300" s="528">
        <f t="shared" si="861"/>
        <v>2.0422388666229563</v>
      </c>
      <c r="BV300" s="528"/>
      <c r="BW300" s="625">
        <f t="shared" si="862"/>
        <v>2.1031665429791322E-2</v>
      </c>
      <c r="BX300" s="460">
        <f t="shared" si="863"/>
        <v>5668.0200384185564</v>
      </c>
      <c r="BY300" s="173">
        <f t="shared" si="864"/>
        <v>13.664373223663544</v>
      </c>
      <c r="BZ300" s="5">
        <f t="shared" si="865"/>
        <v>127.68</v>
      </c>
      <c r="CA300" s="173">
        <f t="shared" si="866"/>
        <v>0.9033256654508558</v>
      </c>
      <c r="CB300" s="5">
        <f t="shared" si="867"/>
        <v>90.332566545085584</v>
      </c>
      <c r="CC300">
        <f t="shared" si="868"/>
        <v>84.000000000000014</v>
      </c>
      <c r="CE300" s="562">
        <f t="shared" si="809"/>
        <v>-50</v>
      </c>
      <c r="CG300" s="173">
        <f t="shared" si="810"/>
        <v>0.84409136047666333</v>
      </c>
      <c r="CH300" s="173">
        <f t="shared" si="811"/>
        <v>0.1020398968288061</v>
      </c>
      <c r="CI300" s="170">
        <v>84</v>
      </c>
      <c r="CJ300" s="217">
        <f t="shared" si="869"/>
        <v>8.4</v>
      </c>
      <c r="CK300" s="217">
        <f t="shared" si="812"/>
        <v>0.21</v>
      </c>
      <c r="CL300" s="217">
        <f t="shared" si="813"/>
        <v>126</v>
      </c>
      <c r="CM300" s="217">
        <f t="shared" si="814"/>
        <v>1.68</v>
      </c>
      <c r="CN300" s="541">
        <f t="shared" si="815"/>
        <v>85</v>
      </c>
      <c r="CO300" s="443">
        <f t="shared" si="816"/>
        <v>15.7</v>
      </c>
      <c r="CP300" s="443">
        <f t="shared" si="817"/>
        <v>100.7</v>
      </c>
      <c r="CQ300" s="443"/>
      <c r="CR300" s="217">
        <f t="shared" si="818"/>
        <v>0.15338645418326693</v>
      </c>
      <c r="CS300" s="172">
        <f t="shared" si="819"/>
        <v>321.65744915076539</v>
      </c>
      <c r="CT300" s="172">
        <f t="shared" si="820"/>
        <v>4.3459495351925632</v>
      </c>
      <c r="CU300" s="217">
        <f t="shared" si="821"/>
        <v>21.443829943384358</v>
      </c>
      <c r="CV300" s="217">
        <f t="shared" si="822"/>
        <v>40.207181143845673</v>
      </c>
      <c r="CW300" s="217">
        <f t="shared" si="823"/>
        <v>15</v>
      </c>
      <c r="CX300" s="217">
        <f t="shared" si="824"/>
        <v>19.586053475935831</v>
      </c>
      <c r="CY300" s="217">
        <f t="shared" si="825"/>
        <v>2.7650899024850584</v>
      </c>
      <c r="CZ300" s="217">
        <f t="shared" si="826"/>
        <v>14.970231956129298</v>
      </c>
      <c r="DA300" s="197">
        <f t="shared" si="827"/>
        <v>110.43528632903013</v>
      </c>
      <c r="DB300" s="443">
        <f t="shared" si="828"/>
        <v>56.38465475687336</v>
      </c>
      <c r="DD300" s="217">
        <f t="shared" si="829"/>
        <v>9.9999999999999982</v>
      </c>
      <c r="DE300" s="173">
        <f t="shared" si="830"/>
        <v>7.6433121019108263</v>
      </c>
      <c r="DF300" s="173">
        <f t="shared" si="831"/>
        <v>4.1649244760361679</v>
      </c>
      <c r="DG300" s="173"/>
      <c r="DH300" s="173">
        <f t="shared" si="832"/>
        <v>7.6433121019108281</v>
      </c>
      <c r="DI300" s="545">
        <f t="shared" si="833"/>
        <v>219.80000000000004</v>
      </c>
      <c r="DJ300" s="528">
        <f t="shared" si="834"/>
        <v>4.2204568023833167</v>
      </c>
      <c r="DL300" s="173">
        <f t="shared" si="835"/>
        <v>7.7974354758471707</v>
      </c>
      <c r="DM300" s="173">
        <f t="shared" si="836"/>
        <v>19.586053475935831</v>
      </c>
      <c r="DN300" s="173">
        <f t="shared" si="837"/>
        <v>8.3007803525450594</v>
      </c>
      <c r="DP300" s="545">
        <f t="shared" si="838"/>
        <v>8400</v>
      </c>
      <c r="DQ300" s="460">
        <f t="shared" si="839"/>
        <v>56.38465475687336</v>
      </c>
      <c r="DS300">
        <f t="shared" si="840"/>
        <v>8400</v>
      </c>
      <c r="DT300">
        <f t="shared" si="841"/>
        <v>56.38465475687336</v>
      </c>
      <c r="DV300" s="5">
        <f t="shared" si="870"/>
        <v>17.735321858614356</v>
      </c>
      <c r="DW300" s="5">
        <f t="shared" si="842"/>
        <v>2.7650899024850584</v>
      </c>
      <c r="DX300" s="5">
        <f t="shared" si="843"/>
        <v>14.970231956129297</v>
      </c>
      <c r="DY300" s="173">
        <f t="shared" si="844"/>
        <v>0.15590863952333664</v>
      </c>
      <c r="EA300" s="5">
        <f t="shared" si="871"/>
        <v>154.84503453916327</v>
      </c>
      <c r="EB300" s="5">
        <f t="shared" si="872"/>
        <v>7.2583609940232767</v>
      </c>
      <c r="EC300" s="5">
        <f t="shared" si="873"/>
        <v>6.1642131584061808</v>
      </c>
      <c r="ED300" s="5"/>
      <c r="EE300" s="173">
        <f t="shared" si="874"/>
        <v>4.4649993448127736</v>
      </c>
      <c r="EF300" s="173">
        <f t="shared" si="875"/>
        <v>10.389174386746404</v>
      </c>
      <c r="EG300" s="173">
        <f t="shared" si="876"/>
        <v>0.25585888293634279</v>
      </c>
      <c r="EH300" s="173"/>
      <c r="EI300" s="528">
        <f t="shared" si="877"/>
        <v>0.39872438298356999</v>
      </c>
      <c r="EJ300" s="528">
        <f t="shared" si="878"/>
        <v>2.2241666666666671</v>
      </c>
      <c r="EK300" s="528">
        <f t="shared" si="879"/>
        <v>7.0480818446091694E-3</v>
      </c>
      <c r="EL300" s="528">
        <f t="shared" si="880"/>
        <v>5.7176802771552675E-2</v>
      </c>
      <c r="EM300">
        <f t="shared" si="881"/>
        <v>3.8249999999999999E-2</v>
      </c>
      <c r="EN300" s="460">
        <f t="shared" si="882"/>
        <v>45.298081844609172</v>
      </c>
      <c r="EP300" s="460">
        <f t="shared" si="883"/>
        <v>2725.3659342663987</v>
      </c>
      <c r="EQ300" s="173">
        <f t="shared" si="884"/>
        <v>5.88</v>
      </c>
      <c r="ER300" s="173">
        <f t="shared" si="845"/>
        <v>9.3187499999999993E-2</v>
      </c>
      <c r="ES300" s="528"/>
      <c r="EU300" s="460">
        <f t="shared" si="885"/>
        <v>5973.1875</v>
      </c>
      <c r="EV300" s="528">
        <f t="shared" si="886"/>
        <v>0.59808657447535496</v>
      </c>
      <c r="EW300" s="528">
        <f t="shared" si="887"/>
        <v>3.2380483331468257</v>
      </c>
      <c r="EX300" s="528">
        <f t="shared" si="888"/>
        <v>3.2731883988716584E-4</v>
      </c>
      <c r="EY300" s="528">
        <f t="shared" si="889"/>
        <v>2.0264675705467909</v>
      </c>
      <c r="EZ300" s="528"/>
      <c r="FA300" s="625">
        <f t="shared" si="890"/>
        <v>2.1629914236706693E-2</v>
      </c>
      <c r="FB300" s="460">
        <f t="shared" si="891"/>
        <v>5884.5597112455653</v>
      </c>
      <c r="FC300" s="173">
        <f t="shared" si="892"/>
        <v>14.583113145511962</v>
      </c>
      <c r="FD300" s="5">
        <f t="shared" si="893"/>
        <v>127.68</v>
      </c>
      <c r="FE300" s="173">
        <f t="shared" si="894"/>
        <v>0.89749195822394379</v>
      </c>
      <c r="FF300" s="5">
        <f t="shared" si="895"/>
        <v>89.749195822394384</v>
      </c>
      <c r="FG300">
        <f t="shared" si="896"/>
        <v>84.000000000000014</v>
      </c>
      <c r="FI300" s="562">
        <f t="shared" si="846"/>
        <v>-50</v>
      </c>
    </row>
    <row r="301" spans="5:165">
      <c r="E301" s="170">
        <v>85</v>
      </c>
      <c r="F301" s="217">
        <f t="shared" si="847"/>
        <v>8.5</v>
      </c>
      <c r="G301" s="217">
        <f t="shared" si="775"/>
        <v>0.21249999999999999</v>
      </c>
      <c r="H301" s="217">
        <f t="shared" si="776"/>
        <v>127.5</v>
      </c>
      <c r="I301" s="217">
        <f t="shared" si="777"/>
        <v>1.7</v>
      </c>
      <c r="J301" s="541">
        <f t="shared" si="778"/>
        <v>84.440126084366952</v>
      </c>
      <c r="K301" s="443">
        <f t="shared" si="779"/>
        <v>16.002099999999999</v>
      </c>
      <c r="L301" s="172">
        <f t="shared" si="780"/>
        <v>100.44222608436695</v>
      </c>
      <c r="M301" s="443"/>
      <c r="N301" s="217">
        <f t="shared" si="781"/>
        <v>0.15931646105253536</v>
      </c>
      <c r="O301" s="172">
        <f t="shared" si="782"/>
        <v>331.89232052445453</v>
      </c>
      <c r="P301" s="172">
        <f t="shared" si="783"/>
        <v>4.4842340195304082</v>
      </c>
      <c r="Q301" s="217">
        <f t="shared" si="784"/>
        <v>22.126154701630302</v>
      </c>
      <c r="R301" s="217">
        <f t="shared" si="785"/>
        <v>41.486540065556817</v>
      </c>
      <c r="S301" s="217">
        <f t="shared" si="786"/>
        <v>15</v>
      </c>
      <c r="T301" s="217">
        <f t="shared" si="787"/>
        <v>19.208037082407504</v>
      </c>
      <c r="U301" s="217">
        <f t="shared" si="788"/>
        <v>2.7297027571772379</v>
      </c>
      <c r="V301" s="217">
        <f t="shared" si="789"/>
        <v>14.404137268789102</v>
      </c>
      <c r="W301" s="197">
        <f t="shared" si="790"/>
        <v>112.1058504882602</v>
      </c>
      <c r="X301" s="443">
        <f t="shared" si="848"/>
        <v>57.690621264646829</v>
      </c>
      <c r="Z301" s="217">
        <f t="shared" si="791"/>
        <v>10</v>
      </c>
      <c r="AA301" s="173">
        <f t="shared" si="792"/>
        <v>7.4990157541822642</v>
      </c>
      <c r="AB301" s="173">
        <f t="shared" si="793"/>
        <v>4.1481095671749904</v>
      </c>
      <c r="AC301" s="173"/>
      <c r="AD301" s="173">
        <f t="shared" si="794"/>
        <v>7.4990157541822642</v>
      </c>
      <c r="AE301" s="545">
        <f t="shared" si="795"/>
        <v>226.69641666666664</v>
      </c>
      <c r="AF301" s="528">
        <f t="shared" si="796"/>
        <v>4.2034176947373245</v>
      </c>
      <c r="AH301" s="173">
        <f t="shared" si="797"/>
        <v>7.8437114635744676</v>
      </c>
      <c r="AI301" s="173">
        <f t="shared" si="798"/>
        <v>19.208037082407504</v>
      </c>
      <c r="AJ301" s="173">
        <f t="shared" si="799"/>
        <v>8.0207682091907433</v>
      </c>
      <c r="AL301" s="545">
        <f t="shared" si="800"/>
        <v>8500</v>
      </c>
      <c r="AM301" s="460">
        <f t="shared" si="801"/>
        <v>57.690621264646829</v>
      </c>
      <c r="AO301">
        <f t="shared" si="802"/>
        <v>8500</v>
      </c>
      <c r="AP301">
        <f t="shared" si="803"/>
        <v>57.690621264646829</v>
      </c>
      <c r="AR301" s="5">
        <f t="shared" si="774"/>
        <v>17.333840025966339</v>
      </c>
      <c r="AS301" s="5">
        <f t="shared" si="739"/>
        <v>2.7297027571772379</v>
      </c>
      <c r="AT301" s="5">
        <f t="shared" si="740"/>
        <v>14.604137268789101</v>
      </c>
      <c r="AU301" s="173">
        <f t="shared" si="741"/>
        <v>0.15747824792937423</v>
      </c>
      <c r="BA301" s="173">
        <f t="shared" si="849"/>
        <v>4.4008102682019068</v>
      </c>
      <c r="BB301" s="173">
        <f t="shared" si="850"/>
        <v>10.179182932321693</v>
      </c>
      <c r="BC301" s="173">
        <f t="shared" si="851"/>
        <v>0.25068732868619703</v>
      </c>
      <c r="BD301" s="173"/>
      <c r="BE301" s="528">
        <f t="shared" si="852"/>
        <v>0.38734262033422684</v>
      </c>
      <c r="BF301" s="528">
        <f t="shared" si="804"/>
        <v>2.0869200077470889</v>
      </c>
      <c r="BG301" s="528">
        <f t="shared" si="805"/>
        <v>0.12178508333680599</v>
      </c>
      <c r="BH301" s="528">
        <f t="shared" si="853"/>
        <v>5.820199543592277E-2</v>
      </c>
      <c r="BI301">
        <f t="shared" si="854"/>
        <v>3.7998056737965129E-2</v>
      </c>
      <c r="BJ301" s="460">
        <f t="shared" si="855"/>
        <v>159.78314007477113</v>
      </c>
      <c r="BK301">
        <f t="shared" si="806"/>
        <v>2.9043412243117874</v>
      </c>
      <c r="BL301" s="460">
        <f t="shared" si="856"/>
        <v>2692.2477635920095</v>
      </c>
      <c r="BM301" s="173">
        <f t="shared" si="807"/>
        <v>5.2806249999999988</v>
      </c>
      <c r="BN301" s="173">
        <f t="shared" si="808"/>
        <v>9.4296874999999988E-2</v>
      </c>
      <c r="BQ301" s="460">
        <f t="shared" si="857"/>
        <v>5374.9218749999991</v>
      </c>
      <c r="BR301" s="528">
        <f t="shared" si="858"/>
        <v>0.5810139305013402</v>
      </c>
      <c r="BS301" s="528">
        <f t="shared" si="859"/>
        <v>3.1084729550900776</v>
      </c>
      <c r="BT301" s="528">
        <f t="shared" si="860"/>
        <v>3.1422068381910695E-4</v>
      </c>
      <c r="BU301" s="528">
        <f t="shared" si="861"/>
        <v>2.0438099432704253</v>
      </c>
      <c r="BV301" s="528"/>
      <c r="BW301" s="625">
        <f t="shared" si="862"/>
        <v>2.1284879057753586E-2</v>
      </c>
      <c r="BX301" s="460">
        <f t="shared" si="863"/>
        <v>5754.8959286034151</v>
      </c>
      <c r="BY301" s="173">
        <f t="shared" si="864"/>
        <v>13.822065567195423</v>
      </c>
      <c r="BZ301" s="5">
        <f t="shared" si="865"/>
        <v>129.19999999999999</v>
      </c>
      <c r="CA301" s="173">
        <f t="shared" si="866"/>
        <v>0.90335711127943785</v>
      </c>
      <c r="CB301" s="5">
        <f t="shared" si="867"/>
        <v>90.335711127943782</v>
      </c>
      <c r="CC301">
        <f t="shared" si="868"/>
        <v>85</v>
      </c>
      <c r="CE301" s="562">
        <f t="shared" si="809"/>
        <v>-50</v>
      </c>
      <c r="CG301" s="173">
        <f t="shared" si="810"/>
        <v>0.84409136047666333</v>
      </c>
      <c r="CH301" s="173">
        <f t="shared" si="811"/>
        <v>0.1020398968288061</v>
      </c>
      <c r="CI301" s="170">
        <v>85</v>
      </c>
      <c r="CJ301" s="217">
        <f t="shared" si="869"/>
        <v>8.5</v>
      </c>
      <c r="CK301" s="217">
        <f t="shared" si="812"/>
        <v>0.21249999999999999</v>
      </c>
      <c r="CL301" s="217">
        <f t="shared" si="813"/>
        <v>127.5</v>
      </c>
      <c r="CM301" s="217">
        <f t="shared" si="814"/>
        <v>1.7</v>
      </c>
      <c r="CN301" s="541">
        <f t="shared" si="815"/>
        <v>85</v>
      </c>
      <c r="CO301" s="443">
        <f t="shared" si="816"/>
        <v>15.7</v>
      </c>
      <c r="CP301" s="443">
        <f t="shared" si="817"/>
        <v>100.7</v>
      </c>
      <c r="CQ301" s="443"/>
      <c r="CR301" s="217">
        <f t="shared" si="818"/>
        <v>0.15338645418326693</v>
      </c>
      <c r="CS301" s="172">
        <f t="shared" si="819"/>
        <v>321.65744915076539</v>
      </c>
      <c r="CT301" s="172">
        <f t="shared" si="820"/>
        <v>4.3459495351925632</v>
      </c>
      <c r="CU301" s="217">
        <f t="shared" si="821"/>
        <v>21.443829943384358</v>
      </c>
      <c r="CV301" s="217">
        <f t="shared" si="822"/>
        <v>40.207181143845673</v>
      </c>
      <c r="CW301" s="217">
        <f t="shared" si="823"/>
        <v>15</v>
      </c>
      <c r="CX301" s="217">
        <f t="shared" si="824"/>
        <v>19.819220779220778</v>
      </c>
      <c r="CY301" s="217">
        <f t="shared" si="825"/>
        <v>2.7980076394194038</v>
      </c>
      <c r="CZ301" s="217">
        <f t="shared" si="826"/>
        <v>15.148449003226073</v>
      </c>
      <c r="DA301" s="197">
        <f t="shared" si="827"/>
        <v>110.43528632903013</v>
      </c>
      <c r="DB301" s="443">
        <f t="shared" si="828"/>
        <v>55.721305877380743</v>
      </c>
      <c r="DD301" s="217">
        <f t="shared" si="829"/>
        <v>9.9999999999999982</v>
      </c>
      <c r="DE301" s="173">
        <f t="shared" si="830"/>
        <v>7.6433121019108263</v>
      </c>
      <c r="DF301" s="173">
        <f t="shared" si="831"/>
        <v>4.1649244760361679</v>
      </c>
      <c r="DG301" s="173"/>
      <c r="DH301" s="173">
        <f t="shared" si="832"/>
        <v>7.6433121019108281</v>
      </c>
      <c r="DI301" s="545">
        <f t="shared" si="833"/>
        <v>222.41666666666666</v>
      </c>
      <c r="DJ301" s="528">
        <f t="shared" si="834"/>
        <v>4.2204568023833167</v>
      </c>
      <c r="DL301" s="173">
        <f t="shared" si="835"/>
        <v>7.8437114635744676</v>
      </c>
      <c r="DM301" s="173">
        <f t="shared" si="836"/>
        <v>19.819220779220778</v>
      </c>
      <c r="DN301" s="173">
        <f t="shared" si="837"/>
        <v>8.4734968734968721</v>
      </c>
      <c r="DP301" s="545">
        <f t="shared" si="838"/>
        <v>8500</v>
      </c>
      <c r="DQ301" s="460">
        <f t="shared" si="839"/>
        <v>55.721305877380743</v>
      </c>
      <c r="DS301">
        <f t="shared" si="840"/>
        <v>8500</v>
      </c>
      <c r="DT301">
        <f t="shared" si="841"/>
        <v>55.721305877380743</v>
      </c>
      <c r="DV301" s="5">
        <f t="shared" si="870"/>
        <v>17.946456642645476</v>
      </c>
      <c r="DW301" s="5">
        <f t="shared" si="842"/>
        <v>2.7980076394194038</v>
      </c>
      <c r="DX301" s="5">
        <f t="shared" si="843"/>
        <v>15.148449003226073</v>
      </c>
      <c r="DY301" s="173">
        <f t="shared" si="844"/>
        <v>0.15590863952333664</v>
      </c>
      <c r="EA301" s="5">
        <f t="shared" si="871"/>
        <v>158.55376623376623</v>
      </c>
      <c r="EB301" s="5">
        <f t="shared" si="872"/>
        <v>7.4322077922077909</v>
      </c>
      <c r="EC301" s="5">
        <f t="shared" si="873"/>
        <v>6.3118537513441968</v>
      </c>
      <c r="ED301" s="5"/>
      <c r="EE301" s="173">
        <f t="shared" si="874"/>
        <v>4.5181540989176865</v>
      </c>
      <c r="EF301" s="173">
        <f t="shared" si="875"/>
        <v>10.51285503420767</v>
      </c>
      <c r="EG301" s="173">
        <f t="shared" si="876"/>
        <v>0.25890482201891829</v>
      </c>
      <c r="EH301" s="173"/>
      <c r="EI301" s="528">
        <f t="shared" si="877"/>
        <v>0.40827432923133389</v>
      </c>
      <c r="EJ301" s="528">
        <f t="shared" si="878"/>
        <v>2.2241666666666671</v>
      </c>
      <c r="EK301" s="528">
        <f t="shared" si="879"/>
        <v>6.9651632346725929E-3</v>
      </c>
      <c r="EL301" s="528">
        <f t="shared" si="880"/>
        <v>5.6504134503652062E-2</v>
      </c>
      <c r="EM301">
        <f t="shared" si="881"/>
        <v>3.8249999999999999E-2</v>
      </c>
      <c r="EN301" s="460">
        <f t="shared" si="882"/>
        <v>45.215163234672588</v>
      </c>
      <c r="EP301" s="460">
        <f t="shared" si="883"/>
        <v>2734.1602936363256</v>
      </c>
      <c r="EQ301" s="173">
        <f t="shared" si="884"/>
        <v>5.9499999999999993</v>
      </c>
      <c r="ER301" s="173">
        <f t="shared" si="845"/>
        <v>9.4296874999999988E-2</v>
      </c>
      <c r="ES301" s="528"/>
      <c r="EU301" s="460">
        <f t="shared" si="885"/>
        <v>6044.296875</v>
      </c>
      <c r="EV301" s="528">
        <f t="shared" si="886"/>
        <v>0.61241149384700078</v>
      </c>
      <c r="EW301" s="528">
        <f t="shared" si="887"/>
        <v>3.315603629107966</v>
      </c>
      <c r="EX301" s="528">
        <f t="shared" si="888"/>
        <v>3.3515853432323876E-4</v>
      </c>
      <c r="EY301" s="528">
        <f t="shared" si="889"/>
        <v>2.0264675705467927</v>
      </c>
      <c r="EZ301" s="528"/>
      <c r="FA301" s="625">
        <f t="shared" si="890"/>
        <v>2.1887413215715103E-2</v>
      </c>
      <c r="FB301" s="460">
        <f t="shared" si="891"/>
        <v>5976.7052652517987</v>
      </c>
      <c r="FC301" s="173">
        <f t="shared" si="892"/>
        <v>14.75516243388812</v>
      </c>
      <c r="FD301" s="5">
        <f t="shared" si="893"/>
        <v>129.19999999999999</v>
      </c>
      <c r="FE301" s="173">
        <f t="shared" si="894"/>
        <v>0.89750167910327994</v>
      </c>
      <c r="FF301" s="5">
        <f t="shared" si="895"/>
        <v>89.750167910327988</v>
      </c>
      <c r="FG301">
        <f t="shared" si="896"/>
        <v>85</v>
      </c>
      <c r="FI301" s="562">
        <f t="shared" si="846"/>
        <v>-50</v>
      </c>
    </row>
    <row r="302" spans="5:165">
      <c r="E302" s="170">
        <v>86</v>
      </c>
      <c r="F302" s="217">
        <f t="shared" si="847"/>
        <v>8.6</v>
      </c>
      <c r="G302" s="217">
        <f t="shared" si="775"/>
        <v>0.215</v>
      </c>
      <c r="H302" s="217">
        <f t="shared" si="776"/>
        <v>129</v>
      </c>
      <c r="I302" s="217">
        <f t="shared" si="777"/>
        <v>1.72</v>
      </c>
      <c r="J302" s="541">
        <f t="shared" si="778"/>
        <v>84.433539332418334</v>
      </c>
      <c r="K302" s="443">
        <f t="shared" si="779"/>
        <v>16.005654117647058</v>
      </c>
      <c r="L302" s="172">
        <f t="shared" si="780"/>
        <v>100.43919345006539</v>
      </c>
      <c r="M302" s="443"/>
      <c r="N302" s="217">
        <f t="shared" si="781"/>
        <v>0.15935665717591083</v>
      </c>
      <c r="O302" s="172">
        <f t="shared" si="782"/>
        <v>331.9501623736424</v>
      </c>
      <c r="P302" s="172">
        <f t="shared" si="783"/>
        <v>4.4850155271816572</v>
      </c>
      <c r="Q302" s="217">
        <f t="shared" si="784"/>
        <v>22.130010824909494</v>
      </c>
      <c r="R302" s="217">
        <f t="shared" si="785"/>
        <v>41.4937702967053</v>
      </c>
      <c r="S302" s="217">
        <f t="shared" si="786"/>
        <v>15</v>
      </c>
      <c r="T302" s="217">
        <f t="shared" si="787"/>
        <v>19.430627639639152</v>
      </c>
      <c r="U302" s="217">
        <f t="shared" si="788"/>
        <v>2.761551079336845</v>
      </c>
      <c r="V302" s="217">
        <f t="shared" si="789"/>
        <v>14.567822718259956</v>
      </c>
      <c r="W302" s="197">
        <f t="shared" si="790"/>
        <v>112.12538817954142</v>
      </c>
      <c r="X302" s="443">
        <f t="shared" si="848"/>
        <v>57.047103424601261</v>
      </c>
      <c r="Z302" s="217">
        <f t="shared" si="791"/>
        <v>10</v>
      </c>
      <c r="AA302" s="173">
        <f t="shared" si="792"/>
        <v>7.4973505686152384</v>
      </c>
      <c r="AB302" s="173">
        <f t="shared" si="793"/>
        <v>4.1479112310399131</v>
      </c>
      <c r="AC302" s="173"/>
      <c r="AD302" s="173">
        <f t="shared" si="794"/>
        <v>7.4973505686152384</v>
      </c>
      <c r="AE302" s="545">
        <f t="shared" si="795"/>
        <v>229.4143756862745</v>
      </c>
      <c r="AF302" s="528">
        <f t="shared" si="796"/>
        <v>4.2032167141204457</v>
      </c>
      <c r="AH302" s="173">
        <f t="shared" si="797"/>
        <v>7.8897160308606198</v>
      </c>
      <c r="AI302" s="173">
        <f t="shared" si="798"/>
        <v>19.430627639639152</v>
      </c>
      <c r="AJ302" s="173">
        <f t="shared" si="799"/>
        <v>8.1856501034364086</v>
      </c>
      <c r="AL302" s="545">
        <f t="shared" si="800"/>
        <v>8600</v>
      </c>
      <c r="AM302" s="460">
        <f t="shared" si="801"/>
        <v>57.047103424601261</v>
      </c>
      <c r="AO302">
        <f t="shared" si="802"/>
        <v>8600</v>
      </c>
      <c r="AP302">
        <f t="shared" si="803"/>
        <v>57.047103424601261</v>
      </c>
      <c r="AR302" s="5">
        <f t="shared" si="774"/>
        <v>17.529373797596797</v>
      </c>
      <c r="AS302" s="5">
        <f t="shared" si="739"/>
        <v>2.761551079336845</v>
      </c>
      <c r="AT302" s="5">
        <f t="shared" si="740"/>
        <v>14.767822718259952</v>
      </c>
      <c r="AU302" s="173">
        <f t="shared" si="741"/>
        <v>0.15753849003524825</v>
      </c>
      <c r="BA302" s="173">
        <f t="shared" si="849"/>
        <v>4.4526600714094418</v>
      </c>
      <c r="BB302" s="173">
        <f t="shared" si="850"/>
        <v>10.296775309706385</v>
      </c>
      <c r="BC302" s="173">
        <f t="shared" si="851"/>
        <v>0.25358332919590632</v>
      </c>
      <c r="BD302" s="173"/>
      <c r="BE302" s="528">
        <f t="shared" si="852"/>
        <v>0.39652363423047876</v>
      </c>
      <c r="BF302" s="528">
        <f t="shared" si="804"/>
        <v>2.0874924614621637</v>
      </c>
      <c r="BG302" s="528">
        <f t="shared" si="805"/>
        <v>0.12041722127004018</v>
      </c>
      <c r="BH302" s="528">
        <f t="shared" si="853"/>
        <v>5.7549298094622663E-2</v>
      </c>
      <c r="BI302">
        <f t="shared" si="854"/>
        <v>3.799509269958825E-2</v>
      </c>
      <c r="BJ302" s="460">
        <f t="shared" si="855"/>
        <v>158.41231396962843</v>
      </c>
      <c r="BK302">
        <f t="shared" si="806"/>
        <v>2.9241198476608785</v>
      </c>
      <c r="BL302" s="460">
        <f t="shared" si="856"/>
        <v>2699.9777077568942</v>
      </c>
      <c r="BM302" s="173">
        <f t="shared" si="807"/>
        <v>5.3427499999999997</v>
      </c>
      <c r="BN302" s="173">
        <f t="shared" si="808"/>
        <v>9.5406249999999998E-2</v>
      </c>
      <c r="BQ302" s="460">
        <f t="shared" si="857"/>
        <v>5438.15625</v>
      </c>
      <c r="BR302" s="528">
        <f t="shared" si="858"/>
        <v>0.59478545134571803</v>
      </c>
      <c r="BS302" s="528">
        <f t="shared" si="859"/>
        <v>3.1807074533573707</v>
      </c>
      <c r="BT302" s="528">
        <f t="shared" si="860"/>
        <v>3.2152252423039691E-4</v>
      </c>
      <c r="BU302" s="528">
        <f t="shared" si="861"/>
        <v>2.045366187541211</v>
      </c>
      <c r="BV302" s="528"/>
      <c r="BW302" s="625">
        <f t="shared" si="862"/>
        <v>2.153809342134454E-2</v>
      </c>
      <c r="BX302" s="460">
        <f t="shared" si="863"/>
        <v>5842.7187081898755</v>
      </c>
      <c r="BY302" s="173">
        <f t="shared" si="864"/>
        <v>13.980852665946768</v>
      </c>
      <c r="BZ302" s="5">
        <f t="shared" si="865"/>
        <v>130.72</v>
      </c>
      <c r="CA302" s="173">
        <f t="shared" si="866"/>
        <v>0.90338099321209486</v>
      </c>
      <c r="CB302" s="5">
        <f t="shared" si="867"/>
        <v>90.338099321209484</v>
      </c>
      <c r="CC302">
        <f t="shared" si="868"/>
        <v>86</v>
      </c>
      <c r="CE302" s="562">
        <f t="shared" si="809"/>
        <v>-50</v>
      </c>
      <c r="CG302" s="173">
        <f t="shared" si="810"/>
        <v>0.84409136047666333</v>
      </c>
      <c r="CH302" s="173">
        <f t="shared" si="811"/>
        <v>0.1020398968288061</v>
      </c>
      <c r="CI302" s="170">
        <v>86</v>
      </c>
      <c r="CJ302" s="217">
        <f t="shared" si="869"/>
        <v>8.6</v>
      </c>
      <c r="CK302" s="217">
        <f t="shared" si="812"/>
        <v>0.215</v>
      </c>
      <c r="CL302" s="217">
        <f t="shared" si="813"/>
        <v>129</v>
      </c>
      <c r="CM302" s="217">
        <f t="shared" si="814"/>
        <v>1.72</v>
      </c>
      <c r="CN302" s="541">
        <f t="shared" si="815"/>
        <v>85</v>
      </c>
      <c r="CO302" s="443">
        <f t="shared" si="816"/>
        <v>15.7</v>
      </c>
      <c r="CP302" s="443">
        <f t="shared" si="817"/>
        <v>100.7</v>
      </c>
      <c r="CQ302" s="443"/>
      <c r="CR302" s="217">
        <f t="shared" si="818"/>
        <v>0.15338645418326693</v>
      </c>
      <c r="CS302" s="172">
        <f t="shared" si="819"/>
        <v>321.65744915076539</v>
      </c>
      <c r="CT302" s="172">
        <f t="shared" si="820"/>
        <v>4.3459495351925632</v>
      </c>
      <c r="CU302" s="217">
        <f t="shared" si="821"/>
        <v>21.443829943384358</v>
      </c>
      <c r="CV302" s="217">
        <f t="shared" si="822"/>
        <v>40.207181143845673</v>
      </c>
      <c r="CW302" s="217">
        <f t="shared" si="823"/>
        <v>15</v>
      </c>
      <c r="CX302" s="217">
        <f t="shared" si="824"/>
        <v>20.052388082505729</v>
      </c>
      <c r="CY302" s="217">
        <f t="shared" si="825"/>
        <v>2.8309253763537501</v>
      </c>
      <c r="CZ302" s="217">
        <f t="shared" si="826"/>
        <v>15.326666050322851</v>
      </c>
      <c r="DA302" s="197">
        <f t="shared" si="827"/>
        <v>110.43528632903013</v>
      </c>
      <c r="DB302" s="443">
        <f t="shared" si="828"/>
        <v>55.073383716015847</v>
      </c>
      <c r="DD302" s="217">
        <f t="shared" si="829"/>
        <v>9.9999999999999982</v>
      </c>
      <c r="DE302" s="173">
        <f t="shared" si="830"/>
        <v>7.6433121019108263</v>
      </c>
      <c r="DF302" s="173">
        <f t="shared" si="831"/>
        <v>4.1649244760361679</v>
      </c>
      <c r="DG302" s="173"/>
      <c r="DH302" s="173">
        <f t="shared" si="832"/>
        <v>7.6433121019108281</v>
      </c>
      <c r="DI302" s="545">
        <f t="shared" si="833"/>
        <v>225.03333333333333</v>
      </c>
      <c r="DJ302" s="528">
        <f t="shared" si="834"/>
        <v>4.2204568023833167</v>
      </c>
      <c r="DL302" s="173">
        <f t="shared" si="835"/>
        <v>7.8897160308606198</v>
      </c>
      <c r="DM302" s="173">
        <f t="shared" si="836"/>
        <v>20.052388082505729</v>
      </c>
      <c r="DN302" s="173">
        <f t="shared" si="837"/>
        <v>8.6462133944486883</v>
      </c>
      <c r="DP302" s="545">
        <f t="shared" si="838"/>
        <v>8600</v>
      </c>
      <c r="DQ302" s="460">
        <f t="shared" si="839"/>
        <v>55.073383716015847</v>
      </c>
      <c r="DS302">
        <f t="shared" si="840"/>
        <v>8600</v>
      </c>
      <c r="DT302">
        <f t="shared" si="841"/>
        <v>55.073383716015847</v>
      </c>
      <c r="DV302" s="5">
        <f t="shared" si="870"/>
        <v>18.1575914266766</v>
      </c>
      <c r="DW302" s="5">
        <f t="shared" si="842"/>
        <v>2.8309253763537501</v>
      </c>
      <c r="DX302" s="5">
        <f t="shared" si="843"/>
        <v>15.326666050322849</v>
      </c>
      <c r="DY302" s="173">
        <f t="shared" si="844"/>
        <v>0.15590863952333664</v>
      </c>
      <c r="EA302" s="5">
        <f t="shared" si="871"/>
        <v>162.30638824428166</v>
      </c>
      <c r="EB302" s="5">
        <f t="shared" si="872"/>
        <v>7.6081119489507039</v>
      </c>
      <c r="EC302" s="5">
        <f t="shared" si="873"/>
        <v>6.4612415702341419</v>
      </c>
      <c r="ED302" s="5"/>
      <c r="EE302" s="173">
        <f t="shared" si="874"/>
        <v>4.5713088530226011</v>
      </c>
      <c r="EF302" s="173">
        <f t="shared" si="875"/>
        <v>10.636535681668937</v>
      </c>
      <c r="EG302" s="173">
        <f t="shared" si="876"/>
        <v>0.26195076110149385</v>
      </c>
      <c r="EH302" s="173"/>
      <c r="EI302" s="528">
        <f t="shared" si="877"/>
        <v>0.41793729259445622</v>
      </c>
      <c r="EJ302" s="528">
        <f t="shared" si="878"/>
        <v>2.2241666666666671</v>
      </c>
      <c r="EK302" s="528">
        <f t="shared" si="879"/>
        <v>6.8841729645019801E-3</v>
      </c>
      <c r="EL302" s="528">
        <f t="shared" si="880"/>
        <v>5.5847109683842155E-2</v>
      </c>
      <c r="EM302">
        <f t="shared" si="881"/>
        <v>3.8249999999999999E-2</v>
      </c>
      <c r="EN302" s="460">
        <f t="shared" si="882"/>
        <v>45.134172964501978</v>
      </c>
      <c r="EP302" s="460">
        <f t="shared" si="883"/>
        <v>2743.0852419094676</v>
      </c>
      <c r="EQ302" s="173">
        <f t="shared" si="884"/>
        <v>6.02</v>
      </c>
      <c r="ER302" s="173">
        <f t="shared" si="845"/>
        <v>9.5406249999999998E-2</v>
      </c>
      <c r="ES302" s="528"/>
      <c r="EU302" s="460">
        <f t="shared" si="885"/>
        <v>6115.4062499999991</v>
      </c>
      <c r="EV302" s="528">
        <f t="shared" si="886"/>
        <v>0.62690593889168422</v>
      </c>
      <c r="EW302" s="528">
        <f t="shared" si="887"/>
        <v>3.394076739222494</v>
      </c>
      <c r="EX302" s="528">
        <f t="shared" si="888"/>
        <v>3.430910062082595E-4</v>
      </c>
      <c r="EY302" s="528">
        <f t="shared" si="889"/>
        <v>2.0264675705467923</v>
      </c>
      <c r="EZ302" s="528"/>
      <c r="FA302" s="625">
        <f t="shared" si="890"/>
        <v>2.2144912194723514E-2</v>
      </c>
      <c r="FB302" s="460">
        <f t="shared" si="891"/>
        <v>6069.9382518619013</v>
      </c>
      <c r="FC302" s="173">
        <f t="shared" si="892"/>
        <v>14.928429743771369</v>
      </c>
      <c r="FD302" s="5">
        <f t="shared" si="893"/>
        <v>130.72</v>
      </c>
      <c r="FE302" s="173">
        <f t="shared" si="894"/>
        <v>0.89750366845674978</v>
      </c>
      <c r="FF302" s="5">
        <f t="shared" si="895"/>
        <v>89.750366845674975</v>
      </c>
      <c r="FG302">
        <f t="shared" si="896"/>
        <v>86</v>
      </c>
      <c r="FI302" s="562">
        <f t="shared" si="846"/>
        <v>-50</v>
      </c>
    </row>
    <row r="303" spans="5:165">
      <c r="E303" s="170">
        <v>87</v>
      </c>
      <c r="F303" s="217">
        <f t="shared" si="847"/>
        <v>8.6999999999999993</v>
      </c>
      <c r="G303" s="217">
        <f t="shared" si="775"/>
        <v>0.2175</v>
      </c>
      <c r="H303" s="217">
        <f t="shared" si="776"/>
        <v>130.5</v>
      </c>
      <c r="I303" s="217">
        <f t="shared" si="777"/>
        <v>1.74</v>
      </c>
      <c r="J303" s="541">
        <f t="shared" si="778"/>
        <v>84.426952580469703</v>
      </c>
      <c r="K303" s="443">
        <f t="shared" si="779"/>
        <v>16.009208235294118</v>
      </c>
      <c r="L303" s="172">
        <f t="shared" si="780"/>
        <v>100.43616081576383</v>
      </c>
      <c r="M303" s="443"/>
      <c r="N303" s="217">
        <f t="shared" si="781"/>
        <v>0.1593968557267017</v>
      </c>
      <c r="O303" s="172">
        <f t="shared" si="782"/>
        <v>332.00799621498885</v>
      </c>
      <c r="P303" s="172">
        <f t="shared" si="783"/>
        <v>4.4857969266380717</v>
      </c>
      <c r="Q303" s="217">
        <f t="shared" si="784"/>
        <v>22.133866414332591</v>
      </c>
      <c r="R303" s="217">
        <f t="shared" si="785"/>
        <v>41.500999526873606</v>
      </c>
      <c r="S303" s="217">
        <f t="shared" si="786"/>
        <v>15</v>
      </c>
      <c r="T303" s="217">
        <f t="shared" si="787"/>
        <v>19.653141112224279</v>
      </c>
      <c r="U303" s="217">
        <f t="shared" si="788"/>
        <v>2.7933934145249149</v>
      </c>
      <c r="V303" s="217">
        <f t="shared" si="789"/>
        <v>14.731377709658394</v>
      </c>
      <c r="W303" s="197">
        <f t="shared" si="790"/>
        <v>112.14492316595179</v>
      </c>
      <c r="X303" s="443">
        <f t="shared" si="848"/>
        <v>56.418217927543267</v>
      </c>
      <c r="Z303" s="217">
        <f t="shared" si="791"/>
        <v>10</v>
      </c>
      <c r="AA303" s="173">
        <f t="shared" si="792"/>
        <v>7.4956861224058775</v>
      </c>
      <c r="AB303" s="173">
        <f t="shared" si="793"/>
        <v>4.1477128829274577</v>
      </c>
      <c r="AC303" s="173"/>
      <c r="AD303" s="173">
        <f t="shared" si="794"/>
        <v>7.4956861224058775</v>
      </c>
      <c r="AE303" s="545">
        <f t="shared" si="795"/>
        <v>232.13351941176467</v>
      </c>
      <c r="AF303" s="528">
        <f t="shared" si="796"/>
        <v>4.2030157213664916</v>
      </c>
      <c r="AH303" s="173">
        <f t="shared" si="797"/>
        <v>7.9354538982611809</v>
      </c>
      <c r="AI303" s="173">
        <f t="shared" si="798"/>
        <v>19.653141112224279</v>
      </c>
      <c r="AJ303" s="173">
        <f t="shared" si="799"/>
        <v>8.3504748979439096</v>
      </c>
      <c r="AL303" s="545">
        <f t="shared" si="800"/>
        <v>8700</v>
      </c>
      <c r="AM303" s="460">
        <f t="shared" si="801"/>
        <v>56.418217927543267</v>
      </c>
      <c r="AO303">
        <f t="shared" si="802"/>
        <v>8700</v>
      </c>
      <c r="AP303">
        <f t="shared" si="803"/>
        <v>56.418217927543267</v>
      </c>
      <c r="AR303" s="5">
        <f t="shared" si="774"/>
        <v>17.724771124183309</v>
      </c>
      <c r="AS303" s="5">
        <f t="shared" si="739"/>
        <v>2.7933934145249149</v>
      </c>
      <c r="AT303" s="5">
        <f t="shared" si="740"/>
        <v>14.931377709658396</v>
      </c>
      <c r="AU303" s="173">
        <f t="shared" si="741"/>
        <v>0.15759827841803084</v>
      </c>
      <c r="BA303" s="173">
        <f t="shared" si="849"/>
        <v>4.5045050651121281</v>
      </c>
      <c r="BB303" s="173">
        <f t="shared" si="850"/>
        <v>10.414321196188412</v>
      </c>
      <c r="BC303" s="173">
        <f t="shared" si="851"/>
        <v>0.25647818475318923</v>
      </c>
      <c r="BD303" s="173"/>
      <c r="BE303" s="528">
        <f t="shared" si="852"/>
        <v>0.40581131763241635</v>
      </c>
      <c r="BF303" s="528">
        <f t="shared" si="804"/>
        <v>2.0880587407724636</v>
      </c>
      <c r="BG303" s="528">
        <f t="shared" si="805"/>
        <v>0.11908045524108253</v>
      </c>
      <c r="BH303" s="528">
        <f t="shared" si="853"/>
        <v>5.6911439525709338E-2</v>
      </c>
      <c r="BI303">
        <f t="shared" si="854"/>
        <v>3.7992128661211363E-2</v>
      </c>
      <c r="BJ303" s="460">
        <f t="shared" si="855"/>
        <v>157.0725839022939</v>
      </c>
      <c r="BK303">
        <f t="shared" si="806"/>
        <v>2.9442360588031873</v>
      </c>
      <c r="BL303" s="460">
        <f t="shared" si="856"/>
        <v>2707.8540818328834</v>
      </c>
      <c r="BM303" s="173">
        <f t="shared" si="807"/>
        <v>5.4048749999999988</v>
      </c>
      <c r="BN303" s="173">
        <f t="shared" si="808"/>
        <v>9.6515624999999994E-2</v>
      </c>
      <c r="BQ303" s="460">
        <f t="shared" si="857"/>
        <v>5501.3906249999991</v>
      </c>
      <c r="BR303" s="528">
        <f t="shared" si="858"/>
        <v>0.60871697644862455</v>
      </c>
      <c r="BS303" s="528">
        <f t="shared" si="859"/>
        <v>3.253742579321377</v>
      </c>
      <c r="BT303" s="528">
        <f t="shared" si="860"/>
        <v>3.2890529627145534E-4</v>
      </c>
      <c r="BU303" s="528">
        <f t="shared" si="861"/>
        <v>2.0469081047962874</v>
      </c>
      <c r="BV303" s="528"/>
      <c r="BW303" s="625">
        <f t="shared" si="862"/>
        <v>2.1791308495375396E-2</v>
      </c>
      <c r="BX303" s="460">
        <f t="shared" si="863"/>
        <v>5931.4878743579357</v>
      </c>
      <c r="BY303" s="173">
        <f t="shared" si="864"/>
        <v>14.140732581190818</v>
      </c>
      <c r="BZ303" s="5">
        <f t="shared" si="865"/>
        <v>132.24</v>
      </c>
      <c r="CA303" s="173">
        <f t="shared" si="866"/>
        <v>0.90339758292063743</v>
      </c>
      <c r="CB303" s="5">
        <f t="shared" si="867"/>
        <v>90.339758292063749</v>
      </c>
      <c r="CC303">
        <f t="shared" si="868"/>
        <v>86.999999999999986</v>
      </c>
      <c r="CE303" s="562">
        <f t="shared" si="809"/>
        <v>-50</v>
      </c>
      <c r="CG303" s="173">
        <f t="shared" si="810"/>
        <v>0.84409136047666333</v>
      </c>
      <c r="CH303" s="173">
        <f t="shared" si="811"/>
        <v>0.1020398968288061</v>
      </c>
      <c r="CI303" s="170">
        <v>87</v>
      </c>
      <c r="CJ303" s="217">
        <f t="shared" si="869"/>
        <v>8.6999999999999993</v>
      </c>
      <c r="CK303" s="217">
        <f t="shared" si="812"/>
        <v>0.2175</v>
      </c>
      <c r="CL303" s="217">
        <f t="shared" si="813"/>
        <v>130.5</v>
      </c>
      <c r="CM303" s="217">
        <f t="shared" si="814"/>
        <v>1.74</v>
      </c>
      <c r="CN303" s="541">
        <f t="shared" si="815"/>
        <v>85</v>
      </c>
      <c r="CO303" s="443">
        <f t="shared" si="816"/>
        <v>15.7</v>
      </c>
      <c r="CP303" s="443">
        <f t="shared" si="817"/>
        <v>100.7</v>
      </c>
      <c r="CQ303" s="443"/>
      <c r="CR303" s="217">
        <f t="shared" si="818"/>
        <v>0.15338645418326693</v>
      </c>
      <c r="CS303" s="172">
        <f t="shared" si="819"/>
        <v>321.65744915076539</v>
      </c>
      <c r="CT303" s="172">
        <f t="shared" si="820"/>
        <v>4.3459495351925632</v>
      </c>
      <c r="CU303" s="217">
        <f t="shared" si="821"/>
        <v>21.443829943384358</v>
      </c>
      <c r="CV303" s="217">
        <f t="shared" si="822"/>
        <v>40.207181143845673</v>
      </c>
      <c r="CW303" s="217">
        <f t="shared" si="823"/>
        <v>15</v>
      </c>
      <c r="CX303" s="217">
        <f t="shared" si="824"/>
        <v>20.28555538579068</v>
      </c>
      <c r="CY303" s="217">
        <f t="shared" si="825"/>
        <v>2.8638431132880964</v>
      </c>
      <c r="CZ303" s="217">
        <f t="shared" si="826"/>
        <v>15.504883097419629</v>
      </c>
      <c r="DA303" s="197">
        <f t="shared" si="827"/>
        <v>110.43528632903013</v>
      </c>
      <c r="DB303" s="443">
        <f t="shared" si="828"/>
        <v>54.440356316981166</v>
      </c>
      <c r="DD303" s="217">
        <f t="shared" si="829"/>
        <v>9.9999999999999982</v>
      </c>
      <c r="DE303" s="173">
        <f t="shared" si="830"/>
        <v>7.6433121019108263</v>
      </c>
      <c r="DF303" s="173">
        <f t="shared" si="831"/>
        <v>4.1649244760361679</v>
      </c>
      <c r="DG303" s="173"/>
      <c r="DH303" s="173">
        <f t="shared" si="832"/>
        <v>7.6433121019108281</v>
      </c>
      <c r="DI303" s="545">
        <f t="shared" si="833"/>
        <v>227.65</v>
      </c>
      <c r="DJ303" s="528">
        <f t="shared" si="834"/>
        <v>4.2204568023833167</v>
      </c>
      <c r="DL303" s="173">
        <f t="shared" si="835"/>
        <v>7.9354538982611809</v>
      </c>
      <c r="DM303" s="173">
        <f t="shared" si="836"/>
        <v>20.28555538579068</v>
      </c>
      <c r="DN303" s="173">
        <f t="shared" si="837"/>
        <v>8.8189299154005028</v>
      </c>
      <c r="DP303" s="545">
        <f t="shared" si="838"/>
        <v>8700</v>
      </c>
      <c r="DQ303" s="460">
        <f t="shared" si="839"/>
        <v>54.440356316981166</v>
      </c>
      <c r="DS303">
        <f t="shared" si="840"/>
        <v>8700</v>
      </c>
      <c r="DT303">
        <f t="shared" si="841"/>
        <v>54.440356316981166</v>
      </c>
      <c r="DV303" s="5">
        <f t="shared" si="870"/>
        <v>18.368726210707727</v>
      </c>
      <c r="DW303" s="5">
        <f t="shared" si="842"/>
        <v>2.8638431132880964</v>
      </c>
      <c r="DX303" s="5">
        <f t="shared" si="843"/>
        <v>15.504883097419631</v>
      </c>
      <c r="DY303" s="173">
        <f t="shared" si="844"/>
        <v>0.15590863952333664</v>
      </c>
      <c r="EA303" s="5">
        <f t="shared" si="871"/>
        <v>166.10290057070955</v>
      </c>
      <c r="EB303" s="5">
        <f t="shared" si="872"/>
        <v>7.786073464252012</v>
      </c>
      <c r="EC303" s="5">
        <f t="shared" si="873"/>
        <v>6.6123766150760188</v>
      </c>
      <c r="ED303" s="5"/>
      <c r="EE303" s="173">
        <f t="shared" si="874"/>
        <v>4.6244636071275149</v>
      </c>
      <c r="EF303" s="173">
        <f t="shared" si="875"/>
        <v>10.760216329130204</v>
      </c>
      <c r="EG303" s="173">
        <f t="shared" si="876"/>
        <v>0.26499670018406934</v>
      </c>
      <c r="EH303" s="173"/>
      <c r="EI303" s="528">
        <f t="shared" si="877"/>
        <v>0.42771327307293655</v>
      </c>
      <c r="EJ303" s="528">
        <f t="shared" si="878"/>
        <v>2.2241666666666662</v>
      </c>
      <c r="EK303" s="528">
        <f t="shared" si="879"/>
        <v>6.8050445396226457E-3</v>
      </c>
      <c r="EL303" s="528">
        <f t="shared" si="880"/>
        <v>5.5205188882878439E-2</v>
      </c>
      <c r="EM303">
        <f t="shared" si="881"/>
        <v>3.8249999999999999E-2</v>
      </c>
      <c r="EN303" s="460">
        <f t="shared" si="882"/>
        <v>45.055044539622649</v>
      </c>
      <c r="EP303" s="460">
        <f t="shared" si="883"/>
        <v>2752.140173162104</v>
      </c>
      <c r="EQ303" s="173">
        <f t="shared" si="884"/>
        <v>6.089999999999999</v>
      </c>
      <c r="ER303" s="173">
        <f t="shared" si="845"/>
        <v>9.6515624999999994E-2</v>
      </c>
      <c r="ES303" s="528"/>
      <c r="EU303" s="460">
        <f t="shared" si="885"/>
        <v>6186.5156249999991</v>
      </c>
      <c r="EV303" s="528">
        <f t="shared" si="886"/>
        <v>0.64156990960940474</v>
      </c>
      <c r="EW303" s="528">
        <f t="shared" si="887"/>
        <v>3.4734676634904083</v>
      </c>
      <c r="EX303" s="528">
        <f t="shared" si="888"/>
        <v>3.5111625554222774E-4</v>
      </c>
      <c r="EY303" s="528">
        <f t="shared" si="889"/>
        <v>2.0264675705467892</v>
      </c>
      <c r="EZ303" s="528"/>
      <c r="FA303" s="625">
        <f t="shared" si="890"/>
        <v>2.2402411173731925E-2</v>
      </c>
      <c r="FB303" s="460">
        <f t="shared" si="891"/>
        <v>6164.2586710758769</v>
      </c>
      <c r="FC303" s="173">
        <f t="shared" si="892"/>
        <v>15.10291446923798</v>
      </c>
      <c r="FD303" s="5">
        <f t="shared" si="893"/>
        <v>132.24</v>
      </c>
      <c r="FE303" s="173">
        <f t="shared" si="894"/>
        <v>0.89749819647831697</v>
      </c>
      <c r="FF303" s="5">
        <f t="shared" si="895"/>
        <v>89.7498196478317</v>
      </c>
      <c r="FG303">
        <f t="shared" si="896"/>
        <v>86.999999999999986</v>
      </c>
      <c r="FI303" s="562">
        <f t="shared" si="846"/>
        <v>-50</v>
      </c>
    </row>
    <row r="304" spans="5:165">
      <c r="E304" s="170">
        <v>88</v>
      </c>
      <c r="F304" s="217">
        <f t="shared" si="847"/>
        <v>8.8000000000000007</v>
      </c>
      <c r="G304" s="217">
        <f t="shared" si="775"/>
        <v>0.22</v>
      </c>
      <c r="H304" s="217">
        <f t="shared" si="776"/>
        <v>132</v>
      </c>
      <c r="I304" s="217">
        <f t="shared" si="777"/>
        <v>1.76</v>
      </c>
      <c r="J304" s="541">
        <f t="shared" si="778"/>
        <v>84.420365828521085</v>
      </c>
      <c r="K304" s="443">
        <f t="shared" si="779"/>
        <v>16.012762352941177</v>
      </c>
      <c r="L304" s="172">
        <f t="shared" si="780"/>
        <v>100.43312818146227</v>
      </c>
      <c r="M304" s="443"/>
      <c r="N304" s="217">
        <f t="shared" si="781"/>
        <v>0.15943705670512789</v>
      </c>
      <c r="O304" s="172">
        <f t="shared" si="782"/>
        <v>332.06582204776868</v>
      </c>
      <c r="P304" s="172">
        <f t="shared" si="783"/>
        <v>4.4865782178898526</v>
      </c>
      <c r="Q304" s="217">
        <f t="shared" si="784"/>
        <v>22.137721469851247</v>
      </c>
      <c r="R304" s="217">
        <f t="shared" si="785"/>
        <v>41.508227755971085</v>
      </c>
      <c r="S304" s="217">
        <f t="shared" si="786"/>
        <v>15</v>
      </c>
      <c r="T304" s="217">
        <f t="shared" si="787"/>
        <v>19.875577556580243</v>
      </c>
      <c r="U304" s="217">
        <f t="shared" si="788"/>
        <v>2.8252297693595669</v>
      </c>
      <c r="V304" s="217">
        <f t="shared" si="789"/>
        <v>14.894802372131293</v>
      </c>
      <c r="W304" s="197">
        <f t="shared" si="790"/>
        <v>112.1644554472463</v>
      </c>
      <c r="X304" s="443">
        <f t="shared" si="848"/>
        <v>55.803471338908253</v>
      </c>
      <c r="Z304" s="217">
        <f t="shared" si="791"/>
        <v>10</v>
      </c>
      <c r="AA304" s="173">
        <f t="shared" si="792"/>
        <v>7.4940224150618686</v>
      </c>
      <c r="AB304" s="173">
        <f t="shared" si="793"/>
        <v>4.1475145228365404</v>
      </c>
      <c r="AC304" s="173"/>
      <c r="AD304" s="173">
        <f t="shared" si="794"/>
        <v>7.4940224150618686</v>
      </c>
      <c r="AE304" s="545">
        <f t="shared" si="795"/>
        <v>234.85384784313729</v>
      </c>
      <c r="AF304" s="528">
        <f t="shared" si="796"/>
        <v>4.2028147164743599</v>
      </c>
      <c r="AH304" s="173">
        <f t="shared" si="797"/>
        <v>7.9809296510643479</v>
      </c>
      <c r="AI304" s="173">
        <f t="shared" si="798"/>
        <v>19.875577556580243</v>
      </c>
      <c r="AJ304" s="173">
        <f t="shared" si="799"/>
        <v>8.515242634503883</v>
      </c>
      <c r="AL304" s="545">
        <f t="shared" si="800"/>
        <v>8800</v>
      </c>
      <c r="AM304" s="460">
        <f t="shared" si="801"/>
        <v>55.803471338908253</v>
      </c>
      <c r="AO304">
        <f t="shared" si="802"/>
        <v>8800</v>
      </c>
      <c r="AP304">
        <f t="shared" si="803"/>
        <v>55.803471338908253</v>
      </c>
      <c r="AR304" s="5">
        <f t="shared" si="774"/>
        <v>17.920032141490864</v>
      </c>
      <c r="AS304" s="5">
        <f t="shared" si="739"/>
        <v>2.8252297693595669</v>
      </c>
      <c r="AT304" s="5">
        <f t="shared" si="740"/>
        <v>15.094802372131298</v>
      </c>
      <c r="AU304" s="173">
        <f t="shared" si="741"/>
        <v>0.15765762846028694</v>
      </c>
      <c r="BA304" s="173">
        <f t="shared" si="849"/>
        <v>4.5563452524593897</v>
      </c>
      <c r="BB304" s="173">
        <f t="shared" si="850"/>
        <v>10.531820624956994</v>
      </c>
      <c r="BC304" s="173">
        <f t="shared" si="851"/>
        <v>0.25937189617541145</v>
      </c>
      <c r="BD304" s="173"/>
      <c r="BE304" s="528">
        <f t="shared" si="852"/>
        <v>0.41520564119218445</v>
      </c>
      <c r="BF304" s="528">
        <f t="shared" si="804"/>
        <v>2.0886190514261402</v>
      </c>
      <c r="BG304" s="528">
        <f t="shared" si="805"/>
        <v>0.11777373662330066</v>
      </c>
      <c r="BH304" s="528">
        <f t="shared" si="853"/>
        <v>5.6287919333357042E-2</v>
      </c>
      <c r="BI304">
        <f t="shared" si="854"/>
        <v>3.7989164622834484E-2</v>
      </c>
      <c r="BJ304" s="460">
        <f t="shared" si="855"/>
        <v>155.76290124613516</v>
      </c>
      <c r="BK304">
        <f t="shared" si="806"/>
        <v>2.9646936430098396</v>
      </c>
      <c r="BL304" s="460">
        <f t="shared" si="856"/>
        <v>2715.8755131978173</v>
      </c>
      <c r="BM304" s="173">
        <f t="shared" si="807"/>
        <v>5.4669999999999996</v>
      </c>
      <c r="BN304" s="173">
        <f t="shared" si="808"/>
        <v>9.762499999999999E-2</v>
      </c>
      <c r="BQ304" s="460">
        <f t="shared" si="857"/>
        <v>5564.6249999999991</v>
      </c>
      <c r="BR304" s="528">
        <f t="shared" si="858"/>
        <v>0.62280846178827665</v>
      </c>
      <c r="BS304" s="528">
        <f t="shared" si="859"/>
        <v>3.3275773702880862</v>
      </c>
      <c r="BT304" s="528">
        <f t="shared" si="860"/>
        <v>3.3636890262814213E-4</v>
      </c>
      <c r="BU304" s="528">
        <f t="shared" si="861"/>
        <v>2.0484361778591644</v>
      </c>
      <c r="BV304" s="528"/>
      <c r="BW304" s="625">
        <f t="shared" si="862"/>
        <v>2.2044524255790256E-2</v>
      </c>
      <c r="BX304" s="460">
        <f t="shared" si="863"/>
        <v>6021.2029030939448</v>
      </c>
      <c r="BY304" s="173">
        <f t="shared" si="864"/>
        <v>14.301703416291764</v>
      </c>
      <c r="BZ304" s="5">
        <f t="shared" si="865"/>
        <v>133.76</v>
      </c>
      <c r="CA304" s="173">
        <f t="shared" si="866"/>
        <v>0.90340713981872178</v>
      </c>
      <c r="CB304" s="5">
        <f t="shared" si="867"/>
        <v>90.340713981872184</v>
      </c>
      <c r="CC304">
        <f t="shared" si="868"/>
        <v>88.000000000000014</v>
      </c>
      <c r="CE304" s="562">
        <f t="shared" si="809"/>
        <v>-50</v>
      </c>
      <c r="CG304" s="173">
        <f t="shared" si="810"/>
        <v>0.84409136047666333</v>
      </c>
      <c r="CH304" s="173">
        <f t="shared" si="811"/>
        <v>0.1020398968288061</v>
      </c>
      <c r="CI304" s="170">
        <v>88</v>
      </c>
      <c r="CJ304" s="217">
        <f t="shared" si="869"/>
        <v>8.8000000000000007</v>
      </c>
      <c r="CK304" s="217">
        <f t="shared" si="812"/>
        <v>0.22</v>
      </c>
      <c r="CL304" s="217">
        <f t="shared" si="813"/>
        <v>132</v>
      </c>
      <c r="CM304" s="217">
        <f t="shared" si="814"/>
        <v>1.76</v>
      </c>
      <c r="CN304" s="541">
        <f t="shared" si="815"/>
        <v>85</v>
      </c>
      <c r="CO304" s="443">
        <f t="shared" si="816"/>
        <v>15.7</v>
      </c>
      <c r="CP304" s="443">
        <f t="shared" si="817"/>
        <v>100.7</v>
      </c>
      <c r="CQ304" s="443"/>
      <c r="CR304" s="217">
        <f t="shared" si="818"/>
        <v>0.15338645418326693</v>
      </c>
      <c r="CS304" s="172">
        <f t="shared" si="819"/>
        <v>321.65744915076539</v>
      </c>
      <c r="CT304" s="172">
        <f t="shared" si="820"/>
        <v>4.3459495351925632</v>
      </c>
      <c r="CU304" s="217">
        <f t="shared" si="821"/>
        <v>21.443829943384358</v>
      </c>
      <c r="CV304" s="217">
        <f t="shared" si="822"/>
        <v>40.207181143845673</v>
      </c>
      <c r="CW304" s="217">
        <f t="shared" si="823"/>
        <v>15</v>
      </c>
      <c r="CX304" s="217">
        <f t="shared" si="824"/>
        <v>20.518722689075627</v>
      </c>
      <c r="CY304" s="217">
        <f t="shared" si="825"/>
        <v>2.8967608502224418</v>
      </c>
      <c r="CZ304" s="217">
        <f t="shared" si="826"/>
        <v>15.683100144516407</v>
      </c>
      <c r="DA304" s="197">
        <f t="shared" si="827"/>
        <v>110.43528632903013</v>
      </c>
      <c r="DB304" s="443">
        <f t="shared" si="828"/>
        <v>53.821715904288212</v>
      </c>
      <c r="DD304" s="217">
        <f t="shared" si="829"/>
        <v>9.9999999999999982</v>
      </c>
      <c r="DE304" s="173">
        <f t="shared" si="830"/>
        <v>7.6433121019108263</v>
      </c>
      <c r="DF304" s="173">
        <f t="shared" si="831"/>
        <v>4.1649244760361679</v>
      </c>
      <c r="DG304" s="173"/>
      <c r="DH304" s="173">
        <f t="shared" si="832"/>
        <v>7.6433121019108281</v>
      </c>
      <c r="DI304" s="545">
        <f t="shared" si="833"/>
        <v>230.26666666666671</v>
      </c>
      <c r="DJ304" s="528">
        <f t="shared" si="834"/>
        <v>4.2204568023833167</v>
      </c>
      <c r="DL304" s="173">
        <f t="shared" si="835"/>
        <v>7.9809296510643479</v>
      </c>
      <c r="DM304" s="173">
        <f t="shared" si="836"/>
        <v>20.518722689075627</v>
      </c>
      <c r="DN304" s="173">
        <f t="shared" si="837"/>
        <v>8.9916464363523154</v>
      </c>
      <c r="DP304" s="545">
        <f t="shared" si="838"/>
        <v>8800</v>
      </c>
      <c r="DQ304" s="460">
        <f t="shared" si="839"/>
        <v>53.821715904288212</v>
      </c>
      <c r="DS304">
        <f t="shared" si="840"/>
        <v>8800</v>
      </c>
      <c r="DT304">
        <f t="shared" si="841"/>
        <v>53.821715904288212</v>
      </c>
      <c r="DV304" s="5">
        <f t="shared" si="870"/>
        <v>18.579860994738848</v>
      </c>
      <c r="DW304" s="5">
        <f t="shared" si="842"/>
        <v>2.8967608502224418</v>
      </c>
      <c r="DX304" s="5">
        <f t="shared" si="843"/>
        <v>15.683100144516406</v>
      </c>
      <c r="DY304" s="173">
        <f t="shared" si="844"/>
        <v>0.15590863952333664</v>
      </c>
      <c r="EA304" s="5">
        <f t="shared" si="871"/>
        <v>169.94330321304992</v>
      </c>
      <c r="EB304" s="5">
        <f t="shared" si="872"/>
        <v>7.9660923381117152</v>
      </c>
      <c r="EC304" s="5">
        <f t="shared" si="873"/>
        <v>6.7652588858698213</v>
      </c>
      <c r="ED304" s="5"/>
      <c r="EE304" s="173">
        <f t="shared" si="874"/>
        <v>4.6776183612324278</v>
      </c>
      <c r="EF304" s="173">
        <f t="shared" si="875"/>
        <v>10.883896976591467</v>
      </c>
      <c r="EG304" s="173">
        <f t="shared" si="876"/>
        <v>0.26804263926664484</v>
      </c>
      <c r="EH304" s="173"/>
      <c r="EI304" s="528">
        <f t="shared" si="877"/>
        <v>0.43760227066677487</v>
      </c>
      <c r="EJ304" s="528">
        <f t="shared" si="878"/>
        <v>2.2241666666666662</v>
      </c>
      <c r="EK304" s="528">
        <f t="shared" si="879"/>
        <v>6.7277144880360257E-3</v>
      </c>
      <c r="EL304" s="528">
        <f t="shared" si="880"/>
        <v>5.4577857191027562E-2</v>
      </c>
      <c r="EM304">
        <f t="shared" si="881"/>
        <v>3.8249999999999999E-2</v>
      </c>
      <c r="EN304" s="460">
        <f t="shared" si="882"/>
        <v>44.977714488036021</v>
      </c>
      <c r="EP304" s="460">
        <f t="shared" si="883"/>
        <v>2761.3245090125047</v>
      </c>
      <c r="EQ304" s="173">
        <f t="shared" si="884"/>
        <v>6.16</v>
      </c>
      <c r="ER304" s="173">
        <f t="shared" si="845"/>
        <v>9.762499999999999E-2</v>
      </c>
      <c r="ES304" s="528"/>
      <c r="EU304" s="460">
        <f t="shared" si="885"/>
        <v>6257.625</v>
      </c>
      <c r="EV304" s="528">
        <f t="shared" si="886"/>
        <v>0.65640340600016234</v>
      </c>
      <c r="EW304" s="528">
        <f t="shared" si="887"/>
        <v>3.5537764019117066</v>
      </c>
      <c r="EX304" s="528">
        <f t="shared" si="888"/>
        <v>3.5923428232514351E-4</v>
      </c>
      <c r="EY304" s="528">
        <f t="shared" si="889"/>
        <v>2.0264675705467892</v>
      </c>
      <c r="EZ304" s="528"/>
      <c r="FA304" s="625">
        <f t="shared" si="890"/>
        <v>2.2659910152740336E-2</v>
      </c>
      <c r="FB304" s="460">
        <f t="shared" si="891"/>
        <v>6259.6665228937245</v>
      </c>
      <c r="FC304" s="173">
        <f t="shared" si="892"/>
        <v>15.278616031906228</v>
      </c>
      <c r="FD304" s="5">
        <f t="shared" si="893"/>
        <v>133.76</v>
      </c>
      <c r="FE304" s="173">
        <f t="shared" si="894"/>
        <v>0.89748552127835524</v>
      </c>
      <c r="FF304" s="5">
        <f t="shared" si="895"/>
        <v>89.748552127835524</v>
      </c>
      <c r="FG304">
        <f t="shared" si="896"/>
        <v>88.000000000000014</v>
      </c>
      <c r="FI304" s="562">
        <f t="shared" si="846"/>
        <v>-50</v>
      </c>
    </row>
    <row r="305" spans="5:169">
      <c r="E305" s="170">
        <v>89</v>
      </c>
      <c r="F305" s="217">
        <f t="shared" si="847"/>
        <v>8.9</v>
      </c>
      <c r="G305" s="217">
        <f t="shared" si="775"/>
        <v>0.2225</v>
      </c>
      <c r="H305" s="217">
        <f t="shared" si="776"/>
        <v>133.5</v>
      </c>
      <c r="I305" s="217">
        <f t="shared" si="777"/>
        <v>1.78</v>
      </c>
      <c r="J305" s="541">
        <f t="shared" si="778"/>
        <v>84.413779076572453</v>
      </c>
      <c r="K305" s="443">
        <f t="shared" si="779"/>
        <v>16.016316470588233</v>
      </c>
      <c r="L305" s="172">
        <f t="shared" si="780"/>
        <v>100.43009554716069</v>
      </c>
      <c r="M305" s="443"/>
      <c r="N305" s="217">
        <f t="shared" si="781"/>
        <v>0.15947726011140928</v>
      </c>
      <c r="O305" s="172">
        <f t="shared" si="782"/>
        <v>332.12363987125616</v>
      </c>
      <c r="P305" s="172">
        <f t="shared" si="783"/>
        <v>4.4873594009271951</v>
      </c>
      <c r="Q305" s="217">
        <f t="shared" si="784"/>
        <v>22.141575991417078</v>
      </c>
      <c r="R305" s="217">
        <f t="shared" si="785"/>
        <v>41.51545498390702</v>
      </c>
      <c r="S305" s="217">
        <f t="shared" si="786"/>
        <v>15</v>
      </c>
      <c r="T305" s="217">
        <f t="shared" si="787"/>
        <v>20.097937029075936</v>
      </c>
      <c r="U305" s="217">
        <f t="shared" si="788"/>
        <v>2.8570601504541</v>
      </c>
      <c r="V305" s="217">
        <f t="shared" si="789"/>
        <v>15.058096834674593</v>
      </c>
      <c r="W305" s="197">
        <f t="shared" si="790"/>
        <v>112.18398502317986</v>
      </c>
      <c r="X305" s="443">
        <f t="shared" si="848"/>
        <v>55.202392163696494</v>
      </c>
      <c r="Z305" s="217">
        <f t="shared" si="791"/>
        <v>10</v>
      </c>
      <c r="AA305" s="173">
        <f t="shared" si="792"/>
        <v>7.4923594460913367</v>
      </c>
      <c r="AB305" s="173">
        <f t="shared" si="793"/>
        <v>4.1473161507660725</v>
      </c>
      <c r="AC305" s="173"/>
      <c r="AD305" s="173">
        <f t="shared" si="794"/>
        <v>7.4923594460913367</v>
      </c>
      <c r="AE305" s="545">
        <f t="shared" si="795"/>
        <v>237.57536098039211</v>
      </c>
      <c r="AF305" s="528">
        <f t="shared" si="796"/>
        <v>4.2026136994429528</v>
      </c>
      <c r="AH305" s="173">
        <f t="shared" si="797"/>
        <v>8.026147744656063</v>
      </c>
      <c r="AI305" s="173">
        <f t="shared" si="798"/>
        <v>20.097937029075936</v>
      </c>
      <c r="AJ305" s="173">
        <f t="shared" si="799"/>
        <v>8.6799533548710635</v>
      </c>
      <c r="AL305" s="545">
        <f t="shared" si="800"/>
        <v>8900</v>
      </c>
      <c r="AM305" s="460">
        <f t="shared" si="801"/>
        <v>55.202392163696494</v>
      </c>
      <c r="AO305">
        <f t="shared" si="802"/>
        <v>8900</v>
      </c>
      <c r="AP305">
        <f t="shared" si="803"/>
        <v>55.202392163696494</v>
      </c>
      <c r="AR305" s="5">
        <f t="shared" si="774"/>
        <v>18.115156985128696</v>
      </c>
      <c r="AS305" s="5">
        <f t="shared" si="739"/>
        <v>2.8570601504541</v>
      </c>
      <c r="AT305" s="5">
        <f t="shared" si="740"/>
        <v>15.258096834674596</v>
      </c>
      <c r="AU305" s="173">
        <f t="shared" si="741"/>
        <v>0.1577165548606369</v>
      </c>
      <c r="BA305" s="173">
        <f t="shared" si="849"/>
        <v>4.608180636681305</v>
      </c>
      <c r="BB305" s="173">
        <f t="shared" si="850"/>
        <v>10.649273629123694</v>
      </c>
      <c r="BC305" s="173">
        <f t="shared" si="851"/>
        <v>0.26226446427802674</v>
      </c>
      <c r="BD305" s="173"/>
      <c r="BE305" s="528">
        <f t="shared" si="852"/>
        <v>0.42470657560569036</v>
      </c>
      <c r="BF305" s="528">
        <f t="shared" si="804"/>
        <v>2.0891735900231718</v>
      </c>
      <c r="BG305" s="528">
        <f t="shared" si="805"/>
        <v>0.11649606341511476</v>
      </c>
      <c r="BH305" s="528">
        <f t="shared" si="853"/>
        <v>5.5678259370823609E-2</v>
      </c>
      <c r="BI305">
        <f t="shared" si="854"/>
        <v>3.7986200584457605E-2</v>
      </c>
      <c r="BJ305" s="460">
        <f t="shared" si="855"/>
        <v>154.48226399957238</v>
      </c>
      <c r="BK305">
        <f t="shared" si="806"/>
        <v>2.9854964946887317</v>
      </c>
      <c r="BL305" s="460">
        <f t="shared" si="856"/>
        <v>2724.0406889992582</v>
      </c>
      <c r="BM305" s="173">
        <f t="shared" si="807"/>
        <v>5.5291249999999996</v>
      </c>
      <c r="BN305" s="173">
        <f t="shared" si="808"/>
        <v>9.8734374999999999E-2</v>
      </c>
      <c r="BQ305" s="460">
        <f t="shared" si="857"/>
        <v>5627.859375</v>
      </c>
      <c r="BR305" s="528">
        <f t="shared" si="858"/>
        <v>0.63705986340853549</v>
      </c>
      <c r="BS305" s="528">
        <f t="shared" si="859"/>
        <v>3.4022108648384801</v>
      </c>
      <c r="BT305" s="528">
        <f t="shared" si="860"/>
        <v>3.4391324611520184E-4</v>
      </c>
      <c r="BU305" s="528">
        <f t="shared" si="861"/>
        <v>2.0499508682581453</v>
      </c>
      <c r="BV305" s="528"/>
      <c r="BW305" s="625">
        <f t="shared" si="862"/>
        <v>2.2297740679603176E-2</v>
      </c>
      <c r="BX305" s="460">
        <f t="shared" si="863"/>
        <v>6111.8632504308789</v>
      </c>
      <c r="BY305" s="173">
        <f t="shared" si="864"/>
        <v>14.463763314430135</v>
      </c>
      <c r="BZ305" s="5">
        <f t="shared" si="865"/>
        <v>135.28</v>
      </c>
      <c r="CA305" s="173">
        <f t="shared" si="866"/>
        <v>0.90340991174330709</v>
      </c>
      <c r="CB305" s="5">
        <f t="shared" si="867"/>
        <v>90.340991174330711</v>
      </c>
      <c r="CC305">
        <f t="shared" si="868"/>
        <v>89</v>
      </c>
      <c r="CE305" s="562">
        <f t="shared" si="809"/>
        <v>-50</v>
      </c>
      <c r="CG305" s="173">
        <f t="shared" si="810"/>
        <v>0.84409136047666333</v>
      </c>
      <c r="CH305" s="173">
        <f t="shared" si="811"/>
        <v>0.1020398968288061</v>
      </c>
      <c r="CI305" s="170">
        <v>89</v>
      </c>
      <c r="CJ305" s="217">
        <f t="shared" si="869"/>
        <v>8.9</v>
      </c>
      <c r="CK305" s="217">
        <f t="shared" si="812"/>
        <v>0.2225</v>
      </c>
      <c r="CL305" s="217">
        <f t="shared" si="813"/>
        <v>133.5</v>
      </c>
      <c r="CM305" s="217">
        <f t="shared" si="814"/>
        <v>1.78</v>
      </c>
      <c r="CN305" s="541">
        <f t="shared" si="815"/>
        <v>85</v>
      </c>
      <c r="CO305" s="443">
        <f t="shared" si="816"/>
        <v>15.7</v>
      </c>
      <c r="CP305" s="443">
        <f t="shared" si="817"/>
        <v>100.7</v>
      </c>
      <c r="CQ305" s="443"/>
      <c r="CR305" s="217">
        <f t="shared" si="818"/>
        <v>0.15338645418326693</v>
      </c>
      <c r="CS305" s="172">
        <f t="shared" si="819"/>
        <v>321.65744915076539</v>
      </c>
      <c r="CT305" s="172">
        <f t="shared" si="820"/>
        <v>4.3459495351925632</v>
      </c>
      <c r="CU305" s="217">
        <f t="shared" si="821"/>
        <v>21.443829943384358</v>
      </c>
      <c r="CV305" s="217">
        <f t="shared" si="822"/>
        <v>40.207181143845673</v>
      </c>
      <c r="CW305" s="217">
        <f t="shared" si="823"/>
        <v>15</v>
      </c>
      <c r="CX305" s="217">
        <f t="shared" si="824"/>
        <v>20.751889992360582</v>
      </c>
      <c r="CY305" s="217">
        <f t="shared" si="825"/>
        <v>2.9296785871567881</v>
      </c>
      <c r="CZ305" s="217">
        <f t="shared" si="826"/>
        <v>15.861317191613184</v>
      </c>
      <c r="DA305" s="197">
        <f t="shared" si="827"/>
        <v>110.43528632903013</v>
      </c>
      <c r="DB305" s="443">
        <f t="shared" si="828"/>
        <v>53.21697752334115</v>
      </c>
      <c r="DD305" s="217">
        <f t="shared" si="829"/>
        <v>9.9999999999999982</v>
      </c>
      <c r="DE305" s="173">
        <f t="shared" si="830"/>
        <v>7.6433121019108263</v>
      </c>
      <c r="DF305" s="173">
        <f t="shared" si="831"/>
        <v>4.1649244760361679</v>
      </c>
      <c r="DG305" s="173"/>
      <c r="DH305" s="173">
        <f t="shared" si="832"/>
        <v>7.6433121019108281</v>
      </c>
      <c r="DI305" s="545">
        <f t="shared" si="833"/>
        <v>232.88333333333338</v>
      </c>
      <c r="DJ305" s="528">
        <f t="shared" si="834"/>
        <v>4.2204568023833167</v>
      </c>
      <c r="DL305" s="173">
        <f t="shared" si="835"/>
        <v>8.026147744656063</v>
      </c>
      <c r="DM305" s="173">
        <f t="shared" si="836"/>
        <v>20.751889992360582</v>
      </c>
      <c r="DN305" s="173">
        <f t="shared" si="837"/>
        <v>9.1643629573041334</v>
      </c>
      <c r="DP305" s="545">
        <f t="shared" si="838"/>
        <v>8900</v>
      </c>
      <c r="DQ305" s="460">
        <f t="shared" si="839"/>
        <v>53.21697752334115</v>
      </c>
      <c r="DS305">
        <f t="shared" si="840"/>
        <v>8900</v>
      </c>
      <c r="DT305">
        <f t="shared" si="841"/>
        <v>53.21697752334115</v>
      </c>
      <c r="DV305" s="5">
        <f t="shared" si="870"/>
        <v>18.790995778769968</v>
      </c>
      <c r="DW305" s="5">
        <f t="shared" si="842"/>
        <v>2.9296785871567881</v>
      </c>
      <c r="DX305" s="5">
        <f t="shared" si="843"/>
        <v>15.86131719161318</v>
      </c>
      <c r="DY305" s="173">
        <f t="shared" si="844"/>
        <v>0.15590863952333667</v>
      </c>
      <c r="EA305" s="5">
        <f t="shared" si="871"/>
        <v>173.82759617130276</v>
      </c>
      <c r="EB305" s="5">
        <f t="shared" si="872"/>
        <v>8.1481685705298172</v>
      </c>
      <c r="EC305" s="5">
        <f t="shared" si="873"/>
        <v>6.9198883826155537</v>
      </c>
      <c r="ED305" s="5"/>
      <c r="EE305" s="173">
        <f t="shared" si="874"/>
        <v>4.7307731153373433</v>
      </c>
      <c r="EF305" s="173">
        <f t="shared" si="875"/>
        <v>11.007577624052736</v>
      </c>
      <c r="EG305" s="173">
        <f t="shared" si="876"/>
        <v>0.2710885783492204</v>
      </c>
      <c r="EH305" s="173"/>
      <c r="EI305" s="528">
        <f t="shared" si="877"/>
        <v>0.44760428537597186</v>
      </c>
      <c r="EJ305" s="528">
        <f t="shared" si="878"/>
        <v>2.2241666666666671</v>
      </c>
      <c r="EK305" s="528">
        <f t="shared" si="879"/>
        <v>6.6521221904176434E-3</v>
      </c>
      <c r="EL305" s="528">
        <f t="shared" si="880"/>
        <v>5.3964622840566571E-2</v>
      </c>
      <c r="EM305">
        <f t="shared" si="881"/>
        <v>3.8249999999999999E-2</v>
      </c>
      <c r="EN305" s="460">
        <f t="shared" si="882"/>
        <v>44.902122190417643</v>
      </c>
      <c r="EP305" s="460">
        <f t="shared" si="883"/>
        <v>2770.6376970736233</v>
      </c>
      <c r="EQ305" s="173">
        <f t="shared" si="884"/>
        <v>6.2299999999999995</v>
      </c>
      <c r="ER305" s="173">
        <f t="shared" si="845"/>
        <v>9.8734374999999999E-2</v>
      </c>
      <c r="ES305" s="528"/>
      <c r="EU305" s="460">
        <f t="shared" si="885"/>
        <v>6328.734375</v>
      </c>
      <c r="EV305" s="528">
        <f t="shared" si="886"/>
        <v>0.67140642806395778</v>
      </c>
      <c r="EW305" s="528">
        <f t="shared" si="887"/>
        <v>3.635002954486394</v>
      </c>
      <c r="EX305" s="528">
        <f t="shared" si="888"/>
        <v>3.6744508655700705E-4</v>
      </c>
      <c r="EY305" s="528">
        <f t="shared" si="889"/>
        <v>2.0264675705467927</v>
      </c>
      <c r="EZ305" s="528"/>
      <c r="FA305" s="625">
        <f t="shared" si="890"/>
        <v>2.2917409131748757E-2</v>
      </c>
      <c r="FB305" s="460">
        <f t="shared" si="891"/>
        <v>6356.1618073154505</v>
      </c>
      <c r="FC305" s="173">
        <f t="shared" si="892"/>
        <v>15.455533879389073</v>
      </c>
      <c r="FD305" s="5">
        <f t="shared" si="893"/>
        <v>135.28</v>
      </c>
      <c r="FE305" s="173">
        <f t="shared" si="894"/>
        <v>0.89746588955092832</v>
      </c>
      <c r="FF305" s="5">
        <f t="shared" si="895"/>
        <v>89.746588955092832</v>
      </c>
      <c r="FG305">
        <f t="shared" si="896"/>
        <v>89</v>
      </c>
      <c r="FI305" s="562">
        <f t="shared" si="846"/>
        <v>-50</v>
      </c>
    </row>
    <row r="306" spans="5:169">
      <c r="E306" s="170">
        <v>90</v>
      </c>
      <c r="F306" s="217">
        <f t="shared" si="847"/>
        <v>9</v>
      </c>
      <c r="G306" s="217">
        <f t="shared" si="775"/>
        <v>0.22500000000000001</v>
      </c>
      <c r="H306" s="217">
        <f t="shared" si="776"/>
        <v>135</v>
      </c>
      <c r="I306" s="217">
        <f t="shared" si="777"/>
        <v>1.8</v>
      </c>
      <c r="J306" s="541">
        <f t="shared" si="778"/>
        <v>84.407192324623836</v>
      </c>
      <c r="K306" s="443">
        <f t="shared" si="779"/>
        <v>16.019870588235293</v>
      </c>
      <c r="L306" s="172">
        <f t="shared" si="780"/>
        <v>100.42706291285913</v>
      </c>
      <c r="M306" s="443"/>
      <c r="N306" s="217">
        <f t="shared" si="781"/>
        <v>0.15951746594576588</v>
      </c>
      <c r="O306" s="172">
        <f t="shared" si="782"/>
        <v>332.18144968472598</v>
      </c>
      <c r="P306" s="172">
        <f t="shared" si="783"/>
        <v>4.4881404757402983</v>
      </c>
      <c r="Q306" s="217">
        <f t="shared" si="784"/>
        <v>22.145429978981731</v>
      </c>
      <c r="R306" s="217">
        <f t="shared" si="785"/>
        <v>41.522681210590747</v>
      </c>
      <c r="S306" s="217">
        <f t="shared" si="786"/>
        <v>15</v>
      </c>
      <c r="T306" s="217">
        <f t="shared" si="787"/>
        <v>20.320219586031783</v>
      </c>
      <c r="U306" s="217">
        <f t="shared" si="788"/>
        <v>2.8888845644169825</v>
      </c>
      <c r="V306" s="217">
        <f t="shared" si="789"/>
        <v>15.221261226133443</v>
      </c>
      <c r="W306" s="197">
        <f t="shared" si="790"/>
        <v>112.20351189350743</v>
      </c>
      <c r="X306" s="443">
        <f t="shared" si="848"/>
        <v>54.614529640505872</v>
      </c>
      <c r="Z306" s="217">
        <f t="shared" si="791"/>
        <v>10</v>
      </c>
      <c r="AA306" s="173">
        <f t="shared" si="792"/>
        <v>7.4906972150028395</v>
      </c>
      <c r="AB306" s="173">
        <f t="shared" si="793"/>
        <v>4.1471177667149703</v>
      </c>
      <c r="AC306" s="173"/>
      <c r="AD306" s="173">
        <f t="shared" si="794"/>
        <v>7.4906972150028395</v>
      </c>
      <c r="AE306" s="545">
        <f t="shared" si="795"/>
        <v>240.29805882352937</v>
      </c>
      <c r="AF306" s="528">
        <f t="shared" si="796"/>
        <v>4.2024126702711699</v>
      </c>
      <c r="AH306" s="173">
        <f t="shared" si="797"/>
        <v>8.0711125096145917</v>
      </c>
      <c r="AI306" s="173">
        <f t="shared" si="798"/>
        <v>20.320219586031783</v>
      </c>
      <c r="AJ306" s="173">
        <f t="shared" si="799"/>
        <v>8.8446071007642821</v>
      </c>
      <c r="AL306" s="545">
        <f t="shared" si="800"/>
        <v>9000</v>
      </c>
      <c r="AM306" s="460">
        <f t="shared" si="801"/>
        <v>54.614529640505872</v>
      </c>
      <c r="AO306">
        <f t="shared" si="802"/>
        <v>9000</v>
      </c>
      <c r="AP306">
        <f t="shared" si="803"/>
        <v>54.614529640505872</v>
      </c>
      <c r="AR306" s="5">
        <f t="shared" si="774"/>
        <v>18.310145790550422</v>
      </c>
      <c r="AS306" s="5">
        <f t="shared" si="739"/>
        <v>2.8888845644169825</v>
      </c>
      <c r="AT306" s="5">
        <f t="shared" si="740"/>
        <v>15.421261226133439</v>
      </c>
      <c r="AU306" s="173">
        <f t="shared" si="741"/>
        <v>0.15777507167135121</v>
      </c>
      <c r="BA306" s="173">
        <f t="shared" si="849"/>
        <v>4.6600112210839812</v>
      </c>
      <c r="BB306" s="173">
        <f t="shared" si="850"/>
        <v>10.766680241725146</v>
      </c>
      <c r="BC306" s="173">
        <f t="shared" si="851"/>
        <v>0.26515588987464278</v>
      </c>
      <c r="BD306" s="173"/>
      <c r="BE306" s="528">
        <f t="shared" si="852"/>
        <v>0.43431409161257234</v>
      </c>
      <c r="BF306" s="528">
        <f t="shared" si="804"/>
        <v>2.0897225445182204</v>
      </c>
      <c r="BG306" s="528">
        <f t="shared" si="805"/>
        <v>0.11524647767712619</v>
      </c>
      <c r="BH306" s="528">
        <f t="shared" si="853"/>
        <v>5.5082002517469753E-2</v>
      </c>
      <c r="BI306">
        <f t="shared" si="854"/>
        <v>3.7983236546080726E-2</v>
      </c>
      <c r="BJ306" s="460">
        <f t="shared" si="855"/>
        <v>153.22971422320691</v>
      </c>
      <c r="BK306">
        <f t="shared" si="806"/>
        <v>3.0066486190143151</v>
      </c>
      <c r="BL306" s="460">
        <f t="shared" si="856"/>
        <v>2732.3483528714692</v>
      </c>
      <c r="BM306" s="173">
        <f t="shared" si="807"/>
        <v>5.5912499999999996</v>
      </c>
      <c r="BN306" s="173">
        <f t="shared" si="808"/>
        <v>9.9843749999999995E-2</v>
      </c>
      <c r="BQ306" s="460">
        <f t="shared" si="857"/>
        <v>5691.0937499999991</v>
      </c>
      <c r="BR306" s="528">
        <f t="shared" si="858"/>
        <v>0.65147113741885854</v>
      </c>
      <c r="BS306" s="528">
        <f t="shared" si="859"/>
        <v>3.4776421028266391</v>
      </c>
      <c r="BT306" s="528">
        <f t="shared" si="860"/>
        <v>3.5153822967606845E-4</v>
      </c>
      <c r="BU306" s="528">
        <f t="shared" si="861"/>
        <v>2.0514526173872589</v>
      </c>
      <c r="BV306" s="528"/>
      <c r="BW306" s="625">
        <f t="shared" si="862"/>
        <v>2.2550957744839294E-2</v>
      </c>
      <c r="BX306" s="460">
        <f t="shared" si="863"/>
        <v>6203.4683536072725</v>
      </c>
      <c r="BY306" s="173">
        <f t="shared" si="864"/>
        <v>14.626910456478742</v>
      </c>
      <c r="BZ306" s="5">
        <f t="shared" si="865"/>
        <v>136.80000000000001</v>
      </c>
      <c r="CA306" s="173">
        <f t="shared" si="866"/>
        <v>0.90340613559118588</v>
      </c>
      <c r="CB306" s="5">
        <f t="shared" si="867"/>
        <v>90.340613559118594</v>
      </c>
      <c r="CC306">
        <f t="shared" si="868"/>
        <v>90</v>
      </c>
      <c r="CE306" s="562">
        <f t="shared" si="809"/>
        <v>-50</v>
      </c>
      <c r="CG306" s="173">
        <f t="shared" si="810"/>
        <v>0.84409136047666333</v>
      </c>
      <c r="CH306" s="173">
        <f t="shared" si="811"/>
        <v>0.1020398968288061</v>
      </c>
      <c r="CI306" s="170">
        <v>90</v>
      </c>
      <c r="CJ306" s="217">
        <f t="shared" si="869"/>
        <v>9</v>
      </c>
      <c r="CK306" s="217">
        <f t="shared" si="812"/>
        <v>0.22500000000000001</v>
      </c>
      <c r="CL306" s="217">
        <f t="shared" si="813"/>
        <v>135</v>
      </c>
      <c r="CM306" s="217">
        <f t="shared" si="814"/>
        <v>1.8</v>
      </c>
      <c r="CN306" s="541">
        <f t="shared" si="815"/>
        <v>85</v>
      </c>
      <c r="CO306" s="443">
        <f t="shared" si="816"/>
        <v>15.7</v>
      </c>
      <c r="CP306" s="443">
        <f t="shared" si="817"/>
        <v>100.7</v>
      </c>
      <c r="CQ306" s="443"/>
      <c r="CR306" s="217">
        <f t="shared" si="818"/>
        <v>0.15338645418326693</v>
      </c>
      <c r="CS306" s="172">
        <f t="shared" si="819"/>
        <v>321.65744915076539</v>
      </c>
      <c r="CT306" s="172">
        <f t="shared" si="820"/>
        <v>4.3459495351925632</v>
      </c>
      <c r="CU306" s="217">
        <f t="shared" si="821"/>
        <v>21.443829943384358</v>
      </c>
      <c r="CV306" s="217">
        <f t="shared" si="822"/>
        <v>40.207181143845673</v>
      </c>
      <c r="CW306" s="217">
        <f t="shared" si="823"/>
        <v>15</v>
      </c>
      <c r="CX306" s="217">
        <f t="shared" si="824"/>
        <v>20.985057295645532</v>
      </c>
      <c r="CY306" s="217">
        <f t="shared" si="825"/>
        <v>2.9625963240911335</v>
      </c>
      <c r="CZ306" s="217">
        <f t="shared" si="826"/>
        <v>16.039534238709962</v>
      </c>
      <c r="DA306" s="197">
        <f t="shared" si="827"/>
        <v>110.43528632903013</v>
      </c>
      <c r="DB306" s="443">
        <f t="shared" si="828"/>
        <v>52.625677773081804</v>
      </c>
      <c r="DD306" s="217">
        <f t="shared" si="829"/>
        <v>9.9999999999999982</v>
      </c>
      <c r="DE306" s="173">
        <f t="shared" si="830"/>
        <v>7.6433121019108263</v>
      </c>
      <c r="DF306" s="173">
        <f t="shared" si="831"/>
        <v>4.1649244760361679</v>
      </c>
      <c r="DG306" s="173"/>
      <c r="DH306" s="173">
        <f t="shared" si="832"/>
        <v>7.6433121019108281</v>
      </c>
      <c r="DI306" s="545">
        <f t="shared" si="833"/>
        <v>235.50000000000006</v>
      </c>
      <c r="DJ306" s="528">
        <f t="shared" si="834"/>
        <v>4.2204568023833167</v>
      </c>
      <c r="DL306" s="173">
        <f t="shared" si="835"/>
        <v>8.0711125096145917</v>
      </c>
      <c r="DM306" s="173">
        <f t="shared" si="836"/>
        <v>20.985057295645532</v>
      </c>
      <c r="DN306" s="173">
        <f t="shared" si="837"/>
        <v>9.3370794782559496</v>
      </c>
      <c r="DP306" s="545">
        <f t="shared" si="838"/>
        <v>9000</v>
      </c>
      <c r="DQ306" s="460">
        <f t="shared" si="839"/>
        <v>52.625677773081804</v>
      </c>
      <c r="DS306">
        <f t="shared" si="840"/>
        <v>9000</v>
      </c>
      <c r="DT306">
        <f t="shared" si="841"/>
        <v>52.625677773081804</v>
      </c>
      <c r="DV306" s="5">
        <f t="shared" si="870"/>
        <v>19.002130562801092</v>
      </c>
      <c r="DW306" s="5">
        <f t="shared" si="842"/>
        <v>2.9625963240911335</v>
      </c>
      <c r="DX306" s="5">
        <f t="shared" si="843"/>
        <v>16.039534238709958</v>
      </c>
      <c r="DY306" s="173">
        <f t="shared" si="844"/>
        <v>0.15590863952333664</v>
      </c>
      <c r="EA306" s="5">
        <f t="shared" si="871"/>
        <v>177.75577944546802</v>
      </c>
      <c r="EB306" s="5">
        <f t="shared" si="872"/>
        <v>8.3323021615063126</v>
      </c>
      <c r="EC306" s="5">
        <f t="shared" si="873"/>
        <v>7.0762651053132162</v>
      </c>
      <c r="ED306" s="5"/>
      <c r="EE306" s="173">
        <f t="shared" si="874"/>
        <v>4.7839278694422571</v>
      </c>
      <c r="EF306" s="173">
        <f t="shared" si="875"/>
        <v>11.131258271514003</v>
      </c>
      <c r="EG306" s="173">
        <f t="shared" si="876"/>
        <v>0.2741345174317959</v>
      </c>
      <c r="EH306" s="173"/>
      <c r="EI306" s="528">
        <f t="shared" si="877"/>
        <v>0.45771931720052672</v>
      </c>
      <c r="EJ306" s="528">
        <f t="shared" si="878"/>
        <v>2.2241666666666671</v>
      </c>
      <c r="EK306" s="528">
        <f t="shared" si="879"/>
        <v>6.5782097216352253E-3</v>
      </c>
      <c r="EL306" s="528">
        <f t="shared" si="880"/>
        <v>5.3365015920115833E-2</v>
      </c>
      <c r="EM306">
        <f t="shared" si="881"/>
        <v>3.8249999999999999E-2</v>
      </c>
      <c r="EN306" s="460">
        <f t="shared" si="882"/>
        <v>44.828209721635226</v>
      </c>
      <c r="EP306" s="460">
        <f t="shared" si="883"/>
        <v>2780.079209508945</v>
      </c>
      <c r="EQ306" s="173">
        <f t="shared" si="884"/>
        <v>6.3</v>
      </c>
      <c r="ER306" s="173">
        <f t="shared" si="845"/>
        <v>9.9843749999999995E-2</v>
      </c>
      <c r="ES306" s="528"/>
      <c r="EU306" s="460">
        <f t="shared" si="885"/>
        <v>6399.84375</v>
      </c>
      <c r="EV306" s="528">
        <f t="shared" si="886"/>
        <v>0.68657897580079008</v>
      </c>
      <c r="EW306" s="528">
        <f t="shared" si="887"/>
        <v>3.7171473212144672</v>
      </c>
      <c r="EX306" s="528">
        <f t="shared" si="888"/>
        <v>3.7574866823781807E-4</v>
      </c>
      <c r="EY306" s="528">
        <f t="shared" si="889"/>
        <v>2.0264675705467909</v>
      </c>
      <c r="EZ306" s="528"/>
      <c r="FA306" s="625">
        <f t="shared" si="890"/>
        <v>2.3174908110757175E-2</v>
      </c>
      <c r="FB306" s="460">
        <f t="shared" si="891"/>
        <v>6453.7445243410439</v>
      </c>
      <c r="FC306" s="173">
        <f t="shared" si="892"/>
        <v>15.633667483849988</v>
      </c>
      <c r="FD306" s="5">
        <f t="shared" si="893"/>
        <v>136.80000000000001</v>
      </c>
      <c r="FE306" s="173">
        <f t="shared" si="894"/>
        <v>0.89743953719734293</v>
      </c>
      <c r="FF306" s="5">
        <f t="shared" si="895"/>
        <v>89.743953719734293</v>
      </c>
      <c r="FG306">
        <f t="shared" si="896"/>
        <v>90</v>
      </c>
      <c r="FI306" s="562">
        <f t="shared" si="846"/>
        <v>-50</v>
      </c>
    </row>
    <row r="307" spans="5:169">
      <c r="E307" s="170">
        <v>91</v>
      </c>
      <c r="F307" s="217">
        <f t="shared" si="847"/>
        <v>9.1</v>
      </c>
      <c r="G307" s="217">
        <f t="shared" si="775"/>
        <v>0.22750000000000001</v>
      </c>
      <c r="H307" s="217">
        <f t="shared" si="776"/>
        <v>136.5</v>
      </c>
      <c r="I307" s="217">
        <f t="shared" si="777"/>
        <v>1.82</v>
      </c>
      <c r="J307" s="541">
        <f t="shared" si="778"/>
        <v>84.400605572675204</v>
      </c>
      <c r="K307" s="443">
        <f t="shared" si="779"/>
        <v>16.023424705882352</v>
      </c>
      <c r="L307" s="172">
        <f t="shared" si="780"/>
        <v>100.42403027855755</v>
      </c>
      <c r="M307" s="443"/>
      <c r="N307" s="217">
        <f t="shared" si="781"/>
        <v>0.15955767420841763</v>
      </c>
      <c r="O307" s="172">
        <f t="shared" si="782"/>
        <v>332.23925148745229</v>
      </c>
      <c r="P307" s="172">
        <f t="shared" si="783"/>
        <v>4.4889214423193557</v>
      </c>
      <c r="Q307" s="217">
        <f t="shared" si="784"/>
        <v>22.149283432496819</v>
      </c>
      <c r="R307" s="217">
        <f t="shared" si="785"/>
        <v>41.529906435931537</v>
      </c>
      <c r="S307" s="217">
        <f t="shared" si="786"/>
        <v>15</v>
      </c>
      <c r="T307" s="217">
        <f t="shared" si="787"/>
        <v>20.542425283719854</v>
      </c>
      <c r="U307" s="217">
        <f t="shared" si="788"/>
        <v>2.9207030178518751</v>
      </c>
      <c r="V307" s="217">
        <f t="shared" si="789"/>
        <v>15.384295675202468</v>
      </c>
      <c r="W307" s="197">
        <f t="shared" si="790"/>
        <v>112.22303605798386</v>
      </c>
      <c r="X307" s="443">
        <f t="shared" si="848"/>
        <v>54.039452614246308</v>
      </c>
      <c r="Z307" s="217">
        <f t="shared" si="791"/>
        <v>10.000000000000002</v>
      </c>
      <c r="AA307" s="173">
        <f t="shared" si="792"/>
        <v>7.4890357213053766</v>
      </c>
      <c r="AB307" s="173">
        <f t="shared" si="793"/>
        <v>4.1469193706821503</v>
      </c>
      <c r="AC307" s="173"/>
      <c r="AD307" s="173">
        <f t="shared" si="794"/>
        <v>7.4890357213053749</v>
      </c>
      <c r="AE307" s="545">
        <f t="shared" si="795"/>
        <v>243.02194137254901</v>
      </c>
      <c r="AF307" s="528">
        <f t="shared" si="796"/>
        <v>4.2022116289579108</v>
      </c>
      <c r="AH307" s="173">
        <f t="shared" si="797"/>
        <v>8.1158281565510411</v>
      </c>
      <c r="AI307" s="173">
        <f t="shared" si="798"/>
        <v>20.542425283719854</v>
      </c>
      <c r="AJ307" s="173">
        <f t="shared" si="799"/>
        <v>9.0092039138665587</v>
      </c>
      <c r="AL307" s="545">
        <f t="shared" si="800"/>
        <v>9100</v>
      </c>
      <c r="AM307" s="460">
        <f t="shared" si="801"/>
        <v>54.039452614246308</v>
      </c>
      <c r="AO307">
        <f t="shared" si="802"/>
        <v>9100</v>
      </c>
      <c r="AP307">
        <f t="shared" si="803"/>
        <v>54.039452614246308</v>
      </c>
      <c r="AR307" s="5">
        <f t="shared" si="774"/>
        <v>18.50499869305434</v>
      </c>
      <c r="AS307" s="5">
        <f t="shared" ref="AS307:AS316" si="897">L*AI307/J307*1000000</f>
        <v>2.9207030178518751</v>
      </c>
      <c r="AT307" s="5">
        <f t="shared" ref="AT307:AT316" si="898">AR307-AS307</f>
        <v>15.584295675202466</v>
      </c>
      <c r="AU307" s="173">
        <f t="shared" ref="AU307:AU316" si="899">AS307/AR307</f>
        <v>0.15783319233349261</v>
      </c>
      <c r="BA307" s="173">
        <f t="shared" si="849"/>
        <v>4.7118370090452784</v>
      </c>
      <c r="BB307" s="173">
        <f t="shared" si="850"/>
        <v>10.884040495725634</v>
      </c>
      <c r="BC307" s="173">
        <f t="shared" si="851"/>
        <v>0.26804617377708623</v>
      </c>
      <c r="BD307" s="173"/>
      <c r="BE307" s="528">
        <f t="shared" si="852"/>
        <v>0.44402815999617512</v>
      </c>
      <c r="BF307" s="528">
        <f t="shared" si="804"/>
        <v>2.090266094690671</v>
      </c>
      <c r="BG307" s="528">
        <f t="shared" si="805"/>
        <v>0.11402406313645687</v>
      </c>
      <c r="BH307" s="528">
        <f t="shared" si="853"/>
        <v>5.4498711535569788E-2</v>
      </c>
      <c r="BI307">
        <f t="shared" si="854"/>
        <v>3.798027250770384E-2</v>
      </c>
      <c r="BJ307" s="460">
        <f t="shared" si="855"/>
        <v>152.0043356441607</v>
      </c>
      <c r="BK307">
        <f t="shared" si="806"/>
        <v>3.028154133680951</v>
      </c>
      <c r="BL307" s="460">
        <f t="shared" si="856"/>
        <v>2740.7973018665766</v>
      </c>
      <c r="BM307" s="173">
        <f t="shared" si="807"/>
        <v>5.6533749999999987</v>
      </c>
      <c r="BN307" s="173">
        <f t="shared" si="808"/>
        <v>0.100953125</v>
      </c>
      <c r="BQ307" s="460">
        <f t="shared" si="857"/>
        <v>5754.3281249999991</v>
      </c>
      <c r="BR307" s="528">
        <f t="shared" si="858"/>
        <v>0.6660422399942626</v>
      </c>
      <c r="BS307" s="528">
        <f t="shared" si="859"/>
        <v>3.5538701253778648</v>
      </c>
      <c r="BT307" s="528">
        <f t="shared" si="860"/>
        <v>3.5924375638267956E-4</v>
      </c>
      <c r="BU307" s="528">
        <f t="shared" si="861"/>
        <v>2.0529418475921326</v>
      </c>
      <c r="BV307" s="528"/>
      <c r="BW307" s="625">
        <f t="shared" si="862"/>
        <v>2.2804175430479915E-2</v>
      </c>
      <c r="BX307" s="460">
        <f t="shared" si="863"/>
        <v>6296.0176321511217</v>
      </c>
      <c r="BY307" s="173">
        <f t="shared" si="864"/>
        <v>14.791143059017697</v>
      </c>
      <c r="BZ307" s="5">
        <f t="shared" si="865"/>
        <v>138.32</v>
      </c>
      <c r="CA307" s="173">
        <f t="shared" si="866"/>
        <v>0.90339603791399858</v>
      </c>
      <c r="CB307" s="5">
        <f t="shared" si="867"/>
        <v>90.339603791399853</v>
      </c>
      <c r="CC307">
        <f t="shared" si="868"/>
        <v>90.999999999999986</v>
      </c>
      <c r="CE307" s="562">
        <f t="shared" si="809"/>
        <v>-50</v>
      </c>
      <c r="CG307" s="173">
        <f t="shared" si="810"/>
        <v>0.84409136047666333</v>
      </c>
      <c r="CH307" s="173">
        <f t="shared" si="811"/>
        <v>0.1020398968288061</v>
      </c>
      <c r="CI307" s="170">
        <v>91</v>
      </c>
      <c r="CJ307" s="217">
        <f t="shared" si="869"/>
        <v>9.1</v>
      </c>
      <c r="CK307" s="217">
        <f t="shared" si="812"/>
        <v>0.22750000000000001</v>
      </c>
      <c r="CL307" s="217">
        <f t="shared" si="813"/>
        <v>136.5</v>
      </c>
      <c r="CM307" s="217">
        <f t="shared" si="814"/>
        <v>1.82</v>
      </c>
      <c r="CN307" s="541">
        <f t="shared" si="815"/>
        <v>85</v>
      </c>
      <c r="CO307" s="443">
        <f t="shared" si="816"/>
        <v>15.7</v>
      </c>
      <c r="CP307" s="443">
        <f t="shared" si="817"/>
        <v>100.7</v>
      </c>
      <c r="CQ307" s="443"/>
      <c r="CR307" s="217">
        <f t="shared" si="818"/>
        <v>0.15338645418326693</v>
      </c>
      <c r="CS307" s="172">
        <f t="shared" si="819"/>
        <v>321.65744915076539</v>
      </c>
      <c r="CT307" s="172">
        <f t="shared" si="820"/>
        <v>4.3459495351925632</v>
      </c>
      <c r="CU307" s="217">
        <f t="shared" si="821"/>
        <v>21.443829943384358</v>
      </c>
      <c r="CV307" s="217">
        <f t="shared" si="822"/>
        <v>40.207181143845673</v>
      </c>
      <c r="CW307" s="217">
        <f t="shared" si="823"/>
        <v>15</v>
      </c>
      <c r="CX307" s="217">
        <f t="shared" si="824"/>
        <v>21.21822459893048</v>
      </c>
      <c r="CY307" s="217">
        <f t="shared" si="825"/>
        <v>2.9955140610254798</v>
      </c>
      <c r="CZ307" s="217">
        <f t="shared" si="826"/>
        <v>16.217751285806738</v>
      </c>
      <c r="DA307" s="197">
        <f t="shared" si="827"/>
        <v>110.43528632903013</v>
      </c>
      <c r="DB307" s="443">
        <f t="shared" si="828"/>
        <v>52.047373621729257</v>
      </c>
      <c r="DD307" s="217">
        <f t="shared" si="829"/>
        <v>9.9999999999999982</v>
      </c>
      <c r="DE307" s="173">
        <f t="shared" si="830"/>
        <v>7.6433121019108263</v>
      </c>
      <c r="DF307" s="173">
        <f t="shared" si="831"/>
        <v>4.1649244760361679</v>
      </c>
      <c r="DG307" s="173"/>
      <c r="DH307" s="173">
        <f t="shared" si="832"/>
        <v>7.6433121019108281</v>
      </c>
      <c r="DI307" s="545">
        <f t="shared" si="833"/>
        <v>238.11666666666667</v>
      </c>
      <c r="DJ307" s="528">
        <f t="shared" si="834"/>
        <v>4.2204568023833167</v>
      </c>
      <c r="DL307" s="173">
        <f t="shared" si="835"/>
        <v>8.1158281565510411</v>
      </c>
      <c r="DM307" s="173">
        <f t="shared" si="836"/>
        <v>21.21822459893048</v>
      </c>
      <c r="DN307" s="173">
        <f t="shared" si="837"/>
        <v>9.5097959992077623</v>
      </c>
      <c r="DP307" s="545">
        <f t="shared" si="838"/>
        <v>9100</v>
      </c>
      <c r="DQ307" s="460">
        <f t="shared" si="839"/>
        <v>52.047373621729257</v>
      </c>
      <c r="DS307">
        <f t="shared" si="840"/>
        <v>9100</v>
      </c>
      <c r="DT307">
        <f t="shared" si="841"/>
        <v>52.047373621729257</v>
      </c>
      <c r="DV307" s="5">
        <f t="shared" si="870"/>
        <v>19.21326534683222</v>
      </c>
      <c r="DW307" s="5">
        <f t="shared" si="842"/>
        <v>2.9955140610254798</v>
      </c>
      <c r="DX307" s="5">
        <f t="shared" si="843"/>
        <v>16.217751285806742</v>
      </c>
      <c r="DY307" s="173">
        <f t="shared" si="844"/>
        <v>0.15590863952333664</v>
      </c>
      <c r="EA307" s="5">
        <f t="shared" si="871"/>
        <v>181.72785303554576</v>
      </c>
      <c r="EB307" s="5">
        <f t="shared" si="872"/>
        <v>8.5184931110412094</v>
      </c>
      <c r="EC307" s="5">
        <f t="shared" si="873"/>
        <v>7.2343890539628113</v>
      </c>
      <c r="ED307" s="5"/>
      <c r="EE307" s="173">
        <f t="shared" si="874"/>
        <v>4.83708262354717</v>
      </c>
      <c r="EF307" s="173">
        <f t="shared" si="875"/>
        <v>11.254938918975268</v>
      </c>
      <c r="EG307" s="173">
        <f t="shared" si="876"/>
        <v>0.27718045651437134</v>
      </c>
      <c r="EH307" s="173"/>
      <c r="EI307" s="528">
        <f t="shared" si="877"/>
        <v>0.46794736614043947</v>
      </c>
      <c r="EJ307" s="528">
        <f t="shared" si="878"/>
        <v>2.2241666666666666</v>
      </c>
      <c r="EK307" s="528">
        <f t="shared" si="879"/>
        <v>6.5059217027161574E-3</v>
      </c>
      <c r="EL307" s="528">
        <f t="shared" si="880"/>
        <v>5.2778587173740933E-2</v>
      </c>
      <c r="EM307">
        <f t="shared" si="881"/>
        <v>3.8249999999999999E-2</v>
      </c>
      <c r="EN307" s="460">
        <f t="shared" si="882"/>
        <v>44.755921702716151</v>
      </c>
      <c r="EP307" s="460">
        <f t="shared" si="883"/>
        <v>2789.6485416835631</v>
      </c>
      <c r="EQ307" s="173">
        <f t="shared" si="884"/>
        <v>6.3699999999999992</v>
      </c>
      <c r="ER307" s="173">
        <f t="shared" si="845"/>
        <v>0.100953125</v>
      </c>
      <c r="ES307" s="528"/>
      <c r="EU307" s="460">
        <f t="shared" si="885"/>
        <v>6470.9531249999991</v>
      </c>
      <c r="EV307" s="528">
        <f t="shared" si="886"/>
        <v>0.70192104921065923</v>
      </c>
      <c r="EW307" s="528">
        <f t="shared" si="887"/>
        <v>3.8002095020959255</v>
      </c>
      <c r="EX307" s="528">
        <f t="shared" si="888"/>
        <v>3.8414502736757654E-4</v>
      </c>
      <c r="EY307" s="528">
        <f t="shared" si="889"/>
        <v>2.0264675705467927</v>
      </c>
      <c r="EZ307" s="528"/>
      <c r="FA307" s="625">
        <f t="shared" si="890"/>
        <v>2.3432407089765579E-2</v>
      </c>
      <c r="FB307" s="460">
        <f t="shared" si="891"/>
        <v>6552.4146739705102</v>
      </c>
      <c r="FC307" s="173">
        <f t="shared" si="892"/>
        <v>15.813016340654075</v>
      </c>
      <c r="FD307" s="5">
        <f t="shared" si="893"/>
        <v>138.32</v>
      </c>
      <c r="FE307" s="173">
        <f t="shared" si="894"/>
        <v>0.89740668990928418</v>
      </c>
      <c r="FF307" s="5">
        <f t="shared" si="895"/>
        <v>89.740668990928413</v>
      </c>
      <c r="FG307">
        <f t="shared" si="896"/>
        <v>90.999999999999986</v>
      </c>
      <c r="FI307" s="562">
        <f t="shared" si="846"/>
        <v>-50</v>
      </c>
    </row>
    <row r="308" spans="5:169">
      <c r="E308" s="170">
        <v>92</v>
      </c>
      <c r="F308" s="217">
        <f t="shared" si="847"/>
        <v>9.2000000000000011</v>
      </c>
      <c r="G308" s="217">
        <f t="shared" si="775"/>
        <v>0.23</v>
      </c>
      <c r="H308" s="217">
        <f t="shared" si="776"/>
        <v>138.00000000000003</v>
      </c>
      <c r="I308" s="217">
        <f t="shared" si="777"/>
        <v>1.84</v>
      </c>
      <c r="J308" s="541">
        <f t="shared" si="778"/>
        <v>84.394018820726586</v>
      </c>
      <c r="K308" s="443">
        <f t="shared" si="779"/>
        <v>16.026978823529411</v>
      </c>
      <c r="L308" s="172">
        <f t="shared" si="780"/>
        <v>100.420997644256</v>
      </c>
      <c r="M308" s="443"/>
      <c r="N308" s="217">
        <f t="shared" si="781"/>
        <v>0.15959788489958446</v>
      </c>
      <c r="O308" s="172">
        <f t="shared" si="782"/>
        <v>332.29704527870939</v>
      </c>
      <c r="P308" s="172">
        <f t="shared" si="783"/>
        <v>4.4897023006545629</v>
      </c>
      <c r="Q308" s="217">
        <f t="shared" si="784"/>
        <v>22.153136351913961</v>
      </c>
      <c r="R308" s="217">
        <f t="shared" si="785"/>
        <v>41.537130659838674</v>
      </c>
      <c r="S308" s="217">
        <f t="shared" si="786"/>
        <v>15</v>
      </c>
      <c r="T308" s="217">
        <f t="shared" si="787"/>
        <v>20.764554178363898</v>
      </c>
      <c r="U308" s="217">
        <f t="shared" si="788"/>
        <v>2.9525155173576261</v>
      </c>
      <c r="V308" s="217">
        <f t="shared" si="789"/>
        <v>15.547200310425962</v>
      </c>
      <c r="W308" s="197">
        <f t="shared" si="790"/>
        <v>112.24255751636404</v>
      </c>
      <c r="X308" s="443">
        <f t="shared" si="848"/>
        <v>53.476748481611899</v>
      </c>
      <c r="Z308" s="217">
        <f t="shared" si="791"/>
        <v>10</v>
      </c>
      <c r="AA308" s="173">
        <f t="shared" si="792"/>
        <v>7.4873749645083745</v>
      </c>
      <c r="AB308" s="173">
        <f t="shared" si="793"/>
        <v>4.1467209626665236</v>
      </c>
      <c r="AC308" s="173"/>
      <c r="AD308" s="173">
        <f t="shared" si="794"/>
        <v>7.4873749645083745</v>
      </c>
      <c r="AE308" s="545">
        <f t="shared" si="795"/>
        <v>245.74700862745101</v>
      </c>
      <c r="AF308" s="528">
        <f t="shared" si="796"/>
        <v>4.2020105755020776</v>
      </c>
      <c r="AH308" s="173">
        <f t="shared" si="797"/>
        <v>8.1602987807111695</v>
      </c>
      <c r="AI308" s="173">
        <f t="shared" si="798"/>
        <v>20.764554178363898</v>
      </c>
      <c r="AJ308" s="173">
        <f t="shared" si="799"/>
        <v>9.1737438358251104</v>
      </c>
      <c r="AL308" s="545">
        <f t="shared" si="800"/>
        <v>9200.0000000000018</v>
      </c>
      <c r="AM308" s="460">
        <f t="shared" si="801"/>
        <v>53.476748481611899</v>
      </c>
      <c r="AO308">
        <f t="shared" si="802"/>
        <v>9200.0000000000018</v>
      </c>
      <c r="AP308">
        <f t="shared" si="803"/>
        <v>53.476748481611899</v>
      </c>
      <c r="AR308" s="5">
        <f t="shared" si="774"/>
        <v>18.699715827783589</v>
      </c>
      <c r="AS308" s="5">
        <f t="shared" si="897"/>
        <v>2.9525155173576261</v>
      </c>
      <c r="AT308" s="5">
        <f t="shared" si="898"/>
        <v>15.747200310425963</v>
      </c>
      <c r="AU308" s="173">
        <f t="shared" si="899"/>
        <v>0.15789092970978999</v>
      </c>
      <c r="BA308" s="173">
        <f t="shared" si="849"/>
        <v>4.7636580040107779</v>
      </c>
      <c r="BB308" s="173">
        <f t="shared" si="850"/>
        <v>11.001354424019521</v>
      </c>
      <c r="BC308" s="173">
        <f t="shared" si="851"/>
        <v>0.27093531679546112</v>
      </c>
      <c r="BD308" s="173"/>
      <c r="BE308" s="528">
        <f t="shared" si="852"/>
        <v>0.45384875158351895</v>
      </c>
      <c r="BF308" s="528">
        <f t="shared" si="804"/>
        <v>2.0908044125843457</v>
      </c>
      <c r="BG308" s="528">
        <f t="shared" si="805"/>
        <v>0.1128279429457104</v>
      </c>
      <c r="BH308" s="528">
        <f t="shared" si="853"/>
        <v>5.3927968000906969E-2</v>
      </c>
      <c r="BI308">
        <f t="shared" si="854"/>
        <v>3.7977308469326961E-2</v>
      </c>
      <c r="BJ308" s="460">
        <f t="shared" si="855"/>
        <v>150.80525141503736</v>
      </c>
      <c r="BK308">
        <f t="shared" si="806"/>
        <v>3.0500172707790578</v>
      </c>
      <c r="BL308" s="460">
        <f t="shared" si="856"/>
        <v>2749.3863835838088</v>
      </c>
      <c r="BM308" s="173">
        <f t="shared" si="807"/>
        <v>5.7155000000000005</v>
      </c>
      <c r="BN308" s="173">
        <f t="shared" si="808"/>
        <v>0.1020625</v>
      </c>
      <c r="BQ308" s="460">
        <f t="shared" si="857"/>
        <v>5817.5625</v>
      </c>
      <c r="BR308" s="528">
        <f t="shared" si="858"/>
        <v>0.6807731273752784</v>
      </c>
      <c r="BS308" s="528">
        <f t="shared" si="859"/>
        <v>3.6308939748868161</v>
      </c>
      <c r="BT308" s="528">
        <f t="shared" si="860"/>
        <v>3.6702972943528436E-4</v>
      </c>
      <c r="BU308" s="528">
        <f t="shared" si="861"/>
        <v>2.0544189631862828</v>
      </c>
      <c r="BV308" s="528"/>
      <c r="BW308" s="625">
        <f t="shared" si="862"/>
        <v>2.3057393716411051E-2</v>
      </c>
      <c r="BX308" s="460">
        <f t="shared" si="863"/>
        <v>6389.5104888942242</v>
      </c>
      <c r="BY308" s="173">
        <f t="shared" si="864"/>
        <v>14.956459372478033</v>
      </c>
      <c r="BZ308" s="5">
        <f t="shared" si="865"/>
        <v>139.84000000000003</v>
      </c>
      <c r="CA308" s="173">
        <f t="shared" si="866"/>
        <v>0.90337983547485967</v>
      </c>
      <c r="CB308" s="5">
        <f t="shared" si="867"/>
        <v>90.337983547485962</v>
      </c>
      <c r="CC308">
        <f t="shared" si="868"/>
        <v>92.000000000000014</v>
      </c>
      <c r="CE308" s="562">
        <f t="shared" si="809"/>
        <v>-50</v>
      </c>
      <c r="CG308" s="173">
        <f t="shared" si="810"/>
        <v>0.84409136047666333</v>
      </c>
      <c r="CH308" s="173">
        <f t="shared" si="811"/>
        <v>0.1020398968288061</v>
      </c>
      <c r="CI308" s="170">
        <v>92</v>
      </c>
      <c r="CJ308" s="217">
        <f t="shared" si="869"/>
        <v>9.2000000000000011</v>
      </c>
      <c r="CK308" s="217">
        <f t="shared" si="812"/>
        <v>0.23</v>
      </c>
      <c r="CL308" s="217">
        <f t="shared" si="813"/>
        <v>138.00000000000003</v>
      </c>
      <c r="CM308" s="217">
        <f t="shared" si="814"/>
        <v>1.84</v>
      </c>
      <c r="CN308" s="541">
        <f t="shared" si="815"/>
        <v>85</v>
      </c>
      <c r="CO308" s="443">
        <f t="shared" si="816"/>
        <v>15.7</v>
      </c>
      <c r="CP308" s="443">
        <f t="shared" si="817"/>
        <v>100.7</v>
      </c>
      <c r="CQ308" s="443"/>
      <c r="CR308" s="217">
        <f t="shared" si="818"/>
        <v>0.15338645418326693</v>
      </c>
      <c r="CS308" s="172">
        <f t="shared" si="819"/>
        <v>321.65744915076539</v>
      </c>
      <c r="CT308" s="172">
        <f t="shared" si="820"/>
        <v>4.3459495351925632</v>
      </c>
      <c r="CU308" s="217">
        <f t="shared" si="821"/>
        <v>21.443829943384358</v>
      </c>
      <c r="CV308" s="217">
        <f t="shared" si="822"/>
        <v>40.207181143845673</v>
      </c>
      <c r="CW308" s="217">
        <f t="shared" si="823"/>
        <v>15</v>
      </c>
      <c r="CX308" s="217">
        <f t="shared" si="824"/>
        <v>21.451391902215438</v>
      </c>
      <c r="CY308" s="217">
        <f t="shared" si="825"/>
        <v>3.0284317979598261</v>
      </c>
      <c r="CZ308" s="217">
        <f t="shared" si="826"/>
        <v>16.395968332903518</v>
      </c>
      <c r="DA308" s="197">
        <f t="shared" si="827"/>
        <v>110.43528632903013</v>
      </c>
      <c r="DB308" s="443">
        <f t="shared" si="828"/>
        <v>51.481641299753932</v>
      </c>
      <c r="DD308" s="217">
        <f t="shared" si="829"/>
        <v>9.9999999999999982</v>
      </c>
      <c r="DE308" s="173">
        <f t="shared" si="830"/>
        <v>7.6433121019108263</v>
      </c>
      <c r="DF308" s="173">
        <f t="shared" si="831"/>
        <v>4.1649244760361679</v>
      </c>
      <c r="DG308" s="173"/>
      <c r="DH308" s="173">
        <f t="shared" si="832"/>
        <v>7.6433121019108281</v>
      </c>
      <c r="DI308" s="545">
        <f t="shared" si="833"/>
        <v>240.73333333333338</v>
      </c>
      <c r="DJ308" s="528">
        <f t="shared" si="834"/>
        <v>4.2204568023833167</v>
      </c>
      <c r="DL308" s="173">
        <f t="shared" si="835"/>
        <v>8.1602987807111695</v>
      </c>
      <c r="DM308" s="173">
        <f t="shared" si="836"/>
        <v>21.451391902215438</v>
      </c>
      <c r="DN308" s="173">
        <f t="shared" si="837"/>
        <v>9.6825125201595821</v>
      </c>
      <c r="DP308" s="545">
        <f t="shared" si="838"/>
        <v>9200.0000000000018</v>
      </c>
      <c r="DQ308" s="460">
        <f t="shared" si="839"/>
        <v>51.481641299753932</v>
      </c>
      <c r="DS308">
        <f t="shared" si="840"/>
        <v>9200.0000000000018</v>
      </c>
      <c r="DT308">
        <f t="shared" si="841"/>
        <v>51.481641299753932</v>
      </c>
      <c r="DV308" s="5">
        <f t="shared" si="870"/>
        <v>19.424400130863344</v>
      </c>
      <c r="DW308" s="5">
        <f t="shared" si="842"/>
        <v>3.0284317979598261</v>
      </c>
      <c r="DX308" s="5">
        <f t="shared" si="843"/>
        <v>16.395968332903518</v>
      </c>
      <c r="DY308" s="173">
        <f t="shared" si="844"/>
        <v>0.15590863952333664</v>
      </c>
      <c r="EA308" s="5">
        <f t="shared" si="871"/>
        <v>185.74381694153601</v>
      </c>
      <c r="EB308" s="5">
        <f t="shared" si="872"/>
        <v>8.7067414191345005</v>
      </c>
      <c r="EC308" s="5">
        <f t="shared" si="873"/>
        <v>7.3942602285643328</v>
      </c>
      <c r="ED308" s="5"/>
      <c r="EE308" s="173">
        <f t="shared" si="874"/>
        <v>4.8902373776520864</v>
      </c>
      <c r="EF308" s="173">
        <f t="shared" si="875"/>
        <v>11.378619566436539</v>
      </c>
      <c r="EG308" s="173">
        <f t="shared" si="876"/>
        <v>0.28022639559694695</v>
      </c>
      <c r="EH308" s="173"/>
      <c r="EI308" s="528">
        <f t="shared" si="877"/>
        <v>0.47828843219571116</v>
      </c>
      <c r="EJ308" s="528">
        <f t="shared" si="878"/>
        <v>2.2241666666666671</v>
      </c>
      <c r="EK308" s="528">
        <f t="shared" si="879"/>
        <v>6.4352051624692415E-3</v>
      </c>
      <c r="EL308" s="528">
        <f t="shared" si="880"/>
        <v>5.2204906878374181E-2</v>
      </c>
      <c r="EM308">
        <f t="shared" si="881"/>
        <v>3.8249999999999999E-2</v>
      </c>
      <c r="EN308" s="460">
        <f t="shared" si="882"/>
        <v>44.685205162469238</v>
      </c>
      <c r="EP308" s="460">
        <f t="shared" si="883"/>
        <v>2799.3452109032223</v>
      </c>
      <c r="EQ308" s="173">
        <f t="shared" si="884"/>
        <v>6.44</v>
      </c>
      <c r="ER308" s="173">
        <f t="shared" si="845"/>
        <v>0.1020625</v>
      </c>
      <c r="ES308" s="528"/>
      <c r="EU308" s="460">
        <f t="shared" si="885"/>
        <v>6542.0625</v>
      </c>
      <c r="EV308" s="528">
        <f t="shared" si="886"/>
        <v>0.71743264829356668</v>
      </c>
      <c r="EW308" s="528">
        <f t="shared" si="887"/>
        <v>3.8841894971307735</v>
      </c>
      <c r="EX308" s="528">
        <f t="shared" si="888"/>
        <v>3.9263416394628303E-4</v>
      </c>
      <c r="EY308" s="528">
        <f t="shared" si="889"/>
        <v>2.0264675705467909</v>
      </c>
      <c r="EZ308" s="528"/>
      <c r="FA308" s="625">
        <f t="shared" si="890"/>
        <v>2.3689906068774004E-2</v>
      </c>
      <c r="FB308" s="460">
        <f t="shared" si="891"/>
        <v>6652.1722562038503</v>
      </c>
      <c r="FC308" s="173">
        <f t="shared" si="892"/>
        <v>15.993579967107074</v>
      </c>
      <c r="FD308" s="5">
        <f t="shared" si="893"/>
        <v>139.84000000000003</v>
      </c>
      <c r="FE308" s="173">
        <f t="shared" si="894"/>
        <v>0.89736756371455395</v>
      </c>
      <c r="FF308" s="5">
        <f t="shared" si="895"/>
        <v>89.7367563714554</v>
      </c>
      <c r="FG308">
        <f t="shared" si="896"/>
        <v>92.000000000000014</v>
      </c>
      <c r="FI308" s="562">
        <f t="shared" si="846"/>
        <v>-50</v>
      </c>
    </row>
    <row r="309" spans="5:169">
      <c r="E309" s="170">
        <v>93</v>
      </c>
      <c r="F309" s="217">
        <f t="shared" si="847"/>
        <v>9.3000000000000007</v>
      </c>
      <c r="G309" s="217">
        <f t="shared" si="775"/>
        <v>0.23250000000000001</v>
      </c>
      <c r="H309" s="217">
        <f t="shared" si="776"/>
        <v>139.5</v>
      </c>
      <c r="I309" s="217">
        <f t="shared" si="777"/>
        <v>1.86</v>
      </c>
      <c r="J309" s="541">
        <f t="shared" si="778"/>
        <v>84.387432068777954</v>
      </c>
      <c r="K309" s="443">
        <f t="shared" si="779"/>
        <v>16.030532941176471</v>
      </c>
      <c r="L309" s="172">
        <f t="shared" si="780"/>
        <v>100.41796500995443</v>
      </c>
      <c r="M309" s="443"/>
      <c r="N309" s="217">
        <f t="shared" si="781"/>
        <v>0.1596380980194865</v>
      </c>
      <c r="O309" s="172">
        <f t="shared" si="782"/>
        <v>332.35483105777138</v>
      </c>
      <c r="P309" s="172">
        <f t="shared" si="783"/>
        <v>4.4904830507361115</v>
      </c>
      <c r="Q309" s="217">
        <f t="shared" si="784"/>
        <v>22.156988737184758</v>
      </c>
      <c r="R309" s="217">
        <f t="shared" si="785"/>
        <v>41.544353882221422</v>
      </c>
      <c r="S309" s="217">
        <f t="shared" si="786"/>
        <v>15</v>
      </c>
      <c r="T309" s="217">
        <f t="shared" si="787"/>
        <v>20.986606326139352</v>
      </c>
      <c r="U309" s="217">
        <f t="shared" si="788"/>
        <v>2.9843220695282762</v>
      </c>
      <c r="V309" s="217">
        <f t="shared" si="789"/>
        <v>15.70997526019805</v>
      </c>
      <c r="W309" s="197">
        <f t="shared" si="790"/>
        <v>112.26207626840278</v>
      </c>
      <c r="X309" s="443">
        <f t="shared" si="848"/>
        <v>52.92602220389027</v>
      </c>
      <c r="Z309" s="217">
        <f t="shared" si="791"/>
        <v>10</v>
      </c>
      <c r="AA309" s="173">
        <f t="shared" si="792"/>
        <v>7.4857149441217068</v>
      </c>
      <c r="AB309" s="173">
        <f t="shared" si="793"/>
        <v>4.1465225426670074</v>
      </c>
      <c r="AC309" s="173"/>
      <c r="AD309" s="173">
        <f t="shared" si="794"/>
        <v>7.4857149441217068</v>
      </c>
      <c r="AE309" s="545">
        <f t="shared" si="795"/>
        <v>248.47326058823532</v>
      </c>
      <c r="AF309" s="528">
        <f t="shared" si="796"/>
        <v>4.2018095099025681</v>
      </c>
      <c r="AH309" s="173">
        <f t="shared" si="797"/>
        <v>8.204528366352676</v>
      </c>
      <c r="AI309" s="173">
        <f t="shared" si="798"/>
        <v>20.986606326139352</v>
      </c>
      <c r="AJ309" s="173">
        <f t="shared" si="799"/>
        <v>9.3382269082513716</v>
      </c>
      <c r="AL309" s="545">
        <f t="shared" si="800"/>
        <v>9300</v>
      </c>
      <c r="AM309" s="460">
        <f t="shared" si="801"/>
        <v>52.92602220389027</v>
      </c>
      <c r="AO309">
        <f t="shared" si="802"/>
        <v>9300</v>
      </c>
      <c r="AP309">
        <f t="shared" si="803"/>
        <v>52.92602220389027</v>
      </c>
      <c r="AR309" s="5">
        <f t="shared" si="774"/>
        <v>18.894297329726324</v>
      </c>
      <c r="AS309" s="5">
        <f t="shared" si="897"/>
        <v>2.9843220695282762</v>
      </c>
      <c r="AT309" s="5">
        <f t="shared" si="898"/>
        <v>15.909975260198049</v>
      </c>
      <c r="AU309" s="173">
        <f t="shared" si="899"/>
        <v>0.15794829611541331</v>
      </c>
      <c r="BA309" s="173">
        <f t="shared" si="849"/>
        <v>4.815474209490012</v>
      </c>
      <c r="BB309" s="173">
        <f t="shared" si="850"/>
        <v>11.118622059433473</v>
      </c>
      <c r="BC309" s="173">
        <f t="shared" si="851"/>
        <v>0.27382331973820478</v>
      </c>
      <c r="BD309" s="173"/>
      <c r="BE309" s="528">
        <f t="shared" si="852"/>
        <v>0.46377583724526916</v>
      </c>
      <c r="BF309" s="528">
        <f t="shared" si="804"/>
        <v>2.0913376629191323</v>
      </c>
      <c r="BG309" s="528">
        <f t="shared" si="805"/>
        <v>0.11165727758503559</v>
      </c>
      <c r="BH309" s="528">
        <f t="shared" si="853"/>
        <v>5.3369371301655553E-2</v>
      </c>
      <c r="BI309">
        <f t="shared" si="854"/>
        <v>3.7974344430950081E-2</v>
      </c>
      <c r="BJ309" s="460">
        <f t="shared" si="855"/>
        <v>149.63162201598567</v>
      </c>
      <c r="BK309">
        <f t="shared" si="806"/>
        <v>3.0722423787937192</v>
      </c>
      <c r="BL309" s="460">
        <f t="shared" si="856"/>
        <v>2758.1144934820427</v>
      </c>
      <c r="BM309" s="173">
        <f t="shared" si="807"/>
        <v>5.7776249999999996</v>
      </c>
      <c r="BN309" s="173">
        <f t="shared" si="808"/>
        <v>0.103171875</v>
      </c>
      <c r="BQ309" s="460">
        <f t="shared" si="857"/>
        <v>5880.796875</v>
      </c>
      <c r="BR309" s="528">
        <f t="shared" si="858"/>
        <v>0.69566375586790374</v>
      </c>
      <c r="BS309" s="528">
        <f t="shared" si="859"/>
        <v>3.7087126950156195</v>
      </c>
      <c r="BT309" s="528">
        <f t="shared" si="860"/>
        <v>3.7489605216225569E-4</v>
      </c>
      <c r="BU309" s="528">
        <f t="shared" si="861"/>
        <v>2.055884351403078</v>
      </c>
      <c r="BV309" s="528"/>
      <c r="BW309" s="625">
        <f t="shared" si="862"/>
        <v>2.3310612583375277E-2</v>
      </c>
      <c r="BX309" s="460">
        <f t="shared" si="863"/>
        <v>6483.9463109221388</v>
      </c>
      <c r="BY309" s="173">
        <f t="shared" si="864"/>
        <v>15.122857679404179</v>
      </c>
      <c r="BZ309" s="5">
        <f t="shared" si="865"/>
        <v>141.36000000000001</v>
      </c>
      <c r="CA309" s="173">
        <f t="shared" si="866"/>
        <v>0.90335773576945222</v>
      </c>
      <c r="CB309" s="5">
        <f t="shared" si="867"/>
        <v>90.335773576945229</v>
      </c>
      <c r="CC309">
        <f t="shared" si="868"/>
        <v>93</v>
      </c>
      <c r="CE309" s="562">
        <f t="shared" si="809"/>
        <v>-50</v>
      </c>
      <c r="CG309" s="173">
        <f t="shared" si="810"/>
        <v>0.84409136047666333</v>
      </c>
      <c r="CH309" s="173">
        <f t="shared" si="811"/>
        <v>0.1020398968288061</v>
      </c>
      <c r="CI309" s="170">
        <v>93</v>
      </c>
      <c r="CJ309" s="217">
        <f t="shared" si="869"/>
        <v>9.3000000000000007</v>
      </c>
      <c r="CK309" s="217">
        <f t="shared" si="812"/>
        <v>0.23250000000000001</v>
      </c>
      <c r="CL309" s="217">
        <f t="shared" si="813"/>
        <v>139.5</v>
      </c>
      <c r="CM309" s="217">
        <f t="shared" si="814"/>
        <v>1.86</v>
      </c>
      <c r="CN309" s="541">
        <f t="shared" si="815"/>
        <v>85</v>
      </c>
      <c r="CO309" s="443">
        <f t="shared" si="816"/>
        <v>15.7</v>
      </c>
      <c r="CP309" s="443">
        <f t="shared" si="817"/>
        <v>100.7</v>
      </c>
      <c r="CQ309" s="443"/>
      <c r="CR309" s="217">
        <f t="shared" si="818"/>
        <v>0.15338645418326693</v>
      </c>
      <c r="CS309" s="172">
        <f t="shared" si="819"/>
        <v>321.65744915076539</v>
      </c>
      <c r="CT309" s="172">
        <f t="shared" si="820"/>
        <v>4.3459495351925632</v>
      </c>
      <c r="CU309" s="217">
        <f t="shared" si="821"/>
        <v>21.443829943384358</v>
      </c>
      <c r="CV309" s="217">
        <f t="shared" si="822"/>
        <v>40.207181143845673</v>
      </c>
      <c r="CW309" s="217">
        <f t="shared" si="823"/>
        <v>15</v>
      </c>
      <c r="CX309" s="217">
        <f t="shared" si="824"/>
        <v>21.684559205500385</v>
      </c>
      <c r="CY309" s="217">
        <f t="shared" si="825"/>
        <v>3.0613495348941719</v>
      </c>
      <c r="CZ309" s="217">
        <f t="shared" si="826"/>
        <v>16.574185380000294</v>
      </c>
      <c r="DA309" s="197">
        <f t="shared" si="827"/>
        <v>110.43528632903013</v>
      </c>
      <c r="DB309" s="443">
        <f t="shared" si="828"/>
        <v>50.928075264272707</v>
      </c>
      <c r="DD309" s="217">
        <f t="shared" si="829"/>
        <v>9.9999999999999982</v>
      </c>
      <c r="DE309" s="173">
        <f t="shared" si="830"/>
        <v>7.6433121019108263</v>
      </c>
      <c r="DF309" s="173">
        <f t="shared" si="831"/>
        <v>4.1649244760361679</v>
      </c>
      <c r="DG309" s="173"/>
      <c r="DH309" s="173">
        <f t="shared" si="832"/>
        <v>7.6433121019108281</v>
      </c>
      <c r="DI309" s="545">
        <f t="shared" si="833"/>
        <v>243.35</v>
      </c>
      <c r="DJ309" s="528">
        <f t="shared" si="834"/>
        <v>4.2204568023833167</v>
      </c>
      <c r="DL309" s="173">
        <f t="shared" si="835"/>
        <v>8.204528366352676</v>
      </c>
      <c r="DM309" s="173">
        <f t="shared" si="836"/>
        <v>21.684559205500385</v>
      </c>
      <c r="DN309" s="173">
        <f t="shared" si="837"/>
        <v>9.8552290411113947</v>
      </c>
      <c r="DP309" s="545">
        <f t="shared" si="838"/>
        <v>9300</v>
      </c>
      <c r="DQ309" s="460">
        <f t="shared" si="839"/>
        <v>50.928075264272707</v>
      </c>
      <c r="DS309">
        <f t="shared" si="840"/>
        <v>9300</v>
      </c>
      <c r="DT309">
        <f t="shared" si="841"/>
        <v>50.928075264272707</v>
      </c>
      <c r="DV309" s="5">
        <f t="shared" si="870"/>
        <v>19.635534914894468</v>
      </c>
      <c r="DW309" s="5">
        <f t="shared" si="842"/>
        <v>3.0613495348941719</v>
      </c>
      <c r="DX309" s="5">
        <f t="shared" si="843"/>
        <v>16.574185380000294</v>
      </c>
      <c r="DY309" s="173">
        <f t="shared" si="844"/>
        <v>0.15590863952333664</v>
      </c>
      <c r="EA309" s="5">
        <f t="shared" si="871"/>
        <v>189.80367116343868</v>
      </c>
      <c r="EB309" s="5">
        <f t="shared" si="872"/>
        <v>8.8970470857861876</v>
      </c>
      <c r="EC309" s="5">
        <f t="shared" si="873"/>
        <v>7.5558786291177809</v>
      </c>
      <c r="ED309" s="5"/>
      <c r="EE309" s="173">
        <f t="shared" si="874"/>
        <v>4.9433921317569993</v>
      </c>
      <c r="EF309" s="173">
        <f t="shared" si="875"/>
        <v>11.502300213897804</v>
      </c>
      <c r="EG309" s="173">
        <f t="shared" si="876"/>
        <v>0.2832723346795224</v>
      </c>
      <c r="EH309" s="173"/>
      <c r="EI309" s="528">
        <f t="shared" si="877"/>
        <v>0.48874251536634022</v>
      </c>
      <c r="EJ309" s="528">
        <f t="shared" si="878"/>
        <v>2.2241666666666671</v>
      </c>
      <c r="EK309" s="528">
        <f t="shared" si="879"/>
        <v>6.366009408034088E-3</v>
      </c>
      <c r="EL309" s="528">
        <f t="shared" si="880"/>
        <v>5.1643563793660474E-2</v>
      </c>
      <c r="EM309">
        <f t="shared" si="881"/>
        <v>3.8249999999999999E-2</v>
      </c>
      <c r="EN309" s="460">
        <f t="shared" si="882"/>
        <v>44.616009408034088</v>
      </c>
      <c r="EP309" s="460">
        <f t="shared" si="883"/>
        <v>2809.1687552347021</v>
      </c>
      <c r="EQ309" s="173">
        <f t="shared" si="884"/>
        <v>6.51</v>
      </c>
      <c r="ER309" s="173">
        <f t="shared" si="845"/>
        <v>0.103171875</v>
      </c>
      <c r="ES309" s="528"/>
      <c r="EU309" s="460">
        <f t="shared" si="885"/>
        <v>6613.171875</v>
      </c>
      <c r="EV309" s="528">
        <f t="shared" si="886"/>
        <v>0.73311377304951031</v>
      </c>
      <c r="EW309" s="528">
        <f t="shared" si="887"/>
        <v>3.9690873063190044</v>
      </c>
      <c r="EX309" s="528">
        <f t="shared" si="888"/>
        <v>4.0121607797393674E-4</v>
      </c>
      <c r="EY309" s="528">
        <f t="shared" si="889"/>
        <v>2.0264675705467927</v>
      </c>
      <c r="EZ309" s="528"/>
      <c r="FA309" s="625">
        <f t="shared" si="890"/>
        <v>2.3947405047782411E-2</v>
      </c>
      <c r="FB309" s="460">
        <f t="shared" si="891"/>
        <v>6753.0172710410643</v>
      </c>
      <c r="FC309" s="173">
        <f t="shared" si="892"/>
        <v>16.175357901275763</v>
      </c>
      <c r="FD309" s="5">
        <f t="shared" si="893"/>
        <v>141.36000000000001</v>
      </c>
      <c r="FE309" s="173">
        <f t="shared" si="894"/>
        <v>0.89732236548818123</v>
      </c>
      <c r="FF309" s="5">
        <f t="shared" si="895"/>
        <v>89.732236548818122</v>
      </c>
      <c r="FG309">
        <f t="shared" si="896"/>
        <v>93</v>
      </c>
      <c r="FI309" s="562">
        <f t="shared" si="846"/>
        <v>-50</v>
      </c>
    </row>
    <row r="310" spans="5:169">
      <c r="E310" s="170">
        <v>94</v>
      </c>
      <c r="F310" s="217">
        <f t="shared" si="847"/>
        <v>9.3999999999999986</v>
      </c>
      <c r="G310" s="217">
        <f t="shared" si="775"/>
        <v>0.23499999999999999</v>
      </c>
      <c r="H310" s="217">
        <f t="shared" si="776"/>
        <v>140.99999999999997</v>
      </c>
      <c r="I310" s="217">
        <f t="shared" si="777"/>
        <v>1.88</v>
      </c>
      <c r="J310" s="541">
        <f t="shared" si="778"/>
        <v>84.380845316829337</v>
      </c>
      <c r="K310" s="443">
        <f t="shared" si="779"/>
        <v>16.03408705882353</v>
      </c>
      <c r="L310" s="172">
        <f t="shared" si="780"/>
        <v>100.41493237565287</v>
      </c>
      <c r="M310" s="443"/>
      <c r="N310" s="217">
        <f t="shared" si="781"/>
        <v>0.15967831356834369</v>
      </c>
      <c r="O310" s="172">
        <f t="shared" si="782"/>
        <v>332.41260882391236</v>
      </c>
      <c r="P310" s="172">
        <f t="shared" si="783"/>
        <v>4.4912636925541944</v>
      </c>
      <c r="Q310" s="217">
        <f t="shared" si="784"/>
        <v>22.160840588260825</v>
      </c>
      <c r="R310" s="217">
        <f t="shared" si="785"/>
        <v>41.551576102989046</v>
      </c>
      <c r="S310" s="217">
        <f t="shared" si="786"/>
        <v>15</v>
      </c>
      <c r="T310" s="217">
        <f t="shared" si="787"/>
        <v>21.208581783173475</v>
      </c>
      <c r="U310" s="217">
        <f t="shared" si="788"/>
        <v>3.016122680953071</v>
      </c>
      <c r="V310" s="217">
        <f t="shared" si="789"/>
        <v>15.872620652762961</v>
      </c>
      <c r="W310" s="197">
        <f t="shared" si="790"/>
        <v>112.28159231385487</v>
      </c>
      <c r="X310" s="443">
        <f t="shared" si="848"/>
        <v>52.386895382145028</v>
      </c>
      <c r="Z310" s="217">
        <f t="shared" si="791"/>
        <v>10</v>
      </c>
      <c r="AA310" s="173">
        <f t="shared" si="792"/>
        <v>7.4840556596556711</v>
      </c>
      <c r="AB310" s="173">
        <f t="shared" si="793"/>
        <v>4.1463241106825137</v>
      </c>
      <c r="AC310" s="173"/>
      <c r="AD310" s="173">
        <f t="shared" si="794"/>
        <v>7.4840556596556711</v>
      </c>
      <c r="AE310" s="545">
        <f t="shared" si="795"/>
        <v>251.20069725490191</v>
      </c>
      <c r="AF310" s="528">
        <f t="shared" si="796"/>
        <v>4.2016084321582818</v>
      </c>
      <c r="AH310" s="173">
        <f t="shared" si="797"/>
        <v>8.2485207909112539</v>
      </c>
      <c r="AI310" s="173">
        <f t="shared" si="798"/>
        <v>21.208581783173475</v>
      </c>
      <c r="AJ310" s="173">
        <f t="shared" si="799"/>
        <v>9.5026531727210912</v>
      </c>
      <c r="AL310" s="545">
        <f t="shared" si="800"/>
        <v>9399.9999999999982</v>
      </c>
      <c r="AM310" s="460">
        <f t="shared" si="801"/>
        <v>52.386895382145028</v>
      </c>
      <c r="AO310">
        <f t="shared" si="802"/>
        <v>9399.9999999999982</v>
      </c>
      <c r="AP310">
        <f t="shared" si="803"/>
        <v>52.386895382145028</v>
      </c>
      <c r="AR310" s="5">
        <f t="shared" si="774"/>
        <v>19.088743333716032</v>
      </c>
      <c r="AS310" s="5">
        <f t="shared" si="897"/>
        <v>3.016122680953071</v>
      </c>
      <c r="AT310" s="5">
        <f t="shared" si="898"/>
        <v>16.072620652762961</v>
      </c>
      <c r="AU310" s="173">
        <f t="shared" si="899"/>
        <v>0.15800530334680329</v>
      </c>
      <c r="BA310" s="173">
        <f t="shared" si="849"/>
        <v>4.8672856290529491</v>
      </c>
      <c r="BB310" s="173">
        <f t="shared" si="850"/>
        <v>11.235843434728604</v>
      </c>
      <c r="BC310" s="173">
        <f t="shared" si="851"/>
        <v>0.27671018341213977</v>
      </c>
      <c r="BD310" s="173"/>
      <c r="BE310" s="528">
        <f t="shared" si="852"/>
        <v>0.47380938789570726</v>
      </c>
      <c r="BF310" s="528">
        <f t="shared" si="804"/>
        <v>2.0918660034766066</v>
      </c>
      <c r="BG310" s="528">
        <f t="shared" si="805"/>
        <v>0.1105112628967425</v>
      </c>
      <c r="BH310" s="528">
        <f t="shared" si="853"/>
        <v>5.2822537700516287E-2</v>
      </c>
      <c r="BI310">
        <f t="shared" si="854"/>
        <v>3.7971380392573202E-2</v>
      </c>
      <c r="BJ310" s="460">
        <f t="shared" si="855"/>
        <v>148.48264328931572</v>
      </c>
      <c r="BK310">
        <f t="shared" si="806"/>
        <v>3.0948339247258088</v>
      </c>
      <c r="BL310" s="460">
        <f t="shared" si="856"/>
        <v>2766.9805723621457</v>
      </c>
      <c r="BM310" s="173">
        <f t="shared" si="807"/>
        <v>5.8397499999999978</v>
      </c>
      <c r="BN310" s="173">
        <f t="shared" si="808"/>
        <v>0.10428124999999999</v>
      </c>
      <c r="BQ310" s="460">
        <f t="shared" si="857"/>
        <v>5944.0312499999973</v>
      </c>
      <c r="BR310" s="528">
        <f t="shared" si="858"/>
        <v>0.71071408184356089</v>
      </c>
      <c r="BS310" s="528">
        <f t="shared" si="859"/>
        <v>3.787325330692016</v>
      </c>
      <c r="BT310" s="528">
        <f t="shared" si="860"/>
        <v>3.8284262801990018E-4</v>
      </c>
      <c r="BU310" s="528">
        <f t="shared" si="861"/>
        <v>2.0573383832879908</v>
      </c>
      <c r="BV310" s="528"/>
      <c r="BW310" s="625">
        <f t="shared" si="862"/>
        <v>2.3563832012926642E-2</v>
      </c>
      <c r="BX310" s="460">
        <f t="shared" si="863"/>
        <v>6579.324470464514</v>
      </c>
      <c r="BY310" s="173">
        <f t="shared" si="864"/>
        <v>15.290336292826659</v>
      </c>
      <c r="BZ310" s="5">
        <f t="shared" si="865"/>
        <v>142.87999999999997</v>
      </c>
      <c r="CA310" s="173">
        <f t="shared" si="866"/>
        <v>0.90332993751420565</v>
      </c>
      <c r="CB310" s="5">
        <f t="shared" si="867"/>
        <v>90.33299375142056</v>
      </c>
      <c r="CC310">
        <f t="shared" si="868"/>
        <v>93.999999999999986</v>
      </c>
      <c r="CE310" s="562">
        <f t="shared" si="809"/>
        <v>-50</v>
      </c>
      <c r="CG310" s="173">
        <f t="shared" si="810"/>
        <v>0.84409136047666333</v>
      </c>
      <c r="CH310" s="173">
        <f t="shared" si="811"/>
        <v>0.10203989682880613</v>
      </c>
      <c r="CI310" s="170">
        <v>94</v>
      </c>
      <c r="CJ310" s="217">
        <f t="shared" si="869"/>
        <v>9.3999999999999986</v>
      </c>
      <c r="CK310" s="217">
        <f t="shared" si="812"/>
        <v>0.23499999999999999</v>
      </c>
      <c r="CL310" s="217">
        <f t="shared" si="813"/>
        <v>140.99999999999997</v>
      </c>
      <c r="CM310" s="217">
        <f t="shared" si="814"/>
        <v>1.88</v>
      </c>
      <c r="CN310" s="541">
        <f t="shared" si="815"/>
        <v>85</v>
      </c>
      <c r="CO310" s="443">
        <f t="shared" si="816"/>
        <v>15.7</v>
      </c>
      <c r="CP310" s="443">
        <f t="shared" si="817"/>
        <v>100.7</v>
      </c>
      <c r="CQ310" s="443"/>
      <c r="CR310" s="217">
        <f t="shared" si="818"/>
        <v>0.15338645418326693</v>
      </c>
      <c r="CS310" s="172">
        <f t="shared" si="819"/>
        <v>321.65744915076539</v>
      </c>
      <c r="CT310" s="172">
        <f t="shared" si="820"/>
        <v>4.3459495351925632</v>
      </c>
      <c r="CU310" s="217">
        <f t="shared" si="821"/>
        <v>21.443829943384358</v>
      </c>
      <c r="CV310" s="217">
        <f t="shared" si="822"/>
        <v>40.207181143845673</v>
      </c>
      <c r="CW310" s="217">
        <f t="shared" si="823"/>
        <v>15</v>
      </c>
      <c r="CX310" s="217">
        <f t="shared" si="824"/>
        <v>21.917726508785325</v>
      </c>
      <c r="CY310" s="217">
        <f t="shared" si="825"/>
        <v>3.0942672718285165</v>
      </c>
      <c r="CZ310" s="217">
        <f t="shared" si="826"/>
        <v>16.752402427097064</v>
      </c>
      <c r="DA310" s="197">
        <f t="shared" si="827"/>
        <v>110.43528632903013</v>
      </c>
      <c r="DB310" s="443">
        <f t="shared" si="828"/>
        <v>50.386287229546426</v>
      </c>
      <c r="DD310" s="217">
        <f t="shared" si="829"/>
        <v>9.9999999999999982</v>
      </c>
      <c r="DE310" s="173">
        <f t="shared" si="830"/>
        <v>7.6433121019108263</v>
      </c>
      <c r="DF310" s="173">
        <f t="shared" si="831"/>
        <v>4.1649244760361679</v>
      </c>
      <c r="DG310" s="173"/>
      <c r="DH310" s="173">
        <f t="shared" si="832"/>
        <v>7.6433121019108281</v>
      </c>
      <c r="DI310" s="545">
        <f t="shared" si="833"/>
        <v>245.96666666666667</v>
      </c>
      <c r="DJ310" s="528">
        <f t="shared" si="834"/>
        <v>4.2204568023833167</v>
      </c>
      <c r="DL310" s="173">
        <f t="shared" si="835"/>
        <v>8.2485207909112539</v>
      </c>
      <c r="DM310" s="173">
        <f t="shared" si="836"/>
        <v>21.917726508785325</v>
      </c>
      <c r="DN310" s="173">
        <f t="shared" si="837"/>
        <v>10.027945562063204</v>
      </c>
      <c r="DP310" s="545">
        <f t="shared" si="838"/>
        <v>9399.9999999999982</v>
      </c>
      <c r="DQ310" s="460">
        <f t="shared" si="839"/>
        <v>50.386287229546426</v>
      </c>
      <c r="DS310">
        <f t="shared" si="840"/>
        <v>9399.9999999999982</v>
      </c>
      <c r="DT310">
        <f t="shared" si="841"/>
        <v>50.386287229546426</v>
      </c>
      <c r="DV310" s="5">
        <f t="shared" si="870"/>
        <v>19.846669698925581</v>
      </c>
      <c r="DW310" s="5">
        <f t="shared" si="842"/>
        <v>3.0942672718285165</v>
      </c>
      <c r="DX310" s="5">
        <f t="shared" si="843"/>
        <v>16.752402427097064</v>
      </c>
      <c r="DY310" s="173">
        <f t="shared" si="844"/>
        <v>0.15590863952333664</v>
      </c>
      <c r="EA310" s="5">
        <f t="shared" si="871"/>
        <v>193.90741570125365</v>
      </c>
      <c r="EB310" s="5">
        <f t="shared" si="872"/>
        <v>9.0894101109962673</v>
      </c>
      <c r="EC310" s="5">
        <f t="shared" si="873"/>
        <v>7.7192442556231553</v>
      </c>
      <c r="ED310" s="5"/>
      <c r="EE310" s="173">
        <f t="shared" si="874"/>
        <v>4.9965468858619113</v>
      </c>
      <c r="EF310" s="173">
        <f t="shared" si="875"/>
        <v>11.625980861359066</v>
      </c>
      <c r="EG310" s="173">
        <f t="shared" si="876"/>
        <v>0.28631827376209784</v>
      </c>
      <c r="EH310" s="173"/>
      <c r="EI310" s="528">
        <f t="shared" si="877"/>
        <v>0.49930961565232729</v>
      </c>
      <c r="EJ310" s="528">
        <f t="shared" si="878"/>
        <v>2.2241666666666666</v>
      </c>
      <c r="EK310" s="528">
        <f t="shared" si="879"/>
        <v>6.2982859036933032E-3</v>
      </c>
      <c r="EL310" s="528">
        <f t="shared" si="880"/>
        <v>5.1094164178834327E-2</v>
      </c>
      <c r="EM310">
        <f t="shared" si="881"/>
        <v>3.8249999999999999E-2</v>
      </c>
      <c r="EN310" s="460">
        <f t="shared" si="882"/>
        <v>44.548285903693298</v>
      </c>
      <c r="EP310" s="460">
        <f t="shared" si="883"/>
        <v>2819.1187324015218</v>
      </c>
      <c r="EQ310" s="173">
        <f t="shared" si="884"/>
        <v>6.5799999999999983</v>
      </c>
      <c r="ER310" s="173">
        <f t="shared" si="845"/>
        <v>0.10428124999999999</v>
      </c>
      <c r="ES310" s="528"/>
      <c r="EU310" s="460">
        <f t="shared" si="885"/>
        <v>6684.2812499999982</v>
      </c>
      <c r="EV310" s="528">
        <f t="shared" si="886"/>
        <v>0.7489644234784909</v>
      </c>
      <c r="EW310" s="528">
        <f t="shared" si="887"/>
        <v>4.054902929660618</v>
      </c>
      <c r="EX310" s="528">
        <f t="shared" si="888"/>
        <v>4.0989076945053806E-4</v>
      </c>
      <c r="EY310" s="528">
        <f t="shared" si="889"/>
        <v>2.0264675705467927</v>
      </c>
      <c r="EZ310" s="528"/>
      <c r="FA310" s="625">
        <f t="shared" si="890"/>
        <v>2.4204904026790812E-2</v>
      </c>
      <c r="FB310" s="460">
        <f t="shared" si="891"/>
        <v>6854.949718482143</v>
      </c>
      <c r="FC310" s="173">
        <f t="shared" si="892"/>
        <v>16.358349700883664</v>
      </c>
      <c r="FD310" s="5">
        <f t="shared" si="893"/>
        <v>142.87999999999997</v>
      </c>
      <c r="FE310" s="173">
        <f t="shared" si="894"/>
        <v>0.89727129343144085</v>
      </c>
      <c r="FF310" s="5">
        <f t="shared" si="895"/>
        <v>89.727129343144085</v>
      </c>
      <c r="FG310">
        <f t="shared" si="896"/>
        <v>93.999999999999986</v>
      </c>
      <c r="FI310" s="562">
        <f t="shared" si="846"/>
        <v>-50</v>
      </c>
    </row>
    <row r="311" spans="5:169">
      <c r="E311" s="170">
        <v>95</v>
      </c>
      <c r="F311" s="217">
        <f t="shared" si="847"/>
        <v>9.5</v>
      </c>
      <c r="G311" s="217">
        <f t="shared" si="775"/>
        <v>0.23749999999999999</v>
      </c>
      <c r="H311" s="217">
        <f t="shared" si="776"/>
        <v>142.5</v>
      </c>
      <c r="I311" s="217">
        <f t="shared" si="777"/>
        <v>1.9</v>
      </c>
      <c r="J311" s="541">
        <f t="shared" si="778"/>
        <v>84.374258564880719</v>
      </c>
      <c r="K311" s="443">
        <f t="shared" si="779"/>
        <v>16.037641176470586</v>
      </c>
      <c r="L311" s="172">
        <f t="shared" si="780"/>
        <v>100.41189974135131</v>
      </c>
      <c r="M311" s="443"/>
      <c r="N311" s="217">
        <f t="shared" si="781"/>
        <v>0.15971853154637625</v>
      </c>
      <c r="O311" s="172">
        <f t="shared" si="782"/>
        <v>332.47037857640646</v>
      </c>
      <c r="P311" s="172">
        <f t="shared" si="783"/>
        <v>4.4920442260990034</v>
      </c>
      <c r="Q311" s="217">
        <f t="shared" si="784"/>
        <v>22.164691905093765</v>
      </c>
      <c r="R311" s="217">
        <f t="shared" si="785"/>
        <v>41.558797322050808</v>
      </c>
      <c r="S311" s="217">
        <f t="shared" si="786"/>
        <v>15</v>
      </c>
      <c r="T311" s="217">
        <f t="shared" si="787"/>
        <v>21.430480605545355</v>
      </c>
      <c r="U311" s="217">
        <f t="shared" si="788"/>
        <v>3.0479173582164658</v>
      </c>
      <c r="V311" s="217">
        <f t="shared" si="789"/>
        <v>16.035136616215208</v>
      </c>
      <c r="W311" s="197">
        <f t="shared" si="790"/>
        <v>112.30110565247504</v>
      </c>
      <c r="X311" s="443">
        <f t="shared" si="848"/>
        <v>51.859005390222315</v>
      </c>
      <c r="Z311" s="217">
        <f t="shared" si="791"/>
        <v>10</v>
      </c>
      <c r="AA311" s="173">
        <f t="shared" si="792"/>
        <v>7.4823971106210072</v>
      </c>
      <c r="AB311" s="173">
        <f t="shared" si="793"/>
        <v>4.146125666711959</v>
      </c>
      <c r="AC311" s="173"/>
      <c r="AD311" s="173">
        <f t="shared" si="794"/>
        <v>7.4823971106210072</v>
      </c>
      <c r="AE311" s="545">
        <f t="shared" si="795"/>
        <v>253.92931862745095</v>
      </c>
      <c r="AF311" s="528">
        <f t="shared" si="796"/>
        <v>4.2014073422681184</v>
      </c>
      <c r="AH311" s="173">
        <f t="shared" si="797"/>
        <v>8.2922798289677111</v>
      </c>
      <c r="AI311" s="173">
        <f t="shared" si="798"/>
        <v>21.430480605545355</v>
      </c>
      <c r="AJ311" s="173">
        <f t="shared" si="799"/>
        <v>9.6670226707743367</v>
      </c>
      <c r="AL311" s="545">
        <f t="shared" si="800"/>
        <v>9500</v>
      </c>
      <c r="AM311" s="460">
        <f t="shared" si="801"/>
        <v>51.859005390222315</v>
      </c>
      <c r="AO311">
        <f t="shared" si="802"/>
        <v>9500</v>
      </c>
      <c r="AP311">
        <f t="shared" si="803"/>
        <v>51.859005390222315</v>
      </c>
      <c r="AR311" s="5">
        <f t="shared" si="774"/>
        <v>19.283053974431674</v>
      </c>
      <c r="AS311" s="5">
        <f t="shared" si="897"/>
        <v>3.0479173582164658</v>
      </c>
      <c r="AT311" s="5">
        <f t="shared" si="898"/>
        <v>16.235136616215208</v>
      </c>
      <c r="AU311" s="173">
        <f t="shared" si="899"/>
        <v>0.15806196270869985</v>
      </c>
      <c r="BA311" s="173">
        <f t="shared" si="849"/>
        <v>4.9190922663266869</v>
      </c>
      <c r="BB311" s="173">
        <f t="shared" si="850"/>
        <v>11.353018582602463</v>
      </c>
      <c r="BC311" s="173">
        <f t="shared" si="851"/>
        <v>0.27959590862252343</v>
      </c>
      <c r="BD311" s="173"/>
      <c r="BE311" s="528">
        <f t="shared" si="852"/>
        <v>0.48394937449270048</v>
      </c>
      <c r="BF311" s="528">
        <f t="shared" si="804"/>
        <v>2.0923895854615426</v>
      </c>
      <c r="BG311" s="528">
        <f t="shared" si="805"/>
        <v>0.109389128242804</v>
      </c>
      <c r="BH311" s="528">
        <f t="shared" si="853"/>
        <v>5.2287099455491461E-2</v>
      </c>
      <c r="BI311">
        <f t="shared" si="854"/>
        <v>3.7968416354196323E-2</v>
      </c>
      <c r="BJ311" s="460">
        <f t="shared" si="855"/>
        <v>147.35754459700033</v>
      </c>
      <c r="BK311">
        <f t="shared" si="806"/>
        <v>3.1177964963360587</v>
      </c>
      <c r="BL311" s="460">
        <f t="shared" si="856"/>
        <v>2775.9836040067348</v>
      </c>
      <c r="BM311" s="173">
        <f t="shared" si="807"/>
        <v>5.9018749999999995</v>
      </c>
      <c r="BN311" s="173">
        <f t="shared" si="808"/>
        <v>0.10539062499999999</v>
      </c>
      <c r="BQ311" s="460">
        <f t="shared" si="857"/>
        <v>6007.265625</v>
      </c>
      <c r="BR311" s="528">
        <f t="shared" si="858"/>
        <v>0.72592406173905066</v>
      </c>
      <c r="BS311" s="528">
        <f t="shared" si="859"/>
        <v>3.8667309281075046</v>
      </c>
      <c r="BT311" s="528">
        <f t="shared" si="860"/>
        <v>3.9086936059227236E-4</v>
      </c>
      <c r="BU311" s="528">
        <f t="shared" si="861"/>
        <v>2.0587814145355248</v>
      </c>
      <c r="BV311" s="528"/>
      <c r="BW311" s="625">
        <f t="shared" si="862"/>
        <v>2.3817051987388396E-2</v>
      </c>
      <c r="BX311" s="460">
        <f t="shared" si="863"/>
        <v>6675.6443257300607</v>
      </c>
      <c r="BY311" s="173">
        <f t="shared" si="864"/>
        <v>15.458893554736795</v>
      </c>
      <c r="BZ311" s="5">
        <f t="shared" si="865"/>
        <v>144.4</v>
      </c>
      <c r="CA311" s="173">
        <f t="shared" si="866"/>
        <v>0.90329663110395819</v>
      </c>
      <c r="CB311" s="5">
        <f t="shared" si="867"/>
        <v>90.329663110395813</v>
      </c>
      <c r="CC311">
        <f t="shared" si="868"/>
        <v>95</v>
      </c>
      <c r="CE311" s="562">
        <f t="shared" si="809"/>
        <v>-50</v>
      </c>
      <c r="CG311" s="173">
        <f t="shared" si="810"/>
        <v>0.84409136047666344</v>
      </c>
      <c r="CH311" s="173">
        <f t="shared" si="811"/>
        <v>0.1020398968288061</v>
      </c>
      <c r="CI311" s="170">
        <v>95</v>
      </c>
      <c r="CJ311" s="217">
        <f t="shared" si="869"/>
        <v>9.5</v>
      </c>
      <c r="CK311" s="217">
        <f t="shared" si="812"/>
        <v>0.23749999999999999</v>
      </c>
      <c r="CL311" s="217">
        <f t="shared" si="813"/>
        <v>142.5</v>
      </c>
      <c r="CM311" s="217">
        <f t="shared" si="814"/>
        <v>1.9</v>
      </c>
      <c r="CN311" s="541">
        <f t="shared" si="815"/>
        <v>85</v>
      </c>
      <c r="CO311" s="443">
        <f t="shared" si="816"/>
        <v>15.7</v>
      </c>
      <c r="CP311" s="443">
        <f t="shared" si="817"/>
        <v>100.7</v>
      </c>
      <c r="CQ311" s="443"/>
      <c r="CR311" s="217">
        <f t="shared" si="818"/>
        <v>0.15338645418326693</v>
      </c>
      <c r="CS311" s="172">
        <f t="shared" si="819"/>
        <v>321.65744915076539</v>
      </c>
      <c r="CT311" s="172">
        <f t="shared" si="820"/>
        <v>4.3459495351925632</v>
      </c>
      <c r="CU311" s="217">
        <f t="shared" si="821"/>
        <v>21.443829943384358</v>
      </c>
      <c r="CV311" s="217">
        <f t="shared" si="822"/>
        <v>40.207181143845673</v>
      </c>
      <c r="CW311" s="217">
        <f t="shared" si="823"/>
        <v>15</v>
      </c>
      <c r="CX311" s="217">
        <f t="shared" si="824"/>
        <v>22.150893812070283</v>
      </c>
      <c r="CY311" s="217">
        <f t="shared" si="825"/>
        <v>3.1271850087628632</v>
      </c>
      <c r="CZ311" s="217">
        <f t="shared" si="826"/>
        <v>16.930619474193847</v>
      </c>
      <c r="DA311" s="197">
        <f t="shared" si="827"/>
        <v>110.43528632903013</v>
      </c>
      <c r="DB311" s="443">
        <f t="shared" si="828"/>
        <v>49.855905258709072</v>
      </c>
      <c r="DD311" s="217">
        <f t="shared" si="829"/>
        <v>9.9999999999999982</v>
      </c>
      <c r="DE311" s="173">
        <f t="shared" si="830"/>
        <v>7.6433121019108263</v>
      </c>
      <c r="DF311" s="173">
        <f t="shared" si="831"/>
        <v>4.1649244760361679</v>
      </c>
      <c r="DG311" s="173"/>
      <c r="DH311" s="173">
        <f t="shared" si="832"/>
        <v>7.6433121019108281</v>
      </c>
      <c r="DI311" s="545">
        <f t="shared" si="833"/>
        <v>248.58333333333334</v>
      </c>
      <c r="DJ311" s="528">
        <f t="shared" si="834"/>
        <v>4.2204568023833167</v>
      </c>
      <c r="DL311" s="173">
        <f t="shared" si="835"/>
        <v>8.2922798289677111</v>
      </c>
      <c r="DM311" s="173">
        <f t="shared" si="836"/>
        <v>22.150893812070283</v>
      </c>
      <c r="DN311" s="173">
        <f t="shared" si="837"/>
        <v>10.200662083015024</v>
      </c>
      <c r="DP311" s="545">
        <f t="shared" si="838"/>
        <v>9500</v>
      </c>
      <c r="DQ311" s="460">
        <f t="shared" si="839"/>
        <v>49.855905258709072</v>
      </c>
      <c r="DS311">
        <f t="shared" si="840"/>
        <v>9500</v>
      </c>
      <c r="DT311">
        <f t="shared" si="841"/>
        <v>49.855905258709072</v>
      </c>
      <c r="DV311" s="5">
        <f t="shared" si="870"/>
        <v>20.057804482956715</v>
      </c>
      <c r="DW311" s="5">
        <f t="shared" si="842"/>
        <v>3.1271850087628632</v>
      </c>
      <c r="DX311" s="5">
        <f t="shared" si="843"/>
        <v>16.930619474193854</v>
      </c>
      <c r="DY311" s="173">
        <f t="shared" si="844"/>
        <v>0.15590863952333658</v>
      </c>
      <c r="EA311" s="5">
        <f t="shared" si="871"/>
        <v>198.05505055498134</v>
      </c>
      <c r="EB311" s="5">
        <f t="shared" si="872"/>
        <v>9.2838304947647501</v>
      </c>
      <c r="EC311" s="5">
        <f t="shared" si="873"/>
        <v>7.8843571080804713</v>
      </c>
      <c r="ED311" s="5"/>
      <c r="EE311" s="173">
        <f t="shared" si="874"/>
        <v>5.0497016399668251</v>
      </c>
      <c r="EF311" s="173">
        <f t="shared" si="875"/>
        <v>11.749661508820337</v>
      </c>
      <c r="EG311" s="173">
        <f t="shared" si="876"/>
        <v>0.28936421284467345</v>
      </c>
      <c r="EH311" s="173"/>
      <c r="EI311" s="528">
        <f t="shared" si="877"/>
        <v>0.5099897330536729</v>
      </c>
      <c r="EJ311" s="528">
        <f t="shared" si="878"/>
        <v>2.2241666666666662</v>
      </c>
      <c r="EK311" s="528">
        <f t="shared" si="879"/>
        <v>6.2319881573386334E-3</v>
      </c>
      <c r="EL311" s="528">
        <f t="shared" si="880"/>
        <v>5.0556330871688676E-2</v>
      </c>
      <c r="EM311">
        <f t="shared" si="881"/>
        <v>3.8249999999999999E-2</v>
      </c>
      <c r="EN311" s="460">
        <f t="shared" si="882"/>
        <v>44.481988157338634</v>
      </c>
      <c r="EP311" s="460">
        <f t="shared" si="883"/>
        <v>2829.1947187493665</v>
      </c>
      <c r="EQ311" s="173">
        <f t="shared" si="884"/>
        <v>6.6499999999999995</v>
      </c>
      <c r="ER311" s="173">
        <f t="shared" si="845"/>
        <v>0.10539062499999999</v>
      </c>
      <c r="ES311" s="528"/>
      <c r="EU311" s="460">
        <f t="shared" si="885"/>
        <v>6755.3906249999991</v>
      </c>
      <c r="EV311" s="528">
        <f t="shared" si="886"/>
        <v>0.76498459958050924</v>
      </c>
      <c r="EW311" s="528">
        <f t="shared" si="887"/>
        <v>4.141636367155626</v>
      </c>
      <c r="EX311" s="528">
        <f t="shared" si="888"/>
        <v>4.1865823837608745E-4</v>
      </c>
      <c r="EY311" s="528">
        <f t="shared" si="889"/>
        <v>2.0264675705467927</v>
      </c>
      <c r="EZ311" s="528"/>
      <c r="FA311" s="625">
        <f t="shared" si="890"/>
        <v>2.446240300579923E-2</v>
      </c>
      <c r="FB311" s="460">
        <f t="shared" si="891"/>
        <v>6957.9695985271037</v>
      </c>
      <c r="FC311" s="173">
        <f t="shared" si="892"/>
        <v>16.542554942276471</v>
      </c>
      <c r="FD311" s="5">
        <f t="shared" si="893"/>
        <v>144.4</v>
      </c>
      <c r="FE311" s="173">
        <f t="shared" si="894"/>
        <v>0.89721453752110736</v>
      </c>
      <c r="FF311" s="5">
        <f t="shared" si="895"/>
        <v>89.721453752110733</v>
      </c>
      <c r="FG311">
        <f t="shared" si="896"/>
        <v>95</v>
      </c>
      <c r="FI311" s="562">
        <f t="shared" si="846"/>
        <v>-50</v>
      </c>
    </row>
    <row r="312" spans="5:169">
      <c r="E312" s="170">
        <v>96</v>
      </c>
      <c r="F312" s="217">
        <f t="shared" si="847"/>
        <v>9.6</v>
      </c>
      <c r="G312" s="217">
        <f t="shared" si="775"/>
        <v>0.24</v>
      </c>
      <c r="H312" s="217">
        <f t="shared" si="776"/>
        <v>144</v>
      </c>
      <c r="I312" s="217">
        <f t="shared" si="777"/>
        <v>1.92</v>
      </c>
      <c r="J312" s="541">
        <f t="shared" si="778"/>
        <v>84.367671812932088</v>
      </c>
      <c r="K312" s="443">
        <f t="shared" si="779"/>
        <v>16.041195294117646</v>
      </c>
      <c r="L312" s="172">
        <f t="shared" si="780"/>
        <v>100.40886710704973</v>
      </c>
      <c r="M312" s="443"/>
      <c r="N312" s="217">
        <f t="shared" si="781"/>
        <v>0.15975875195380418</v>
      </c>
      <c r="O312" s="172">
        <f>N312*J312*Isw_max*0.5*Efficiency*Pout/(Pout+Pout2)</f>
        <v>332.52814031452732</v>
      </c>
      <c r="P312" s="172">
        <f t="shared" si="783"/>
        <v>4.4928246513607251</v>
      </c>
      <c r="Q312" s="217">
        <f t="shared" si="784"/>
        <v>22.168542687635156</v>
      </c>
      <c r="R312" s="217">
        <f t="shared" si="785"/>
        <v>41.566017539315915</v>
      </c>
      <c r="S312" s="217">
        <f t="shared" si="786"/>
        <v>15</v>
      </c>
      <c r="T312" s="217">
        <f t="shared" si="787"/>
        <v>21.652302849285952</v>
      </c>
      <c r="U312" s="217">
        <f t="shared" si="788"/>
        <v>3.0797061078981249</v>
      </c>
      <c r="V312" s="217">
        <f t="shared" si="789"/>
        <v>16.197523278499762</v>
      </c>
      <c r="W312" s="197">
        <f t="shared" si="790"/>
        <v>112.32061628401812</v>
      </c>
      <c r="X312" s="443">
        <f t="shared" si="848"/>
        <v>51.342004561406448</v>
      </c>
      <c r="Z312" s="217">
        <f t="shared" si="791"/>
        <v>10</v>
      </c>
      <c r="AA312" s="173">
        <f t="shared" si="792"/>
        <v>7.4807392965288795</v>
      </c>
      <c r="AB312" s="173">
        <f>0.5*AA312*Z312*Nps*W312/1000*(Pout/(Pout+Pout2))</f>
        <v>4.1459272107542553</v>
      </c>
      <c r="AC312" s="173"/>
      <c r="AD312" s="173">
        <f t="shared" si="794"/>
        <v>7.4807392965288795</v>
      </c>
      <c r="AE312" s="545">
        <f>MAX(10, F312/(0.5*AD312/1000000*Isw_min*Nps)/1000*Pout_total/Pout)</f>
        <v>256.65912470588228</v>
      </c>
      <c r="AF312" s="528">
        <f t="shared" si="796"/>
        <v>4.20120624023098</v>
      </c>
      <c r="AH312" s="173">
        <f t="shared" si="797"/>
        <v>8.3358091560276435</v>
      </c>
      <c r="AI312" s="173">
        <f>MAX(IF(F312&gt;AB312,T312,AH312),Isw_min)</f>
        <v>21.652302849285952</v>
      </c>
      <c r="AJ312" s="173">
        <f>IF(F312&gt;AF312, (AI312-Isw_min)/1.08*0.8+1.2, AE312*0.2/350+1)</f>
        <v>9.8313354439155187</v>
      </c>
      <c r="AL312" s="545">
        <f t="shared" si="800"/>
        <v>9600</v>
      </c>
      <c r="AM312" s="460">
        <f t="shared" si="801"/>
        <v>51.342004561406448</v>
      </c>
      <c r="AO312">
        <f t="shared" si="802"/>
        <v>9600</v>
      </c>
      <c r="AP312">
        <f t="shared" si="803"/>
        <v>51.342004561406448</v>
      </c>
      <c r="AR312" s="5">
        <f t="shared" si="774"/>
        <v>19.477229386397887</v>
      </c>
      <c r="AS312" s="5">
        <f t="shared" si="897"/>
        <v>3.0797061078981249</v>
      </c>
      <c r="AT312" s="5">
        <f t="shared" si="898"/>
        <v>16.397523278499762</v>
      </c>
      <c r="AU312" s="173">
        <f t="shared" si="899"/>
        <v>0.15811828503949682</v>
      </c>
      <c r="BA312" s="173">
        <f t="shared" si="849"/>
        <v>4.9708941249923466</v>
      </c>
      <c r="BB312" s="173">
        <f t="shared" si="850"/>
        <v>11.470147535690874</v>
      </c>
      <c r="BC312" s="173">
        <f t="shared" si="851"/>
        <v>0.28248049617309295</v>
      </c>
      <c r="BD312" s="173"/>
      <c r="BE312" s="528">
        <f t="shared" si="852"/>
        <v>0.49419576803766851</v>
      </c>
      <c r="BF312" s="528">
        <f t="shared" si="804"/>
        <v>2.0929085538410557</v>
      </c>
      <c r="BG312" s="528">
        <f t="shared" si="805"/>
        <v>0.10829013477637002</v>
      </c>
      <c r="BH312" s="528">
        <f t="shared" si="853"/>
        <v>5.1762703995066141E-2</v>
      </c>
      <c r="BI312">
        <f t="shared" si="854"/>
        <v>3.7965452315819437E-2</v>
      </c>
      <c r="BJ312" s="460">
        <f t="shared" si="855"/>
        <v>146.25558709218944</v>
      </c>
      <c r="BK312">
        <f t="shared" si="806"/>
        <v>3.1411348045128809</v>
      </c>
      <c r="BL312" s="460">
        <f t="shared" si="856"/>
        <v>2785.1226129659794</v>
      </c>
      <c r="BM312" s="173">
        <f t="shared" si="807"/>
        <v>5.9639999999999995</v>
      </c>
      <c r="BN312" s="173">
        <f t="shared" si="808"/>
        <v>0.1065</v>
      </c>
      <c r="BQ312" s="460">
        <f t="shared" si="857"/>
        <v>6070.4999999999991</v>
      </c>
      <c r="BR312" s="528">
        <f t="shared" si="858"/>
        <v>0.74129365205650277</v>
      </c>
      <c r="BS312" s="528">
        <f t="shared" si="859"/>
        <v>3.9469285347154628</v>
      </c>
      <c r="BT312" s="528">
        <f t="shared" si="860"/>
        <v>3.9897615359098395E-4</v>
      </c>
      <c r="BU312" s="528">
        <f t="shared" si="861"/>
        <v>2.0602137862747307</v>
      </c>
      <c r="BV312" s="528"/>
      <c r="BW312" s="625">
        <f t="shared" si="862"/>
        <v>2.4070272489813322E-2</v>
      </c>
      <c r="BX312" s="460">
        <f t="shared" si="863"/>
        <v>6772.9052216901009</v>
      </c>
      <c r="BY312" s="173">
        <f t="shared" si="864"/>
        <v>15.628527834656081</v>
      </c>
      <c r="BZ312" s="5">
        <f t="shared" si="865"/>
        <v>145.91999999999999</v>
      </c>
      <c r="CA312" s="173">
        <f t="shared" si="866"/>
        <v>0.90325799904130499</v>
      </c>
      <c r="CB312" s="5">
        <f t="shared" si="867"/>
        <v>90.325799904130506</v>
      </c>
      <c r="CC312">
        <f t="shared" si="868"/>
        <v>96</v>
      </c>
      <c r="CE312" s="562">
        <f t="shared" si="809"/>
        <v>-50</v>
      </c>
      <c r="CG312" s="173">
        <f t="shared" si="810"/>
        <v>0.84409136047666333</v>
      </c>
      <c r="CH312" s="173">
        <f t="shared" si="811"/>
        <v>0.10203989682880611</v>
      </c>
      <c r="CI312" s="170">
        <v>96</v>
      </c>
      <c r="CJ312" s="217">
        <f t="shared" si="869"/>
        <v>9.6</v>
      </c>
      <c r="CK312" s="217">
        <f t="shared" si="812"/>
        <v>0.24</v>
      </c>
      <c r="CL312" s="217">
        <f t="shared" si="813"/>
        <v>144</v>
      </c>
      <c r="CM312" s="217">
        <f t="shared" si="814"/>
        <v>1.92</v>
      </c>
      <c r="CN312" s="541">
        <f t="shared" si="815"/>
        <v>85</v>
      </c>
      <c r="CO312" s="443">
        <f t="shared" si="816"/>
        <v>15.7</v>
      </c>
      <c r="CP312" s="443">
        <f t="shared" si="817"/>
        <v>100.7</v>
      </c>
      <c r="CQ312" s="443"/>
      <c r="CR312" s="217">
        <f t="shared" si="818"/>
        <v>0.15338645418326693</v>
      </c>
      <c r="CS312" s="172">
        <f t="shared" si="819"/>
        <v>321.65744915076539</v>
      </c>
      <c r="CT312" s="172">
        <f t="shared" si="820"/>
        <v>4.3459495351925632</v>
      </c>
      <c r="CU312" s="217">
        <f t="shared" si="821"/>
        <v>21.443829943384358</v>
      </c>
      <c r="CV312" s="217">
        <f t="shared" si="822"/>
        <v>40.207181143845673</v>
      </c>
      <c r="CW312" s="217">
        <f t="shared" si="823"/>
        <v>15</v>
      </c>
      <c r="CX312" s="217">
        <f t="shared" si="824"/>
        <v>22.38406111535523</v>
      </c>
      <c r="CY312" s="217">
        <f t="shared" si="825"/>
        <v>3.1601027456972091</v>
      </c>
      <c r="CZ312" s="217">
        <f t="shared" si="826"/>
        <v>17.10883652129062</v>
      </c>
      <c r="DA312" s="197">
        <f t="shared" si="827"/>
        <v>110.43528632903013</v>
      </c>
      <c r="DB312" s="443">
        <f t="shared" si="828"/>
        <v>49.336572912264202</v>
      </c>
      <c r="DD312" s="217">
        <f t="shared" si="829"/>
        <v>9.9999999999999982</v>
      </c>
      <c r="DE312" s="173">
        <f t="shared" si="830"/>
        <v>7.6433121019108263</v>
      </c>
      <c r="DF312" s="173">
        <f t="shared" si="831"/>
        <v>4.1649244760361679</v>
      </c>
      <c r="DG312" s="173"/>
      <c r="DH312" s="173">
        <f t="shared" si="832"/>
        <v>7.6433121019108281</v>
      </c>
      <c r="DI312" s="545">
        <f t="shared" si="833"/>
        <v>251.2</v>
      </c>
      <c r="DJ312" s="528">
        <f t="shared" si="834"/>
        <v>4.2204568023833167</v>
      </c>
      <c r="DL312" s="173">
        <f t="shared" si="835"/>
        <v>8.3358091560276435</v>
      </c>
      <c r="DM312" s="173">
        <f t="shared" si="836"/>
        <v>22.38406111535523</v>
      </c>
      <c r="DN312" s="173">
        <f t="shared" si="837"/>
        <v>10.373378603966836</v>
      </c>
      <c r="DP312" s="545">
        <f t="shared" si="838"/>
        <v>9600</v>
      </c>
      <c r="DQ312" s="460">
        <f t="shared" si="839"/>
        <v>49.336572912264202</v>
      </c>
      <c r="DS312">
        <f t="shared" si="840"/>
        <v>9600</v>
      </c>
      <c r="DT312">
        <f t="shared" si="841"/>
        <v>49.336572912264202</v>
      </c>
      <c r="DV312" s="5">
        <f t="shared" si="870"/>
        <v>20.268939266987832</v>
      </c>
      <c r="DW312" s="5">
        <f t="shared" si="842"/>
        <v>3.1601027456972091</v>
      </c>
      <c r="DX312" s="5">
        <f t="shared" si="843"/>
        <v>17.108836521290623</v>
      </c>
      <c r="DY312" s="173">
        <f t="shared" si="844"/>
        <v>0.15590863952333664</v>
      </c>
      <c r="EA312" s="5">
        <f t="shared" si="871"/>
        <v>202.24657572462138</v>
      </c>
      <c r="EB312" s="5">
        <f t="shared" si="872"/>
        <v>9.4803082370916272</v>
      </c>
      <c r="EC312" s="5">
        <f t="shared" si="873"/>
        <v>8.0512171864897049</v>
      </c>
      <c r="ED312" s="5"/>
      <c r="EE312" s="173">
        <f t="shared" si="874"/>
        <v>5.1028563940717397</v>
      </c>
      <c r="EF312" s="173">
        <f t="shared" si="875"/>
        <v>11.873342156281602</v>
      </c>
      <c r="EG312" s="173">
        <f t="shared" si="876"/>
        <v>0.2924101519272489</v>
      </c>
      <c r="EH312" s="173"/>
      <c r="EI312" s="528">
        <f t="shared" si="877"/>
        <v>0.52078286757037673</v>
      </c>
      <c r="EJ312" s="528">
        <f t="shared" si="878"/>
        <v>2.2241666666666671</v>
      </c>
      <c r="EK312" s="528">
        <f t="shared" si="879"/>
        <v>6.1670716140330255E-3</v>
      </c>
      <c r="EL312" s="528">
        <f t="shared" si="880"/>
        <v>5.0029702425108603E-2</v>
      </c>
      <c r="EM312">
        <f t="shared" si="881"/>
        <v>3.8249999999999999E-2</v>
      </c>
      <c r="EN312" s="460">
        <f t="shared" si="882"/>
        <v>44.41707161403302</v>
      </c>
      <c r="EP312" s="460">
        <f t="shared" si="883"/>
        <v>2839.3963082761857</v>
      </c>
      <c r="EQ312" s="173">
        <f t="shared" si="884"/>
        <v>6.72</v>
      </c>
      <c r="ER312" s="173">
        <f t="shared" si="845"/>
        <v>0.1065</v>
      </c>
      <c r="ES312" s="528"/>
      <c r="EU312" s="460">
        <f t="shared" si="885"/>
        <v>6826.4999999999991</v>
      </c>
      <c r="EV312" s="528">
        <f t="shared" si="886"/>
        <v>0.78117430135556509</v>
      </c>
      <c r="EW312" s="528">
        <f t="shared" si="887"/>
        <v>4.2292876188040154</v>
      </c>
      <c r="EX312" s="528">
        <f t="shared" si="888"/>
        <v>4.2751848475058391E-4</v>
      </c>
      <c r="EY312" s="528">
        <f t="shared" si="889"/>
        <v>2.0264675705467892</v>
      </c>
      <c r="EZ312" s="528"/>
      <c r="FA312" s="625">
        <f t="shared" si="890"/>
        <v>2.4719901984807644E-2</v>
      </c>
      <c r="FB312" s="460">
        <f t="shared" si="891"/>
        <v>7062.0769111759291</v>
      </c>
      <c r="FC312" s="173">
        <f t="shared" si="892"/>
        <v>16.72797321945211</v>
      </c>
      <c r="FD312" s="5">
        <f t="shared" si="893"/>
        <v>145.91999999999999</v>
      </c>
      <c r="FE312" s="173">
        <f t="shared" si="894"/>
        <v>0.89715227993107571</v>
      </c>
      <c r="FF312" s="5">
        <f t="shared" si="895"/>
        <v>89.715227993107575</v>
      </c>
      <c r="FG312">
        <f t="shared" si="896"/>
        <v>96</v>
      </c>
      <c r="FI312" s="562">
        <f t="shared" si="846"/>
        <v>-50</v>
      </c>
    </row>
    <row r="313" spans="5:169">
      <c r="E313" s="170">
        <v>97</v>
      </c>
      <c r="F313" s="217">
        <f>IF(PLOT_TYPE=1, E313/100*Iout_max, min_I*EXP(O313*rr/100))</f>
        <v>9.6999999999999993</v>
      </c>
      <c r="G313" s="217">
        <f t="shared" si="775"/>
        <v>0.24249999999999999</v>
      </c>
      <c r="H313" s="217">
        <f t="shared" si="776"/>
        <v>145.5</v>
      </c>
      <c r="I313" s="217">
        <f t="shared" si="777"/>
        <v>1.94</v>
      </c>
      <c r="J313" s="541">
        <f t="shared" si="778"/>
        <v>84.36108506098347</v>
      </c>
      <c r="K313" s="443">
        <f t="shared" si="779"/>
        <v>16.044749411764705</v>
      </c>
      <c r="L313" s="172">
        <f t="shared" si="780"/>
        <v>100.40583447274818</v>
      </c>
      <c r="M313" s="443"/>
      <c r="N313" s="217">
        <f t="shared" si="781"/>
        <v>0.15979897479084762</v>
      </c>
      <c r="O313" s="172">
        <f>N313*J313*Isw_max*0.5*Efficiency*Pout/(Pout+Pout2)</f>
        <v>332.58589403754888</v>
      </c>
      <c r="P313" s="172">
        <f t="shared" si="783"/>
        <v>4.4936049683295503</v>
      </c>
      <c r="Q313" s="217">
        <f t="shared" si="784"/>
        <v>22.172392935836591</v>
      </c>
      <c r="R313" s="217">
        <f t="shared" si="785"/>
        <v>41.57323675469361</v>
      </c>
      <c r="S313" s="217">
        <f t="shared" si="786"/>
        <v>15</v>
      </c>
      <c r="T313" s="217">
        <f t="shared" si="787"/>
        <v>21.874048570378193</v>
      </c>
      <c r="U313" s="217">
        <f t="shared" si="788"/>
        <v>3.1114889365729348</v>
      </c>
      <c r="V313" s="217">
        <f t="shared" si="789"/>
        <v>16.359780767412317</v>
      </c>
      <c r="W313" s="197">
        <f t="shared" si="790"/>
        <v>112.34012420823875</v>
      </c>
      <c r="X313" s="443">
        <f t="shared" si="848"/>
        <v>50.835559424890988</v>
      </c>
      <c r="Z313" s="217">
        <f t="shared" si="791"/>
        <v>10</v>
      </c>
      <c r="AA313" s="173">
        <f t="shared" si="792"/>
        <v>7.479082216890891</v>
      </c>
      <c r="AB313" s="173">
        <f>0.5*AA313*Z313*Nps*W313/1000*(Pout/(Pout+Pout2))</f>
        <v>4.1457287428083163</v>
      </c>
      <c r="AC313" s="173"/>
      <c r="AD313" s="173">
        <f t="shared" si="794"/>
        <v>7.479082216890891</v>
      </c>
      <c r="AE313" s="545">
        <f>MAX(10, F313/(0.5*AD313/1000000*Isw_min*Nps)/1000*Pout_total/Pout)</f>
        <v>259.39011549019602</v>
      </c>
      <c r="AF313" s="528">
        <f t="shared" si="796"/>
        <v>4.2010051260457626</v>
      </c>
      <c r="AH313" s="173">
        <f t="shared" si="797"/>
        <v>8.3791123521244071</v>
      </c>
      <c r="AI313" s="173">
        <f>MAX(IF(F313&gt;AB313,T313,AH313),Isw_min)</f>
        <v>21.874048570378193</v>
      </c>
      <c r="AJ313" s="173">
        <f>IF(F313&gt;AF313, (AI313-Isw_min)/1.08*0.8+1.2, AE313*0.2/350+1)</f>
        <v>9.9955915336134744</v>
      </c>
      <c r="AL313" s="545">
        <f t="shared" si="800"/>
        <v>9700</v>
      </c>
      <c r="AM313" s="460">
        <f t="shared" si="801"/>
        <v>50.835559424890988</v>
      </c>
      <c r="AO313">
        <f t="shared" si="802"/>
        <v>9700</v>
      </c>
      <c r="AP313">
        <f t="shared" si="803"/>
        <v>50.835559424890988</v>
      </c>
      <c r="AR313" s="5">
        <f t="shared" si="774"/>
        <v>19.671269703985249</v>
      </c>
      <c r="AS313" s="5">
        <f t="shared" si="897"/>
        <v>3.1114889365729348</v>
      </c>
      <c r="AT313" s="5">
        <f t="shared" si="898"/>
        <v>16.559780767412313</v>
      </c>
      <c r="AU313" s="173">
        <f t="shared" si="899"/>
        <v>0.1581742807350443</v>
      </c>
      <c r="BA313" s="173">
        <f t="shared" si="849"/>
        <v>5.0226912087821702</v>
      </c>
      <c r="BB313" s="173">
        <f t="shared" si="850"/>
        <v>11.587230326569721</v>
      </c>
      <c r="BC313" s="173">
        <f t="shared" si="851"/>
        <v>0.28536394686610927</v>
      </c>
      <c r="BD313" s="173"/>
      <c r="BE313" s="528">
        <f t="shared" si="852"/>
        <v>0.50454853957555401</v>
      </c>
      <c r="BF313" s="528">
        <f t="shared" si="804"/>
        <v>2.0934230476629736</v>
      </c>
      <c r="BG313" s="528">
        <f t="shared" si="805"/>
        <v>0.1072135738191477</v>
      </c>
      <c r="BH313" s="528">
        <f t="shared" si="853"/>
        <v>5.1249013143907562E-2</v>
      </c>
      <c r="BI313">
        <f t="shared" si="854"/>
        <v>3.7962488277442558E-2</v>
      </c>
      <c r="BJ313" s="460">
        <f t="shared" si="855"/>
        <v>145.17606209659027</v>
      </c>
      <c r="BK313">
        <f t="shared" si="806"/>
        <v>3.1648536857650789</v>
      </c>
      <c r="BL313" s="460">
        <f t="shared" si="856"/>
        <v>2794.3966624790255</v>
      </c>
      <c r="BM313" s="173">
        <f t="shared" si="807"/>
        <v>6.0261249999999986</v>
      </c>
      <c r="BN313" s="173">
        <f t="shared" si="808"/>
        <v>0.10760937499999999</v>
      </c>
      <c r="BQ313" s="460">
        <f t="shared" si="857"/>
        <v>6133.7343749999982</v>
      </c>
      <c r="BR313" s="528">
        <f t="shared" si="858"/>
        <v>0.75682280936333102</v>
      </c>
      <c r="BS313" s="528">
        <f t="shared" si="859"/>
        <v>4.0279171992293108</v>
      </c>
      <c r="BT313" s="528">
        <f t="shared" si="860"/>
        <v>4.0716291085501818E-4</v>
      </c>
      <c r="BU313" s="528">
        <f t="shared" si="861"/>
        <v>2.0616358258069942</v>
      </c>
      <c r="BV313" s="528"/>
      <c r="BW313" s="625">
        <f t="shared" si="862"/>
        <v>2.4323493503946473E-2</v>
      </c>
      <c r="BX313" s="460">
        <f t="shared" si="863"/>
        <v>6871.1064908144372</v>
      </c>
      <c r="BY313" s="173">
        <f t="shared" si="864"/>
        <v>15.79923752829346</v>
      </c>
      <c r="BZ313" s="5">
        <f t="shared" si="865"/>
        <v>147.44</v>
      </c>
      <c r="CA313" s="173">
        <f t="shared" si="866"/>
        <v>0.9032142163396526</v>
      </c>
      <c r="CB313" s="5">
        <f t="shared" si="867"/>
        <v>90.321421633965258</v>
      </c>
      <c r="CC313">
        <f t="shared" si="868"/>
        <v>97</v>
      </c>
      <c r="CE313" s="562">
        <f t="shared" si="809"/>
        <v>-50</v>
      </c>
      <c r="CG313" s="173">
        <f t="shared" si="810"/>
        <v>0.84409136047666333</v>
      </c>
      <c r="CH313" s="173">
        <f t="shared" si="811"/>
        <v>0.10203989682880611</v>
      </c>
      <c r="CI313" s="170">
        <v>97</v>
      </c>
      <c r="CJ313" s="217">
        <f t="shared" si="869"/>
        <v>9.6999999999999993</v>
      </c>
      <c r="CK313" s="217">
        <f t="shared" si="812"/>
        <v>0.24249999999999999</v>
      </c>
      <c r="CL313" s="217">
        <f t="shared" si="813"/>
        <v>145.5</v>
      </c>
      <c r="CM313" s="217">
        <f t="shared" si="814"/>
        <v>1.94</v>
      </c>
      <c r="CN313" s="541">
        <f t="shared" si="815"/>
        <v>85</v>
      </c>
      <c r="CO313" s="443">
        <f t="shared" si="816"/>
        <v>15.7</v>
      </c>
      <c r="CP313" s="443">
        <f t="shared" si="817"/>
        <v>100.7</v>
      </c>
      <c r="CQ313" s="443"/>
      <c r="CR313" s="217">
        <f t="shared" si="818"/>
        <v>0.15338645418326693</v>
      </c>
      <c r="CS313" s="172">
        <f t="shared" si="819"/>
        <v>321.65744915076539</v>
      </c>
      <c r="CT313" s="172">
        <f t="shared" si="820"/>
        <v>4.3459495351925632</v>
      </c>
      <c r="CU313" s="217">
        <f t="shared" si="821"/>
        <v>21.443829943384358</v>
      </c>
      <c r="CV313" s="217">
        <f t="shared" si="822"/>
        <v>40.207181143845673</v>
      </c>
      <c r="CW313" s="217">
        <f t="shared" si="823"/>
        <v>15</v>
      </c>
      <c r="CX313" s="217">
        <f t="shared" si="824"/>
        <v>22.617228418640181</v>
      </c>
      <c r="CY313" s="217">
        <f t="shared" si="825"/>
        <v>3.1930204826315545</v>
      </c>
      <c r="CZ313" s="217">
        <f t="shared" si="826"/>
        <v>17.2870535683874</v>
      </c>
      <c r="DA313" s="197">
        <f t="shared" si="827"/>
        <v>110.43528632903013</v>
      </c>
      <c r="DB313" s="443">
        <f t="shared" si="828"/>
        <v>48.827948449251167</v>
      </c>
      <c r="DD313" s="217">
        <f t="shared" si="829"/>
        <v>9.9999999999999982</v>
      </c>
      <c r="DE313" s="173">
        <f t="shared" si="830"/>
        <v>7.6433121019108263</v>
      </c>
      <c r="DF313" s="173">
        <f t="shared" si="831"/>
        <v>4.1649244760361679</v>
      </c>
      <c r="DG313" s="173"/>
      <c r="DH313" s="173">
        <f t="shared" si="832"/>
        <v>7.6433121019108281</v>
      </c>
      <c r="DI313" s="545">
        <f t="shared" si="833"/>
        <v>253.81666666666672</v>
      </c>
      <c r="DJ313" s="528">
        <f t="shared" si="834"/>
        <v>4.2204568023833167</v>
      </c>
      <c r="DL313" s="173">
        <f t="shared" si="835"/>
        <v>8.3791123521244071</v>
      </c>
      <c r="DM313" s="173">
        <f t="shared" si="836"/>
        <v>22.617228418640181</v>
      </c>
      <c r="DN313" s="173">
        <f t="shared" si="837"/>
        <v>10.546095124918653</v>
      </c>
      <c r="DP313" s="545">
        <f t="shared" si="838"/>
        <v>9700</v>
      </c>
      <c r="DQ313" s="460">
        <f t="shared" si="839"/>
        <v>48.827948449251167</v>
      </c>
      <c r="DS313">
        <f t="shared" si="840"/>
        <v>9700</v>
      </c>
      <c r="DT313">
        <f t="shared" si="841"/>
        <v>48.827948449251167</v>
      </c>
      <c r="DV313" s="5">
        <f t="shared" si="870"/>
        <v>20.480074051018953</v>
      </c>
      <c r="DW313" s="5">
        <f t="shared" si="842"/>
        <v>3.1930204826315545</v>
      </c>
      <c r="DX313" s="5">
        <f t="shared" si="843"/>
        <v>17.2870535683874</v>
      </c>
      <c r="DY313" s="173">
        <f t="shared" si="844"/>
        <v>0.15590863952333664</v>
      </c>
      <c r="EA313" s="5">
        <f t="shared" si="871"/>
        <v>206.48199121017385</v>
      </c>
      <c r="EB313" s="5">
        <f t="shared" si="872"/>
        <v>9.6788433379768986</v>
      </c>
      <c r="EC313" s="5">
        <f t="shared" si="873"/>
        <v>8.2198244908508702</v>
      </c>
      <c r="ED313" s="5"/>
      <c r="EE313" s="173">
        <f t="shared" si="874"/>
        <v>5.1560111481766544</v>
      </c>
      <c r="EF313" s="173">
        <f t="shared" si="875"/>
        <v>11.997022803742869</v>
      </c>
      <c r="EG313" s="173">
        <f t="shared" si="876"/>
        <v>0.29545609100982445</v>
      </c>
      <c r="EH313" s="173"/>
      <c r="EI313" s="528">
        <f t="shared" si="877"/>
        <v>0.53168901920243883</v>
      </c>
      <c r="EJ313" s="528">
        <f t="shared" si="878"/>
        <v>2.2241666666666666</v>
      </c>
      <c r="EK313" s="528">
        <f t="shared" si="879"/>
        <v>6.103493556156395E-3</v>
      </c>
      <c r="EL313" s="528">
        <f t="shared" si="880"/>
        <v>4.9513932297014701E-2</v>
      </c>
      <c r="EM313">
        <f t="shared" si="881"/>
        <v>3.8249999999999999E-2</v>
      </c>
      <c r="EN313" s="460">
        <f t="shared" si="882"/>
        <v>44.353493556156394</v>
      </c>
      <c r="EP313" s="460">
        <f t="shared" si="883"/>
        <v>2849.7231117222768</v>
      </c>
      <c r="EQ313" s="173">
        <f t="shared" si="884"/>
        <v>6.7899999999999991</v>
      </c>
      <c r="ER313" s="173">
        <f t="shared" si="845"/>
        <v>0.10760937499999999</v>
      </c>
      <c r="ES313" s="528"/>
      <c r="EU313" s="460">
        <f t="shared" si="885"/>
        <v>6897.6093749999991</v>
      </c>
      <c r="EV313" s="528">
        <f t="shared" si="886"/>
        <v>0.79753352880365824</v>
      </c>
      <c r="EW313" s="528">
        <f t="shared" si="887"/>
        <v>4.3178566846057924</v>
      </c>
      <c r="EX313" s="528">
        <f t="shared" si="888"/>
        <v>4.3647150857402834E-4</v>
      </c>
      <c r="EY313" s="528">
        <f t="shared" si="889"/>
        <v>2.0264675705467927</v>
      </c>
      <c r="EZ313" s="528"/>
      <c r="FA313" s="625">
        <f t="shared" si="890"/>
        <v>2.4977400963816055E-2</v>
      </c>
      <c r="FB313" s="460">
        <f t="shared" si="891"/>
        <v>7167.2716564286329</v>
      </c>
      <c r="FC313" s="173">
        <f t="shared" si="892"/>
        <v>16.91460414315091</v>
      </c>
      <c r="FD313" s="5">
        <f t="shared" si="893"/>
        <v>147.44</v>
      </c>
      <c r="FE313" s="173">
        <f t="shared" si="894"/>
        <v>0.89708469542831615</v>
      </c>
      <c r="FF313" s="5">
        <f t="shared" si="895"/>
        <v>89.708469542831608</v>
      </c>
      <c r="FG313">
        <f t="shared" si="896"/>
        <v>97</v>
      </c>
      <c r="FI313" s="562">
        <f t="shared" si="846"/>
        <v>-50</v>
      </c>
    </row>
    <row r="314" spans="5:169">
      <c r="E314" s="170">
        <v>98</v>
      </c>
      <c r="F314" s="217">
        <f>IF(PLOT_TYPE=1, E314/100*Iout_max, min_I*EXP(O314*rr/100))</f>
        <v>9.8000000000000007</v>
      </c>
      <c r="G314" s="217">
        <f t="shared" si="775"/>
        <v>0.245</v>
      </c>
      <c r="H314" s="217">
        <f t="shared" si="776"/>
        <v>147</v>
      </c>
      <c r="I314" s="217">
        <f t="shared" si="777"/>
        <v>1.96</v>
      </c>
      <c r="J314" s="541">
        <f t="shared" si="778"/>
        <v>84.354498309034838</v>
      </c>
      <c r="K314" s="443">
        <f t="shared" si="779"/>
        <v>16.048303529411765</v>
      </c>
      <c r="L314" s="172">
        <f t="shared" si="780"/>
        <v>100.40280183844661</v>
      </c>
      <c r="M314" s="443"/>
      <c r="N314" s="217">
        <f t="shared" si="781"/>
        <v>0.15983920005772678</v>
      </c>
      <c r="O314" s="172">
        <f>N314*J314*Isw_max*0.5*Efficiency*Pout/(Pout+Pout2)</f>
        <v>332.64363974474492</v>
      </c>
      <c r="P314" s="172">
        <f t="shared" si="783"/>
        <v>4.4943851769956646</v>
      </c>
      <c r="Q314" s="217">
        <f t="shared" si="784"/>
        <v>22.176242649649662</v>
      </c>
      <c r="R314" s="217">
        <f t="shared" si="785"/>
        <v>41.580454968093115</v>
      </c>
      <c r="S314" s="217">
        <f t="shared" si="786"/>
        <v>15</v>
      </c>
      <c r="T314" s="217">
        <f t="shared" si="787"/>
        <v>22.095717824756981</v>
      </c>
      <c r="U314" s="217">
        <f t="shared" si="788"/>
        <v>3.1432658508110034</v>
      </c>
      <c r="V314" s="217">
        <f t="shared" si="789"/>
        <v>16.521909210599443</v>
      </c>
      <c r="W314" s="197">
        <f t="shared" si="790"/>
        <v>112.35962942489164</v>
      </c>
      <c r="X314" s="443">
        <f t="shared" si="848"/>
        <v>50.339349988542168</v>
      </c>
      <c r="Z314" s="217">
        <f t="shared" si="791"/>
        <v>10</v>
      </c>
      <c r="AA314" s="173">
        <f t="shared" si="792"/>
        <v>7.4774258712190802</v>
      </c>
      <c r="AB314" s="173">
        <f>0.5*AA314*Z314*Nps*W314/1000*(Pout/(Pout+Pout2))</f>
        <v>4.1455302628730593</v>
      </c>
      <c r="AC314" s="173"/>
      <c r="AD314" s="173">
        <f t="shared" si="794"/>
        <v>7.4774258712190802</v>
      </c>
      <c r="AE314" s="545">
        <f>MAX(10, F314/(0.5*AD314/1000000*Isw_min*Nps)/1000*Pout_total/Pout)</f>
        <v>262.12229098039217</v>
      </c>
      <c r="AF314" s="528">
        <f t="shared" si="796"/>
        <v>4.2008039997113666</v>
      </c>
      <c r="AH314" s="173">
        <f t="shared" si="797"/>
        <v>8.4221929052553364</v>
      </c>
      <c r="AI314" s="173">
        <f>MAX(IF(F314&gt;AB314,T314,AH314),Isw_min)</f>
        <v>22.095717824756981</v>
      </c>
      <c r="AJ314" s="173">
        <f>IF(F314&gt;AF314, (AI314-Isw_min)/1.08*0.8+1.2, AE314*0.2/350+1)</f>
        <v>10.159790981301466</v>
      </c>
      <c r="AL314" s="545">
        <f t="shared" si="800"/>
        <v>9800</v>
      </c>
      <c r="AM314" s="460">
        <f t="shared" si="801"/>
        <v>50.339349988542168</v>
      </c>
      <c r="AO314">
        <f t="shared" si="802"/>
        <v>9800</v>
      </c>
      <c r="AP314">
        <f t="shared" si="803"/>
        <v>50.339349988542168</v>
      </c>
      <c r="AR314" s="5">
        <f t="shared" si="774"/>
        <v>19.865175061410444</v>
      </c>
      <c r="AS314" s="5">
        <f t="shared" si="897"/>
        <v>3.1432658508110034</v>
      </c>
      <c r="AT314" s="5">
        <f t="shared" si="898"/>
        <v>16.721909210599442</v>
      </c>
      <c r="AU314" s="173">
        <f t="shared" si="899"/>
        <v>0.15822995977100787</v>
      </c>
      <c r="BA314" s="173">
        <f t="shared" si="849"/>
        <v>5.0744835214767825</v>
      </c>
      <c r="BB314" s="173">
        <f t="shared" si="850"/>
        <v>11.704266987756576</v>
      </c>
      <c r="BC314" s="173">
        <f t="shared" si="851"/>
        <v>0.28824626150239724</v>
      </c>
      <c r="BD314" s="173"/>
      <c r="BE314" s="528">
        <f t="shared" si="852"/>
        <v>0.51500766019478816</v>
      </c>
      <c r="BF314" s="528">
        <f t="shared" si="804"/>
        <v>2.0939332003549</v>
      </c>
      <c r="BG314" s="528">
        <f t="shared" si="805"/>
        <v>0.10615876533715982</v>
      </c>
      <c r="BH314" s="528">
        <f t="shared" si="853"/>
        <v>5.0745702395509809E-2</v>
      </c>
      <c r="BI314">
        <f t="shared" si="854"/>
        <v>3.7959524239065678E-2</v>
      </c>
      <c r="BJ314" s="460">
        <f t="shared" si="855"/>
        <v>144.11828957622549</v>
      </c>
      <c r="BK314">
        <f t="shared" si="806"/>
        <v>3.1889581048409084</v>
      </c>
      <c r="BL314" s="460">
        <f t="shared" si="856"/>
        <v>2803.8048525214231</v>
      </c>
      <c r="BM314" s="173">
        <f t="shared" si="807"/>
        <v>6.0882500000000004</v>
      </c>
      <c r="BN314" s="173">
        <f t="shared" si="808"/>
        <v>0.10871874999999999</v>
      </c>
      <c r="BQ314" s="460">
        <f t="shared" si="857"/>
        <v>6196.9687500000009</v>
      </c>
      <c r="BR314" s="528">
        <f t="shared" si="858"/>
        <v>0.77251149029218225</v>
      </c>
      <c r="BS314" s="528">
        <f t="shared" si="859"/>
        <v>4.1096959716206518</v>
      </c>
      <c r="BT314" s="528">
        <f t="shared" si="860"/>
        <v>4.1542953635054182E-4</v>
      </c>
      <c r="BU314" s="528">
        <f t="shared" si="861"/>
        <v>2.0630478472994187</v>
      </c>
      <c r="BV314" s="528"/>
      <c r="BW314" s="625">
        <f t="shared" si="862"/>
        <v>2.4576715014190235E-2</v>
      </c>
      <c r="BX314" s="460">
        <f t="shared" si="863"/>
        <v>6970.2474537627941</v>
      </c>
      <c r="BY314" s="173">
        <f t="shared" si="864"/>
        <v>15.971021056284217</v>
      </c>
      <c r="BZ314" s="5">
        <f t="shared" si="865"/>
        <v>148.96</v>
      </c>
      <c r="CA314" s="173">
        <f t="shared" si="866"/>
        <v>0.90316545090184108</v>
      </c>
      <c r="CB314" s="5">
        <f t="shared" si="867"/>
        <v>90.316545090184107</v>
      </c>
      <c r="CC314">
        <f t="shared" si="868"/>
        <v>98.000000000000014</v>
      </c>
      <c r="CE314" s="562">
        <f t="shared" si="809"/>
        <v>-50</v>
      </c>
      <c r="CG314" s="173">
        <f t="shared" si="810"/>
        <v>0.84409136047666333</v>
      </c>
      <c r="CH314" s="173">
        <f t="shared" si="811"/>
        <v>0.1020398968288061</v>
      </c>
      <c r="CI314" s="170">
        <v>98</v>
      </c>
      <c r="CJ314" s="217">
        <f t="shared" si="869"/>
        <v>9.8000000000000007</v>
      </c>
      <c r="CK314" s="217">
        <f t="shared" si="812"/>
        <v>0.245</v>
      </c>
      <c r="CL314" s="217">
        <f t="shared" si="813"/>
        <v>147</v>
      </c>
      <c r="CM314" s="217">
        <f t="shared" si="814"/>
        <v>1.96</v>
      </c>
      <c r="CN314" s="541">
        <f t="shared" si="815"/>
        <v>85</v>
      </c>
      <c r="CO314" s="443">
        <f t="shared" si="816"/>
        <v>15.7</v>
      </c>
      <c r="CP314" s="443">
        <f t="shared" si="817"/>
        <v>100.7</v>
      </c>
      <c r="CQ314" s="443"/>
      <c r="CR314" s="217">
        <f t="shared" si="818"/>
        <v>0.15338645418326693</v>
      </c>
      <c r="CS314" s="172">
        <f t="shared" si="819"/>
        <v>321.65744915076539</v>
      </c>
      <c r="CT314" s="172">
        <f t="shared" si="820"/>
        <v>4.3459495351925632</v>
      </c>
      <c r="CU314" s="217">
        <f t="shared" si="821"/>
        <v>21.443829943384358</v>
      </c>
      <c r="CV314" s="217">
        <f t="shared" si="822"/>
        <v>40.207181143845673</v>
      </c>
      <c r="CW314" s="217">
        <f t="shared" si="823"/>
        <v>15</v>
      </c>
      <c r="CX314" s="217">
        <f t="shared" si="824"/>
        <v>22.850395721925135</v>
      </c>
      <c r="CY314" s="217">
        <f t="shared" si="825"/>
        <v>3.2259382195659017</v>
      </c>
      <c r="CZ314" s="217">
        <f t="shared" si="826"/>
        <v>17.465270615484179</v>
      </c>
      <c r="DA314" s="197">
        <f t="shared" si="827"/>
        <v>110.43528632903013</v>
      </c>
      <c r="DB314" s="443">
        <f t="shared" si="828"/>
        <v>48.329704077320024</v>
      </c>
      <c r="DD314" s="217">
        <f t="shared" si="829"/>
        <v>9.9999999999999982</v>
      </c>
      <c r="DE314" s="173">
        <f t="shared" si="830"/>
        <v>7.6433121019108263</v>
      </c>
      <c r="DF314" s="173">
        <f t="shared" si="831"/>
        <v>4.1649244760361679</v>
      </c>
      <c r="DG314" s="173"/>
      <c r="DH314" s="173">
        <f t="shared" si="832"/>
        <v>7.6433121019108281</v>
      </c>
      <c r="DI314" s="545">
        <f t="shared" si="833"/>
        <v>256.43333333333339</v>
      </c>
      <c r="DJ314" s="528">
        <f t="shared" si="834"/>
        <v>4.2204568023833167</v>
      </c>
      <c r="DL314" s="173">
        <f t="shared" si="835"/>
        <v>8.4221929052553364</v>
      </c>
      <c r="DM314" s="173">
        <f t="shared" si="836"/>
        <v>22.850395721925135</v>
      </c>
      <c r="DN314" s="173">
        <f t="shared" si="837"/>
        <v>10.718811645870469</v>
      </c>
      <c r="DP314" s="545">
        <f t="shared" si="838"/>
        <v>9800</v>
      </c>
      <c r="DQ314" s="460">
        <f t="shared" si="839"/>
        <v>48.329704077320024</v>
      </c>
      <c r="DS314">
        <f t="shared" si="840"/>
        <v>9800</v>
      </c>
      <c r="DT314">
        <f t="shared" si="841"/>
        <v>48.329704077320024</v>
      </c>
      <c r="DV314" s="5">
        <f t="shared" si="870"/>
        <v>20.69120883505008</v>
      </c>
      <c r="DW314" s="5">
        <f t="shared" si="842"/>
        <v>3.2259382195659017</v>
      </c>
      <c r="DX314" s="5">
        <f t="shared" si="843"/>
        <v>17.465270615484179</v>
      </c>
      <c r="DY314" s="173">
        <f t="shared" si="844"/>
        <v>0.15590863952333667</v>
      </c>
      <c r="EA314" s="5">
        <f t="shared" si="871"/>
        <v>210.76129701163893</v>
      </c>
      <c r="EB314" s="5">
        <f t="shared" si="872"/>
        <v>9.8794357974205749</v>
      </c>
      <c r="EC314" s="5">
        <f t="shared" si="873"/>
        <v>8.3901790211639682</v>
      </c>
      <c r="ED314" s="5"/>
      <c r="EE314" s="173">
        <f t="shared" si="874"/>
        <v>5.2091659022815691</v>
      </c>
      <c r="EF314" s="173">
        <f t="shared" si="875"/>
        <v>12.120703451204138</v>
      </c>
      <c r="EG314" s="173">
        <f t="shared" si="876"/>
        <v>0.29850203009239995</v>
      </c>
      <c r="EH314" s="173"/>
      <c r="EI314" s="528">
        <f t="shared" si="877"/>
        <v>0.54270818794985909</v>
      </c>
      <c r="EJ314" s="528">
        <f t="shared" si="878"/>
        <v>2.2241666666666671</v>
      </c>
      <c r="EK314" s="528">
        <f t="shared" si="879"/>
        <v>6.0412130096650033E-3</v>
      </c>
      <c r="EL314" s="528">
        <f t="shared" si="880"/>
        <v>4.9008688089902296E-2</v>
      </c>
      <c r="EM314">
        <f t="shared" si="881"/>
        <v>3.8249999999999999E-2</v>
      </c>
      <c r="EN314" s="460">
        <f t="shared" si="882"/>
        <v>44.291213009665</v>
      </c>
      <c r="EP314" s="460">
        <f t="shared" si="883"/>
        <v>2860.1747557160934</v>
      </c>
      <c r="EQ314" s="173">
        <f t="shared" si="884"/>
        <v>6.86</v>
      </c>
      <c r="ER314" s="173">
        <f t="shared" si="845"/>
        <v>0.10871874999999999</v>
      </c>
      <c r="ES314" s="528"/>
      <c r="EU314" s="460">
        <f t="shared" si="885"/>
        <v>6968.7187500000009</v>
      </c>
      <c r="EV314" s="528">
        <f t="shared" si="886"/>
        <v>0.81406228192478858</v>
      </c>
      <c r="EW314" s="528">
        <f t="shared" si="887"/>
        <v>4.4073435645609571</v>
      </c>
      <c r="EX314" s="528">
        <f t="shared" si="888"/>
        <v>4.4551730984642026E-4</v>
      </c>
      <c r="EY314" s="528">
        <f t="shared" si="889"/>
        <v>2.0264675705467892</v>
      </c>
      <c r="EZ314" s="528"/>
      <c r="FA314" s="625">
        <f t="shared" si="890"/>
        <v>2.5234899942824476E-2</v>
      </c>
      <c r="FB314" s="460">
        <f t="shared" si="891"/>
        <v>7273.5538342852051</v>
      </c>
      <c r="FC314" s="173">
        <f t="shared" si="892"/>
        <v>17.102447340001298</v>
      </c>
      <c r="FD314" s="5">
        <f t="shared" si="893"/>
        <v>148.96</v>
      </c>
      <c r="FE314" s="173">
        <f t="shared" si="894"/>
        <v>0.89701195174496473</v>
      </c>
      <c r="FF314" s="5">
        <f t="shared" si="895"/>
        <v>89.701195174496476</v>
      </c>
      <c r="FG314">
        <f t="shared" si="896"/>
        <v>98.000000000000014</v>
      </c>
      <c r="FI314" s="562">
        <f t="shared" si="846"/>
        <v>-50</v>
      </c>
    </row>
    <row r="315" spans="5:169">
      <c r="E315" s="170">
        <v>99</v>
      </c>
      <c r="F315" s="217">
        <f>IF(PLOT_TYPE=1, E315/100*Iout_max, min_I*EXP(O315*rr/100))</f>
        <v>9.9</v>
      </c>
      <c r="G315" s="217">
        <f t="shared" si="775"/>
        <v>0.2475</v>
      </c>
      <c r="H315" s="217">
        <f t="shared" si="776"/>
        <v>148.5</v>
      </c>
      <c r="I315" s="217">
        <f t="shared" si="777"/>
        <v>1.98</v>
      </c>
      <c r="J315" s="541">
        <f t="shared" si="778"/>
        <v>84.347911557086221</v>
      </c>
      <c r="K315" s="443">
        <f t="shared" si="779"/>
        <v>16.051857647058824</v>
      </c>
      <c r="L315" s="172">
        <f t="shared" si="780"/>
        <v>100.39976920414504</v>
      </c>
      <c r="M315" s="443"/>
      <c r="N315" s="217">
        <f t="shared" si="781"/>
        <v>0.15987942775466177</v>
      </c>
      <c r="O315" s="172">
        <f>N315*J315*Isw_max*0.5*Efficiency*Pout/(Pout+Pout2)</f>
        <v>332.70137743538896</v>
      </c>
      <c r="P315" s="172">
        <f t="shared" si="783"/>
        <v>4.4951652773492556</v>
      </c>
      <c r="Q315" s="217">
        <f t="shared" si="784"/>
        <v>22.18009182902593</v>
      </c>
      <c r="R315" s="217">
        <f t="shared" si="785"/>
        <v>41.58767217942362</v>
      </c>
      <c r="S315" s="217">
        <f t="shared" si="786"/>
        <v>15</v>
      </c>
      <c r="T315" s="217">
        <f t="shared" si="787"/>
        <v>22.317310668309283</v>
      </c>
      <c r="U315" s="217">
        <f t="shared" si="788"/>
        <v>3.1750368571776737</v>
      </c>
      <c r="V315" s="217">
        <f t="shared" si="789"/>
        <v>16.683908735558823</v>
      </c>
      <c r="W315" s="197">
        <f t="shared" si="790"/>
        <v>112.3791319337314</v>
      </c>
      <c r="X315" s="443">
        <f t="shared" si="848"/>
        <v>49.853069064712351</v>
      </c>
      <c r="Z315" s="217">
        <f t="shared" si="791"/>
        <v>10</v>
      </c>
      <c r="AA315" s="173">
        <f t="shared" si="792"/>
        <v>7.4757702590259107</v>
      </c>
      <c r="AB315" s="173">
        <f>0.5*AA315*Z315*Nps*W315/1000*(Pout/(Pout+Pout2))</f>
        <v>4.1453317709473918</v>
      </c>
      <c r="AC315" s="173"/>
      <c r="AD315" s="173">
        <f t="shared" si="794"/>
        <v>7.4757702590259107</v>
      </c>
      <c r="AE315" s="545">
        <f>MAX(10, F315/(0.5*AD315/1000000*Isw_min*Nps)/1000*Pout_total/Pout)</f>
        <v>264.85565117647064</v>
      </c>
      <c r="AF315" s="528">
        <f t="shared" si="796"/>
        <v>4.2006028612266908</v>
      </c>
      <c r="AH315" s="173">
        <f t="shared" si="797"/>
        <v>8.4650542146605794</v>
      </c>
      <c r="AI315" s="173">
        <f>MAX(IF(F315&gt;AB315,T315,AH315),Isw_min)</f>
        <v>22.317310668309283</v>
      </c>
      <c r="AJ315" s="173">
        <f>IF(F315&gt;AF315, (AI315-Isw_min)/1.08*0.8+1.2, AE315*0.2/350+1)</f>
        <v>10.323933828377244</v>
      </c>
      <c r="AL315" s="545">
        <f t="shared" si="800"/>
        <v>9900</v>
      </c>
      <c r="AM315" s="460">
        <f t="shared" si="801"/>
        <v>49.853069064712351</v>
      </c>
      <c r="AO315">
        <f t="shared" si="802"/>
        <v>9900</v>
      </c>
      <c r="AP315">
        <f t="shared" si="803"/>
        <v>49.853069064712351</v>
      </c>
      <c r="AR315" s="5">
        <f t="shared" si="774"/>
        <v>20.058945592736496</v>
      </c>
      <c r="AS315" s="5">
        <f t="shared" si="897"/>
        <v>3.1750368571776737</v>
      </c>
      <c r="AT315" s="5">
        <f t="shared" si="898"/>
        <v>16.883908735558823</v>
      </c>
      <c r="AU315" s="173">
        <f t="shared" si="899"/>
        <v>0.15828533172388581</v>
      </c>
      <c r="BA315" s="173">
        <f t="shared" si="849"/>
        <v>5.1262710669026283</v>
      </c>
      <c r="BB315" s="173">
        <f t="shared" si="850"/>
        <v>11.821257551712259</v>
      </c>
      <c r="BC315" s="173">
        <f t="shared" si="851"/>
        <v>0.29112744088138431</v>
      </c>
      <c r="BD315" s="173"/>
      <c r="BE315" s="528">
        <f t="shared" si="852"/>
        <v>0.52557310102726018</v>
      </c>
      <c r="BF315" s="528">
        <f t="shared" si="804"/>
        <v>2.0944391400053335</v>
      </c>
      <c r="BG315" s="528">
        <f t="shared" si="805"/>
        <v>0.10512505650799171</v>
      </c>
      <c r="BH315" s="528">
        <f t="shared" si="853"/>
        <v>5.0252460228496165E-2</v>
      </c>
      <c r="BI315">
        <f t="shared" si="854"/>
        <v>3.7956560200688799E-2</v>
      </c>
      <c r="BJ315" s="460">
        <f t="shared" si="855"/>
        <v>143.08161670868051</v>
      </c>
      <c r="BK315">
        <f t="shared" si="806"/>
        <v>3.213453157475334</v>
      </c>
      <c r="BL315" s="460">
        <f t="shared" si="856"/>
        <v>2813.3463179697706</v>
      </c>
      <c r="BM315" s="173">
        <f t="shared" si="807"/>
        <v>6.1503749999999995</v>
      </c>
      <c r="BN315" s="173">
        <f t="shared" si="808"/>
        <v>0.109828125</v>
      </c>
      <c r="BQ315" s="460">
        <f t="shared" si="857"/>
        <v>6260.2031249999991</v>
      </c>
      <c r="BR315" s="528">
        <f t="shared" si="858"/>
        <v>0.78835965154089027</v>
      </c>
      <c r="BS315" s="528">
        <f t="shared" si="859"/>
        <v>4.1922639031174231</v>
      </c>
      <c r="BT315" s="528">
        <f t="shared" si="860"/>
        <v>4.2377593417071961E-4</v>
      </c>
      <c r="BU315" s="528">
        <f t="shared" si="861"/>
        <v>2.0644501524369105</v>
      </c>
      <c r="BV315" s="528"/>
      <c r="BW315" s="625">
        <f t="shared" si="862"/>
        <v>2.4829937005571401E-2</v>
      </c>
      <c r="BX315" s="460">
        <f t="shared" si="863"/>
        <v>7070.327420034967</v>
      </c>
      <c r="BY315" s="173">
        <f t="shared" si="864"/>
        <v>16.143876863004735</v>
      </c>
      <c r="BZ315" s="5">
        <f t="shared" si="865"/>
        <v>150.47999999999999</v>
      </c>
      <c r="CA315" s="173">
        <f t="shared" si="866"/>
        <v>0.90311186387604003</v>
      </c>
      <c r="CB315" s="5">
        <f t="shared" si="867"/>
        <v>90.31118638760401</v>
      </c>
      <c r="CC315">
        <f t="shared" si="868"/>
        <v>99</v>
      </c>
      <c r="CE315" s="562">
        <f t="shared" si="809"/>
        <v>-50</v>
      </c>
      <c r="CG315" s="173">
        <f t="shared" si="810"/>
        <v>0.84409136047666333</v>
      </c>
      <c r="CH315" s="173">
        <f t="shared" si="811"/>
        <v>0.10203989682880611</v>
      </c>
      <c r="CI315" s="170">
        <v>99</v>
      </c>
      <c r="CJ315" s="217">
        <f t="shared" si="869"/>
        <v>9.9</v>
      </c>
      <c r="CK315" s="217">
        <f t="shared" si="812"/>
        <v>0.2475</v>
      </c>
      <c r="CL315" s="217">
        <f t="shared" si="813"/>
        <v>148.5</v>
      </c>
      <c r="CM315" s="217">
        <f t="shared" si="814"/>
        <v>1.98</v>
      </c>
      <c r="CN315" s="541">
        <f t="shared" si="815"/>
        <v>85</v>
      </c>
      <c r="CO315" s="443">
        <f t="shared" si="816"/>
        <v>15.7</v>
      </c>
      <c r="CP315" s="443">
        <f t="shared" si="817"/>
        <v>100.7</v>
      </c>
      <c r="CQ315" s="443"/>
      <c r="CR315" s="217">
        <f t="shared" si="818"/>
        <v>0.15338645418326693</v>
      </c>
      <c r="CS315" s="172">
        <f t="shared" si="819"/>
        <v>321.65744915076539</v>
      </c>
      <c r="CT315" s="172">
        <f t="shared" si="820"/>
        <v>4.3459495351925632</v>
      </c>
      <c r="CU315" s="217">
        <f t="shared" si="821"/>
        <v>21.443829943384358</v>
      </c>
      <c r="CV315" s="217">
        <f t="shared" si="822"/>
        <v>40.207181143845673</v>
      </c>
      <c r="CW315" s="217">
        <f t="shared" si="823"/>
        <v>15</v>
      </c>
      <c r="CX315" s="217">
        <f t="shared" si="824"/>
        <v>23.083563025210083</v>
      </c>
      <c r="CY315" s="217">
        <f t="shared" si="825"/>
        <v>3.2588559565002466</v>
      </c>
      <c r="CZ315" s="217">
        <f t="shared" si="826"/>
        <v>17.643487662580956</v>
      </c>
      <c r="DA315" s="197">
        <f t="shared" si="827"/>
        <v>110.43528632903013</v>
      </c>
      <c r="DB315" s="443">
        <f t="shared" si="828"/>
        <v>47.841525248256197</v>
      </c>
      <c r="DD315" s="217">
        <f t="shared" si="829"/>
        <v>9.9999999999999982</v>
      </c>
      <c r="DE315" s="173">
        <f t="shared" si="830"/>
        <v>7.6433121019108263</v>
      </c>
      <c r="DF315" s="173">
        <f t="shared" si="831"/>
        <v>4.1649244760361679</v>
      </c>
      <c r="DG315" s="173"/>
      <c r="DH315" s="173">
        <f t="shared" si="832"/>
        <v>7.6433121019108281</v>
      </c>
      <c r="DI315" s="545">
        <f t="shared" si="833"/>
        <v>259.05</v>
      </c>
      <c r="DJ315" s="528">
        <f t="shared" si="834"/>
        <v>4.2204568023833167</v>
      </c>
      <c r="DL315" s="173">
        <f t="shared" si="835"/>
        <v>8.4650542146605794</v>
      </c>
      <c r="DM315" s="173">
        <f t="shared" si="836"/>
        <v>23.083563025210083</v>
      </c>
      <c r="DN315" s="173">
        <f t="shared" si="837"/>
        <v>10.891528166822283</v>
      </c>
      <c r="DP315" s="545">
        <f t="shared" si="838"/>
        <v>9900</v>
      </c>
      <c r="DQ315" s="460">
        <f t="shared" si="839"/>
        <v>47.841525248256197</v>
      </c>
      <c r="DS315">
        <f t="shared" si="840"/>
        <v>9900</v>
      </c>
      <c r="DT315">
        <f t="shared" si="841"/>
        <v>47.841525248256197</v>
      </c>
      <c r="DV315" s="5">
        <f t="shared" si="870"/>
        <v>20.902343619081201</v>
      </c>
      <c r="DW315" s="5">
        <f t="shared" si="842"/>
        <v>3.2588559565002466</v>
      </c>
      <c r="DX315" s="5">
        <f t="shared" si="843"/>
        <v>17.643487662580952</v>
      </c>
      <c r="DY315" s="173">
        <f t="shared" si="844"/>
        <v>0.15590863952333664</v>
      </c>
      <c r="EA315" s="5">
        <f t="shared" si="871"/>
        <v>215.08449312901629</v>
      </c>
      <c r="EB315" s="5">
        <f t="shared" si="872"/>
        <v>10.082085615422638</v>
      </c>
      <c r="EC315" s="5">
        <f t="shared" si="873"/>
        <v>8.5622807774289917</v>
      </c>
      <c r="ED315" s="5"/>
      <c r="EE315" s="173">
        <f t="shared" si="874"/>
        <v>5.2623206563864819</v>
      </c>
      <c r="EF315" s="173">
        <f t="shared" si="875"/>
        <v>12.244384098665403</v>
      </c>
      <c r="EG315" s="173">
        <f t="shared" si="876"/>
        <v>0.30154796917497539</v>
      </c>
      <c r="EH315" s="173"/>
      <c r="EI315" s="528">
        <f t="shared" si="877"/>
        <v>0.55384037381263707</v>
      </c>
      <c r="EJ315" s="528">
        <f t="shared" si="878"/>
        <v>2.2241666666666671</v>
      </c>
      <c r="EK315" s="528">
        <f t="shared" si="879"/>
        <v>5.9801906560320245E-3</v>
      </c>
      <c r="EL315" s="528">
        <f t="shared" si="880"/>
        <v>4.8513650836468948E-2</v>
      </c>
      <c r="EM315">
        <f t="shared" si="881"/>
        <v>3.8249999999999999E-2</v>
      </c>
      <c r="EN315" s="460">
        <f t="shared" si="882"/>
        <v>44.230190656032022</v>
      </c>
      <c r="EP315" s="460">
        <f t="shared" si="883"/>
        <v>2870.750881971805</v>
      </c>
      <c r="EQ315" s="173">
        <f t="shared" si="884"/>
        <v>6.93</v>
      </c>
      <c r="ER315" s="173">
        <f t="shared" si="845"/>
        <v>0.109828125</v>
      </c>
      <c r="ES315" s="528"/>
      <c r="EU315" s="460">
        <f t="shared" si="885"/>
        <v>7039.828125</v>
      </c>
      <c r="EV315" s="528">
        <f t="shared" si="886"/>
        <v>0.83076056071895565</v>
      </c>
      <c r="EW315" s="528">
        <f t="shared" si="887"/>
        <v>4.497748258669505</v>
      </c>
      <c r="EX315" s="528">
        <f t="shared" si="888"/>
        <v>4.5465588856775956E-4</v>
      </c>
      <c r="EY315" s="528">
        <f t="shared" si="889"/>
        <v>2.0264675705467927</v>
      </c>
      <c r="EZ315" s="528"/>
      <c r="FA315" s="625">
        <f t="shared" si="890"/>
        <v>2.5492398921832891E-2</v>
      </c>
      <c r="FB315" s="460">
        <f t="shared" si="891"/>
        <v>7380.9234447456538</v>
      </c>
      <c r="FC315" s="173">
        <f t="shared" si="892"/>
        <v>17.291502451717459</v>
      </c>
      <c r="FD315" s="5">
        <f t="shared" si="893"/>
        <v>150.47999999999999</v>
      </c>
      <c r="FE315" s="173">
        <f t="shared" si="894"/>
        <v>0.89693420992821027</v>
      </c>
      <c r="FF315" s="5">
        <f t="shared" si="895"/>
        <v>89.693420992821032</v>
      </c>
      <c r="FG315">
        <f t="shared" si="896"/>
        <v>99</v>
      </c>
      <c r="FI315" s="562">
        <f t="shared" si="846"/>
        <v>-50</v>
      </c>
    </row>
    <row r="316" spans="5:169">
      <c r="E316" s="170">
        <v>100</v>
      </c>
      <c r="F316" s="217">
        <f>IF(PLOT_TYPE=1, E316/100*Iout_max, min_I*EXP(O316*rr/100))</f>
        <v>10</v>
      </c>
      <c r="G316" s="217">
        <f t="shared" si="775"/>
        <v>0.25</v>
      </c>
      <c r="H316" s="217">
        <f t="shared" si="776"/>
        <v>150</v>
      </c>
      <c r="I316" s="217">
        <f t="shared" si="777"/>
        <v>2</v>
      </c>
      <c r="J316" s="541">
        <f t="shared" si="778"/>
        <v>84.341324805137589</v>
      </c>
      <c r="K316" s="443">
        <f t="shared" si="779"/>
        <v>16.05541176470588</v>
      </c>
      <c r="L316" s="172">
        <f t="shared" si="780"/>
        <v>100.39673656984347</v>
      </c>
      <c r="M316" s="443"/>
      <c r="N316" s="217">
        <f t="shared" si="781"/>
        <v>0.15991965788187285</v>
      </c>
      <c r="O316" s="172">
        <f>N316*J316*Isw_max*0.5*Efficiency*Pout/(Pout+Pout2)</f>
        <v>332.75910710875462</v>
      </c>
      <c r="P316" s="172">
        <f t="shared" si="783"/>
        <v>4.4959452693805071</v>
      </c>
      <c r="Q316" s="217">
        <f t="shared" si="784"/>
        <v>22.183940473916973</v>
      </c>
      <c r="R316" s="217">
        <f t="shared" si="785"/>
        <v>41.594888388594327</v>
      </c>
      <c r="S316" s="217">
        <f t="shared" si="786"/>
        <v>15</v>
      </c>
      <c r="T316" s="217">
        <f t="shared" si="787"/>
        <v>22.538827156874177</v>
      </c>
      <c r="U316" s="217">
        <f t="shared" si="788"/>
        <v>3.2068019622335231</v>
      </c>
      <c r="V316" s="217">
        <f t="shared" si="789"/>
        <v>16.845779469639456</v>
      </c>
      <c r="W316" s="197">
        <f t="shared" si="790"/>
        <v>112.39863173451265</v>
      </c>
      <c r="X316" s="443">
        <f t="shared" si="848"/>
        <v>49.376421636119254</v>
      </c>
      <c r="Z316" s="217">
        <f t="shared" si="791"/>
        <v>10</v>
      </c>
      <c r="AA316" s="173">
        <f t="shared" si="792"/>
        <v>7.4741153798242861</v>
      </c>
      <c r="AB316" s="173">
        <f>0.5*AA316*Z316*Nps*W316/1000*(Pout/(Pout+Pout2))</f>
        <v>4.1451332670302312</v>
      </c>
      <c r="AC316" s="173"/>
      <c r="AD316" s="173">
        <f t="shared" si="794"/>
        <v>7.4741153798242861</v>
      </c>
      <c r="AE316" s="545">
        <f>MAX(10, F316/(0.5*AD316/1000000*Isw_min*Nps)/1000*Pout_total/Pout)</f>
        <v>267.5901960784314</v>
      </c>
      <c r="AF316" s="528">
        <f t="shared" si="796"/>
        <v>4.2004017105906355</v>
      </c>
      <c r="AH316" s="173">
        <f>SQRT((H316+I316)/(0.5*L*Fsw_DCM))</f>
        <v>8.5076995939532551</v>
      </c>
      <c r="AI316" s="173">
        <f>MAX(IF(F316&gt;AB316,T316,AH316),Isw_min)</f>
        <v>22.538827156874177</v>
      </c>
      <c r="AJ316" s="173">
        <f>IF(F316&gt;AF316, (AI316-Isw_min)/1.08*0.8+1.2, AE316*0.2/350+1)</f>
        <v>10.488020116203092</v>
      </c>
      <c r="AL316" s="545">
        <f t="shared" si="800"/>
        <v>10000</v>
      </c>
      <c r="AM316" s="460">
        <f t="shared" si="801"/>
        <v>49.376421636119254</v>
      </c>
      <c r="AO316">
        <f t="shared" si="802"/>
        <v>10000</v>
      </c>
      <c r="AP316">
        <f t="shared" si="803"/>
        <v>49.376421636119254</v>
      </c>
      <c r="AR316" s="5">
        <f t="shared" si="774"/>
        <v>20.252581431872976</v>
      </c>
      <c r="AS316" s="5">
        <f t="shared" si="897"/>
        <v>3.2068019622335231</v>
      </c>
      <c r="AT316" s="5">
        <f t="shared" si="898"/>
        <v>17.045779469639452</v>
      </c>
      <c r="AU316" s="173">
        <f t="shared" si="899"/>
        <v>0.15834040579077702</v>
      </c>
      <c r="BA316" s="173">
        <f t="shared" si="849"/>
        <v>5.1780538489295598</v>
      </c>
      <c r="BB316" s="173">
        <f t="shared" si="850"/>
        <v>11.938202050842305</v>
      </c>
      <c r="BC316" s="173">
        <f t="shared" si="851"/>
        <v>0.29400748580113595</v>
      </c>
      <c r="BD316" s="173"/>
      <c r="BE316" s="528">
        <f>Rdson*BA316^2</f>
        <v>0.53624483324828454</v>
      </c>
      <c r="BF316" s="528">
        <f t="shared" si="804"/>
        <v>2.0949409896280775</v>
      </c>
      <c r="BG316" s="528">
        <f t="shared" si="805"/>
        <v>0.10411182037318392</v>
      </c>
      <c r="BH316" s="528">
        <f t="shared" si="853"/>
        <v>4.9768987463552121E-2</v>
      </c>
      <c r="BI316">
        <f t="shared" si="854"/>
        <v>3.7953596162311913E-2</v>
      </c>
      <c r="BJ316" s="460">
        <f t="shared" si="855"/>
        <v>142.06541653549584</v>
      </c>
      <c r="BK316">
        <f t="shared" si="806"/>
        <v>3.2383440732675681</v>
      </c>
      <c r="BL316" s="460">
        <f t="shared" si="856"/>
        <v>2823.0202268754101</v>
      </c>
      <c r="BM316" s="173">
        <f t="shared" si="807"/>
        <v>6.2124999999999995</v>
      </c>
      <c r="BN316" s="173">
        <f t="shared" si="808"/>
        <v>0.11093749999999999</v>
      </c>
      <c r="BQ316" s="460">
        <f t="shared" si="857"/>
        <v>6323.4375</v>
      </c>
      <c r="BR316" s="528">
        <f t="shared" si="858"/>
        <v>0.8043672498724268</v>
      </c>
      <c r="BS316" s="528">
        <f t="shared" si="859"/>
        <v>4.2756200462020626</v>
      </c>
      <c r="BT316" s="528">
        <f t="shared" si="860"/>
        <v>4.3220200853552577E-4</v>
      </c>
      <c r="BU316" s="528">
        <f t="shared" si="861"/>
        <v>2.0658430310357918</v>
      </c>
      <c r="BV316" s="528"/>
      <c r="BW316" s="625">
        <f t="shared" si="862"/>
        <v>2.5083159463710338E-2</v>
      </c>
      <c r="BX316" s="460">
        <f t="shared" si="863"/>
        <v>7171.3456885825262</v>
      </c>
      <c r="BY316" s="173">
        <f>SUM(BE316:BI316,BM316:BP316,BR316:BW316)</f>
        <v>16.317803415457938</v>
      </c>
      <c r="BZ316" s="5">
        <f t="shared" si="865"/>
        <v>152</v>
      </c>
      <c r="CA316" s="173">
        <f t="shared" si="866"/>
        <v>0.90305360999049644</v>
      </c>
      <c r="CB316" s="5">
        <f t="shared" si="867"/>
        <v>90.30536099904964</v>
      </c>
      <c r="CC316">
        <f t="shared" si="868"/>
        <v>100</v>
      </c>
      <c r="CE316" s="562">
        <f t="shared" si="809"/>
        <v>-50</v>
      </c>
      <c r="CG316" s="173">
        <f t="shared" si="810"/>
        <v>0.84409136047666333</v>
      </c>
      <c r="CH316" s="173">
        <f t="shared" si="811"/>
        <v>0.10203989682880611</v>
      </c>
      <c r="CI316" s="170">
        <v>100</v>
      </c>
      <c r="CJ316" s="217">
        <f t="shared" si="869"/>
        <v>10</v>
      </c>
      <c r="CK316" s="217">
        <f t="shared" si="812"/>
        <v>0.25</v>
      </c>
      <c r="CL316" s="217">
        <f t="shared" si="813"/>
        <v>150</v>
      </c>
      <c r="CM316" s="217">
        <f t="shared" si="814"/>
        <v>2</v>
      </c>
      <c r="CN316" s="541">
        <f t="shared" si="815"/>
        <v>85</v>
      </c>
      <c r="CO316" s="443">
        <f t="shared" si="816"/>
        <v>15.7</v>
      </c>
      <c r="CP316" s="443">
        <f t="shared" si="817"/>
        <v>100.7</v>
      </c>
      <c r="CQ316" s="443"/>
      <c r="CR316" s="217">
        <f t="shared" si="818"/>
        <v>0.15338645418326693</v>
      </c>
      <c r="CS316" s="172">
        <f t="shared" si="819"/>
        <v>321.65744915076539</v>
      </c>
      <c r="CT316" s="172">
        <f t="shared" si="820"/>
        <v>4.3459495351925632</v>
      </c>
      <c r="CU316" s="217">
        <f t="shared" si="821"/>
        <v>21.443829943384358</v>
      </c>
      <c r="CV316" s="217">
        <f t="shared" si="822"/>
        <v>40.207181143845673</v>
      </c>
      <c r="CW316" s="217">
        <f t="shared" si="823"/>
        <v>15</v>
      </c>
      <c r="CX316" s="217">
        <f t="shared" si="824"/>
        <v>23.316730328495034</v>
      </c>
      <c r="CY316" s="217">
        <f t="shared" si="825"/>
        <v>3.2917736934345929</v>
      </c>
      <c r="CZ316" s="217">
        <f t="shared" si="826"/>
        <v>17.821704709677732</v>
      </c>
      <c r="DA316" s="197">
        <f t="shared" si="827"/>
        <v>110.43528632903013</v>
      </c>
      <c r="DB316" s="443">
        <f t="shared" si="828"/>
        <v>47.363109995773634</v>
      </c>
      <c r="DD316" s="217">
        <f t="shared" si="829"/>
        <v>9.9999999999999982</v>
      </c>
      <c r="DE316" s="173">
        <f t="shared" si="830"/>
        <v>7.6433121019108263</v>
      </c>
      <c r="DF316" s="173">
        <f t="shared" si="831"/>
        <v>4.1649244760361679</v>
      </c>
      <c r="DG316" s="173"/>
      <c r="DH316" s="173">
        <f t="shared" si="832"/>
        <v>7.6433121019108281</v>
      </c>
      <c r="DI316" s="545">
        <f t="shared" si="833"/>
        <v>261.66666666666669</v>
      </c>
      <c r="DJ316" s="528">
        <f t="shared" si="834"/>
        <v>4.2204568023833167</v>
      </c>
      <c r="DL316" s="173">
        <f t="shared" si="835"/>
        <v>8.5076995939532551</v>
      </c>
      <c r="DM316" s="173">
        <f t="shared" si="836"/>
        <v>23.316730328495034</v>
      </c>
      <c r="DN316" s="173">
        <f t="shared" si="837"/>
        <v>11.064244687774098</v>
      </c>
      <c r="DP316" s="545">
        <f t="shared" si="838"/>
        <v>10000</v>
      </c>
      <c r="DQ316" s="460">
        <f t="shared" si="839"/>
        <v>47.363109995773634</v>
      </c>
      <c r="DS316">
        <f t="shared" si="840"/>
        <v>10000</v>
      </c>
      <c r="DT316">
        <f t="shared" si="841"/>
        <v>47.363109995773634</v>
      </c>
      <c r="DV316" s="5">
        <f t="shared" si="870"/>
        <v>21.113478403112321</v>
      </c>
      <c r="DW316" s="5">
        <f t="shared" si="842"/>
        <v>3.2917736934345929</v>
      </c>
      <c r="DX316" s="5">
        <f t="shared" si="843"/>
        <v>17.821704709677729</v>
      </c>
      <c r="DY316" s="173">
        <f t="shared" si="844"/>
        <v>0.15590863952333667</v>
      </c>
      <c r="EA316" s="5">
        <f t="shared" si="871"/>
        <v>219.45157956230622</v>
      </c>
      <c r="EB316" s="5">
        <f t="shared" si="872"/>
        <v>10.286792791983103</v>
      </c>
      <c r="EC316" s="5">
        <f t="shared" si="873"/>
        <v>8.7361297596459444</v>
      </c>
      <c r="ED316" s="5"/>
      <c r="EE316" s="173">
        <f t="shared" si="874"/>
        <v>5.3154754104913966</v>
      </c>
      <c r="EF316" s="173">
        <f t="shared" si="875"/>
        <v>12.36806474612667</v>
      </c>
      <c r="EG316" s="173">
        <f t="shared" si="876"/>
        <v>0.30459390825755095</v>
      </c>
      <c r="EH316" s="173"/>
      <c r="EI316" s="528">
        <f t="shared" si="877"/>
        <v>0.56508557679077365</v>
      </c>
      <c r="EJ316" s="528">
        <f t="shared" si="878"/>
        <v>2.2241666666666671</v>
      </c>
      <c r="EK316" s="528">
        <f t="shared" si="879"/>
        <v>5.9203887494717038E-3</v>
      </c>
      <c r="EL316" s="528">
        <f t="shared" si="880"/>
        <v>4.802851432810426E-2</v>
      </c>
      <c r="EM316">
        <f t="shared" si="881"/>
        <v>3.8249999999999999E-2</v>
      </c>
      <c r="EN316" s="460">
        <f t="shared" si="882"/>
        <v>44.170388749471705</v>
      </c>
      <c r="EP316" s="460">
        <f t="shared" si="883"/>
        <v>2881.451146535017</v>
      </c>
      <c r="EQ316" s="173">
        <f t="shared" si="884"/>
        <v>7</v>
      </c>
      <c r="ER316" s="173">
        <f t="shared" si="845"/>
        <v>0.11093749999999999</v>
      </c>
      <c r="ES316" s="528"/>
      <c r="EU316" s="460">
        <f t="shared" si="885"/>
        <v>7110.9375</v>
      </c>
      <c r="EV316" s="528">
        <f t="shared" si="886"/>
        <v>0.84762836518616036</v>
      </c>
      <c r="EW316" s="528">
        <f t="shared" si="887"/>
        <v>4.5890707669314414</v>
      </c>
      <c r="EX316" s="528">
        <f t="shared" si="888"/>
        <v>4.6388724473804684E-4</v>
      </c>
      <c r="EY316" s="528">
        <f t="shared" si="889"/>
        <v>2.0264675705467909</v>
      </c>
      <c r="EZ316" s="528"/>
      <c r="FA316" s="625">
        <f t="shared" si="890"/>
        <v>2.5749897900841302E-2</v>
      </c>
      <c r="FB316" s="460">
        <f t="shared" si="891"/>
        <v>7489.3804878099727</v>
      </c>
      <c r="FC316" s="173">
        <f t="shared" si="892"/>
        <v>17.48176913434499</v>
      </c>
      <c r="FD316" s="5">
        <f t="shared" si="893"/>
        <v>152</v>
      </c>
      <c r="FE316" s="173">
        <f t="shared" si="894"/>
        <v>0.8968516246695093</v>
      </c>
      <c r="FF316" s="5">
        <f t="shared" si="895"/>
        <v>89.685162466950928</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5.0000000000000001E-4</v>
      </c>
      <c r="G322" s="884">
        <f>F322*Vout</f>
        <v>7.4999999999999997E-3</v>
      </c>
      <c r="M322">
        <f>'Design Converter'!L73</f>
        <v>5.0000000000000001E-4</v>
      </c>
      <c r="N322" s="884">
        <f>M322*Vout2</f>
        <v>4.0000000000000001E-3</v>
      </c>
      <c r="T322">
        <f>Vout*F316+Vout2*G316</f>
        <v>152</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85</v>
      </c>
      <c r="H325">
        <f>15000</f>
        <v>15000</v>
      </c>
      <c r="I325">
        <f>L*0.9</f>
        <v>1.08E-5</v>
      </c>
      <c r="M325" s="885">
        <v>1.9999999999999999E-7</v>
      </c>
      <c r="N325">
        <f>VIN_max</f>
        <v>85</v>
      </c>
      <c r="O325">
        <f>15000</f>
        <v>15000</v>
      </c>
      <c r="P325">
        <f>L*0.9</f>
        <v>1.08E-5</v>
      </c>
    </row>
    <row r="326" spans="5:20">
      <c r="G326" s="76" t="s">
        <v>911</v>
      </c>
      <c r="N326" s="76" t="s">
        <v>911</v>
      </c>
    </row>
    <row r="327" spans="5:20">
      <c r="G327" s="884">
        <f>0.5*(G325/I325*F325)^2*H325*I325</f>
        <v>0.2006944444444444</v>
      </c>
      <c r="N327" s="884">
        <f>0.5*(N325/P325*M325)^2*O325*P325</f>
        <v>0.2006944444444444</v>
      </c>
    </row>
    <row r="328" spans="5:20">
      <c r="E328" s="76" t="s">
        <v>919</v>
      </c>
      <c r="K328" s="76"/>
      <c r="L328" s="76" t="s">
        <v>920</v>
      </c>
    </row>
    <row r="329" spans="5:20">
      <c r="G329" t="str">
        <f>IF(G322+N322&lt;G327, "Yes", IF(G322&lt;G327, "Yes", "No"))</f>
        <v>Yes</v>
      </c>
      <c r="H329">
        <f>(Vout*1.05)^2/(G327-G322)</f>
        <v>1284.0043134435662</v>
      </c>
      <c r="N329" t="str">
        <f>IF(G322+N322&lt;N327, "Yes", IF(N322&lt;N327, "Yes", "No"))</f>
        <v>Yes</v>
      </c>
      <c r="O329">
        <f>(Vout2*1.05)^2/(N327-N322)</f>
        <v>358.72899308007356</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19</v>
      </c>
      <c r="E6" s="443">
        <f t="shared" ref="E6:E37" si="0">(Vout+Vfwd1)*Nps</f>
        <v>15.4</v>
      </c>
      <c r="F6" s="217">
        <f t="shared" ref="F6:F37" si="1">(Vout+Vfwd1)*Nps/((Vout+Vfwd1)*Nps+D6)</f>
        <v>0.44767441860465118</v>
      </c>
      <c r="G6" s="172">
        <f t="shared" ref="G6:G37" si="2">F6*D6*Isw_max*0.5*Efficiency</f>
        <v>212.64534883720933</v>
      </c>
      <c r="H6" s="217">
        <f t="shared" ref="H6:H37" si="3">G6/Vout</f>
        <v>14.176356589147288</v>
      </c>
      <c r="I6" s="443">
        <f t="shared" ref="I6:I37" si="4">(Vout+Vfwd1)*Nps+D6</f>
        <v>34.4</v>
      </c>
      <c r="J6" s="172">
        <f t="shared" ref="J6:J37" si="5">MIN(2*Vout*Iout/(Efficiency*D6*F6), 1.35)</f>
        <v>1.35</v>
      </c>
      <c r="K6" s="172">
        <f t="shared" ref="K6:K37" si="6">L*J6/D6*1000000</f>
        <v>0.85263157894736841</v>
      </c>
      <c r="L6" s="172">
        <f t="shared" ref="L6:L37" si="7">L*J6/((Vout+Vfwd1)*Nps)*1000000</f>
        <v>1.051948051948052</v>
      </c>
      <c r="M6" s="443">
        <f>MIN(1/(K6+L6)*1000, 350)</f>
        <v>350</v>
      </c>
      <c r="N6" s="197">
        <f t="shared" ref="N6:N37" si="8">IF(1/((350000*L)*(1/D6+1/E6))&gt;Isw_min, 350, 0.001/((Isw_min*L)*(1/D6+1/E6)))</f>
        <v>70.881782945736433</v>
      </c>
      <c r="O6" s="217">
        <f t="shared" ref="O6:O37" si="9">1/((N6*1000*L)*(1/D6+1/E6))</f>
        <v>10.000000000000002</v>
      </c>
      <c r="P6" s="173">
        <f t="shared" ref="P6:P37" si="10">L*O6/E6*1000000</f>
        <v>7.792207792207793</v>
      </c>
      <c r="Q6" s="173">
        <f t="shared" ref="Q6:Q37" si="11">0.5*P6*O6*Nps*N6/1000</f>
        <v>2.7616279069767451</v>
      </c>
      <c r="R6" s="173">
        <f t="shared" ref="R6:R37" si="12">L*Isw_min/E6*1000000</f>
        <v>7.7922077922077913</v>
      </c>
    </row>
    <row r="7" spans="3:19">
      <c r="C7" s="170">
        <v>1</v>
      </c>
      <c r="D7" s="5">
        <f t="shared" ref="D7:D38" si="13">C7/100*(VIN_max-VIN_min)+VIN_min</f>
        <v>19.66</v>
      </c>
      <c r="E7" s="443">
        <f t="shared" si="0"/>
        <v>15.4</v>
      </c>
      <c r="F7" s="217">
        <f t="shared" si="1"/>
        <v>0.4392470051340559</v>
      </c>
      <c r="G7" s="172">
        <f t="shared" si="2"/>
        <v>215.88990302338846</v>
      </c>
      <c r="H7" s="217">
        <f t="shared" si="3"/>
        <v>14.392660201559231</v>
      </c>
      <c r="I7" s="443">
        <f t="shared" si="4"/>
        <v>35.06</v>
      </c>
      <c r="J7" s="172">
        <f t="shared" si="5"/>
        <v>1.35</v>
      </c>
      <c r="K7" s="172">
        <f t="shared" si="6"/>
        <v>0.82400813835198372</v>
      </c>
      <c r="L7" s="172">
        <f t="shared" si="7"/>
        <v>1.051948051948052</v>
      </c>
      <c r="M7" s="443">
        <f t="shared" ref="M7:M70" si="14">MIN(1/(K7+L7)*1000, 350)</f>
        <v>350</v>
      </c>
      <c r="N7" s="197">
        <f t="shared" si="8"/>
        <v>71.963301007796161</v>
      </c>
      <c r="O7" s="217">
        <f t="shared" si="9"/>
        <v>9.9999999999999982</v>
      </c>
      <c r="P7" s="173">
        <f t="shared" si="10"/>
        <v>7.7922077922077895</v>
      </c>
      <c r="Q7" s="173">
        <f t="shared" si="11"/>
        <v>2.8037649743297188</v>
      </c>
      <c r="R7" s="173">
        <f t="shared" si="12"/>
        <v>7.7922077922077913</v>
      </c>
    </row>
    <row r="8" spans="3:19">
      <c r="C8" s="170">
        <v>2</v>
      </c>
      <c r="D8" s="5">
        <f t="shared" si="13"/>
        <v>20.32</v>
      </c>
      <c r="E8" s="443">
        <f t="shared" si="0"/>
        <v>15.4</v>
      </c>
      <c r="F8" s="217">
        <f t="shared" si="1"/>
        <v>0.43113101903695411</v>
      </c>
      <c r="G8" s="172">
        <f t="shared" si="2"/>
        <v>219.01455767077266</v>
      </c>
      <c r="H8" s="217">
        <f t="shared" si="3"/>
        <v>14.600970511384844</v>
      </c>
      <c r="I8" s="443">
        <f t="shared" si="4"/>
        <v>35.72</v>
      </c>
      <c r="J8" s="172">
        <f t="shared" si="5"/>
        <v>1.35</v>
      </c>
      <c r="K8" s="172">
        <f t="shared" si="6"/>
        <v>0.797244094488189</v>
      </c>
      <c r="L8" s="172">
        <f t="shared" si="7"/>
        <v>1.051948051948052</v>
      </c>
      <c r="M8" s="443">
        <f t="shared" si="14"/>
        <v>350</v>
      </c>
      <c r="N8" s="197">
        <f t="shared" si="8"/>
        <v>73.004852556924234</v>
      </c>
      <c r="O8" s="217">
        <f t="shared" si="9"/>
        <v>10</v>
      </c>
      <c r="P8" s="173">
        <f t="shared" si="10"/>
        <v>7.7922077922077913</v>
      </c>
      <c r="Q8" s="173">
        <f t="shared" si="11"/>
        <v>2.8443449048152298</v>
      </c>
      <c r="R8" s="173">
        <f t="shared" si="12"/>
        <v>7.7922077922077913</v>
      </c>
    </row>
    <row r="9" spans="3:19">
      <c r="C9" s="170">
        <v>3</v>
      </c>
      <c r="D9" s="5">
        <f t="shared" si="13"/>
        <v>20.98</v>
      </c>
      <c r="E9" s="443">
        <f t="shared" si="0"/>
        <v>15.4</v>
      </c>
      <c r="F9" s="217">
        <f t="shared" si="1"/>
        <v>0.42330951072017592</v>
      </c>
      <c r="G9" s="172">
        <f t="shared" si="2"/>
        <v>222.02583837273227</v>
      </c>
      <c r="H9" s="217">
        <f t="shared" si="3"/>
        <v>14.801722558182151</v>
      </c>
      <c r="I9" s="443">
        <f t="shared" si="4"/>
        <v>36.380000000000003</v>
      </c>
      <c r="J9" s="172">
        <f t="shared" si="5"/>
        <v>1.35</v>
      </c>
      <c r="K9" s="172">
        <f t="shared" si="6"/>
        <v>0.77216396568160151</v>
      </c>
      <c r="L9" s="172">
        <f t="shared" si="7"/>
        <v>1.051948051948052</v>
      </c>
      <c r="M9" s="443">
        <f t="shared" si="14"/>
        <v>350</v>
      </c>
      <c r="N9" s="197">
        <f t="shared" si="8"/>
        <v>74.00861279091076</v>
      </c>
      <c r="O9" s="217">
        <f t="shared" si="9"/>
        <v>10</v>
      </c>
      <c r="P9" s="173">
        <f t="shared" si="10"/>
        <v>7.7922077922077913</v>
      </c>
      <c r="Q9" s="173">
        <f t="shared" si="11"/>
        <v>2.88345244639912</v>
      </c>
      <c r="R9" s="173">
        <f t="shared" si="12"/>
        <v>7.7922077922077913</v>
      </c>
    </row>
    <row r="10" spans="3:19">
      <c r="C10" s="170">
        <v>4</v>
      </c>
      <c r="D10" s="5">
        <f t="shared" si="13"/>
        <v>21.64</v>
      </c>
      <c r="E10" s="443">
        <f t="shared" si="0"/>
        <v>15.4</v>
      </c>
      <c r="F10" s="217">
        <f t="shared" si="1"/>
        <v>0.41576673866090713</v>
      </c>
      <c r="G10" s="172">
        <f t="shared" si="2"/>
        <v>224.92980561555078</v>
      </c>
      <c r="H10" s="217">
        <f t="shared" si="3"/>
        <v>14.995320374370051</v>
      </c>
      <c r="I10" s="443">
        <f t="shared" si="4"/>
        <v>37.04</v>
      </c>
      <c r="J10" s="172">
        <f t="shared" si="5"/>
        <v>1.35</v>
      </c>
      <c r="K10" s="172">
        <f t="shared" si="6"/>
        <v>0.74861367837338266</v>
      </c>
      <c r="L10" s="172">
        <f t="shared" si="7"/>
        <v>1.051948051948052</v>
      </c>
      <c r="M10" s="443">
        <f t="shared" si="14"/>
        <v>350</v>
      </c>
      <c r="N10" s="197">
        <f t="shared" si="8"/>
        <v>74.976601871850249</v>
      </c>
      <c r="O10" s="217">
        <f t="shared" si="9"/>
        <v>10</v>
      </c>
      <c r="P10" s="173">
        <f t="shared" si="10"/>
        <v>7.7922077922077913</v>
      </c>
      <c r="Q10" s="173">
        <f t="shared" si="11"/>
        <v>2.9211663066954645</v>
      </c>
      <c r="R10" s="173">
        <f t="shared" si="12"/>
        <v>7.7922077922077913</v>
      </c>
    </row>
    <row r="11" spans="3:19">
      <c r="C11" s="170">
        <v>5</v>
      </c>
      <c r="D11" s="5">
        <f t="shared" si="13"/>
        <v>22.3</v>
      </c>
      <c r="E11" s="443">
        <f t="shared" si="0"/>
        <v>15.4</v>
      </c>
      <c r="F11" s="217">
        <f t="shared" si="1"/>
        <v>0.40848806366047741</v>
      </c>
      <c r="G11" s="172">
        <f t="shared" si="2"/>
        <v>227.73209549071618</v>
      </c>
      <c r="H11" s="217">
        <f t="shared" si="3"/>
        <v>15.182139699381079</v>
      </c>
      <c r="I11" s="443">
        <f t="shared" si="4"/>
        <v>37.700000000000003</v>
      </c>
      <c r="J11" s="172">
        <f t="shared" si="5"/>
        <v>1.35</v>
      </c>
      <c r="K11" s="172">
        <f t="shared" si="6"/>
        <v>0.72645739910313911</v>
      </c>
      <c r="L11" s="172">
        <f t="shared" si="7"/>
        <v>1.051948051948052</v>
      </c>
      <c r="M11" s="443">
        <f t="shared" si="14"/>
        <v>350</v>
      </c>
      <c r="N11" s="197">
        <f t="shared" si="8"/>
        <v>75.910698496905397</v>
      </c>
      <c r="O11" s="217">
        <f t="shared" si="9"/>
        <v>10</v>
      </c>
      <c r="P11" s="173">
        <f t="shared" si="10"/>
        <v>7.7922077922077913</v>
      </c>
      <c r="Q11" s="173">
        <f t="shared" si="11"/>
        <v>2.9575596816976129</v>
      </c>
      <c r="R11" s="173">
        <f t="shared" si="12"/>
        <v>7.7922077922077913</v>
      </c>
    </row>
    <row r="12" spans="3:19">
      <c r="C12" s="170">
        <v>6</v>
      </c>
      <c r="D12" s="5">
        <f t="shared" si="13"/>
        <v>22.96</v>
      </c>
      <c r="E12" s="443">
        <f t="shared" si="0"/>
        <v>15.4</v>
      </c>
      <c r="F12" s="217">
        <f t="shared" si="1"/>
        <v>0.40145985401459855</v>
      </c>
      <c r="G12" s="172">
        <f t="shared" si="2"/>
        <v>230.43795620437959</v>
      </c>
      <c r="H12" s="217">
        <f t="shared" si="3"/>
        <v>15.362530413625306</v>
      </c>
      <c r="I12" s="443">
        <f t="shared" si="4"/>
        <v>38.36</v>
      </c>
      <c r="J12" s="172">
        <f t="shared" si="5"/>
        <v>1.35</v>
      </c>
      <c r="K12" s="172">
        <f t="shared" si="6"/>
        <v>0.70557491289198604</v>
      </c>
      <c r="L12" s="172">
        <f t="shared" si="7"/>
        <v>1.051948051948052</v>
      </c>
      <c r="M12" s="443">
        <f t="shared" si="14"/>
        <v>350</v>
      </c>
      <c r="N12" s="197">
        <f t="shared" si="8"/>
        <v>76.812652068126525</v>
      </c>
      <c r="O12" s="217">
        <f t="shared" si="9"/>
        <v>10</v>
      </c>
      <c r="P12" s="173">
        <f t="shared" si="10"/>
        <v>7.7922077922077913</v>
      </c>
      <c r="Q12" s="173">
        <f t="shared" si="11"/>
        <v>2.992700729927007</v>
      </c>
      <c r="R12" s="173">
        <f t="shared" si="12"/>
        <v>7.7922077922077913</v>
      </c>
    </row>
    <row r="13" spans="3:19">
      <c r="C13" s="170">
        <v>7</v>
      </c>
      <c r="D13" s="5">
        <f t="shared" si="13"/>
        <v>23.62</v>
      </c>
      <c r="E13" s="443">
        <f t="shared" si="0"/>
        <v>15.4</v>
      </c>
      <c r="F13" s="217">
        <f t="shared" si="1"/>
        <v>0.39466940030753456</v>
      </c>
      <c r="G13" s="172">
        <f t="shared" si="2"/>
        <v>233.05228088159916</v>
      </c>
      <c r="H13" s="217">
        <f t="shared" si="3"/>
        <v>15.536818725439945</v>
      </c>
      <c r="I13" s="443">
        <f t="shared" si="4"/>
        <v>39.020000000000003</v>
      </c>
      <c r="J13" s="172">
        <f t="shared" si="5"/>
        <v>1.35</v>
      </c>
      <c r="K13" s="172">
        <f t="shared" si="6"/>
        <v>0.6858594411515665</v>
      </c>
      <c r="L13" s="172">
        <f t="shared" si="7"/>
        <v>1.051948051948052</v>
      </c>
      <c r="M13" s="443">
        <f t="shared" si="14"/>
        <v>350</v>
      </c>
      <c r="N13" s="197">
        <f t="shared" si="8"/>
        <v>77.684093627199729</v>
      </c>
      <c r="O13" s="217">
        <f t="shared" si="9"/>
        <v>9.9999999999999982</v>
      </c>
      <c r="P13" s="173">
        <f t="shared" si="10"/>
        <v>7.7922077922077895</v>
      </c>
      <c r="Q13" s="173">
        <f t="shared" si="11"/>
        <v>3.0266529984623252</v>
      </c>
      <c r="R13" s="173">
        <f t="shared" si="12"/>
        <v>7.7922077922077913</v>
      </c>
    </row>
    <row r="14" spans="3:19" s="76" customFormat="1">
      <c r="C14" s="189">
        <v>8</v>
      </c>
      <c r="D14" s="534">
        <f t="shared" si="13"/>
        <v>24.28</v>
      </c>
      <c r="E14" s="535">
        <f t="shared" si="0"/>
        <v>15.4</v>
      </c>
      <c r="F14" s="329">
        <f t="shared" si="1"/>
        <v>0.38810483870967744</v>
      </c>
      <c r="G14" s="536">
        <f t="shared" si="2"/>
        <v>235.57963709677421</v>
      </c>
      <c r="H14" s="329">
        <f t="shared" si="3"/>
        <v>15.705309139784948</v>
      </c>
      <c r="I14" s="535">
        <f t="shared" si="4"/>
        <v>39.68</v>
      </c>
      <c r="J14" s="172">
        <f t="shared" si="5"/>
        <v>1.35</v>
      </c>
      <c r="K14" s="536">
        <f t="shared" si="6"/>
        <v>0.66721581548599673</v>
      </c>
      <c r="L14" s="536">
        <f t="shared" si="7"/>
        <v>1.051948051948052</v>
      </c>
      <c r="M14" s="535">
        <f t="shared" si="14"/>
        <v>350</v>
      </c>
      <c r="N14" s="537">
        <f t="shared" si="8"/>
        <v>78.526545698924735</v>
      </c>
      <c r="O14" s="329">
        <f t="shared" si="9"/>
        <v>10</v>
      </c>
      <c r="P14" s="173">
        <f t="shared" si="10"/>
        <v>7.7922077922077913</v>
      </c>
      <c r="Q14" s="538">
        <f t="shared" si="11"/>
        <v>3.0594758064516125</v>
      </c>
      <c r="R14" s="173">
        <f t="shared" si="12"/>
        <v>7.7922077922077913</v>
      </c>
    </row>
    <row r="15" spans="3:19">
      <c r="C15" s="170">
        <v>9</v>
      </c>
      <c r="D15" s="5">
        <f t="shared" si="13"/>
        <v>24.939999999999998</v>
      </c>
      <c r="E15" s="443">
        <f t="shared" si="0"/>
        <v>15.4</v>
      </c>
      <c r="F15" s="217">
        <f t="shared" si="1"/>
        <v>0.38175508180466045</v>
      </c>
      <c r="G15" s="172">
        <f t="shared" si="2"/>
        <v>238.02429350520575</v>
      </c>
      <c r="H15" s="217">
        <f t="shared" si="3"/>
        <v>15.868286233680383</v>
      </c>
      <c r="I15" s="443">
        <f t="shared" si="4"/>
        <v>40.339999999999996</v>
      </c>
      <c r="J15" s="172">
        <f t="shared" si="5"/>
        <v>1.35</v>
      </c>
      <c r="K15" s="172">
        <f t="shared" si="6"/>
        <v>0.64955894145950288</v>
      </c>
      <c r="L15" s="172">
        <f t="shared" si="7"/>
        <v>1.051948051948052</v>
      </c>
      <c r="M15" s="443">
        <f t="shared" si="14"/>
        <v>350</v>
      </c>
      <c r="N15" s="197">
        <f t="shared" si="8"/>
        <v>79.341431168401925</v>
      </c>
      <c r="O15" s="217">
        <f t="shared" si="9"/>
        <v>10</v>
      </c>
      <c r="P15" s="173">
        <f t="shared" si="10"/>
        <v>7.7922077922077913</v>
      </c>
      <c r="Q15" s="173">
        <f t="shared" si="11"/>
        <v>3.0912245909766982</v>
      </c>
      <c r="R15" s="173">
        <f t="shared" si="12"/>
        <v>7.7922077922077913</v>
      </c>
    </row>
    <row r="16" spans="3:19">
      <c r="C16" s="170">
        <v>10</v>
      </c>
      <c r="D16" s="5">
        <f t="shared" si="13"/>
        <v>25.6</v>
      </c>
      <c r="E16" s="443">
        <f t="shared" si="0"/>
        <v>15.4</v>
      </c>
      <c r="F16" s="217">
        <f t="shared" si="1"/>
        <v>0.37560975609756098</v>
      </c>
      <c r="G16" s="172">
        <f t="shared" si="2"/>
        <v>240.39024390243907</v>
      </c>
      <c r="H16" s="217">
        <f t="shared" si="3"/>
        <v>16.026016260162603</v>
      </c>
      <c r="I16" s="443">
        <f t="shared" si="4"/>
        <v>41</v>
      </c>
      <c r="J16" s="172">
        <f t="shared" si="5"/>
        <v>1.35</v>
      </c>
      <c r="K16" s="172">
        <f t="shared" si="6"/>
        <v>0.6328125</v>
      </c>
      <c r="L16" s="172">
        <f t="shared" si="7"/>
        <v>1.051948051948052</v>
      </c>
      <c r="M16" s="443">
        <f t="shared" si="14"/>
        <v>350</v>
      </c>
      <c r="N16" s="197">
        <f t="shared" si="8"/>
        <v>80.130081300813018</v>
      </c>
      <c r="O16" s="217">
        <f t="shared" si="9"/>
        <v>9.9999999999999982</v>
      </c>
      <c r="P16" s="173">
        <f t="shared" si="10"/>
        <v>7.7922077922077895</v>
      </c>
      <c r="Q16" s="173">
        <f t="shared" si="11"/>
        <v>3.1219512195121939</v>
      </c>
      <c r="R16" s="173">
        <f t="shared" si="12"/>
        <v>7.7922077922077913</v>
      </c>
    </row>
    <row r="17" spans="3:18">
      <c r="C17" s="170">
        <v>11</v>
      </c>
      <c r="D17" s="5">
        <f t="shared" si="13"/>
        <v>26.259999999999998</v>
      </c>
      <c r="E17" s="443">
        <f t="shared" si="0"/>
        <v>15.4</v>
      </c>
      <c r="F17" s="217">
        <f t="shared" si="1"/>
        <v>0.36965914546327416</v>
      </c>
      <c r="G17" s="172">
        <f t="shared" si="2"/>
        <v>242.68122899663948</v>
      </c>
      <c r="H17" s="217">
        <f t="shared" si="3"/>
        <v>16.178748599775965</v>
      </c>
      <c r="I17" s="443">
        <f t="shared" si="4"/>
        <v>41.66</v>
      </c>
      <c r="J17" s="172">
        <f t="shared" si="5"/>
        <v>1.35</v>
      </c>
      <c r="K17" s="172">
        <f t="shared" si="6"/>
        <v>0.61690784463061699</v>
      </c>
      <c r="L17" s="172">
        <f t="shared" si="7"/>
        <v>1.051948051948052</v>
      </c>
      <c r="M17" s="443">
        <f t="shared" si="14"/>
        <v>350</v>
      </c>
      <c r="N17" s="197">
        <f t="shared" si="8"/>
        <v>80.893742998879816</v>
      </c>
      <c r="O17" s="217">
        <f t="shared" si="9"/>
        <v>10</v>
      </c>
      <c r="P17" s="173">
        <f t="shared" si="10"/>
        <v>7.7922077922077913</v>
      </c>
      <c r="Q17" s="173">
        <f t="shared" si="11"/>
        <v>3.1517042726836291</v>
      </c>
      <c r="R17" s="173">
        <f t="shared" si="12"/>
        <v>7.7922077922077913</v>
      </c>
    </row>
    <row r="18" spans="3:18">
      <c r="C18" s="170">
        <v>12</v>
      </c>
      <c r="D18" s="5">
        <f t="shared" si="13"/>
        <v>26.92</v>
      </c>
      <c r="E18" s="443">
        <f t="shared" si="0"/>
        <v>15.4</v>
      </c>
      <c r="F18" s="217">
        <f t="shared" si="1"/>
        <v>0.36389413988657848</v>
      </c>
      <c r="G18" s="172">
        <f t="shared" si="2"/>
        <v>244.90075614366737</v>
      </c>
      <c r="H18" s="217">
        <f t="shared" si="3"/>
        <v>16.326717076244492</v>
      </c>
      <c r="I18" s="443">
        <f t="shared" si="4"/>
        <v>42.32</v>
      </c>
      <c r="J18" s="172">
        <f t="shared" si="5"/>
        <v>1.35</v>
      </c>
      <c r="K18" s="172">
        <f t="shared" si="6"/>
        <v>0.60178306092124811</v>
      </c>
      <c r="L18" s="172">
        <f t="shared" si="7"/>
        <v>1.051948051948052</v>
      </c>
      <c r="M18" s="443">
        <f t="shared" si="14"/>
        <v>350</v>
      </c>
      <c r="N18" s="197">
        <f t="shared" si="8"/>
        <v>81.633585381222431</v>
      </c>
      <c r="O18" s="217">
        <f t="shared" si="9"/>
        <v>10</v>
      </c>
      <c r="P18" s="173">
        <f t="shared" si="10"/>
        <v>7.7922077922077913</v>
      </c>
      <c r="Q18" s="173">
        <f t="shared" si="11"/>
        <v>3.1805293005671076</v>
      </c>
      <c r="R18" s="173">
        <f t="shared" si="12"/>
        <v>7.7922077922077913</v>
      </c>
    </row>
    <row r="19" spans="3:18">
      <c r="C19" s="170">
        <v>13</v>
      </c>
      <c r="D19" s="5">
        <f t="shared" si="13"/>
        <v>27.58</v>
      </c>
      <c r="E19" s="443">
        <f t="shared" si="0"/>
        <v>15.4</v>
      </c>
      <c r="F19" s="217">
        <f t="shared" si="1"/>
        <v>0.35830618892508148</v>
      </c>
      <c r="G19" s="172">
        <f t="shared" si="2"/>
        <v>247.05211726384366</v>
      </c>
      <c r="H19" s="217">
        <f t="shared" si="3"/>
        <v>16.47014115092291</v>
      </c>
      <c r="I19" s="443">
        <f t="shared" si="4"/>
        <v>42.98</v>
      </c>
      <c r="J19" s="172">
        <f t="shared" si="5"/>
        <v>1.35</v>
      </c>
      <c r="K19" s="172">
        <f t="shared" si="6"/>
        <v>0.58738216098622187</v>
      </c>
      <c r="L19" s="172">
        <f t="shared" si="7"/>
        <v>1.051948051948052</v>
      </c>
      <c r="M19" s="443">
        <f t="shared" si="14"/>
        <v>350</v>
      </c>
      <c r="N19" s="197">
        <f t="shared" si="8"/>
        <v>82.350705754614552</v>
      </c>
      <c r="O19" s="217">
        <f t="shared" si="9"/>
        <v>10</v>
      </c>
      <c r="P19" s="173">
        <f t="shared" si="10"/>
        <v>7.7922077922077913</v>
      </c>
      <c r="Q19" s="173">
        <f t="shared" si="11"/>
        <v>3.2084690553745925</v>
      </c>
      <c r="R19" s="173">
        <f t="shared" si="12"/>
        <v>7.7922077922077913</v>
      </c>
    </row>
    <row r="20" spans="3:18">
      <c r="C20" s="170">
        <v>14</v>
      </c>
      <c r="D20" s="5">
        <f t="shared" si="13"/>
        <v>28.240000000000002</v>
      </c>
      <c r="E20" s="443">
        <f t="shared" si="0"/>
        <v>15.4</v>
      </c>
      <c r="F20" s="217">
        <f t="shared" si="1"/>
        <v>0.35288725939505039</v>
      </c>
      <c r="G20" s="172">
        <f t="shared" si="2"/>
        <v>249.13840513290558</v>
      </c>
      <c r="H20" s="217">
        <f t="shared" si="3"/>
        <v>16.609227008860373</v>
      </c>
      <c r="I20" s="443">
        <f t="shared" si="4"/>
        <v>43.64</v>
      </c>
      <c r="J20" s="172">
        <f t="shared" si="5"/>
        <v>1.35</v>
      </c>
      <c r="K20" s="172">
        <f t="shared" si="6"/>
        <v>0.57365439093484416</v>
      </c>
      <c r="L20" s="172">
        <f t="shared" si="7"/>
        <v>1.051948051948052</v>
      </c>
      <c r="M20" s="443">
        <f t="shared" si="14"/>
        <v>350</v>
      </c>
      <c r="N20" s="197">
        <f t="shared" si="8"/>
        <v>83.046135044301877</v>
      </c>
      <c r="O20" s="217">
        <f t="shared" si="9"/>
        <v>9.9999999999999982</v>
      </c>
      <c r="P20" s="173">
        <f t="shared" si="10"/>
        <v>7.7922077922077895</v>
      </c>
      <c r="Q20" s="173">
        <f t="shared" si="11"/>
        <v>3.2355637030247468</v>
      </c>
      <c r="R20" s="173">
        <f t="shared" si="12"/>
        <v>7.7922077922077913</v>
      </c>
    </row>
    <row r="21" spans="3:18">
      <c r="C21" s="170">
        <v>15</v>
      </c>
      <c r="D21" s="5">
        <f t="shared" si="13"/>
        <v>28.9</v>
      </c>
      <c r="E21" s="443">
        <f t="shared" si="0"/>
        <v>15.4</v>
      </c>
      <c r="F21" s="217">
        <f t="shared" si="1"/>
        <v>0.34762979683972917</v>
      </c>
      <c r="G21" s="172">
        <f t="shared" si="2"/>
        <v>251.16252821670432</v>
      </c>
      <c r="H21" s="217">
        <f t="shared" si="3"/>
        <v>16.744168547780287</v>
      </c>
      <c r="I21" s="443">
        <f t="shared" si="4"/>
        <v>44.3</v>
      </c>
      <c r="J21" s="172">
        <f t="shared" si="5"/>
        <v>1.35</v>
      </c>
      <c r="K21" s="172">
        <f t="shared" si="6"/>
        <v>0.56055363321799312</v>
      </c>
      <c r="L21" s="172">
        <f t="shared" si="7"/>
        <v>1.051948051948052</v>
      </c>
      <c r="M21" s="443">
        <f t="shared" si="14"/>
        <v>350</v>
      </c>
      <c r="N21" s="197">
        <f t="shared" si="8"/>
        <v>83.720842738901425</v>
      </c>
      <c r="O21" s="217">
        <f t="shared" si="9"/>
        <v>10</v>
      </c>
      <c r="P21" s="173">
        <f t="shared" si="10"/>
        <v>7.7922077922077913</v>
      </c>
      <c r="Q21" s="173">
        <f t="shared" si="11"/>
        <v>3.2618510158013541</v>
      </c>
      <c r="R21" s="173">
        <f t="shared" si="12"/>
        <v>7.7922077922077913</v>
      </c>
    </row>
    <row r="22" spans="3:18" s="3" customFormat="1" ht="13">
      <c r="C22" s="333">
        <v>16</v>
      </c>
      <c r="D22" s="530">
        <f t="shared" si="13"/>
        <v>29.560000000000002</v>
      </c>
      <c r="E22" s="531">
        <f t="shared" si="0"/>
        <v>15.4</v>
      </c>
      <c r="F22" s="532">
        <f t="shared" si="1"/>
        <v>0.34252669039145905</v>
      </c>
      <c r="G22" s="332">
        <f t="shared" si="2"/>
        <v>253.12722419928826</v>
      </c>
      <c r="H22" s="532">
        <f t="shared" si="3"/>
        <v>16.875148279952551</v>
      </c>
      <c r="I22" s="531">
        <f t="shared" si="4"/>
        <v>44.96</v>
      </c>
      <c r="J22" s="172">
        <f t="shared" si="5"/>
        <v>1.35</v>
      </c>
      <c r="K22" s="332">
        <f t="shared" si="6"/>
        <v>0.54803788903924222</v>
      </c>
      <c r="L22" s="332">
        <f t="shared" si="7"/>
        <v>1.051948051948052</v>
      </c>
      <c r="M22" s="531">
        <f t="shared" si="14"/>
        <v>350</v>
      </c>
      <c r="N22" s="335">
        <f t="shared" si="8"/>
        <v>84.375741399762774</v>
      </c>
      <c r="O22" s="532">
        <f t="shared" si="9"/>
        <v>9.9999999999999982</v>
      </c>
      <c r="P22" s="173">
        <f t="shared" si="10"/>
        <v>7.7922077922077895</v>
      </c>
      <c r="Q22" s="539">
        <f t="shared" si="11"/>
        <v>3.2873665480427037</v>
      </c>
      <c r="R22" s="173">
        <f t="shared" si="12"/>
        <v>7.7922077922077913</v>
      </c>
    </row>
    <row r="23" spans="3:18">
      <c r="C23" s="170">
        <v>17</v>
      </c>
      <c r="D23" s="5">
        <f t="shared" si="13"/>
        <v>30.22</v>
      </c>
      <c r="E23" s="443">
        <f t="shared" si="0"/>
        <v>15.4</v>
      </c>
      <c r="F23" s="217">
        <f t="shared" si="1"/>
        <v>0.33757124068391059</v>
      </c>
      <c r="G23" s="172">
        <f t="shared" si="2"/>
        <v>255.03507233669444</v>
      </c>
      <c r="H23" s="217">
        <f t="shared" si="3"/>
        <v>17.002338155779629</v>
      </c>
      <c r="I23" s="443">
        <f t="shared" si="4"/>
        <v>45.62</v>
      </c>
      <c r="J23" s="172">
        <f t="shared" si="5"/>
        <v>1.35</v>
      </c>
      <c r="K23" s="172">
        <f t="shared" si="6"/>
        <v>0.53606882859033755</v>
      </c>
      <c r="L23" s="172">
        <f t="shared" si="7"/>
        <v>1.051948051948052</v>
      </c>
      <c r="M23" s="443">
        <f t="shared" si="14"/>
        <v>350</v>
      </c>
      <c r="N23" s="197">
        <f t="shared" si="8"/>
        <v>85.011690778898142</v>
      </c>
      <c r="O23" s="217">
        <f t="shared" si="9"/>
        <v>10</v>
      </c>
      <c r="P23" s="173">
        <f t="shared" si="10"/>
        <v>7.7922077922077913</v>
      </c>
      <c r="Q23" s="173">
        <f t="shared" si="11"/>
        <v>3.3121437965804472</v>
      </c>
      <c r="R23" s="173">
        <f t="shared" si="12"/>
        <v>7.7922077922077913</v>
      </c>
    </row>
    <row r="24" spans="3:18">
      <c r="C24" s="170">
        <v>18</v>
      </c>
      <c r="D24" s="5">
        <f t="shared" si="13"/>
        <v>30.88</v>
      </c>
      <c r="E24" s="443">
        <f t="shared" si="0"/>
        <v>15.4</v>
      </c>
      <c r="F24" s="217">
        <f t="shared" si="1"/>
        <v>0.33275713050993949</v>
      </c>
      <c r="G24" s="172">
        <f t="shared" si="2"/>
        <v>256.88850475367326</v>
      </c>
      <c r="H24" s="217">
        <f t="shared" si="3"/>
        <v>17.125900316911551</v>
      </c>
      <c r="I24" s="443">
        <f t="shared" si="4"/>
        <v>46.28</v>
      </c>
      <c r="J24" s="172">
        <f t="shared" si="5"/>
        <v>1.35</v>
      </c>
      <c r="K24" s="172">
        <f t="shared" si="6"/>
        <v>0.52461139896373066</v>
      </c>
      <c r="L24" s="172">
        <f t="shared" si="7"/>
        <v>1.051948051948052</v>
      </c>
      <c r="M24" s="443">
        <f t="shared" si="14"/>
        <v>350</v>
      </c>
      <c r="N24" s="197">
        <f t="shared" si="8"/>
        <v>85.629501584557772</v>
      </c>
      <c r="O24" s="217">
        <f t="shared" si="9"/>
        <v>10</v>
      </c>
      <c r="P24" s="173">
        <f t="shared" si="10"/>
        <v>7.7922077922077913</v>
      </c>
      <c r="Q24" s="173">
        <f t="shared" si="11"/>
        <v>3.3362143474503028</v>
      </c>
      <c r="R24" s="173">
        <f t="shared" si="12"/>
        <v>7.7922077922077913</v>
      </c>
    </row>
    <row r="25" spans="3:18">
      <c r="C25" s="170">
        <v>19</v>
      </c>
      <c r="D25" s="5">
        <f t="shared" si="13"/>
        <v>31.54</v>
      </c>
      <c r="E25" s="443">
        <f t="shared" si="0"/>
        <v>15.4</v>
      </c>
      <c r="F25" s="217">
        <f t="shared" si="1"/>
        <v>0.32807839795483601</v>
      </c>
      <c r="G25" s="172">
        <f t="shared" si="2"/>
        <v>258.68981678738822</v>
      </c>
      <c r="H25" s="217">
        <f t="shared" si="3"/>
        <v>17.245987785825882</v>
      </c>
      <c r="I25" s="443">
        <f t="shared" si="4"/>
        <v>46.94</v>
      </c>
      <c r="J25" s="172">
        <f t="shared" si="5"/>
        <v>1.35</v>
      </c>
      <c r="K25" s="172">
        <f t="shared" si="6"/>
        <v>0.51363348129359543</v>
      </c>
      <c r="L25" s="172">
        <f t="shared" si="7"/>
        <v>1.051948051948052</v>
      </c>
      <c r="M25" s="443">
        <f t="shared" si="14"/>
        <v>350</v>
      </c>
      <c r="N25" s="197">
        <f t="shared" si="8"/>
        <v>86.229938929129389</v>
      </c>
      <c r="O25" s="217">
        <f t="shared" si="9"/>
        <v>10</v>
      </c>
      <c r="P25" s="173">
        <f t="shared" si="10"/>
        <v>7.7922077922077913</v>
      </c>
      <c r="Q25" s="173">
        <f t="shared" si="11"/>
        <v>3.3596080102258203</v>
      </c>
      <c r="R25" s="173">
        <f t="shared" si="12"/>
        <v>7.7922077922077913</v>
      </c>
    </row>
    <row r="26" spans="3:18">
      <c r="C26" s="170">
        <v>20</v>
      </c>
      <c r="D26" s="5">
        <f t="shared" si="13"/>
        <v>32.200000000000003</v>
      </c>
      <c r="E26" s="443">
        <f t="shared" si="0"/>
        <v>15.4</v>
      </c>
      <c r="F26" s="217">
        <f t="shared" si="1"/>
        <v>0.3235294117647059</v>
      </c>
      <c r="G26" s="172">
        <f t="shared" si="2"/>
        <v>260.44117647058829</v>
      </c>
      <c r="H26" s="217">
        <f t="shared" si="3"/>
        <v>17.36274509803922</v>
      </c>
      <c r="I26" s="443">
        <f t="shared" si="4"/>
        <v>47.6</v>
      </c>
      <c r="J26" s="172">
        <f t="shared" si="5"/>
        <v>1.35</v>
      </c>
      <c r="K26" s="172">
        <f t="shared" si="6"/>
        <v>0.50310559006211186</v>
      </c>
      <c r="L26" s="172">
        <f t="shared" si="7"/>
        <v>1.051948051948052</v>
      </c>
      <c r="M26" s="443">
        <f t="shared" si="14"/>
        <v>350</v>
      </c>
      <c r="N26" s="197">
        <f t="shared" si="8"/>
        <v>86.813725490196077</v>
      </c>
      <c r="O26" s="217">
        <f t="shared" si="9"/>
        <v>10</v>
      </c>
      <c r="P26" s="173">
        <f t="shared" si="10"/>
        <v>7.7922077922077913</v>
      </c>
      <c r="Q26" s="173">
        <f t="shared" si="11"/>
        <v>3.3823529411764701</v>
      </c>
      <c r="R26" s="173">
        <f t="shared" si="12"/>
        <v>7.7922077922077913</v>
      </c>
    </row>
    <row r="27" spans="3:18">
      <c r="C27" s="170">
        <v>21</v>
      </c>
      <c r="D27" s="5">
        <f t="shared" si="13"/>
        <v>32.86</v>
      </c>
      <c r="E27" s="443">
        <f t="shared" si="0"/>
        <v>15.4</v>
      </c>
      <c r="F27" s="217">
        <f t="shared" si="1"/>
        <v>0.3191048487360133</v>
      </c>
      <c r="G27" s="172">
        <f t="shared" si="2"/>
        <v>262.14463323663495</v>
      </c>
      <c r="H27" s="217">
        <f t="shared" si="3"/>
        <v>17.476308882442328</v>
      </c>
      <c r="I27" s="443">
        <f t="shared" si="4"/>
        <v>48.26</v>
      </c>
      <c r="J27" s="172">
        <f t="shared" si="5"/>
        <v>1.35</v>
      </c>
      <c r="K27" s="172">
        <f t="shared" si="6"/>
        <v>0.49300060864272677</v>
      </c>
      <c r="L27" s="172">
        <f t="shared" si="7"/>
        <v>1.051948051948052</v>
      </c>
      <c r="M27" s="443">
        <f t="shared" si="14"/>
        <v>350</v>
      </c>
      <c r="N27" s="197">
        <f t="shared" si="8"/>
        <v>87.381544412211639</v>
      </c>
      <c r="O27" s="217">
        <f t="shared" si="9"/>
        <v>10</v>
      </c>
      <c r="P27" s="173">
        <f t="shared" si="10"/>
        <v>7.7922077922077913</v>
      </c>
      <c r="Q27" s="173">
        <f t="shared" si="11"/>
        <v>3.4044757563199335</v>
      </c>
      <c r="R27" s="173">
        <f t="shared" si="12"/>
        <v>7.7922077922077913</v>
      </c>
    </row>
    <row r="28" spans="3:18">
      <c r="C28" s="170">
        <v>22</v>
      </c>
      <c r="D28" s="5">
        <f t="shared" si="13"/>
        <v>33.519999999999996</v>
      </c>
      <c r="E28" s="443">
        <f t="shared" si="0"/>
        <v>15.4</v>
      </c>
      <c r="F28" s="217">
        <f t="shared" si="1"/>
        <v>0.31479967293540478</v>
      </c>
      <c r="G28" s="172">
        <f t="shared" si="2"/>
        <v>263.80212591986918</v>
      </c>
      <c r="H28" s="217">
        <f t="shared" si="3"/>
        <v>17.586808394657947</v>
      </c>
      <c r="I28" s="443">
        <f t="shared" si="4"/>
        <v>48.919999999999995</v>
      </c>
      <c r="J28" s="172">
        <f t="shared" si="5"/>
        <v>1.35</v>
      </c>
      <c r="K28" s="172">
        <f t="shared" si="6"/>
        <v>0.4832935560859189</v>
      </c>
      <c r="L28" s="172">
        <f t="shared" si="7"/>
        <v>1.051948051948052</v>
      </c>
      <c r="M28" s="443">
        <f t="shared" si="14"/>
        <v>350</v>
      </c>
      <c r="N28" s="197">
        <f t="shared" si="8"/>
        <v>87.934041973289723</v>
      </c>
      <c r="O28" s="217">
        <f t="shared" si="9"/>
        <v>10</v>
      </c>
      <c r="P28" s="173">
        <f t="shared" si="10"/>
        <v>7.7922077922077913</v>
      </c>
      <c r="Q28" s="173">
        <f t="shared" si="11"/>
        <v>3.4260016353229763</v>
      </c>
      <c r="R28" s="173">
        <f t="shared" si="12"/>
        <v>7.7922077922077913</v>
      </c>
    </row>
    <row r="29" spans="3:18">
      <c r="C29" s="170">
        <v>23</v>
      </c>
      <c r="D29" s="5">
        <f t="shared" si="13"/>
        <v>34.18</v>
      </c>
      <c r="E29" s="443">
        <f t="shared" si="0"/>
        <v>15.4</v>
      </c>
      <c r="F29" s="217">
        <f t="shared" si="1"/>
        <v>0.31060911657926588</v>
      </c>
      <c r="G29" s="172">
        <f t="shared" si="2"/>
        <v>265.41549011698271</v>
      </c>
      <c r="H29" s="217">
        <f t="shared" si="3"/>
        <v>17.694366007798848</v>
      </c>
      <c r="I29" s="443">
        <f t="shared" si="4"/>
        <v>49.58</v>
      </c>
      <c r="J29" s="172">
        <f t="shared" si="5"/>
        <v>1.35</v>
      </c>
      <c r="K29" s="172">
        <f t="shared" si="6"/>
        <v>0.47396138092451728</v>
      </c>
      <c r="L29" s="172">
        <f t="shared" si="7"/>
        <v>1.051948051948052</v>
      </c>
      <c r="M29" s="443">
        <f t="shared" si="14"/>
        <v>350</v>
      </c>
      <c r="N29" s="197">
        <f t="shared" si="8"/>
        <v>88.471830038994213</v>
      </c>
      <c r="O29" s="217">
        <f t="shared" si="9"/>
        <v>10</v>
      </c>
      <c r="P29" s="173">
        <f t="shared" si="10"/>
        <v>7.7922077922077913</v>
      </c>
      <c r="Q29" s="173">
        <f t="shared" si="11"/>
        <v>3.4469544171036706</v>
      </c>
      <c r="R29" s="173">
        <f t="shared" si="12"/>
        <v>7.7922077922077913</v>
      </c>
    </row>
    <row r="30" spans="3:18">
      <c r="C30" s="170">
        <v>24</v>
      </c>
      <c r="D30" s="5">
        <f t="shared" si="13"/>
        <v>34.840000000000003</v>
      </c>
      <c r="E30" s="443">
        <f t="shared" si="0"/>
        <v>15.4</v>
      </c>
      <c r="F30" s="217">
        <f t="shared" si="1"/>
        <v>0.30652866242038218</v>
      </c>
      <c r="G30" s="172">
        <f t="shared" si="2"/>
        <v>266.98646496815292</v>
      </c>
      <c r="H30" s="217">
        <f t="shared" si="3"/>
        <v>17.799097664543527</v>
      </c>
      <c r="I30" s="443">
        <f t="shared" si="4"/>
        <v>50.24</v>
      </c>
      <c r="J30" s="172">
        <f t="shared" si="5"/>
        <v>1.35</v>
      </c>
      <c r="K30" s="172">
        <f t="shared" si="6"/>
        <v>0.46498277841561425</v>
      </c>
      <c r="L30" s="172">
        <f t="shared" si="7"/>
        <v>1.051948051948052</v>
      </c>
      <c r="M30" s="443">
        <f t="shared" si="14"/>
        <v>350</v>
      </c>
      <c r="N30" s="197">
        <f t="shared" si="8"/>
        <v>88.995488322717634</v>
      </c>
      <c r="O30" s="217">
        <f t="shared" si="9"/>
        <v>9.9999999999999982</v>
      </c>
      <c r="P30" s="173">
        <f t="shared" si="10"/>
        <v>7.7922077922077895</v>
      </c>
      <c r="Q30" s="173">
        <f t="shared" si="11"/>
        <v>3.4673566878980875</v>
      </c>
      <c r="R30" s="173">
        <f t="shared" si="12"/>
        <v>7.7922077922077913</v>
      </c>
    </row>
    <row r="31" spans="3:18">
      <c r="C31" s="170">
        <v>25</v>
      </c>
      <c r="D31" s="5">
        <f t="shared" si="13"/>
        <v>35.5</v>
      </c>
      <c r="E31" s="443">
        <f t="shared" si="0"/>
        <v>15.4</v>
      </c>
      <c r="F31" s="217">
        <f t="shared" si="1"/>
        <v>0.30255402750491162</v>
      </c>
      <c r="G31" s="172">
        <f t="shared" si="2"/>
        <v>268.51669941060902</v>
      </c>
      <c r="H31" s="217">
        <f t="shared" si="3"/>
        <v>17.901113294040602</v>
      </c>
      <c r="I31" s="443">
        <f t="shared" si="4"/>
        <v>50.9</v>
      </c>
      <c r="J31" s="172">
        <f t="shared" si="5"/>
        <v>1.35</v>
      </c>
      <c r="K31" s="172">
        <f t="shared" si="6"/>
        <v>0.45633802816901409</v>
      </c>
      <c r="L31" s="172">
        <f t="shared" si="7"/>
        <v>1.051948051948052</v>
      </c>
      <c r="M31" s="443">
        <f t="shared" si="14"/>
        <v>350</v>
      </c>
      <c r="N31" s="197">
        <f t="shared" si="8"/>
        <v>89.505566470203007</v>
      </c>
      <c r="O31" s="217">
        <f t="shared" si="9"/>
        <v>10</v>
      </c>
      <c r="P31" s="173">
        <f t="shared" si="10"/>
        <v>7.7922077922077913</v>
      </c>
      <c r="Q31" s="173">
        <f t="shared" si="11"/>
        <v>3.4872298624754419</v>
      </c>
      <c r="R31" s="173">
        <f t="shared" si="12"/>
        <v>7.7922077922077913</v>
      </c>
    </row>
    <row r="32" spans="3:18">
      <c r="C32" s="170">
        <v>26</v>
      </c>
      <c r="D32" s="5">
        <f t="shared" si="13"/>
        <v>36.159999999999997</v>
      </c>
      <c r="E32" s="443">
        <f t="shared" si="0"/>
        <v>15.4</v>
      </c>
      <c r="F32" s="217">
        <f t="shared" si="1"/>
        <v>0.29868114817688135</v>
      </c>
      <c r="G32" s="172">
        <f t="shared" si="2"/>
        <v>270.00775795190071</v>
      </c>
      <c r="H32" s="217">
        <f t="shared" si="3"/>
        <v>18.000517196793382</v>
      </c>
      <c r="I32" s="443">
        <f t="shared" si="4"/>
        <v>51.559999999999995</v>
      </c>
      <c r="J32" s="172">
        <f t="shared" si="5"/>
        <v>1.35</v>
      </c>
      <c r="K32" s="172">
        <f t="shared" si="6"/>
        <v>0.44800884955752218</v>
      </c>
      <c r="L32" s="172">
        <f t="shared" si="7"/>
        <v>1.051948051948052</v>
      </c>
      <c r="M32" s="443">
        <f t="shared" si="14"/>
        <v>350</v>
      </c>
      <c r="N32" s="197">
        <f t="shared" si="8"/>
        <v>90.002585983966895</v>
      </c>
      <c r="O32" s="217">
        <f t="shared" si="9"/>
        <v>10</v>
      </c>
      <c r="P32" s="173">
        <f t="shared" si="10"/>
        <v>7.7922077922077913</v>
      </c>
      <c r="Q32" s="173">
        <f t="shared" si="11"/>
        <v>3.5065942591155932</v>
      </c>
      <c r="R32" s="173">
        <f t="shared" si="12"/>
        <v>7.7922077922077913</v>
      </c>
    </row>
    <row r="33" spans="3:18">
      <c r="C33" s="170">
        <v>27</v>
      </c>
      <c r="D33" s="5">
        <f t="shared" si="13"/>
        <v>36.82</v>
      </c>
      <c r="E33" s="443">
        <f t="shared" si="0"/>
        <v>15.4</v>
      </c>
      <c r="F33" s="217">
        <f t="shared" si="1"/>
        <v>0.29490616621983917</v>
      </c>
      <c r="G33" s="172">
        <f t="shared" si="2"/>
        <v>271.46112600536196</v>
      </c>
      <c r="H33" s="217">
        <f t="shared" si="3"/>
        <v>18.097408400357462</v>
      </c>
      <c r="I33" s="443">
        <f t="shared" si="4"/>
        <v>52.22</v>
      </c>
      <c r="J33" s="172">
        <f t="shared" si="5"/>
        <v>1.35</v>
      </c>
      <c r="K33" s="172">
        <f t="shared" si="6"/>
        <v>0.43997827267789247</v>
      </c>
      <c r="L33" s="172">
        <f t="shared" si="7"/>
        <v>1.051948051948052</v>
      </c>
      <c r="M33" s="443">
        <f t="shared" si="14"/>
        <v>350</v>
      </c>
      <c r="N33" s="197">
        <f t="shared" si="8"/>
        <v>90.48704200178733</v>
      </c>
      <c r="O33" s="217">
        <f t="shared" si="9"/>
        <v>10</v>
      </c>
      <c r="P33" s="173">
        <f t="shared" si="10"/>
        <v>7.7922077922077913</v>
      </c>
      <c r="Q33" s="173">
        <f t="shared" si="11"/>
        <v>3.5254691689008051</v>
      </c>
      <c r="R33" s="173">
        <f t="shared" si="12"/>
        <v>7.7922077922077913</v>
      </c>
    </row>
    <row r="34" spans="3:18">
      <c r="C34" s="170">
        <v>28</v>
      </c>
      <c r="D34" s="5">
        <f t="shared" si="13"/>
        <v>37.480000000000004</v>
      </c>
      <c r="E34" s="443">
        <f t="shared" si="0"/>
        <v>15.4</v>
      </c>
      <c r="F34" s="217">
        <f t="shared" si="1"/>
        <v>0.29122541603630864</v>
      </c>
      <c r="G34" s="172">
        <f t="shared" si="2"/>
        <v>272.87821482602124</v>
      </c>
      <c r="H34" s="217">
        <f t="shared" si="3"/>
        <v>18.191880988401415</v>
      </c>
      <c r="I34" s="443">
        <f t="shared" si="4"/>
        <v>52.88</v>
      </c>
      <c r="J34" s="172">
        <f t="shared" si="5"/>
        <v>1.35</v>
      </c>
      <c r="K34" s="172">
        <f t="shared" si="6"/>
        <v>0.43223052294557091</v>
      </c>
      <c r="L34" s="172">
        <f t="shared" si="7"/>
        <v>1.051948051948052</v>
      </c>
      <c r="M34" s="443">
        <f t="shared" si="14"/>
        <v>350</v>
      </c>
      <c r="N34" s="197">
        <f t="shared" si="8"/>
        <v>90.959404942007069</v>
      </c>
      <c r="O34" s="217">
        <f t="shared" si="9"/>
        <v>10</v>
      </c>
      <c r="P34" s="173">
        <f t="shared" si="10"/>
        <v>7.7922077922077913</v>
      </c>
      <c r="Q34" s="173">
        <f t="shared" si="11"/>
        <v>3.5438729198184569</v>
      </c>
      <c r="R34" s="173">
        <f t="shared" si="12"/>
        <v>7.7922077922077913</v>
      </c>
    </row>
    <row r="35" spans="3:18">
      <c r="C35" s="170">
        <v>29</v>
      </c>
      <c r="D35" s="5">
        <f t="shared" si="13"/>
        <v>38.14</v>
      </c>
      <c r="E35" s="443">
        <f t="shared" si="0"/>
        <v>15.4</v>
      </c>
      <c r="F35" s="217">
        <f t="shared" si="1"/>
        <v>0.28763541277549498</v>
      </c>
      <c r="G35" s="172">
        <f t="shared" si="2"/>
        <v>274.26036608143443</v>
      </c>
      <c r="H35" s="217">
        <f t="shared" si="3"/>
        <v>18.284024405428962</v>
      </c>
      <c r="I35" s="443">
        <f t="shared" si="4"/>
        <v>53.54</v>
      </c>
      <c r="J35" s="172">
        <f t="shared" si="5"/>
        <v>1.35</v>
      </c>
      <c r="K35" s="172">
        <f t="shared" si="6"/>
        <v>0.42475091767173567</v>
      </c>
      <c r="L35" s="172">
        <f t="shared" si="7"/>
        <v>1.051948051948052</v>
      </c>
      <c r="M35" s="443">
        <f t="shared" si="14"/>
        <v>350</v>
      </c>
      <c r="N35" s="197">
        <f t="shared" si="8"/>
        <v>91.420122027144814</v>
      </c>
      <c r="O35" s="217">
        <f t="shared" si="9"/>
        <v>10</v>
      </c>
      <c r="P35" s="173">
        <f t="shared" si="10"/>
        <v>7.7922077922077913</v>
      </c>
      <c r="Q35" s="173">
        <f t="shared" si="11"/>
        <v>3.5618229361225251</v>
      </c>
      <c r="R35" s="173">
        <f t="shared" si="12"/>
        <v>7.7922077922077913</v>
      </c>
    </row>
    <row r="36" spans="3:18">
      <c r="C36" s="170">
        <v>30</v>
      </c>
      <c r="D36" s="5">
        <f t="shared" si="13"/>
        <v>38.799999999999997</v>
      </c>
      <c r="E36" s="443">
        <f t="shared" si="0"/>
        <v>15.4</v>
      </c>
      <c r="F36" s="217">
        <f t="shared" si="1"/>
        <v>0.28413284132841332</v>
      </c>
      <c r="G36" s="172">
        <f t="shared" si="2"/>
        <v>275.60885608856091</v>
      </c>
      <c r="H36" s="217">
        <f t="shared" si="3"/>
        <v>18.373923739237394</v>
      </c>
      <c r="I36" s="443">
        <f t="shared" si="4"/>
        <v>54.199999999999996</v>
      </c>
      <c r="J36" s="172">
        <f t="shared" si="5"/>
        <v>1.35</v>
      </c>
      <c r="K36" s="172">
        <f t="shared" si="6"/>
        <v>0.41752577319587636</v>
      </c>
      <c r="L36" s="172">
        <f t="shared" si="7"/>
        <v>1.051948051948052</v>
      </c>
      <c r="M36" s="443">
        <f t="shared" si="14"/>
        <v>350</v>
      </c>
      <c r="N36" s="197">
        <f t="shared" si="8"/>
        <v>91.869618696186961</v>
      </c>
      <c r="O36" s="217">
        <f t="shared" si="9"/>
        <v>10</v>
      </c>
      <c r="P36" s="173">
        <f t="shared" si="10"/>
        <v>7.7922077922077913</v>
      </c>
      <c r="Q36" s="173">
        <f t="shared" si="11"/>
        <v>3.5793357933579331</v>
      </c>
      <c r="R36" s="173">
        <f t="shared" si="12"/>
        <v>7.7922077922077913</v>
      </c>
    </row>
    <row r="37" spans="3:18">
      <c r="C37" s="170">
        <v>31</v>
      </c>
      <c r="D37" s="5">
        <f t="shared" si="13"/>
        <v>39.46</v>
      </c>
      <c r="E37" s="443">
        <f t="shared" si="0"/>
        <v>15.4</v>
      </c>
      <c r="F37" s="217">
        <f t="shared" si="1"/>
        <v>0.28071454611738972</v>
      </c>
      <c r="G37" s="172">
        <f t="shared" si="2"/>
        <v>276.92489974480497</v>
      </c>
      <c r="H37" s="217">
        <f t="shared" si="3"/>
        <v>18.461659982986998</v>
      </c>
      <c r="I37" s="443">
        <f t="shared" si="4"/>
        <v>54.86</v>
      </c>
      <c r="J37" s="172">
        <f t="shared" si="5"/>
        <v>1.35</v>
      </c>
      <c r="K37" s="172">
        <f t="shared" si="6"/>
        <v>0.4105423213380639</v>
      </c>
      <c r="L37" s="172">
        <f t="shared" si="7"/>
        <v>1.051948051948052</v>
      </c>
      <c r="M37" s="443">
        <f t="shared" si="14"/>
        <v>350</v>
      </c>
      <c r="N37" s="197">
        <f t="shared" si="8"/>
        <v>92.308299914934992</v>
      </c>
      <c r="O37" s="217">
        <f t="shared" si="9"/>
        <v>10</v>
      </c>
      <c r="P37" s="173">
        <f t="shared" si="10"/>
        <v>7.7922077922077913</v>
      </c>
      <c r="Q37" s="173">
        <f t="shared" si="11"/>
        <v>3.5964272694130512</v>
      </c>
      <c r="R37" s="173">
        <f t="shared" si="12"/>
        <v>7.7922077922077913</v>
      </c>
    </row>
    <row r="38" spans="3:18">
      <c r="C38" s="170">
        <v>32</v>
      </c>
      <c r="D38" s="5">
        <f t="shared" si="13"/>
        <v>40.120000000000005</v>
      </c>
      <c r="E38" s="443">
        <f t="shared" ref="E38:E69" si="15">(Vout+Vfwd1)*Nps</f>
        <v>15.4</v>
      </c>
      <c r="F38" s="217">
        <f t="shared" ref="F38:F69" si="16">(Vout+Vfwd1)*Nps/((Vout+Vfwd1)*Nps+D38)</f>
        <v>0.27737752161383283</v>
      </c>
      <c r="G38" s="172">
        <f t="shared" ref="G38:G69" si="17">F38*D38*Isw_max*0.5*Efficiency</f>
        <v>278.20965417867438</v>
      </c>
      <c r="H38" s="217">
        <f t="shared" ref="H38:H69" si="18">G38/Vout</f>
        <v>18.547310278578291</v>
      </c>
      <c r="I38" s="443">
        <f t="shared" ref="I38:I69" si="19">(Vout+Vfwd1)*Nps+D38</f>
        <v>55.52</v>
      </c>
      <c r="J38" s="172">
        <f t="shared" ref="J38:J69" si="20">MIN(2*Vout*Iout/(Efficiency*D38*F38), 1.35)</f>
        <v>1.35</v>
      </c>
      <c r="K38" s="172">
        <f t="shared" ref="K38:K69" si="21">L*J38/D38*1000000</f>
        <v>0.40378863409770688</v>
      </c>
      <c r="L38" s="172">
        <f t="shared" ref="L38:L69" si="22">L*J38/((Vout+Vfwd1)*Nps)*1000000</f>
        <v>1.051948051948052</v>
      </c>
      <c r="M38" s="443">
        <f t="shared" si="14"/>
        <v>350</v>
      </c>
      <c r="N38" s="197">
        <f t="shared" ref="N38:N69" si="23">IF(1/((350000*L)*(1/D38+1/E38))&gt;Isw_min, 350, 0.001/((Isw_min*L)*(1/D38+1/E38)))</f>
        <v>92.736551392891471</v>
      </c>
      <c r="O38" s="217">
        <f t="shared" ref="O38:O69" si="24">1/((N38*1000*L)*(1/D38+1/E38))</f>
        <v>9.9999999999999982</v>
      </c>
      <c r="P38" s="173">
        <f t="shared" ref="P38:P69" si="25">L*O38/E38*1000000</f>
        <v>7.7922077922077895</v>
      </c>
      <c r="Q38" s="173">
        <f t="shared" ref="Q38:Q69" si="26">0.5*P38*O38*Nps*N38/1000</f>
        <v>3.6131123919308341</v>
      </c>
      <c r="R38" s="173">
        <f t="shared" ref="R38:R69" si="27">L*Isw_min/E38*1000000</f>
        <v>7.7922077922077913</v>
      </c>
    </row>
    <row r="39" spans="3:18">
      <c r="C39" s="170">
        <v>33</v>
      </c>
      <c r="D39" s="5">
        <f t="shared" ref="D39:D70" si="28">C39/100*(VIN_max-VIN_min)+VIN_min</f>
        <v>40.78</v>
      </c>
      <c r="E39" s="443">
        <f t="shared" si="15"/>
        <v>15.4</v>
      </c>
      <c r="F39" s="217">
        <f t="shared" si="16"/>
        <v>0.27411890352438589</v>
      </c>
      <c r="G39" s="172">
        <f t="shared" si="17"/>
        <v>279.46422214311144</v>
      </c>
      <c r="H39" s="217">
        <f t="shared" si="18"/>
        <v>18.630948142874097</v>
      </c>
      <c r="I39" s="443">
        <f t="shared" si="19"/>
        <v>56.18</v>
      </c>
      <c r="J39" s="172">
        <f t="shared" si="20"/>
        <v>1.35</v>
      </c>
      <c r="K39" s="172">
        <f t="shared" si="21"/>
        <v>0.39725355566454146</v>
      </c>
      <c r="L39" s="172">
        <f t="shared" si="22"/>
        <v>1.051948051948052</v>
      </c>
      <c r="M39" s="443">
        <f t="shared" si="14"/>
        <v>350</v>
      </c>
      <c r="N39" s="197">
        <f t="shared" si="23"/>
        <v>93.154740714370476</v>
      </c>
      <c r="O39" s="217">
        <f t="shared" si="24"/>
        <v>10</v>
      </c>
      <c r="P39" s="173">
        <f t="shared" si="25"/>
        <v>7.7922077922077913</v>
      </c>
      <c r="Q39" s="173">
        <f t="shared" si="26"/>
        <v>3.6294054823780701</v>
      </c>
      <c r="R39" s="173">
        <f t="shared" si="27"/>
        <v>7.7922077922077913</v>
      </c>
    </row>
    <row r="40" spans="3:18">
      <c r="C40" s="170">
        <v>34</v>
      </c>
      <c r="D40" s="5">
        <f t="shared" si="28"/>
        <v>41.44</v>
      </c>
      <c r="E40" s="443">
        <f t="shared" si="15"/>
        <v>15.4</v>
      </c>
      <c r="F40" s="217">
        <f t="shared" si="16"/>
        <v>0.27093596059113301</v>
      </c>
      <c r="G40" s="172">
        <f t="shared" si="17"/>
        <v>280.68965517241378</v>
      </c>
      <c r="H40" s="217">
        <f t="shared" si="18"/>
        <v>18.712643678160919</v>
      </c>
      <c r="I40" s="443">
        <f t="shared" si="19"/>
        <v>56.839999999999996</v>
      </c>
      <c r="J40" s="172">
        <f t="shared" si="20"/>
        <v>1.35</v>
      </c>
      <c r="K40" s="172">
        <f t="shared" si="21"/>
        <v>0.39092664092664098</v>
      </c>
      <c r="L40" s="172">
        <f t="shared" si="22"/>
        <v>1.051948051948052</v>
      </c>
      <c r="M40" s="443">
        <f t="shared" si="14"/>
        <v>350</v>
      </c>
      <c r="N40" s="197">
        <f t="shared" si="23"/>
        <v>93.563218390804593</v>
      </c>
      <c r="O40" s="217">
        <f t="shared" si="24"/>
        <v>10</v>
      </c>
      <c r="P40" s="173">
        <f t="shared" si="25"/>
        <v>7.7922077922077913</v>
      </c>
      <c r="Q40" s="173">
        <f t="shared" si="26"/>
        <v>3.6453201970443345</v>
      </c>
      <c r="R40" s="173">
        <f t="shared" si="27"/>
        <v>7.7922077922077913</v>
      </c>
    </row>
    <row r="41" spans="3:18">
      <c r="C41" s="170">
        <v>35</v>
      </c>
      <c r="D41" s="5">
        <f t="shared" si="28"/>
        <v>42.099999999999994</v>
      </c>
      <c r="E41" s="443">
        <f t="shared" si="15"/>
        <v>15.4</v>
      </c>
      <c r="F41" s="217">
        <f t="shared" si="16"/>
        <v>0.26782608695652177</v>
      </c>
      <c r="G41" s="172">
        <f t="shared" si="17"/>
        <v>281.88695652173914</v>
      </c>
      <c r="H41" s="217">
        <f t="shared" si="18"/>
        <v>18.792463768115944</v>
      </c>
      <c r="I41" s="443">
        <f t="shared" si="19"/>
        <v>57.499999999999993</v>
      </c>
      <c r="J41" s="172">
        <f t="shared" si="20"/>
        <v>1.35</v>
      </c>
      <c r="K41" s="172">
        <f t="shared" si="21"/>
        <v>0.38479809976247037</v>
      </c>
      <c r="L41" s="172">
        <f t="shared" si="22"/>
        <v>1.051948051948052</v>
      </c>
      <c r="M41" s="443">
        <f t="shared" si="14"/>
        <v>350</v>
      </c>
      <c r="N41" s="197">
        <f t="shared" si="23"/>
        <v>93.962318840579712</v>
      </c>
      <c r="O41" s="217">
        <f t="shared" si="24"/>
        <v>10.000000000000002</v>
      </c>
      <c r="P41" s="173">
        <f t="shared" si="25"/>
        <v>7.792207792207793</v>
      </c>
      <c r="Q41" s="173">
        <f t="shared" si="26"/>
        <v>3.6608695652173924</v>
      </c>
      <c r="R41" s="173">
        <f t="shared" si="27"/>
        <v>7.7922077922077913</v>
      </c>
    </row>
    <row r="42" spans="3:18">
      <c r="C42" s="170">
        <v>36</v>
      </c>
      <c r="D42" s="5">
        <f t="shared" si="28"/>
        <v>42.76</v>
      </c>
      <c r="E42" s="443">
        <f t="shared" si="15"/>
        <v>15.4</v>
      </c>
      <c r="F42" s="217">
        <f t="shared" si="16"/>
        <v>0.26478679504814306</v>
      </c>
      <c r="G42" s="172">
        <f t="shared" si="17"/>
        <v>283.05708390646492</v>
      </c>
      <c r="H42" s="217">
        <f t="shared" si="18"/>
        <v>18.870472260430994</v>
      </c>
      <c r="I42" s="443">
        <f t="shared" si="19"/>
        <v>58.16</v>
      </c>
      <c r="J42" s="172">
        <f t="shared" si="20"/>
        <v>1.35</v>
      </c>
      <c r="K42" s="172">
        <f t="shared" si="21"/>
        <v>0.3788587464920487</v>
      </c>
      <c r="L42" s="172">
        <f t="shared" si="22"/>
        <v>1.051948051948052</v>
      </c>
      <c r="M42" s="443">
        <f t="shared" si="14"/>
        <v>350</v>
      </c>
      <c r="N42" s="197">
        <f t="shared" si="23"/>
        <v>94.352361302154975</v>
      </c>
      <c r="O42" s="217">
        <f t="shared" si="24"/>
        <v>10.000000000000002</v>
      </c>
      <c r="P42" s="173">
        <f t="shared" si="25"/>
        <v>7.792207792207793</v>
      </c>
      <c r="Q42" s="173">
        <f t="shared" si="26"/>
        <v>3.6760660247592858</v>
      </c>
      <c r="R42" s="173">
        <f t="shared" si="27"/>
        <v>7.7922077922077913</v>
      </c>
    </row>
    <row r="43" spans="3:18">
      <c r="C43" s="170">
        <v>37</v>
      </c>
      <c r="D43" s="5">
        <f t="shared" si="28"/>
        <v>43.42</v>
      </c>
      <c r="E43" s="443">
        <f t="shared" si="15"/>
        <v>15.4</v>
      </c>
      <c r="F43" s="217">
        <f t="shared" si="16"/>
        <v>0.26181570894253658</v>
      </c>
      <c r="G43" s="172">
        <f t="shared" si="17"/>
        <v>284.20095205712346</v>
      </c>
      <c r="H43" s="217">
        <f t="shared" si="18"/>
        <v>18.946730137141564</v>
      </c>
      <c r="I43" s="443">
        <f t="shared" si="19"/>
        <v>58.82</v>
      </c>
      <c r="J43" s="172">
        <f t="shared" si="20"/>
        <v>1.35</v>
      </c>
      <c r="K43" s="172">
        <f t="shared" si="21"/>
        <v>0.37309995393827733</v>
      </c>
      <c r="L43" s="172">
        <f t="shared" si="22"/>
        <v>1.051948051948052</v>
      </c>
      <c r="M43" s="443">
        <f t="shared" si="14"/>
        <v>350</v>
      </c>
      <c r="N43" s="197">
        <f t="shared" si="23"/>
        <v>94.733650685707815</v>
      </c>
      <c r="O43" s="217">
        <f t="shared" si="24"/>
        <v>10</v>
      </c>
      <c r="P43" s="173">
        <f t="shared" si="25"/>
        <v>7.7922077922077913</v>
      </c>
      <c r="Q43" s="173">
        <f t="shared" si="26"/>
        <v>3.6909214552873171</v>
      </c>
      <c r="R43" s="173">
        <f t="shared" si="27"/>
        <v>7.7922077922077913</v>
      </c>
    </row>
    <row r="44" spans="3:18">
      <c r="C44" s="170">
        <v>38</v>
      </c>
      <c r="D44" s="5">
        <f t="shared" si="28"/>
        <v>44.08</v>
      </c>
      <c r="E44" s="443">
        <f t="shared" si="15"/>
        <v>15.4</v>
      </c>
      <c r="F44" s="217">
        <f t="shared" si="16"/>
        <v>0.25891055817081376</v>
      </c>
      <c r="G44" s="172">
        <f t="shared" si="17"/>
        <v>285.31943510423673</v>
      </c>
      <c r="H44" s="217">
        <f t="shared" si="18"/>
        <v>19.021295673615782</v>
      </c>
      <c r="I44" s="443">
        <f t="shared" si="19"/>
        <v>59.48</v>
      </c>
      <c r="J44" s="172">
        <f t="shared" si="20"/>
        <v>1.35</v>
      </c>
      <c r="K44" s="172">
        <f t="shared" si="21"/>
        <v>0.36751361161524504</v>
      </c>
      <c r="L44" s="172">
        <f t="shared" si="22"/>
        <v>1.051948051948052</v>
      </c>
      <c r="M44" s="443">
        <f t="shared" si="14"/>
        <v>350</v>
      </c>
      <c r="N44" s="197">
        <f t="shared" si="23"/>
        <v>95.106478368078911</v>
      </c>
      <c r="O44" s="217">
        <f t="shared" si="24"/>
        <v>10</v>
      </c>
      <c r="P44" s="173">
        <f t="shared" si="25"/>
        <v>7.7922077922077913</v>
      </c>
      <c r="Q44" s="173">
        <f t="shared" si="26"/>
        <v>3.7054472091459316</v>
      </c>
      <c r="R44" s="173">
        <f t="shared" si="27"/>
        <v>7.7922077922077913</v>
      </c>
    </row>
    <row r="45" spans="3:18">
      <c r="C45" s="170">
        <v>39</v>
      </c>
      <c r="D45" s="5">
        <f t="shared" si="28"/>
        <v>44.74</v>
      </c>
      <c r="E45" s="443">
        <f t="shared" si="15"/>
        <v>15.4</v>
      </c>
      <c r="F45" s="217">
        <f t="shared" si="16"/>
        <v>0.25606917193215828</v>
      </c>
      <c r="G45" s="172">
        <f t="shared" si="17"/>
        <v>286.41336880611902</v>
      </c>
      <c r="H45" s="217">
        <f t="shared" si="18"/>
        <v>19.094224587074603</v>
      </c>
      <c r="I45" s="443">
        <f t="shared" si="19"/>
        <v>60.14</v>
      </c>
      <c r="J45" s="172">
        <f t="shared" si="20"/>
        <v>1.35</v>
      </c>
      <c r="K45" s="172">
        <f t="shared" si="21"/>
        <v>0.36209208761734463</v>
      </c>
      <c r="L45" s="172">
        <f t="shared" si="22"/>
        <v>1.051948051948052</v>
      </c>
      <c r="M45" s="443">
        <f t="shared" si="14"/>
        <v>350</v>
      </c>
      <c r="N45" s="197">
        <f t="shared" si="23"/>
        <v>95.471122935373018</v>
      </c>
      <c r="O45" s="217">
        <f t="shared" si="24"/>
        <v>10</v>
      </c>
      <c r="P45" s="173">
        <f t="shared" si="25"/>
        <v>7.7922077922077913</v>
      </c>
      <c r="Q45" s="173">
        <f t="shared" si="26"/>
        <v>3.7196541403392085</v>
      </c>
      <c r="R45" s="173">
        <f t="shared" si="27"/>
        <v>7.7922077922077913</v>
      </c>
    </row>
    <row r="46" spans="3:18">
      <c r="C46" s="170">
        <v>40</v>
      </c>
      <c r="D46" s="5">
        <f t="shared" si="28"/>
        <v>45.400000000000006</v>
      </c>
      <c r="E46" s="443">
        <f t="shared" si="15"/>
        <v>15.4</v>
      </c>
      <c r="F46" s="217">
        <f t="shared" si="16"/>
        <v>0.25328947368421051</v>
      </c>
      <c r="G46" s="172">
        <f t="shared" si="17"/>
        <v>287.48355263157896</v>
      </c>
      <c r="H46" s="217">
        <f t="shared" si="18"/>
        <v>19.165570175438596</v>
      </c>
      <c r="I46" s="443">
        <f t="shared" si="19"/>
        <v>60.800000000000004</v>
      </c>
      <c r="J46" s="172">
        <f t="shared" si="20"/>
        <v>1.35</v>
      </c>
      <c r="K46" s="172">
        <f t="shared" si="21"/>
        <v>0.35682819383259912</v>
      </c>
      <c r="L46" s="172">
        <f t="shared" si="22"/>
        <v>1.051948051948052</v>
      </c>
      <c r="M46" s="443">
        <f t="shared" si="14"/>
        <v>350</v>
      </c>
      <c r="N46" s="197">
        <f t="shared" si="23"/>
        <v>95.827850877192986</v>
      </c>
      <c r="O46" s="217">
        <f t="shared" si="24"/>
        <v>10</v>
      </c>
      <c r="P46" s="173">
        <f t="shared" si="25"/>
        <v>7.7922077922077913</v>
      </c>
      <c r="Q46" s="173">
        <f t="shared" si="26"/>
        <v>3.7335526315789473</v>
      </c>
      <c r="R46" s="173">
        <f t="shared" si="27"/>
        <v>7.7922077922077913</v>
      </c>
    </row>
    <row r="47" spans="3:18">
      <c r="C47" s="170">
        <v>41</v>
      </c>
      <c r="D47" s="5">
        <f t="shared" si="28"/>
        <v>46.06</v>
      </c>
      <c r="E47" s="443">
        <f t="shared" si="15"/>
        <v>15.4</v>
      </c>
      <c r="F47" s="217">
        <f t="shared" si="16"/>
        <v>0.25056947608200458</v>
      </c>
      <c r="G47" s="172">
        <f t="shared" si="17"/>
        <v>288.53075170842828</v>
      </c>
      <c r="H47" s="217">
        <f t="shared" si="18"/>
        <v>19.235383447228553</v>
      </c>
      <c r="I47" s="443">
        <f t="shared" si="19"/>
        <v>61.46</v>
      </c>
      <c r="J47" s="172">
        <f t="shared" si="20"/>
        <v>1.35</v>
      </c>
      <c r="K47" s="172">
        <f t="shared" si="21"/>
        <v>0.35171515414676513</v>
      </c>
      <c r="L47" s="172">
        <f t="shared" si="22"/>
        <v>1.051948051948052</v>
      </c>
      <c r="M47" s="443">
        <f t="shared" si="14"/>
        <v>350</v>
      </c>
      <c r="N47" s="197">
        <f t="shared" si="23"/>
        <v>96.176917236142742</v>
      </c>
      <c r="O47" s="217">
        <f t="shared" si="24"/>
        <v>10</v>
      </c>
      <c r="P47" s="173">
        <f t="shared" si="25"/>
        <v>7.7922077922077913</v>
      </c>
      <c r="Q47" s="173">
        <f t="shared" si="26"/>
        <v>3.7471526195899769</v>
      </c>
      <c r="R47" s="173">
        <f t="shared" si="27"/>
        <v>7.7922077922077913</v>
      </c>
    </row>
    <row r="48" spans="3:18">
      <c r="C48" s="170">
        <v>42</v>
      </c>
      <c r="D48" s="5">
        <f t="shared" si="28"/>
        <v>46.72</v>
      </c>
      <c r="E48" s="443">
        <f t="shared" si="15"/>
        <v>15.4</v>
      </c>
      <c r="F48" s="217">
        <f t="shared" si="16"/>
        <v>0.2479072762395364</v>
      </c>
      <c r="G48" s="172">
        <f t="shared" si="17"/>
        <v>289.55569864777851</v>
      </c>
      <c r="H48" s="217">
        <f t="shared" si="18"/>
        <v>19.303713243185236</v>
      </c>
      <c r="I48" s="443">
        <f t="shared" si="19"/>
        <v>62.12</v>
      </c>
      <c r="J48" s="172">
        <f t="shared" si="20"/>
        <v>1.35</v>
      </c>
      <c r="K48" s="172">
        <f t="shared" si="21"/>
        <v>0.34674657534246578</v>
      </c>
      <c r="L48" s="172">
        <f t="shared" si="22"/>
        <v>1.051948051948052</v>
      </c>
      <c r="M48" s="443">
        <f t="shared" si="14"/>
        <v>350</v>
      </c>
      <c r="N48" s="197">
        <f t="shared" si="23"/>
        <v>96.518566215926171</v>
      </c>
      <c r="O48" s="217">
        <f t="shared" si="24"/>
        <v>10</v>
      </c>
      <c r="P48" s="173">
        <f t="shared" si="25"/>
        <v>7.7922077922077913</v>
      </c>
      <c r="Q48" s="173">
        <f t="shared" si="26"/>
        <v>3.7604636188023184</v>
      </c>
      <c r="R48" s="173">
        <f t="shared" si="27"/>
        <v>7.7922077922077913</v>
      </c>
    </row>
    <row r="49" spans="3:18">
      <c r="C49" s="170">
        <v>43</v>
      </c>
      <c r="D49" s="5">
        <f t="shared" si="28"/>
        <v>47.379999999999995</v>
      </c>
      <c r="E49" s="443">
        <f t="shared" si="15"/>
        <v>15.4</v>
      </c>
      <c r="F49" s="217">
        <f t="shared" si="16"/>
        <v>0.24530105129021984</v>
      </c>
      <c r="G49" s="172">
        <f t="shared" si="17"/>
        <v>290.55909525326535</v>
      </c>
      <c r="H49" s="217">
        <f t="shared" si="18"/>
        <v>19.370606350217692</v>
      </c>
      <c r="I49" s="443">
        <f t="shared" si="19"/>
        <v>62.779999999999994</v>
      </c>
      <c r="J49" s="172">
        <f t="shared" si="20"/>
        <v>1.35</v>
      </c>
      <c r="K49" s="172">
        <f t="shared" si="21"/>
        <v>0.34191642043056147</v>
      </c>
      <c r="L49" s="172">
        <f t="shared" si="22"/>
        <v>1.051948051948052</v>
      </c>
      <c r="M49" s="443">
        <f t="shared" si="14"/>
        <v>350</v>
      </c>
      <c r="N49" s="197">
        <f t="shared" si="23"/>
        <v>96.853031751088466</v>
      </c>
      <c r="O49" s="217">
        <f t="shared" si="24"/>
        <v>10</v>
      </c>
      <c r="P49" s="173">
        <f t="shared" si="25"/>
        <v>7.7922077922077913</v>
      </c>
      <c r="Q49" s="173">
        <f t="shared" si="26"/>
        <v>3.773494743548901</v>
      </c>
      <c r="R49" s="173">
        <f t="shared" si="27"/>
        <v>7.7922077922077913</v>
      </c>
    </row>
    <row r="50" spans="3:18">
      <c r="C50" s="170">
        <v>44</v>
      </c>
      <c r="D50" s="5">
        <f t="shared" si="28"/>
        <v>48.04</v>
      </c>
      <c r="E50" s="443">
        <f t="shared" si="15"/>
        <v>15.4</v>
      </c>
      <c r="F50" s="217">
        <f t="shared" si="16"/>
        <v>0.24274905422446408</v>
      </c>
      <c r="G50" s="172">
        <f t="shared" si="17"/>
        <v>291.54161412358138</v>
      </c>
      <c r="H50" s="217">
        <f t="shared" si="18"/>
        <v>19.43610760823876</v>
      </c>
      <c r="I50" s="443">
        <f t="shared" si="19"/>
        <v>63.44</v>
      </c>
      <c r="J50" s="172">
        <f t="shared" si="20"/>
        <v>1.35</v>
      </c>
      <c r="K50" s="172">
        <f t="shared" si="21"/>
        <v>0.33721898417985013</v>
      </c>
      <c r="L50" s="172">
        <f t="shared" si="22"/>
        <v>1.051948051948052</v>
      </c>
      <c r="M50" s="443">
        <f t="shared" si="14"/>
        <v>350</v>
      </c>
      <c r="N50" s="197">
        <f t="shared" si="23"/>
        <v>97.18053804119377</v>
      </c>
      <c r="O50" s="217">
        <f t="shared" si="24"/>
        <v>10</v>
      </c>
      <c r="P50" s="173">
        <f t="shared" si="25"/>
        <v>7.7922077922077913</v>
      </c>
      <c r="Q50" s="173">
        <f t="shared" si="26"/>
        <v>3.7862547288776791</v>
      </c>
      <c r="R50" s="173">
        <f t="shared" si="27"/>
        <v>7.7922077922077913</v>
      </c>
    </row>
    <row r="51" spans="3:18">
      <c r="C51" s="170">
        <v>45</v>
      </c>
      <c r="D51" s="5">
        <f t="shared" si="28"/>
        <v>48.7</v>
      </c>
      <c r="E51" s="443">
        <f t="shared" si="15"/>
        <v>15.4</v>
      </c>
      <c r="F51" s="217">
        <f t="shared" si="16"/>
        <v>0.24024960998439934</v>
      </c>
      <c r="G51" s="172">
        <f t="shared" si="17"/>
        <v>292.50390015600624</v>
      </c>
      <c r="H51" s="217">
        <f t="shared" si="18"/>
        <v>19.500260010400417</v>
      </c>
      <c r="I51" s="443">
        <f t="shared" si="19"/>
        <v>64.100000000000009</v>
      </c>
      <c r="J51" s="172">
        <f t="shared" si="20"/>
        <v>1.35</v>
      </c>
      <c r="K51" s="172">
        <f t="shared" si="21"/>
        <v>0.3326488706365503</v>
      </c>
      <c r="L51" s="172">
        <f t="shared" si="22"/>
        <v>1.051948051948052</v>
      </c>
      <c r="M51" s="443">
        <f t="shared" si="14"/>
        <v>350</v>
      </c>
      <c r="N51" s="197">
        <f t="shared" si="23"/>
        <v>97.501300052002094</v>
      </c>
      <c r="O51" s="217">
        <f t="shared" si="24"/>
        <v>10</v>
      </c>
      <c r="P51" s="173">
        <f t="shared" si="25"/>
        <v>7.7922077922077913</v>
      </c>
      <c r="Q51" s="173">
        <f t="shared" si="26"/>
        <v>3.7987519500780036</v>
      </c>
      <c r="R51" s="173">
        <f t="shared" si="27"/>
        <v>7.7922077922077913</v>
      </c>
    </row>
    <row r="52" spans="3:18">
      <c r="C52" s="170">
        <v>46</v>
      </c>
      <c r="D52" s="5">
        <f t="shared" si="28"/>
        <v>49.36</v>
      </c>
      <c r="E52" s="443">
        <f t="shared" si="15"/>
        <v>15.4</v>
      </c>
      <c r="F52" s="217">
        <f t="shared" si="16"/>
        <v>0.23780111179740579</v>
      </c>
      <c r="G52" s="172">
        <f t="shared" si="17"/>
        <v>293.44657195799874</v>
      </c>
      <c r="H52" s="217">
        <f t="shared" si="18"/>
        <v>19.563104797199916</v>
      </c>
      <c r="I52" s="443">
        <f t="shared" si="19"/>
        <v>64.760000000000005</v>
      </c>
      <c r="J52" s="172">
        <f t="shared" si="20"/>
        <v>1.35</v>
      </c>
      <c r="K52" s="172">
        <f t="shared" si="21"/>
        <v>0.32820097244732582</v>
      </c>
      <c r="L52" s="172">
        <f t="shared" si="22"/>
        <v>1.051948051948052</v>
      </c>
      <c r="M52" s="443">
        <f t="shared" si="14"/>
        <v>350</v>
      </c>
      <c r="N52" s="197">
        <f t="shared" si="23"/>
        <v>97.81552398599959</v>
      </c>
      <c r="O52" s="217">
        <f t="shared" si="24"/>
        <v>10</v>
      </c>
      <c r="P52" s="173">
        <f t="shared" si="25"/>
        <v>7.7922077922077913</v>
      </c>
      <c r="Q52" s="173">
        <f t="shared" si="26"/>
        <v>3.810994441012971</v>
      </c>
      <c r="R52" s="173">
        <f t="shared" si="27"/>
        <v>7.7922077922077913</v>
      </c>
    </row>
    <row r="53" spans="3:18">
      <c r="C53" s="170">
        <v>47</v>
      </c>
      <c r="D53" s="5">
        <f t="shared" si="28"/>
        <v>50.019999999999996</v>
      </c>
      <c r="E53" s="443">
        <f t="shared" si="15"/>
        <v>15.4</v>
      </c>
      <c r="F53" s="217">
        <f t="shared" si="16"/>
        <v>0.23540201773158057</v>
      </c>
      <c r="G53" s="172">
        <f t="shared" si="17"/>
        <v>294.37022317334146</v>
      </c>
      <c r="H53" s="217">
        <f t="shared" si="18"/>
        <v>19.62468154488943</v>
      </c>
      <c r="I53" s="443">
        <f t="shared" si="19"/>
        <v>65.42</v>
      </c>
      <c r="J53" s="172">
        <f t="shared" si="20"/>
        <v>1.35</v>
      </c>
      <c r="K53" s="172">
        <f t="shared" si="21"/>
        <v>0.32387045181927232</v>
      </c>
      <c r="L53" s="172">
        <f t="shared" si="22"/>
        <v>1.051948051948052</v>
      </c>
      <c r="M53" s="443">
        <f t="shared" si="14"/>
        <v>350</v>
      </c>
      <c r="N53" s="197">
        <f t="shared" si="23"/>
        <v>98.123407724447162</v>
      </c>
      <c r="O53" s="217">
        <f t="shared" si="24"/>
        <v>10</v>
      </c>
      <c r="P53" s="173">
        <f t="shared" si="25"/>
        <v>7.7922077922077913</v>
      </c>
      <c r="Q53" s="173">
        <f t="shared" si="26"/>
        <v>3.8229899113420971</v>
      </c>
      <c r="R53" s="173">
        <f t="shared" si="27"/>
        <v>7.7922077922077913</v>
      </c>
    </row>
    <row r="54" spans="3:18">
      <c r="C54" s="170">
        <v>48</v>
      </c>
      <c r="D54" s="5">
        <f t="shared" si="28"/>
        <v>50.68</v>
      </c>
      <c r="E54" s="443">
        <f t="shared" si="15"/>
        <v>15.4</v>
      </c>
      <c r="F54" s="217">
        <f t="shared" si="16"/>
        <v>0.23305084745762714</v>
      </c>
      <c r="G54" s="172">
        <f t="shared" si="17"/>
        <v>295.27542372881356</v>
      </c>
      <c r="H54" s="217">
        <f t="shared" si="18"/>
        <v>19.685028248587571</v>
      </c>
      <c r="I54" s="443">
        <f t="shared" si="19"/>
        <v>66.08</v>
      </c>
      <c r="J54" s="172">
        <f t="shared" si="20"/>
        <v>1.35</v>
      </c>
      <c r="K54" s="172">
        <f t="shared" si="21"/>
        <v>0.31965272296764013</v>
      </c>
      <c r="L54" s="172">
        <f t="shared" si="22"/>
        <v>1.051948051948052</v>
      </c>
      <c r="M54" s="443">
        <f t="shared" si="14"/>
        <v>350</v>
      </c>
      <c r="N54" s="197">
        <f t="shared" si="23"/>
        <v>98.425141242937855</v>
      </c>
      <c r="O54" s="217">
        <f t="shared" si="24"/>
        <v>10.000000000000002</v>
      </c>
      <c r="P54" s="173">
        <f t="shared" si="25"/>
        <v>7.792207792207793</v>
      </c>
      <c r="Q54" s="173">
        <f t="shared" si="26"/>
        <v>3.8347457627118655</v>
      </c>
      <c r="R54" s="173">
        <f t="shared" si="27"/>
        <v>7.7922077922077913</v>
      </c>
    </row>
    <row r="55" spans="3:18">
      <c r="C55" s="170">
        <v>49</v>
      </c>
      <c r="D55" s="5">
        <f t="shared" si="28"/>
        <v>51.339999999999996</v>
      </c>
      <c r="E55" s="443">
        <f t="shared" si="15"/>
        <v>15.4</v>
      </c>
      <c r="F55" s="217">
        <f t="shared" si="16"/>
        <v>0.23074617920287685</v>
      </c>
      <c r="G55" s="172">
        <f t="shared" si="17"/>
        <v>296.16272100689241</v>
      </c>
      <c r="H55" s="217">
        <f t="shared" si="18"/>
        <v>19.744181400459492</v>
      </c>
      <c r="I55" s="443">
        <f t="shared" si="19"/>
        <v>66.739999999999995</v>
      </c>
      <c r="J55" s="172">
        <f t="shared" si="20"/>
        <v>1.35</v>
      </c>
      <c r="K55" s="172">
        <f t="shared" si="21"/>
        <v>0.31554343591741335</v>
      </c>
      <c r="L55" s="172">
        <f t="shared" si="22"/>
        <v>1.051948051948052</v>
      </c>
      <c r="M55" s="443">
        <f t="shared" si="14"/>
        <v>350</v>
      </c>
      <c r="N55" s="197">
        <f t="shared" si="23"/>
        <v>98.72090700229748</v>
      </c>
      <c r="O55" s="217">
        <f t="shared" si="24"/>
        <v>10</v>
      </c>
      <c r="P55" s="173">
        <f t="shared" si="25"/>
        <v>7.7922077922077913</v>
      </c>
      <c r="Q55" s="173">
        <f t="shared" si="26"/>
        <v>3.8462691039856161</v>
      </c>
      <c r="R55" s="173">
        <f t="shared" si="27"/>
        <v>7.7922077922077913</v>
      </c>
    </row>
    <row r="56" spans="3:18">
      <c r="C56" s="170">
        <v>50</v>
      </c>
      <c r="D56" s="5">
        <f t="shared" si="28"/>
        <v>52</v>
      </c>
      <c r="E56" s="443">
        <f t="shared" si="15"/>
        <v>15.4</v>
      </c>
      <c r="F56" s="217">
        <f t="shared" si="16"/>
        <v>0.22848664688427298</v>
      </c>
      <c r="G56" s="172">
        <f t="shared" si="17"/>
        <v>297.03264094955489</v>
      </c>
      <c r="H56" s="217">
        <f t="shared" si="18"/>
        <v>19.802176063303659</v>
      </c>
      <c r="I56" s="443">
        <f t="shared" si="19"/>
        <v>67.400000000000006</v>
      </c>
      <c r="J56" s="172">
        <f t="shared" si="20"/>
        <v>1.35</v>
      </c>
      <c r="K56" s="172">
        <f t="shared" si="21"/>
        <v>0.31153846153846154</v>
      </c>
      <c r="L56" s="172">
        <f t="shared" si="22"/>
        <v>1.051948051948052</v>
      </c>
      <c r="M56" s="443">
        <f t="shared" si="14"/>
        <v>350</v>
      </c>
      <c r="N56" s="197">
        <f t="shared" si="23"/>
        <v>99.01088031651831</v>
      </c>
      <c r="O56" s="217">
        <f t="shared" si="24"/>
        <v>10</v>
      </c>
      <c r="P56" s="173">
        <f t="shared" si="25"/>
        <v>7.7922077922077913</v>
      </c>
      <c r="Q56" s="173">
        <f t="shared" si="26"/>
        <v>3.857566765578635</v>
      </c>
      <c r="R56" s="173">
        <f t="shared" si="27"/>
        <v>7.7922077922077913</v>
      </c>
    </row>
    <row r="57" spans="3:18">
      <c r="C57" s="170">
        <v>51</v>
      </c>
      <c r="D57" s="5">
        <f t="shared" si="28"/>
        <v>52.660000000000004</v>
      </c>
      <c r="E57" s="443">
        <f t="shared" si="15"/>
        <v>15.4</v>
      </c>
      <c r="F57" s="217">
        <f t="shared" si="16"/>
        <v>0.22627093740816925</v>
      </c>
      <c r="G57" s="172">
        <f t="shared" si="17"/>
        <v>297.88568909785482</v>
      </c>
      <c r="H57" s="217">
        <f t="shared" si="18"/>
        <v>19.859045939856987</v>
      </c>
      <c r="I57" s="443">
        <f t="shared" si="19"/>
        <v>68.06</v>
      </c>
      <c r="J57" s="172">
        <f t="shared" si="20"/>
        <v>1.35</v>
      </c>
      <c r="K57" s="172">
        <f t="shared" si="21"/>
        <v>0.30763387770603873</v>
      </c>
      <c r="L57" s="172">
        <f t="shared" si="22"/>
        <v>1.051948051948052</v>
      </c>
      <c r="M57" s="443">
        <f t="shared" si="14"/>
        <v>350</v>
      </c>
      <c r="N57" s="197">
        <f t="shared" si="23"/>
        <v>99.295229699284945</v>
      </c>
      <c r="O57" s="217">
        <f t="shared" si="24"/>
        <v>10</v>
      </c>
      <c r="P57" s="173">
        <f t="shared" si="25"/>
        <v>7.7922077922077913</v>
      </c>
      <c r="Q57" s="173">
        <f t="shared" si="26"/>
        <v>3.8686453129591536</v>
      </c>
      <c r="R57" s="173">
        <f t="shared" si="27"/>
        <v>7.7922077922077913</v>
      </c>
    </row>
    <row r="58" spans="3:18">
      <c r="C58" s="170">
        <v>52</v>
      </c>
      <c r="D58" s="5">
        <f t="shared" si="28"/>
        <v>53.32</v>
      </c>
      <c r="E58" s="443">
        <f t="shared" si="15"/>
        <v>15.4</v>
      </c>
      <c r="F58" s="217">
        <f t="shared" si="16"/>
        <v>0.22409778812572759</v>
      </c>
      <c r="G58" s="172">
        <f t="shared" si="17"/>
        <v>298.72235157159486</v>
      </c>
      <c r="H58" s="217">
        <f t="shared" si="18"/>
        <v>19.914823438106325</v>
      </c>
      <c r="I58" s="443">
        <f t="shared" si="19"/>
        <v>68.72</v>
      </c>
      <c r="J58" s="172">
        <f t="shared" si="20"/>
        <v>1.35</v>
      </c>
      <c r="K58" s="172">
        <f t="shared" si="21"/>
        <v>0.30382595648912231</v>
      </c>
      <c r="L58" s="172">
        <f t="shared" si="22"/>
        <v>1.051948051948052</v>
      </c>
      <c r="M58" s="443">
        <f t="shared" si="14"/>
        <v>350</v>
      </c>
      <c r="N58" s="197">
        <f t="shared" si="23"/>
        <v>99.574117190531638</v>
      </c>
      <c r="O58" s="217">
        <f t="shared" si="24"/>
        <v>10</v>
      </c>
      <c r="P58" s="173">
        <f t="shared" si="25"/>
        <v>7.7922077922077913</v>
      </c>
      <c r="Q58" s="173">
        <f t="shared" si="26"/>
        <v>3.879511059371362</v>
      </c>
      <c r="R58" s="173">
        <f t="shared" si="27"/>
        <v>7.7922077922077913</v>
      </c>
    </row>
    <row r="59" spans="3:18">
      <c r="C59" s="170">
        <v>53</v>
      </c>
      <c r="D59" s="5">
        <f t="shared" si="28"/>
        <v>53.980000000000004</v>
      </c>
      <c r="E59" s="443">
        <f t="shared" si="15"/>
        <v>15.4</v>
      </c>
      <c r="F59" s="217">
        <f t="shared" si="16"/>
        <v>0.22196598443355431</v>
      </c>
      <c r="G59" s="172">
        <f t="shared" si="17"/>
        <v>299.54309599308158</v>
      </c>
      <c r="H59" s="217">
        <f t="shared" si="18"/>
        <v>19.969539732872104</v>
      </c>
      <c r="I59" s="443">
        <f t="shared" si="19"/>
        <v>69.38000000000001</v>
      </c>
      <c r="J59" s="172">
        <f t="shared" si="20"/>
        <v>1.35</v>
      </c>
      <c r="K59" s="172">
        <f t="shared" si="21"/>
        <v>0.30011115227862167</v>
      </c>
      <c r="L59" s="172">
        <f t="shared" si="22"/>
        <v>1.051948051948052</v>
      </c>
      <c r="M59" s="443">
        <f t="shared" si="14"/>
        <v>350</v>
      </c>
      <c r="N59" s="197">
        <f t="shared" si="23"/>
        <v>99.847698664360536</v>
      </c>
      <c r="O59" s="217">
        <f t="shared" si="24"/>
        <v>10</v>
      </c>
      <c r="P59" s="173">
        <f t="shared" si="25"/>
        <v>7.7922077922077913</v>
      </c>
      <c r="Q59" s="173">
        <f t="shared" si="26"/>
        <v>3.8901700778322281</v>
      </c>
      <c r="R59" s="173">
        <f t="shared" si="27"/>
        <v>7.7922077922077913</v>
      </c>
    </row>
    <row r="60" spans="3:18">
      <c r="C60" s="170">
        <v>54</v>
      </c>
      <c r="D60" s="5">
        <f t="shared" si="28"/>
        <v>54.64</v>
      </c>
      <c r="E60" s="443">
        <f t="shared" si="15"/>
        <v>15.4</v>
      </c>
      <c r="F60" s="217">
        <f t="shared" si="16"/>
        <v>0.21987435750999426</v>
      </c>
      <c r="G60" s="172">
        <f t="shared" si="17"/>
        <v>300.34837235865217</v>
      </c>
      <c r="H60" s="217">
        <f t="shared" si="18"/>
        <v>20.023224823910144</v>
      </c>
      <c r="I60" s="443">
        <f t="shared" si="19"/>
        <v>70.040000000000006</v>
      </c>
      <c r="J60" s="172">
        <f t="shared" si="20"/>
        <v>1.35</v>
      </c>
      <c r="K60" s="172">
        <f t="shared" si="21"/>
        <v>0.29648609077598831</v>
      </c>
      <c r="L60" s="172">
        <f t="shared" si="22"/>
        <v>1.051948051948052</v>
      </c>
      <c r="M60" s="443">
        <f t="shared" si="14"/>
        <v>350</v>
      </c>
      <c r="N60" s="197">
        <f t="shared" si="23"/>
        <v>100.11612411955073</v>
      </c>
      <c r="O60" s="217">
        <f t="shared" si="24"/>
        <v>10</v>
      </c>
      <c r="P60" s="173">
        <f t="shared" si="25"/>
        <v>7.7922077922077913</v>
      </c>
      <c r="Q60" s="173">
        <f t="shared" si="26"/>
        <v>3.9006282124500284</v>
      </c>
      <c r="R60" s="173">
        <f t="shared" si="27"/>
        <v>7.7922077922077913</v>
      </c>
    </row>
    <row r="61" spans="3:18">
      <c r="C61" s="170">
        <v>55</v>
      </c>
      <c r="D61" s="5">
        <f t="shared" si="28"/>
        <v>55.300000000000004</v>
      </c>
      <c r="E61" s="443">
        <f t="shared" si="15"/>
        <v>15.4</v>
      </c>
      <c r="F61" s="217">
        <f t="shared" si="16"/>
        <v>0.21782178217821782</v>
      </c>
      <c r="G61" s="172">
        <f t="shared" si="17"/>
        <v>301.13861386138615</v>
      </c>
      <c r="H61" s="217">
        <f t="shared" si="18"/>
        <v>20.075907590759076</v>
      </c>
      <c r="I61" s="443">
        <f t="shared" si="19"/>
        <v>70.7</v>
      </c>
      <c r="J61" s="172">
        <f t="shared" si="20"/>
        <v>1.35</v>
      </c>
      <c r="K61" s="172">
        <f t="shared" si="21"/>
        <v>0.29294755877034356</v>
      </c>
      <c r="L61" s="172">
        <f t="shared" si="22"/>
        <v>1.051948051948052</v>
      </c>
      <c r="M61" s="443">
        <f t="shared" si="14"/>
        <v>350</v>
      </c>
      <c r="N61" s="197">
        <f t="shared" si="23"/>
        <v>100.37953795379539</v>
      </c>
      <c r="O61" s="217">
        <f t="shared" si="24"/>
        <v>10</v>
      </c>
      <c r="P61" s="173">
        <f t="shared" si="25"/>
        <v>7.7922077922077913</v>
      </c>
      <c r="Q61" s="173">
        <f t="shared" si="26"/>
        <v>3.9108910891089113</v>
      </c>
      <c r="R61" s="173">
        <f t="shared" si="27"/>
        <v>7.7922077922077913</v>
      </c>
    </row>
    <row r="62" spans="3:18">
      <c r="C62" s="170">
        <v>56</v>
      </c>
      <c r="D62" s="5">
        <f t="shared" si="28"/>
        <v>55.96</v>
      </c>
      <c r="E62" s="443">
        <f t="shared" si="15"/>
        <v>15.4</v>
      </c>
      <c r="F62" s="217">
        <f t="shared" si="16"/>
        <v>0.21580717488789239</v>
      </c>
      <c r="G62" s="172">
        <f t="shared" si="17"/>
        <v>301.91423766816149</v>
      </c>
      <c r="H62" s="217">
        <f t="shared" si="18"/>
        <v>20.127615844544099</v>
      </c>
      <c r="I62" s="443">
        <f t="shared" si="19"/>
        <v>71.36</v>
      </c>
      <c r="J62" s="172">
        <f t="shared" si="20"/>
        <v>1.35</v>
      </c>
      <c r="K62" s="172">
        <f t="shared" si="21"/>
        <v>0.28949249463902788</v>
      </c>
      <c r="L62" s="172">
        <f t="shared" si="22"/>
        <v>1.051948051948052</v>
      </c>
      <c r="M62" s="443">
        <f t="shared" si="14"/>
        <v>350</v>
      </c>
      <c r="N62" s="197">
        <f t="shared" si="23"/>
        <v>100.63807922272049</v>
      </c>
      <c r="O62" s="217">
        <f t="shared" si="24"/>
        <v>10</v>
      </c>
      <c r="P62" s="173">
        <f t="shared" si="25"/>
        <v>7.7922077922077913</v>
      </c>
      <c r="Q62" s="173">
        <f t="shared" si="26"/>
        <v>3.9209641255605385</v>
      </c>
      <c r="R62" s="173">
        <f t="shared" si="27"/>
        <v>7.7922077922077913</v>
      </c>
    </row>
    <row r="63" spans="3:18">
      <c r="C63" s="170">
        <v>57</v>
      </c>
      <c r="D63" s="5">
        <f t="shared" si="28"/>
        <v>56.62</v>
      </c>
      <c r="E63" s="443">
        <f t="shared" si="15"/>
        <v>15.4</v>
      </c>
      <c r="F63" s="217">
        <f t="shared" si="16"/>
        <v>0.21382949180783117</v>
      </c>
      <c r="G63" s="172">
        <f t="shared" si="17"/>
        <v>302.67564565398504</v>
      </c>
      <c r="H63" s="217">
        <f t="shared" si="18"/>
        <v>20.178376376932338</v>
      </c>
      <c r="I63" s="443">
        <f t="shared" si="19"/>
        <v>72.02</v>
      </c>
      <c r="J63" s="172">
        <f t="shared" si="20"/>
        <v>1.35</v>
      </c>
      <c r="K63" s="172">
        <f t="shared" si="21"/>
        <v>0.28611797951253976</v>
      </c>
      <c r="L63" s="172">
        <f t="shared" si="22"/>
        <v>1.051948051948052</v>
      </c>
      <c r="M63" s="443">
        <f t="shared" si="14"/>
        <v>350</v>
      </c>
      <c r="N63" s="197">
        <f t="shared" si="23"/>
        <v>100.89188188466167</v>
      </c>
      <c r="O63" s="217">
        <f t="shared" si="24"/>
        <v>10</v>
      </c>
      <c r="P63" s="173">
        <f t="shared" si="25"/>
        <v>7.7922077922077913</v>
      </c>
      <c r="Q63" s="173">
        <f t="shared" si="26"/>
        <v>3.9308525409608444</v>
      </c>
      <c r="R63" s="173">
        <f t="shared" si="27"/>
        <v>7.7922077922077913</v>
      </c>
    </row>
    <row r="64" spans="3:18">
      <c r="C64" s="170">
        <v>58</v>
      </c>
      <c r="D64" s="5">
        <f t="shared" si="28"/>
        <v>57.279999999999994</v>
      </c>
      <c r="E64" s="443">
        <f t="shared" si="15"/>
        <v>15.4</v>
      </c>
      <c r="F64" s="217">
        <f t="shared" si="16"/>
        <v>0.2118877270225647</v>
      </c>
      <c r="G64" s="172">
        <f t="shared" si="17"/>
        <v>303.42322509631259</v>
      </c>
      <c r="H64" s="217">
        <f t="shared" si="18"/>
        <v>20.228215006420839</v>
      </c>
      <c r="I64" s="443">
        <f t="shared" si="19"/>
        <v>72.679999999999993</v>
      </c>
      <c r="J64" s="172">
        <f t="shared" si="20"/>
        <v>1.35</v>
      </c>
      <c r="K64" s="172">
        <f t="shared" si="21"/>
        <v>0.2828212290502794</v>
      </c>
      <c r="L64" s="172">
        <f t="shared" si="22"/>
        <v>1.051948051948052</v>
      </c>
      <c r="M64" s="443">
        <f t="shared" si="14"/>
        <v>350</v>
      </c>
      <c r="N64" s="197">
        <f t="shared" si="23"/>
        <v>101.14107503210421</v>
      </c>
      <c r="O64" s="217">
        <f t="shared" si="24"/>
        <v>10</v>
      </c>
      <c r="P64" s="173">
        <f t="shared" si="25"/>
        <v>7.7922077922077913</v>
      </c>
      <c r="Q64" s="173">
        <f t="shared" si="26"/>
        <v>3.9405613648871767</v>
      </c>
      <c r="R64" s="173">
        <f t="shared" si="27"/>
        <v>7.7922077922077913</v>
      </c>
    </row>
    <row r="65" spans="3:18">
      <c r="C65" s="170">
        <v>59</v>
      </c>
      <c r="D65" s="5">
        <f t="shared" si="28"/>
        <v>57.94</v>
      </c>
      <c r="E65" s="443">
        <f t="shared" si="15"/>
        <v>15.4</v>
      </c>
      <c r="F65" s="217">
        <f t="shared" si="16"/>
        <v>0.2099809108262885</v>
      </c>
      <c r="G65" s="172">
        <f t="shared" si="17"/>
        <v>304.15734933187889</v>
      </c>
      <c r="H65" s="217">
        <f t="shared" si="18"/>
        <v>20.277156622125258</v>
      </c>
      <c r="I65" s="443">
        <f t="shared" si="19"/>
        <v>73.34</v>
      </c>
      <c r="J65" s="172">
        <f t="shared" si="20"/>
        <v>1.35</v>
      </c>
      <c r="K65" s="172">
        <f t="shared" si="21"/>
        <v>0.2795995857783915</v>
      </c>
      <c r="L65" s="172">
        <f t="shared" si="22"/>
        <v>1.051948051948052</v>
      </c>
      <c r="M65" s="443">
        <f t="shared" si="14"/>
        <v>350</v>
      </c>
      <c r="N65" s="197">
        <f t="shared" si="23"/>
        <v>101.38578311062632</v>
      </c>
      <c r="O65" s="217">
        <f t="shared" si="24"/>
        <v>9.9999999999999982</v>
      </c>
      <c r="P65" s="173">
        <f t="shared" si="25"/>
        <v>7.7922077922077895</v>
      </c>
      <c r="Q65" s="173">
        <f t="shared" si="26"/>
        <v>3.9500954458685555</v>
      </c>
      <c r="R65" s="173">
        <f t="shared" si="27"/>
        <v>7.7922077922077913</v>
      </c>
    </row>
    <row r="66" spans="3:18">
      <c r="C66" s="170">
        <v>60</v>
      </c>
      <c r="D66" s="5">
        <f t="shared" si="28"/>
        <v>58.6</v>
      </c>
      <c r="E66" s="443">
        <f t="shared" si="15"/>
        <v>15.4</v>
      </c>
      <c r="F66" s="217">
        <f t="shared" si="16"/>
        <v>0.20810810810810812</v>
      </c>
      <c r="G66" s="172">
        <f t="shared" si="17"/>
        <v>304.87837837837839</v>
      </c>
      <c r="H66" s="217">
        <f t="shared" si="18"/>
        <v>20.325225225225225</v>
      </c>
      <c r="I66" s="443">
        <f t="shared" si="19"/>
        <v>74</v>
      </c>
      <c r="J66" s="172">
        <f t="shared" si="20"/>
        <v>1.35</v>
      </c>
      <c r="K66" s="172">
        <f t="shared" si="21"/>
        <v>0.2764505119453925</v>
      </c>
      <c r="L66" s="172">
        <f t="shared" si="22"/>
        <v>1.051948051948052</v>
      </c>
      <c r="M66" s="443">
        <f t="shared" si="14"/>
        <v>350</v>
      </c>
      <c r="N66" s="197">
        <f t="shared" si="23"/>
        <v>101.62612612612614</v>
      </c>
      <c r="O66" s="217">
        <f t="shared" si="24"/>
        <v>9.9999999999999982</v>
      </c>
      <c r="P66" s="173">
        <f t="shared" si="25"/>
        <v>7.7922077922077895</v>
      </c>
      <c r="Q66" s="173">
        <f t="shared" si="26"/>
        <v>3.9594594594594574</v>
      </c>
      <c r="R66" s="173">
        <f t="shared" si="27"/>
        <v>7.7922077922077913</v>
      </c>
    </row>
    <row r="67" spans="3:18">
      <c r="C67" s="170">
        <v>61</v>
      </c>
      <c r="D67" s="5">
        <f t="shared" si="28"/>
        <v>59.26</v>
      </c>
      <c r="E67" s="443">
        <f t="shared" si="15"/>
        <v>15.4</v>
      </c>
      <c r="F67" s="217">
        <f t="shared" si="16"/>
        <v>0.20626841682293062</v>
      </c>
      <c r="G67" s="172">
        <f t="shared" si="17"/>
        <v>305.5866595231717</v>
      </c>
      <c r="H67" s="217">
        <f t="shared" si="18"/>
        <v>20.372443968211446</v>
      </c>
      <c r="I67" s="443">
        <f t="shared" si="19"/>
        <v>74.66</v>
      </c>
      <c r="J67" s="172">
        <f t="shared" si="20"/>
        <v>1.35</v>
      </c>
      <c r="K67" s="172">
        <f t="shared" si="21"/>
        <v>0.27337158285521435</v>
      </c>
      <c r="L67" s="172">
        <f t="shared" si="22"/>
        <v>1.051948051948052</v>
      </c>
      <c r="M67" s="443">
        <f t="shared" si="14"/>
        <v>350</v>
      </c>
      <c r="N67" s="197">
        <f t="shared" si="23"/>
        <v>101.86221984105725</v>
      </c>
      <c r="O67" s="217">
        <f t="shared" si="24"/>
        <v>9.9999999999999982</v>
      </c>
      <c r="P67" s="173">
        <f t="shared" si="25"/>
        <v>7.7922077922077895</v>
      </c>
      <c r="Q67" s="173">
        <f t="shared" si="26"/>
        <v>3.9686579158853452</v>
      </c>
      <c r="R67" s="173">
        <f t="shared" si="27"/>
        <v>7.7922077922077913</v>
      </c>
    </row>
    <row r="68" spans="3:18">
      <c r="C68" s="170">
        <v>62</v>
      </c>
      <c r="D68" s="5">
        <f t="shared" si="28"/>
        <v>59.92</v>
      </c>
      <c r="E68" s="443">
        <f t="shared" si="15"/>
        <v>15.4</v>
      </c>
      <c r="F68" s="217">
        <f t="shared" si="16"/>
        <v>0.20446096654275092</v>
      </c>
      <c r="G68" s="172">
        <f t="shared" si="17"/>
        <v>306.28252788104089</v>
      </c>
      <c r="H68" s="217">
        <f t="shared" si="18"/>
        <v>20.418835192069391</v>
      </c>
      <c r="I68" s="443">
        <f t="shared" si="19"/>
        <v>75.320000000000007</v>
      </c>
      <c r="J68" s="172">
        <f t="shared" si="20"/>
        <v>1.35</v>
      </c>
      <c r="K68" s="172">
        <f t="shared" si="21"/>
        <v>0.27036048064085449</v>
      </c>
      <c r="L68" s="172">
        <f t="shared" si="22"/>
        <v>1.051948051948052</v>
      </c>
      <c r="M68" s="443">
        <f t="shared" si="14"/>
        <v>350</v>
      </c>
      <c r="N68" s="197">
        <f t="shared" si="23"/>
        <v>102.09417596034696</v>
      </c>
      <c r="O68" s="217">
        <f t="shared" si="24"/>
        <v>10</v>
      </c>
      <c r="P68" s="173">
        <f t="shared" si="25"/>
        <v>7.7922077922077913</v>
      </c>
      <c r="Q68" s="173">
        <f t="shared" si="26"/>
        <v>3.9776951672862451</v>
      </c>
      <c r="R68" s="173">
        <f t="shared" si="27"/>
        <v>7.7922077922077913</v>
      </c>
    </row>
    <row r="69" spans="3:18">
      <c r="C69" s="170">
        <v>63</v>
      </c>
      <c r="D69" s="5">
        <f t="shared" si="28"/>
        <v>60.58</v>
      </c>
      <c r="E69" s="443">
        <f t="shared" si="15"/>
        <v>15.4</v>
      </c>
      <c r="F69" s="217">
        <f t="shared" si="16"/>
        <v>0.20268491708344299</v>
      </c>
      <c r="G69" s="172">
        <f t="shared" si="17"/>
        <v>306.96630692287437</v>
      </c>
      <c r="H69" s="217">
        <f t="shared" si="18"/>
        <v>20.464420461524959</v>
      </c>
      <c r="I69" s="443">
        <f t="shared" si="19"/>
        <v>75.98</v>
      </c>
      <c r="J69" s="172">
        <f t="shared" si="20"/>
        <v>1.35</v>
      </c>
      <c r="K69" s="172">
        <f t="shared" si="21"/>
        <v>0.26741498844503142</v>
      </c>
      <c r="L69" s="172">
        <f t="shared" si="22"/>
        <v>1.051948051948052</v>
      </c>
      <c r="M69" s="443">
        <f t="shared" si="14"/>
        <v>350</v>
      </c>
      <c r="N69" s="197">
        <f t="shared" si="23"/>
        <v>102.3221023076248</v>
      </c>
      <c r="O69" s="217">
        <f t="shared" si="24"/>
        <v>10</v>
      </c>
      <c r="P69" s="173">
        <f t="shared" si="25"/>
        <v>7.7922077922077913</v>
      </c>
      <c r="Q69" s="173">
        <f t="shared" si="26"/>
        <v>3.9865754145827843</v>
      </c>
      <c r="R69" s="173">
        <f t="shared" si="27"/>
        <v>7.7922077922077913</v>
      </c>
    </row>
    <row r="70" spans="3:18">
      <c r="C70" s="170">
        <v>64</v>
      </c>
      <c r="D70" s="5">
        <f t="shared" si="28"/>
        <v>61.24</v>
      </c>
      <c r="E70" s="443">
        <f t="shared" ref="E70:E106" si="29">(Vout+Vfwd1)*Nps</f>
        <v>15.4</v>
      </c>
      <c r="F70" s="217">
        <f t="shared" ref="F70:F106" si="30">(Vout+Vfwd1)*Nps/((Vout+Vfwd1)*Nps+D70)</f>
        <v>0.20093945720250522</v>
      </c>
      <c r="G70" s="172">
        <f t="shared" ref="G70:G101" si="31">F70*D70*Isw_max*0.5*Efficiency</f>
        <v>307.63830897703548</v>
      </c>
      <c r="H70" s="217">
        <f t="shared" ref="H70:H101" si="32">G70/Vout</f>
        <v>20.509220598469032</v>
      </c>
      <c r="I70" s="443">
        <f t="shared" ref="I70:I106" si="33">(Vout+Vfwd1)*Nps+D70</f>
        <v>76.64</v>
      </c>
      <c r="J70" s="172">
        <f t="shared" ref="J70:J106" si="34">MIN(2*Vout*Iout/(Efficiency*D70*F70), 1.35)</f>
        <v>1.35</v>
      </c>
      <c r="K70" s="172">
        <f t="shared" ref="K70:K101" si="35">L*J70/D70*1000000</f>
        <v>0.26453298497713912</v>
      </c>
      <c r="L70" s="172">
        <f t="shared" ref="L70:L106" si="36">L*J70/((Vout+Vfwd1)*Nps)*1000000</f>
        <v>1.051948051948052</v>
      </c>
      <c r="M70" s="443">
        <f t="shared" si="14"/>
        <v>350</v>
      </c>
      <c r="N70" s="197">
        <f t="shared" ref="N70:N106" si="37">IF(1/((350000*L)*(1/D70+1/E70))&gt;Isw_min, 350, 0.001/((Isw_min*L)*(1/D70+1/E70)))</f>
        <v>102.54610299234517</v>
      </c>
      <c r="O70" s="217">
        <f t="shared" ref="O70:O101" si="38">1/((N70*1000*L)*(1/D70+1/E70))</f>
        <v>10</v>
      </c>
      <c r="P70" s="173">
        <f t="shared" ref="P70:P101" si="39">L*O70/E70*1000000</f>
        <v>7.7922077922077913</v>
      </c>
      <c r="Q70" s="173">
        <f t="shared" ref="Q70:Q101" si="40">0.5*P70*O70*Nps*N70/1000</f>
        <v>3.9953027139874737</v>
      </c>
      <c r="R70" s="173">
        <f t="shared" ref="R70:R106" si="41">L*Isw_min/E70*1000000</f>
        <v>7.7922077922077913</v>
      </c>
    </row>
    <row r="71" spans="3:18">
      <c r="C71" s="170">
        <v>65</v>
      </c>
      <c r="D71" s="5">
        <f t="shared" ref="D71:D102" si="42">C71/100*(VIN_max-VIN_min)+VIN_min</f>
        <v>61.9</v>
      </c>
      <c r="E71" s="443">
        <f t="shared" si="29"/>
        <v>15.4</v>
      </c>
      <c r="F71" s="217">
        <f t="shared" si="30"/>
        <v>0.19922380336351878</v>
      </c>
      <c r="G71" s="172">
        <f t="shared" si="31"/>
        <v>308.29883570504529</v>
      </c>
      <c r="H71" s="217">
        <f t="shared" si="32"/>
        <v>20.553255713669685</v>
      </c>
      <c r="I71" s="443">
        <f t="shared" si="33"/>
        <v>77.3</v>
      </c>
      <c r="J71" s="172">
        <f t="shared" si="34"/>
        <v>1.35</v>
      </c>
      <c r="K71" s="172">
        <f t="shared" si="35"/>
        <v>0.26171243941841682</v>
      </c>
      <c r="L71" s="172">
        <f t="shared" si="36"/>
        <v>1.051948051948052</v>
      </c>
      <c r="M71" s="443">
        <f t="shared" ref="M71:M106" si="43">MIN(1/(K71+L71)*1000, 350)</f>
        <v>350</v>
      </c>
      <c r="N71" s="197">
        <f t="shared" si="37"/>
        <v>102.76627856834844</v>
      </c>
      <c r="O71" s="217">
        <f t="shared" si="38"/>
        <v>9.9999999999999982</v>
      </c>
      <c r="P71" s="173">
        <f t="shared" si="39"/>
        <v>7.7922077922077895</v>
      </c>
      <c r="Q71" s="173">
        <f t="shared" si="40"/>
        <v>4.0038809831824045</v>
      </c>
      <c r="R71" s="173">
        <f t="shared" si="41"/>
        <v>7.7922077922077913</v>
      </c>
    </row>
    <row r="72" spans="3:18">
      <c r="C72" s="170">
        <v>66</v>
      </c>
      <c r="D72" s="5">
        <f t="shared" si="42"/>
        <v>62.56</v>
      </c>
      <c r="E72" s="443">
        <f t="shared" si="29"/>
        <v>15.4</v>
      </c>
      <c r="F72" s="217">
        <f t="shared" si="30"/>
        <v>0.19753719856336582</v>
      </c>
      <c r="G72" s="172">
        <f t="shared" si="31"/>
        <v>308.94817855310419</v>
      </c>
      <c r="H72" s="217">
        <f t="shared" si="32"/>
        <v>20.596545236873613</v>
      </c>
      <c r="I72" s="443">
        <f t="shared" si="33"/>
        <v>77.960000000000008</v>
      </c>
      <c r="J72" s="172">
        <f t="shared" si="34"/>
        <v>1.35</v>
      </c>
      <c r="K72" s="172">
        <f t="shared" si="35"/>
        <v>0.25895140664961636</v>
      </c>
      <c r="L72" s="172">
        <f t="shared" si="36"/>
        <v>1.051948051948052</v>
      </c>
      <c r="M72" s="443">
        <f t="shared" si="43"/>
        <v>350</v>
      </c>
      <c r="N72" s="197">
        <f t="shared" si="37"/>
        <v>102.98272618436806</v>
      </c>
      <c r="O72" s="217">
        <f t="shared" si="38"/>
        <v>10</v>
      </c>
      <c r="P72" s="173">
        <f t="shared" si="39"/>
        <v>7.7922077922077913</v>
      </c>
      <c r="Q72" s="173">
        <f t="shared" si="40"/>
        <v>4.0123140071831704</v>
      </c>
      <c r="R72" s="173">
        <f t="shared" si="41"/>
        <v>7.7922077922077913</v>
      </c>
    </row>
    <row r="73" spans="3:18">
      <c r="C73" s="170">
        <v>67</v>
      </c>
      <c r="D73" s="5">
        <f t="shared" si="42"/>
        <v>63.220000000000006</v>
      </c>
      <c r="E73" s="443">
        <f t="shared" si="29"/>
        <v>15.4</v>
      </c>
      <c r="F73" s="217">
        <f t="shared" si="30"/>
        <v>0.19587891121851944</v>
      </c>
      <c r="G73" s="172">
        <f t="shared" si="31"/>
        <v>309.58661918087</v>
      </c>
      <c r="H73" s="217">
        <f t="shared" si="32"/>
        <v>20.639107945391334</v>
      </c>
      <c r="I73" s="443">
        <f t="shared" si="33"/>
        <v>78.62</v>
      </c>
      <c r="J73" s="172">
        <f t="shared" si="34"/>
        <v>1.35</v>
      </c>
      <c r="K73" s="172">
        <f t="shared" si="35"/>
        <v>0.25624802277760206</v>
      </c>
      <c r="L73" s="172">
        <f t="shared" si="36"/>
        <v>1.051948051948052</v>
      </c>
      <c r="M73" s="443">
        <f t="shared" si="43"/>
        <v>350</v>
      </c>
      <c r="N73" s="197">
        <f t="shared" si="37"/>
        <v>103.19553972695668</v>
      </c>
      <c r="O73" s="217">
        <f t="shared" si="38"/>
        <v>10</v>
      </c>
      <c r="P73" s="173">
        <f t="shared" si="39"/>
        <v>7.7922077922077913</v>
      </c>
      <c r="Q73" s="173">
        <f t="shared" si="40"/>
        <v>4.020605443907403</v>
      </c>
      <c r="R73" s="173">
        <f t="shared" si="41"/>
        <v>7.7922077922077913</v>
      </c>
    </row>
    <row r="74" spans="3:18">
      <c r="C74" s="170">
        <v>68</v>
      </c>
      <c r="D74" s="5">
        <f t="shared" si="42"/>
        <v>63.88</v>
      </c>
      <c r="E74" s="443">
        <f t="shared" si="29"/>
        <v>15.4</v>
      </c>
      <c r="F74" s="217">
        <f t="shared" si="30"/>
        <v>0.19424823410696265</v>
      </c>
      <c r="G74" s="172">
        <f t="shared" si="31"/>
        <v>310.21442986881937</v>
      </c>
      <c r="H74" s="217">
        <f t="shared" si="32"/>
        <v>20.680961991254623</v>
      </c>
      <c r="I74" s="443">
        <f t="shared" si="33"/>
        <v>79.28</v>
      </c>
      <c r="J74" s="172">
        <f t="shared" si="34"/>
        <v>1.35</v>
      </c>
      <c r="K74" s="172">
        <f t="shared" si="35"/>
        <v>0.25360050093926112</v>
      </c>
      <c r="L74" s="172">
        <f t="shared" si="36"/>
        <v>1.051948051948052</v>
      </c>
      <c r="M74" s="443">
        <f t="shared" si="43"/>
        <v>350</v>
      </c>
      <c r="N74" s="197">
        <f t="shared" si="37"/>
        <v>103.40480995627314</v>
      </c>
      <c r="O74" s="217">
        <f t="shared" si="38"/>
        <v>10</v>
      </c>
      <c r="P74" s="173">
        <f t="shared" si="39"/>
        <v>7.7922077922077913</v>
      </c>
      <c r="Q74" s="173">
        <f t="shared" si="40"/>
        <v>4.028758829465187</v>
      </c>
      <c r="R74" s="173">
        <f t="shared" si="41"/>
        <v>7.7922077922077913</v>
      </c>
    </row>
    <row r="75" spans="3:18">
      <c r="C75" s="170">
        <v>69</v>
      </c>
      <c r="D75" s="5">
        <f t="shared" si="42"/>
        <v>64.539999999999992</v>
      </c>
      <c r="E75" s="443">
        <f t="shared" si="29"/>
        <v>15.4</v>
      </c>
      <c r="F75" s="217">
        <f t="shared" si="30"/>
        <v>0.19264448336252191</v>
      </c>
      <c r="G75" s="172">
        <f t="shared" si="31"/>
        <v>310.83187390542906</v>
      </c>
      <c r="H75" s="217">
        <f t="shared" si="32"/>
        <v>20.722124927028606</v>
      </c>
      <c r="I75" s="443">
        <f t="shared" si="33"/>
        <v>79.94</v>
      </c>
      <c r="J75" s="172">
        <f t="shared" si="34"/>
        <v>1.35</v>
      </c>
      <c r="K75" s="172">
        <f t="shared" si="35"/>
        <v>0.25100712736287578</v>
      </c>
      <c r="L75" s="172">
        <f t="shared" si="36"/>
        <v>1.051948051948052</v>
      </c>
      <c r="M75" s="443">
        <f t="shared" si="43"/>
        <v>350</v>
      </c>
      <c r="N75" s="197">
        <f t="shared" si="37"/>
        <v>103.61062463514304</v>
      </c>
      <c r="O75" s="217">
        <f t="shared" si="38"/>
        <v>9.9999999999999982</v>
      </c>
      <c r="P75" s="173">
        <f t="shared" si="39"/>
        <v>7.7922077922077895</v>
      </c>
      <c r="Q75" s="173">
        <f t="shared" si="40"/>
        <v>4.0367775831873889</v>
      </c>
      <c r="R75" s="173">
        <f t="shared" si="41"/>
        <v>7.7922077922077913</v>
      </c>
    </row>
    <row r="76" spans="3:18">
      <c r="C76" s="170">
        <v>70</v>
      </c>
      <c r="D76" s="5">
        <f t="shared" si="42"/>
        <v>65.199999999999989</v>
      </c>
      <c r="E76" s="443">
        <f t="shared" si="29"/>
        <v>15.4</v>
      </c>
      <c r="F76" s="217">
        <f t="shared" si="30"/>
        <v>0.19106699751861045</v>
      </c>
      <c r="G76" s="172">
        <f t="shared" si="31"/>
        <v>311.43920595533501</v>
      </c>
      <c r="H76" s="217">
        <f t="shared" si="32"/>
        <v>20.762613730355667</v>
      </c>
      <c r="I76" s="443">
        <f t="shared" si="33"/>
        <v>80.599999999999994</v>
      </c>
      <c r="J76" s="172">
        <f t="shared" si="34"/>
        <v>1.35</v>
      </c>
      <c r="K76" s="172">
        <f t="shared" si="35"/>
        <v>0.24846625766871175</v>
      </c>
      <c r="L76" s="172">
        <f t="shared" si="36"/>
        <v>1.051948051948052</v>
      </c>
      <c r="M76" s="443">
        <f t="shared" si="43"/>
        <v>350</v>
      </c>
      <c r="N76" s="197">
        <f t="shared" si="37"/>
        <v>103.81306865177834</v>
      </c>
      <c r="O76" s="217">
        <f t="shared" si="38"/>
        <v>9.9999999999999982</v>
      </c>
      <c r="P76" s="173">
        <f t="shared" si="39"/>
        <v>7.7922077922077895</v>
      </c>
      <c r="Q76" s="173">
        <f t="shared" si="40"/>
        <v>4.0446650124069459</v>
      </c>
      <c r="R76" s="173">
        <f t="shared" si="41"/>
        <v>7.7922077922077913</v>
      </c>
    </row>
    <row r="77" spans="3:18">
      <c r="C77" s="170">
        <v>71</v>
      </c>
      <c r="D77" s="5">
        <f t="shared" si="42"/>
        <v>65.86</v>
      </c>
      <c r="E77" s="443">
        <f t="shared" si="29"/>
        <v>15.4</v>
      </c>
      <c r="F77" s="217">
        <f t="shared" si="30"/>
        <v>0.18951513659857247</v>
      </c>
      <c r="G77" s="172">
        <f t="shared" si="31"/>
        <v>312.03667240954957</v>
      </c>
      <c r="H77" s="217">
        <f t="shared" si="32"/>
        <v>20.802444827303304</v>
      </c>
      <c r="I77" s="443">
        <f t="shared" si="33"/>
        <v>81.260000000000005</v>
      </c>
      <c r="J77" s="172">
        <f t="shared" si="34"/>
        <v>1.35</v>
      </c>
      <c r="K77" s="172">
        <f t="shared" si="35"/>
        <v>0.24597631339204376</v>
      </c>
      <c r="L77" s="172">
        <f t="shared" si="36"/>
        <v>1.051948051948052</v>
      </c>
      <c r="M77" s="443">
        <f t="shared" si="43"/>
        <v>350</v>
      </c>
      <c r="N77" s="197">
        <f t="shared" si="37"/>
        <v>104.01222413651652</v>
      </c>
      <c r="O77" s="217">
        <f t="shared" si="38"/>
        <v>10</v>
      </c>
      <c r="P77" s="173">
        <f t="shared" si="39"/>
        <v>7.7922077922077913</v>
      </c>
      <c r="Q77" s="173">
        <f t="shared" si="40"/>
        <v>4.0524243170071372</v>
      </c>
      <c r="R77" s="173">
        <f t="shared" si="41"/>
        <v>7.7922077922077913</v>
      </c>
    </row>
    <row r="78" spans="3:18">
      <c r="C78" s="170">
        <v>72</v>
      </c>
      <c r="D78" s="5">
        <f t="shared" si="42"/>
        <v>66.52</v>
      </c>
      <c r="E78" s="443">
        <f t="shared" si="29"/>
        <v>15.4</v>
      </c>
      <c r="F78" s="217">
        <f t="shared" si="30"/>
        <v>0.18798828125</v>
      </c>
      <c r="G78" s="172">
        <f t="shared" si="31"/>
        <v>312.62451171874994</v>
      </c>
      <c r="H78" s="217">
        <f t="shared" si="32"/>
        <v>20.841634114583329</v>
      </c>
      <c r="I78" s="443">
        <f t="shared" si="33"/>
        <v>81.92</v>
      </c>
      <c r="J78" s="172">
        <f t="shared" si="34"/>
        <v>1.35</v>
      </c>
      <c r="K78" s="172">
        <f t="shared" si="35"/>
        <v>0.24353577871316898</v>
      </c>
      <c r="L78" s="172">
        <f t="shared" si="36"/>
        <v>1.051948051948052</v>
      </c>
      <c r="M78" s="443">
        <f t="shared" si="43"/>
        <v>350</v>
      </c>
      <c r="N78" s="197">
        <f t="shared" si="37"/>
        <v>104.20817057291669</v>
      </c>
      <c r="O78" s="217">
        <f t="shared" si="38"/>
        <v>10</v>
      </c>
      <c r="P78" s="173">
        <f t="shared" si="39"/>
        <v>7.7922077922077913</v>
      </c>
      <c r="Q78" s="173">
        <f t="shared" si="40"/>
        <v>4.0600585937500009</v>
      </c>
      <c r="R78" s="173">
        <f t="shared" si="41"/>
        <v>7.7922077922077913</v>
      </c>
    </row>
    <row r="79" spans="3:18">
      <c r="C79" s="170">
        <v>73</v>
      </c>
      <c r="D79" s="5">
        <f t="shared" si="42"/>
        <v>67.180000000000007</v>
      </c>
      <c r="E79" s="443">
        <f t="shared" si="29"/>
        <v>15.4</v>
      </c>
      <c r="F79" s="217">
        <f t="shared" si="30"/>
        <v>0.18648583192056187</v>
      </c>
      <c r="G79" s="172">
        <f t="shared" si="31"/>
        <v>313.2029547105837</v>
      </c>
      <c r="H79" s="217">
        <f t="shared" si="32"/>
        <v>20.880196980705581</v>
      </c>
      <c r="I79" s="443">
        <f t="shared" si="33"/>
        <v>82.580000000000013</v>
      </c>
      <c r="J79" s="172">
        <f t="shared" si="34"/>
        <v>1.35</v>
      </c>
      <c r="K79" s="172">
        <f t="shared" si="35"/>
        <v>0.24114319738017265</v>
      </c>
      <c r="L79" s="172">
        <f t="shared" si="36"/>
        <v>1.051948051948052</v>
      </c>
      <c r="M79" s="443">
        <f t="shared" si="43"/>
        <v>350</v>
      </c>
      <c r="N79" s="197">
        <f t="shared" si="37"/>
        <v>104.40098490352791</v>
      </c>
      <c r="O79" s="217">
        <f t="shared" si="38"/>
        <v>10</v>
      </c>
      <c r="P79" s="173">
        <f t="shared" si="39"/>
        <v>7.7922077922077913</v>
      </c>
      <c r="Q79" s="173">
        <f t="shared" si="40"/>
        <v>4.0675708403971909</v>
      </c>
      <c r="R79" s="173">
        <f t="shared" si="41"/>
        <v>7.7922077922077913</v>
      </c>
    </row>
    <row r="80" spans="3:18">
      <c r="C80" s="170">
        <v>74</v>
      </c>
      <c r="D80" s="5">
        <f t="shared" si="42"/>
        <v>67.84</v>
      </c>
      <c r="E80" s="443">
        <f t="shared" si="29"/>
        <v>15.4</v>
      </c>
      <c r="F80" s="217">
        <f t="shared" si="30"/>
        <v>0.1850072080730418</v>
      </c>
      <c r="G80" s="172">
        <f t="shared" si="31"/>
        <v>313.77222489187892</v>
      </c>
      <c r="H80" s="217">
        <f t="shared" si="32"/>
        <v>20.918148326125262</v>
      </c>
      <c r="I80" s="443">
        <f t="shared" si="33"/>
        <v>83.240000000000009</v>
      </c>
      <c r="J80" s="172">
        <f t="shared" si="34"/>
        <v>1.35</v>
      </c>
      <c r="K80" s="172">
        <f t="shared" si="35"/>
        <v>0.23879716981132076</v>
      </c>
      <c r="L80" s="172">
        <f t="shared" si="36"/>
        <v>1.051948051948052</v>
      </c>
      <c r="M80" s="443">
        <f t="shared" si="43"/>
        <v>350</v>
      </c>
      <c r="N80" s="197">
        <f t="shared" si="37"/>
        <v>104.59074163062631</v>
      </c>
      <c r="O80" s="217">
        <f t="shared" si="38"/>
        <v>10</v>
      </c>
      <c r="P80" s="173">
        <f t="shared" si="39"/>
        <v>7.7922077922077913</v>
      </c>
      <c r="Q80" s="173">
        <f t="shared" si="40"/>
        <v>4.0749639596347915</v>
      </c>
      <c r="R80" s="173">
        <f t="shared" si="41"/>
        <v>7.7922077922077913</v>
      </c>
    </row>
    <row r="81" spans="3:18">
      <c r="C81" s="170">
        <v>75</v>
      </c>
      <c r="D81" s="5">
        <f t="shared" si="42"/>
        <v>68.5</v>
      </c>
      <c r="E81" s="443">
        <f t="shared" si="29"/>
        <v>15.4</v>
      </c>
      <c r="F81" s="217">
        <f t="shared" si="30"/>
        <v>0.1835518474374255</v>
      </c>
      <c r="G81" s="172">
        <f t="shared" si="31"/>
        <v>314.33253873659118</v>
      </c>
      <c r="H81" s="217">
        <f t="shared" si="32"/>
        <v>20.955502582439411</v>
      </c>
      <c r="I81" s="443">
        <f t="shared" si="33"/>
        <v>83.9</v>
      </c>
      <c r="J81" s="172">
        <f t="shared" si="34"/>
        <v>1.35</v>
      </c>
      <c r="K81" s="172">
        <f t="shared" si="35"/>
        <v>0.23649635036496353</v>
      </c>
      <c r="L81" s="172">
        <f t="shared" si="36"/>
        <v>1.051948051948052</v>
      </c>
      <c r="M81" s="443">
        <f t="shared" si="43"/>
        <v>350</v>
      </c>
      <c r="N81" s="197">
        <f t="shared" si="37"/>
        <v>104.77751291219707</v>
      </c>
      <c r="O81" s="217">
        <f t="shared" si="38"/>
        <v>10</v>
      </c>
      <c r="P81" s="173">
        <f t="shared" si="39"/>
        <v>7.7922077922077913</v>
      </c>
      <c r="Q81" s="173">
        <f t="shared" si="40"/>
        <v>4.082240762812873</v>
      </c>
      <c r="R81" s="173">
        <f t="shared" si="41"/>
        <v>7.7922077922077913</v>
      </c>
    </row>
    <row r="82" spans="3:18">
      <c r="C82" s="170">
        <v>76</v>
      </c>
      <c r="D82" s="5">
        <f t="shared" si="42"/>
        <v>69.16</v>
      </c>
      <c r="E82" s="443">
        <f t="shared" si="29"/>
        <v>15.4</v>
      </c>
      <c r="F82" s="217">
        <f t="shared" si="30"/>
        <v>0.18211920529801323</v>
      </c>
      <c r="G82" s="172">
        <f t="shared" si="31"/>
        <v>314.88410596026483</v>
      </c>
      <c r="H82" s="217">
        <f t="shared" si="32"/>
        <v>20.992273730684321</v>
      </c>
      <c r="I82" s="443">
        <f t="shared" si="33"/>
        <v>84.56</v>
      </c>
      <c r="J82" s="172">
        <f t="shared" si="34"/>
        <v>1.35</v>
      </c>
      <c r="K82" s="172">
        <f t="shared" si="35"/>
        <v>0.23423944476576056</v>
      </c>
      <c r="L82" s="172">
        <f t="shared" si="36"/>
        <v>1.051948051948052</v>
      </c>
      <c r="M82" s="443">
        <f t="shared" si="43"/>
        <v>350</v>
      </c>
      <c r="N82" s="197">
        <f t="shared" si="37"/>
        <v>104.96136865342163</v>
      </c>
      <c r="O82" s="217">
        <f t="shared" si="38"/>
        <v>10</v>
      </c>
      <c r="P82" s="173">
        <f t="shared" si="39"/>
        <v>7.7922077922077913</v>
      </c>
      <c r="Q82" s="173">
        <f t="shared" si="40"/>
        <v>4.0894039735099339</v>
      </c>
      <c r="R82" s="173">
        <f t="shared" si="41"/>
        <v>7.7922077922077913</v>
      </c>
    </row>
    <row r="83" spans="3:18">
      <c r="C83" s="170">
        <v>77</v>
      </c>
      <c r="D83" s="5">
        <f t="shared" si="42"/>
        <v>69.819999999999993</v>
      </c>
      <c r="E83" s="443">
        <f t="shared" si="29"/>
        <v>15.4</v>
      </c>
      <c r="F83" s="217">
        <f t="shared" si="30"/>
        <v>0.18070875381365878</v>
      </c>
      <c r="G83" s="172">
        <f t="shared" si="31"/>
        <v>315.42712978174137</v>
      </c>
      <c r="H83" s="217">
        <f t="shared" si="32"/>
        <v>21.028475318782757</v>
      </c>
      <c r="I83" s="443">
        <f t="shared" si="33"/>
        <v>85.22</v>
      </c>
      <c r="J83" s="172">
        <f t="shared" si="34"/>
        <v>1.35</v>
      </c>
      <c r="K83" s="172">
        <f t="shared" si="35"/>
        <v>0.23202520767688345</v>
      </c>
      <c r="L83" s="172">
        <f t="shared" si="36"/>
        <v>1.051948051948052</v>
      </c>
      <c r="M83" s="443">
        <f t="shared" si="43"/>
        <v>350</v>
      </c>
      <c r="N83" s="197">
        <f t="shared" si="37"/>
        <v>105.1423765939138</v>
      </c>
      <c r="O83" s="217">
        <f t="shared" si="38"/>
        <v>10</v>
      </c>
      <c r="P83" s="173">
        <f t="shared" si="39"/>
        <v>7.7922077922077913</v>
      </c>
      <c r="Q83" s="173">
        <f t="shared" si="40"/>
        <v>4.0964562309317065</v>
      </c>
      <c r="R83" s="173">
        <f t="shared" si="41"/>
        <v>7.7922077922077913</v>
      </c>
    </row>
    <row r="84" spans="3:18">
      <c r="C84" s="170">
        <v>78</v>
      </c>
      <c r="D84" s="5">
        <f t="shared" si="42"/>
        <v>70.48</v>
      </c>
      <c r="E84" s="443">
        <f t="shared" si="29"/>
        <v>15.4</v>
      </c>
      <c r="F84" s="217">
        <f t="shared" si="30"/>
        <v>0.17931998136935257</v>
      </c>
      <c r="G84" s="172">
        <f t="shared" si="31"/>
        <v>315.96180717279924</v>
      </c>
      <c r="H84" s="217">
        <f t="shared" si="32"/>
        <v>21.064120478186616</v>
      </c>
      <c r="I84" s="443">
        <f t="shared" si="33"/>
        <v>85.88000000000001</v>
      </c>
      <c r="J84" s="172">
        <f t="shared" si="34"/>
        <v>1.35</v>
      </c>
      <c r="K84" s="172">
        <f t="shared" si="35"/>
        <v>0.22985244040862657</v>
      </c>
      <c r="L84" s="172">
        <f t="shared" si="36"/>
        <v>1.051948051948052</v>
      </c>
      <c r="M84" s="443">
        <f t="shared" si="43"/>
        <v>350</v>
      </c>
      <c r="N84" s="197">
        <f t="shared" si="37"/>
        <v>105.32060239093309</v>
      </c>
      <c r="O84" s="217">
        <f t="shared" si="38"/>
        <v>10</v>
      </c>
      <c r="P84" s="173">
        <f t="shared" si="39"/>
        <v>7.7922077922077913</v>
      </c>
      <c r="Q84" s="173">
        <f t="shared" si="40"/>
        <v>4.1034000931532377</v>
      </c>
      <c r="R84" s="173">
        <f t="shared" si="41"/>
        <v>7.7922077922077913</v>
      </c>
    </row>
    <row r="85" spans="3:18">
      <c r="C85" s="170">
        <v>79</v>
      </c>
      <c r="D85" s="5">
        <f t="shared" si="42"/>
        <v>71.14</v>
      </c>
      <c r="E85" s="443">
        <f t="shared" si="29"/>
        <v>15.4</v>
      </c>
      <c r="F85" s="217">
        <f t="shared" si="30"/>
        <v>0.17795239195747631</v>
      </c>
      <c r="G85" s="172">
        <f t="shared" si="31"/>
        <v>316.48832909637161</v>
      </c>
      <c r="H85" s="217">
        <f t="shared" si="32"/>
        <v>21.099221939758106</v>
      </c>
      <c r="I85" s="443">
        <f t="shared" si="33"/>
        <v>86.54</v>
      </c>
      <c r="J85" s="172">
        <f t="shared" si="34"/>
        <v>1.35</v>
      </c>
      <c r="K85" s="172">
        <f t="shared" si="35"/>
        <v>0.22771998875456845</v>
      </c>
      <c r="L85" s="172">
        <f t="shared" si="36"/>
        <v>1.051948051948052</v>
      </c>
      <c r="M85" s="443">
        <f t="shared" si="43"/>
        <v>350</v>
      </c>
      <c r="N85" s="197">
        <f t="shared" si="37"/>
        <v>105.49610969879053</v>
      </c>
      <c r="O85" s="217">
        <f t="shared" si="38"/>
        <v>10.000000000000002</v>
      </c>
      <c r="P85" s="173">
        <f t="shared" si="39"/>
        <v>7.792207792207793</v>
      </c>
      <c r="Q85" s="173">
        <f t="shared" si="40"/>
        <v>4.1102380402126188</v>
      </c>
      <c r="R85" s="173">
        <f t="shared" si="41"/>
        <v>7.7922077922077913</v>
      </c>
    </row>
    <row r="86" spans="3:18">
      <c r="C86" s="170">
        <v>80</v>
      </c>
      <c r="D86" s="5">
        <f t="shared" si="42"/>
        <v>71.800000000000011</v>
      </c>
      <c r="E86" s="443">
        <f t="shared" si="29"/>
        <v>15.4</v>
      </c>
      <c r="F86" s="217">
        <f t="shared" si="30"/>
        <v>0.17660550458715593</v>
      </c>
      <c r="G86" s="172">
        <f t="shared" si="31"/>
        <v>317.00688073394497</v>
      </c>
      <c r="H86" s="217">
        <f t="shared" si="32"/>
        <v>21.133792048929664</v>
      </c>
      <c r="I86" s="443">
        <f t="shared" si="33"/>
        <v>87.200000000000017</v>
      </c>
      <c r="J86" s="172">
        <f t="shared" si="34"/>
        <v>1.35</v>
      </c>
      <c r="K86" s="172">
        <f t="shared" si="35"/>
        <v>0.22562674094707519</v>
      </c>
      <c r="L86" s="172">
        <f t="shared" si="36"/>
        <v>1.051948051948052</v>
      </c>
      <c r="M86" s="443">
        <f t="shared" si="43"/>
        <v>350</v>
      </c>
      <c r="N86" s="197">
        <f t="shared" si="37"/>
        <v>105.66896024464832</v>
      </c>
      <c r="O86" s="217">
        <f t="shared" si="38"/>
        <v>10</v>
      </c>
      <c r="P86" s="173">
        <f t="shared" si="39"/>
        <v>7.7922077922077913</v>
      </c>
      <c r="Q86" s="173">
        <f t="shared" si="40"/>
        <v>4.1169724770642198</v>
      </c>
      <c r="R86" s="173">
        <f t="shared" si="41"/>
        <v>7.7922077922077913</v>
      </c>
    </row>
    <row r="87" spans="3:18">
      <c r="C87" s="170">
        <v>81</v>
      </c>
      <c r="D87" s="5">
        <f t="shared" si="42"/>
        <v>72.460000000000008</v>
      </c>
      <c r="E87" s="443">
        <f t="shared" si="29"/>
        <v>15.4</v>
      </c>
      <c r="F87" s="217">
        <f t="shared" si="30"/>
        <v>0.17527885272023672</v>
      </c>
      <c r="G87" s="172">
        <f t="shared" si="31"/>
        <v>317.51764170270883</v>
      </c>
      <c r="H87" s="217">
        <f t="shared" si="32"/>
        <v>21.167842780180589</v>
      </c>
      <c r="I87" s="443">
        <f t="shared" si="33"/>
        <v>87.860000000000014</v>
      </c>
      <c r="J87" s="172">
        <f t="shared" si="34"/>
        <v>1.35</v>
      </c>
      <c r="K87" s="172">
        <f t="shared" si="35"/>
        <v>0.22357162572453768</v>
      </c>
      <c r="L87" s="172">
        <f t="shared" si="36"/>
        <v>1.051948051948052</v>
      </c>
      <c r="M87" s="443">
        <f t="shared" si="43"/>
        <v>350</v>
      </c>
      <c r="N87" s="197">
        <f t="shared" si="37"/>
        <v>105.83921390090296</v>
      </c>
      <c r="O87" s="217">
        <f t="shared" si="38"/>
        <v>10</v>
      </c>
      <c r="P87" s="173">
        <f t="shared" si="39"/>
        <v>7.7922077922077913</v>
      </c>
      <c r="Q87" s="173">
        <f t="shared" si="40"/>
        <v>4.123605736398817</v>
      </c>
      <c r="R87" s="173">
        <f t="shared" si="41"/>
        <v>7.7922077922077913</v>
      </c>
    </row>
    <row r="88" spans="3:18">
      <c r="C88" s="170">
        <v>82</v>
      </c>
      <c r="D88" s="5">
        <f t="shared" si="42"/>
        <v>73.12</v>
      </c>
      <c r="E88" s="443">
        <f t="shared" si="29"/>
        <v>15.4</v>
      </c>
      <c r="F88" s="217">
        <f t="shared" si="30"/>
        <v>0.17397198373248982</v>
      </c>
      <c r="G88" s="172">
        <f t="shared" si="31"/>
        <v>318.02078626299141</v>
      </c>
      <c r="H88" s="217">
        <f t="shared" si="32"/>
        <v>21.201385750866095</v>
      </c>
      <c r="I88" s="443">
        <f t="shared" si="33"/>
        <v>88.52000000000001</v>
      </c>
      <c r="J88" s="172">
        <f t="shared" si="34"/>
        <v>1.35</v>
      </c>
      <c r="K88" s="172">
        <f t="shared" si="35"/>
        <v>0.22155361050328226</v>
      </c>
      <c r="L88" s="172">
        <f t="shared" si="36"/>
        <v>1.051948051948052</v>
      </c>
      <c r="M88" s="443">
        <f t="shared" si="43"/>
        <v>350</v>
      </c>
      <c r="N88" s="197">
        <f t="shared" si="37"/>
        <v>106.00692875433049</v>
      </c>
      <c r="O88" s="217">
        <f t="shared" si="38"/>
        <v>10</v>
      </c>
      <c r="P88" s="173">
        <f t="shared" si="39"/>
        <v>7.7922077922077913</v>
      </c>
      <c r="Q88" s="173">
        <f t="shared" si="40"/>
        <v>4.1301400813375508</v>
      </c>
      <c r="R88" s="173">
        <f t="shared" si="41"/>
        <v>7.7922077922077913</v>
      </c>
    </row>
    <row r="89" spans="3:18">
      <c r="C89" s="170">
        <v>83</v>
      </c>
      <c r="D89" s="5">
        <f t="shared" si="42"/>
        <v>73.78</v>
      </c>
      <c r="E89" s="443">
        <f t="shared" si="29"/>
        <v>15.4</v>
      </c>
      <c r="F89" s="217">
        <f t="shared" si="30"/>
        <v>0.17268445839874411</v>
      </c>
      <c r="G89" s="172">
        <f t="shared" si="31"/>
        <v>318.5164835164835</v>
      </c>
      <c r="H89" s="217">
        <f t="shared" si="32"/>
        <v>21.234432234432234</v>
      </c>
      <c r="I89" s="443">
        <f t="shared" si="33"/>
        <v>89.18</v>
      </c>
      <c r="J89" s="172">
        <f t="shared" si="34"/>
        <v>1.35</v>
      </c>
      <c r="K89" s="172">
        <f t="shared" si="35"/>
        <v>0.21957169964760098</v>
      </c>
      <c r="L89" s="172">
        <f t="shared" si="36"/>
        <v>1.051948051948052</v>
      </c>
      <c r="M89" s="443">
        <f t="shared" si="43"/>
        <v>350</v>
      </c>
      <c r="N89" s="197">
        <f t="shared" si="37"/>
        <v>106.1721611721612</v>
      </c>
      <c r="O89" s="217">
        <f t="shared" si="38"/>
        <v>10</v>
      </c>
      <c r="P89" s="173">
        <f t="shared" si="39"/>
        <v>7.7922077922077913</v>
      </c>
      <c r="Q89" s="173">
        <f t="shared" si="40"/>
        <v>4.1365777080062802</v>
      </c>
      <c r="R89" s="173">
        <f t="shared" si="41"/>
        <v>7.7922077922077913</v>
      </c>
    </row>
    <row r="90" spans="3:18">
      <c r="C90" s="170">
        <v>84</v>
      </c>
      <c r="D90" s="5">
        <f t="shared" si="42"/>
        <v>74.44</v>
      </c>
      <c r="E90" s="443">
        <f t="shared" si="29"/>
        <v>15.4</v>
      </c>
      <c r="F90" s="217">
        <f t="shared" si="30"/>
        <v>0.17141585040071239</v>
      </c>
      <c r="G90" s="172">
        <f t="shared" si="31"/>
        <v>319.00489759572577</v>
      </c>
      <c r="H90" s="217">
        <f t="shared" si="32"/>
        <v>21.266993173048384</v>
      </c>
      <c r="I90" s="443">
        <f t="shared" si="33"/>
        <v>89.84</v>
      </c>
      <c r="J90" s="172">
        <f t="shared" si="34"/>
        <v>1.35</v>
      </c>
      <c r="K90" s="172">
        <f t="shared" si="35"/>
        <v>0.21762493283181086</v>
      </c>
      <c r="L90" s="172">
        <f t="shared" si="36"/>
        <v>1.051948051948052</v>
      </c>
      <c r="M90" s="443">
        <f t="shared" si="43"/>
        <v>350</v>
      </c>
      <c r="N90" s="197">
        <f t="shared" si="37"/>
        <v>106.33496586524191</v>
      </c>
      <c r="O90" s="217">
        <f t="shared" si="38"/>
        <v>10</v>
      </c>
      <c r="P90" s="173">
        <f t="shared" si="39"/>
        <v>7.7922077922077913</v>
      </c>
      <c r="Q90" s="173">
        <f t="shared" si="40"/>
        <v>4.1429207479964383</v>
      </c>
      <c r="R90" s="173">
        <f t="shared" si="41"/>
        <v>7.7922077922077913</v>
      </c>
    </row>
    <row r="91" spans="3:18">
      <c r="C91" s="170">
        <v>85</v>
      </c>
      <c r="D91" s="5">
        <f t="shared" si="42"/>
        <v>75.099999999999994</v>
      </c>
      <c r="E91" s="443">
        <f t="shared" si="29"/>
        <v>15.4</v>
      </c>
      <c r="F91" s="217">
        <f t="shared" si="30"/>
        <v>0.17016574585635361</v>
      </c>
      <c r="G91" s="172">
        <f t="shared" si="31"/>
        <v>319.48618784530385</v>
      </c>
      <c r="H91" s="217">
        <f t="shared" si="32"/>
        <v>21.299079189686925</v>
      </c>
      <c r="I91" s="443">
        <f t="shared" si="33"/>
        <v>90.5</v>
      </c>
      <c r="J91" s="172">
        <f t="shared" si="34"/>
        <v>1.35</v>
      </c>
      <c r="K91" s="172">
        <f t="shared" si="35"/>
        <v>0.2157123834886818</v>
      </c>
      <c r="L91" s="172">
        <f t="shared" si="36"/>
        <v>1.051948051948052</v>
      </c>
      <c r="M91" s="443">
        <f t="shared" si="43"/>
        <v>350</v>
      </c>
      <c r="N91" s="197">
        <f t="shared" si="37"/>
        <v>106.49539594843462</v>
      </c>
      <c r="O91" s="217">
        <f t="shared" si="38"/>
        <v>9.9999999999999982</v>
      </c>
      <c r="P91" s="173">
        <f t="shared" si="39"/>
        <v>7.7922077922077895</v>
      </c>
      <c r="Q91" s="173">
        <f t="shared" si="40"/>
        <v>4.14917127071823</v>
      </c>
      <c r="R91" s="173">
        <f t="shared" si="41"/>
        <v>7.7922077922077913</v>
      </c>
    </row>
    <row r="92" spans="3:18">
      <c r="C92" s="170">
        <v>86</v>
      </c>
      <c r="D92" s="5">
        <f t="shared" si="42"/>
        <v>75.759999999999991</v>
      </c>
      <c r="E92" s="443">
        <f t="shared" si="29"/>
        <v>15.4</v>
      </c>
      <c r="F92" s="217">
        <f t="shared" si="30"/>
        <v>0.16893374286967969</v>
      </c>
      <c r="G92" s="172">
        <f t="shared" si="31"/>
        <v>319.96050899517326</v>
      </c>
      <c r="H92" s="217">
        <f t="shared" si="32"/>
        <v>21.330700599678217</v>
      </c>
      <c r="I92" s="443">
        <f t="shared" si="33"/>
        <v>91.16</v>
      </c>
      <c r="J92" s="172">
        <f t="shared" si="34"/>
        <v>1.35</v>
      </c>
      <c r="K92" s="172">
        <f t="shared" si="35"/>
        <v>0.21383315733896519</v>
      </c>
      <c r="L92" s="172">
        <f t="shared" si="36"/>
        <v>1.051948051948052</v>
      </c>
      <c r="M92" s="443">
        <f t="shared" si="43"/>
        <v>350</v>
      </c>
      <c r="N92" s="197">
        <f t="shared" si="37"/>
        <v>106.65350299839112</v>
      </c>
      <c r="O92" s="217">
        <f t="shared" si="38"/>
        <v>10</v>
      </c>
      <c r="P92" s="173">
        <f t="shared" si="39"/>
        <v>7.7922077922077913</v>
      </c>
      <c r="Q92" s="173">
        <f t="shared" si="40"/>
        <v>4.1553312856516023</v>
      </c>
      <c r="R92" s="173">
        <f t="shared" si="41"/>
        <v>7.7922077922077913</v>
      </c>
    </row>
    <row r="93" spans="3:18">
      <c r="C93" s="170">
        <v>87</v>
      </c>
      <c r="D93" s="5">
        <f t="shared" si="42"/>
        <v>76.42</v>
      </c>
      <c r="E93" s="443">
        <f t="shared" si="29"/>
        <v>15.4</v>
      </c>
      <c r="F93" s="217">
        <f t="shared" si="30"/>
        <v>0.16771945109997821</v>
      </c>
      <c r="G93" s="172">
        <f t="shared" si="31"/>
        <v>320.4280113265084</v>
      </c>
      <c r="H93" s="217">
        <f t="shared" si="32"/>
        <v>21.361867421767226</v>
      </c>
      <c r="I93" s="443">
        <f t="shared" si="33"/>
        <v>91.820000000000007</v>
      </c>
      <c r="J93" s="172">
        <f t="shared" si="34"/>
        <v>1.35</v>
      </c>
      <c r="K93" s="172">
        <f t="shared" si="35"/>
        <v>0.21198639099712116</v>
      </c>
      <c r="L93" s="172">
        <f t="shared" si="36"/>
        <v>1.051948051948052</v>
      </c>
      <c r="M93" s="443">
        <f t="shared" si="43"/>
        <v>350</v>
      </c>
      <c r="N93" s="197">
        <f t="shared" si="37"/>
        <v>106.80933710883613</v>
      </c>
      <c r="O93" s="217">
        <f t="shared" si="38"/>
        <v>10</v>
      </c>
      <c r="P93" s="173">
        <f t="shared" si="39"/>
        <v>7.7922077922077913</v>
      </c>
      <c r="Q93" s="173">
        <f t="shared" si="40"/>
        <v>4.1614027445001085</v>
      </c>
      <c r="R93" s="173">
        <f t="shared" si="41"/>
        <v>7.7922077922077913</v>
      </c>
    </row>
    <row r="94" spans="3:18">
      <c r="C94" s="170">
        <v>88</v>
      </c>
      <c r="D94" s="5">
        <f t="shared" si="42"/>
        <v>77.08</v>
      </c>
      <c r="E94" s="443">
        <f t="shared" si="29"/>
        <v>15.4</v>
      </c>
      <c r="F94" s="217">
        <f t="shared" si="30"/>
        <v>0.16652249134948097</v>
      </c>
      <c r="G94" s="172">
        <f t="shared" si="31"/>
        <v>320.88884083044979</v>
      </c>
      <c r="H94" s="217">
        <f t="shared" si="32"/>
        <v>21.392589388696653</v>
      </c>
      <c r="I94" s="443">
        <f t="shared" si="33"/>
        <v>92.48</v>
      </c>
      <c r="J94" s="172">
        <f t="shared" si="34"/>
        <v>1.35</v>
      </c>
      <c r="K94" s="172">
        <f t="shared" si="35"/>
        <v>0.21017125064867673</v>
      </c>
      <c r="L94" s="172">
        <f t="shared" si="36"/>
        <v>1.051948051948052</v>
      </c>
      <c r="M94" s="443">
        <f t="shared" si="43"/>
        <v>350</v>
      </c>
      <c r="N94" s="197">
        <f t="shared" si="37"/>
        <v>106.96294694348329</v>
      </c>
      <c r="O94" s="217">
        <f t="shared" si="38"/>
        <v>10</v>
      </c>
      <c r="P94" s="173">
        <f t="shared" si="39"/>
        <v>7.7922077922077913</v>
      </c>
      <c r="Q94" s="173">
        <f t="shared" si="40"/>
        <v>4.1673875432525955</v>
      </c>
      <c r="R94" s="173">
        <f t="shared" si="41"/>
        <v>7.7922077922077913</v>
      </c>
    </row>
    <row r="95" spans="3:18">
      <c r="C95" s="170">
        <v>89</v>
      </c>
      <c r="D95" s="5">
        <f t="shared" si="42"/>
        <v>77.740000000000009</v>
      </c>
      <c r="E95" s="443">
        <f t="shared" si="29"/>
        <v>15.4</v>
      </c>
      <c r="F95" s="217">
        <f t="shared" si="30"/>
        <v>0.16534249516856342</v>
      </c>
      <c r="G95" s="172">
        <f t="shared" si="31"/>
        <v>321.34313936010301</v>
      </c>
      <c r="H95" s="217">
        <f t="shared" si="32"/>
        <v>21.422875957340199</v>
      </c>
      <c r="I95" s="443">
        <f t="shared" si="33"/>
        <v>93.140000000000015</v>
      </c>
      <c r="J95" s="172">
        <f t="shared" si="34"/>
        <v>1.35</v>
      </c>
      <c r="K95" s="172">
        <f t="shared" si="35"/>
        <v>0.20838693079495754</v>
      </c>
      <c r="L95" s="172">
        <f t="shared" si="36"/>
        <v>1.051948051948052</v>
      </c>
      <c r="M95" s="443">
        <f t="shared" si="43"/>
        <v>350</v>
      </c>
      <c r="N95" s="197">
        <f t="shared" si="37"/>
        <v>107.11437978670104</v>
      </c>
      <c r="O95" s="217">
        <f t="shared" si="38"/>
        <v>10</v>
      </c>
      <c r="P95" s="173">
        <f t="shared" si="39"/>
        <v>7.7922077922077913</v>
      </c>
      <c r="Q95" s="173">
        <f t="shared" si="40"/>
        <v>4.1732875241571827</v>
      </c>
      <c r="R95" s="173">
        <f t="shared" si="41"/>
        <v>7.7922077922077913</v>
      </c>
    </row>
    <row r="96" spans="3:18">
      <c r="C96" s="170">
        <v>90</v>
      </c>
      <c r="D96" s="5">
        <f t="shared" si="42"/>
        <v>78.400000000000006</v>
      </c>
      <c r="E96" s="443">
        <f t="shared" si="29"/>
        <v>15.4</v>
      </c>
      <c r="F96" s="217">
        <f t="shared" si="30"/>
        <v>0.16417910447761191</v>
      </c>
      <c r="G96" s="172">
        <f t="shared" si="31"/>
        <v>321.79104477611935</v>
      </c>
      <c r="H96" s="217">
        <f t="shared" si="32"/>
        <v>21.452736318407958</v>
      </c>
      <c r="I96" s="443">
        <f t="shared" si="33"/>
        <v>93.800000000000011</v>
      </c>
      <c r="J96" s="172">
        <f t="shared" si="34"/>
        <v>1.35</v>
      </c>
      <c r="K96" s="172">
        <f t="shared" si="35"/>
        <v>0.20663265306122447</v>
      </c>
      <c r="L96" s="172">
        <f t="shared" si="36"/>
        <v>1.051948051948052</v>
      </c>
      <c r="M96" s="443">
        <f t="shared" si="43"/>
        <v>350</v>
      </c>
      <c r="N96" s="197">
        <f t="shared" si="37"/>
        <v>107.2636815920398</v>
      </c>
      <c r="O96" s="217">
        <f t="shared" si="38"/>
        <v>10</v>
      </c>
      <c r="P96" s="173">
        <f t="shared" si="39"/>
        <v>7.7922077922077913</v>
      </c>
      <c r="Q96" s="173">
        <f t="shared" si="40"/>
        <v>4.1791044776119399</v>
      </c>
      <c r="R96" s="173">
        <f t="shared" si="41"/>
        <v>7.7922077922077913</v>
      </c>
    </row>
    <row r="97" spans="3:18">
      <c r="C97" s="170">
        <v>91</v>
      </c>
      <c r="D97" s="5">
        <f t="shared" si="42"/>
        <v>79.06</v>
      </c>
      <c r="E97" s="443">
        <f t="shared" si="29"/>
        <v>15.4</v>
      </c>
      <c r="F97" s="217">
        <f t="shared" si="30"/>
        <v>0.16303197120474275</v>
      </c>
      <c r="G97" s="172">
        <f t="shared" si="31"/>
        <v>322.23269108617404</v>
      </c>
      <c r="H97" s="217">
        <f t="shared" si="32"/>
        <v>21.482179405744937</v>
      </c>
      <c r="I97" s="443">
        <f t="shared" si="33"/>
        <v>94.460000000000008</v>
      </c>
      <c r="J97" s="172">
        <f t="shared" si="34"/>
        <v>1.35</v>
      </c>
      <c r="K97" s="172">
        <f t="shared" si="35"/>
        <v>0.20490766506450797</v>
      </c>
      <c r="L97" s="172">
        <f t="shared" si="36"/>
        <v>1.051948051948052</v>
      </c>
      <c r="M97" s="443">
        <f t="shared" si="43"/>
        <v>350</v>
      </c>
      <c r="N97" s="197">
        <f t="shared" si="37"/>
        <v>107.41089702872468</v>
      </c>
      <c r="O97" s="217">
        <f t="shared" si="38"/>
        <v>10</v>
      </c>
      <c r="P97" s="173">
        <f t="shared" si="39"/>
        <v>7.7922077922077913</v>
      </c>
      <c r="Q97" s="173">
        <f t="shared" si="40"/>
        <v>4.1848401439762855</v>
      </c>
      <c r="R97" s="173">
        <f t="shared" si="41"/>
        <v>7.7922077922077913</v>
      </c>
    </row>
    <row r="98" spans="3:18">
      <c r="C98" s="170">
        <v>92</v>
      </c>
      <c r="D98" s="5">
        <f t="shared" si="42"/>
        <v>79.72</v>
      </c>
      <c r="E98" s="443">
        <f t="shared" si="29"/>
        <v>15.4</v>
      </c>
      <c r="F98" s="217">
        <f t="shared" si="30"/>
        <v>0.16190075693860387</v>
      </c>
      <c r="G98" s="172">
        <f t="shared" si="31"/>
        <v>322.66820857863752</v>
      </c>
      <c r="H98" s="217">
        <f t="shared" si="32"/>
        <v>21.511213905242503</v>
      </c>
      <c r="I98" s="443">
        <f t="shared" si="33"/>
        <v>95.12</v>
      </c>
      <c r="J98" s="172">
        <f t="shared" si="34"/>
        <v>1.35</v>
      </c>
      <c r="K98" s="172">
        <f t="shared" si="35"/>
        <v>0.2032112393376819</v>
      </c>
      <c r="L98" s="172">
        <f t="shared" si="36"/>
        <v>1.051948051948052</v>
      </c>
      <c r="M98" s="443">
        <f t="shared" si="43"/>
        <v>350</v>
      </c>
      <c r="N98" s="197">
        <f t="shared" si="37"/>
        <v>107.5560695262125</v>
      </c>
      <c r="O98" s="217">
        <f t="shared" si="38"/>
        <v>10</v>
      </c>
      <c r="P98" s="173">
        <f t="shared" si="39"/>
        <v>7.7922077922077913</v>
      </c>
      <c r="Q98" s="173">
        <f t="shared" si="40"/>
        <v>4.1904962153069798</v>
      </c>
      <c r="R98" s="173">
        <f t="shared" si="41"/>
        <v>7.7922077922077913</v>
      </c>
    </row>
    <row r="99" spans="3:18">
      <c r="C99" s="170">
        <v>93</v>
      </c>
      <c r="D99" s="5">
        <f t="shared" si="42"/>
        <v>80.38</v>
      </c>
      <c r="E99" s="443">
        <f t="shared" si="29"/>
        <v>15.4</v>
      </c>
      <c r="F99" s="217">
        <f t="shared" si="30"/>
        <v>0.16078513259553143</v>
      </c>
      <c r="G99" s="172">
        <f t="shared" si="31"/>
        <v>323.09772395072042</v>
      </c>
      <c r="H99" s="217">
        <f t="shared" si="32"/>
        <v>21.539848263381362</v>
      </c>
      <c r="I99" s="443">
        <f t="shared" si="33"/>
        <v>95.78</v>
      </c>
      <c r="J99" s="172">
        <f t="shared" si="34"/>
        <v>1.35</v>
      </c>
      <c r="K99" s="172">
        <f t="shared" si="35"/>
        <v>0.20154267230654394</v>
      </c>
      <c r="L99" s="172">
        <f t="shared" si="36"/>
        <v>1.051948051948052</v>
      </c>
      <c r="M99" s="443">
        <f t="shared" si="43"/>
        <v>350</v>
      </c>
      <c r="N99" s="197">
        <f t="shared" si="37"/>
        <v>107.69924131690681</v>
      </c>
      <c r="O99" s="217">
        <f t="shared" si="38"/>
        <v>10</v>
      </c>
      <c r="P99" s="173">
        <f t="shared" si="39"/>
        <v>7.7922077922077913</v>
      </c>
      <c r="Q99" s="173">
        <f t="shared" si="40"/>
        <v>4.1960743370223428</v>
      </c>
      <c r="R99" s="173">
        <f t="shared" si="41"/>
        <v>7.7922077922077913</v>
      </c>
    </row>
    <row r="100" spans="3:18">
      <c r="C100" s="170">
        <v>94</v>
      </c>
      <c r="D100" s="5">
        <f t="shared" si="42"/>
        <v>81.039999999999992</v>
      </c>
      <c r="E100" s="443">
        <f t="shared" si="29"/>
        <v>15.4</v>
      </c>
      <c r="F100" s="217">
        <f t="shared" si="30"/>
        <v>0.15968477810037329</v>
      </c>
      <c r="G100" s="172">
        <f t="shared" si="31"/>
        <v>323.52136043135624</v>
      </c>
      <c r="H100" s="217">
        <f t="shared" si="32"/>
        <v>21.568090695423749</v>
      </c>
      <c r="I100" s="443">
        <f t="shared" si="33"/>
        <v>96.44</v>
      </c>
      <c r="J100" s="172">
        <f t="shared" si="34"/>
        <v>1.35</v>
      </c>
      <c r="K100" s="172">
        <f t="shared" si="35"/>
        <v>0.19990128331688059</v>
      </c>
      <c r="L100" s="172">
        <f t="shared" si="36"/>
        <v>1.051948051948052</v>
      </c>
      <c r="M100" s="443">
        <f t="shared" si="43"/>
        <v>350</v>
      </c>
      <c r="N100" s="197">
        <f t="shared" si="37"/>
        <v>107.84045347711876</v>
      </c>
      <c r="O100" s="217">
        <f t="shared" si="38"/>
        <v>10</v>
      </c>
      <c r="P100" s="173">
        <f t="shared" si="39"/>
        <v>7.7922077922077913</v>
      </c>
      <c r="Q100" s="173">
        <f t="shared" si="40"/>
        <v>4.2015761094981334</v>
      </c>
      <c r="R100" s="173">
        <f t="shared" si="41"/>
        <v>7.7922077922077913</v>
      </c>
    </row>
    <row r="101" spans="3:18">
      <c r="C101" s="170">
        <v>95</v>
      </c>
      <c r="D101" s="5">
        <f t="shared" si="42"/>
        <v>81.699999999999989</v>
      </c>
      <c r="E101" s="443">
        <f t="shared" si="29"/>
        <v>15.4</v>
      </c>
      <c r="F101" s="217">
        <f t="shared" si="30"/>
        <v>0.15859938208032956</v>
      </c>
      <c r="G101" s="172">
        <f t="shared" si="31"/>
        <v>323.93923789907308</v>
      </c>
      <c r="H101" s="217">
        <f t="shared" si="32"/>
        <v>21.59594919327154</v>
      </c>
      <c r="I101" s="443">
        <f t="shared" si="33"/>
        <v>97.1</v>
      </c>
      <c r="J101" s="172">
        <f t="shared" si="34"/>
        <v>1.35</v>
      </c>
      <c r="K101" s="172">
        <f t="shared" si="35"/>
        <v>0.19828641370869035</v>
      </c>
      <c r="L101" s="172">
        <f t="shared" si="36"/>
        <v>1.051948051948052</v>
      </c>
      <c r="M101" s="443">
        <f t="shared" si="43"/>
        <v>350</v>
      </c>
      <c r="N101" s="197">
        <f t="shared" si="37"/>
        <v>107.97974596635771</v>
      </c>
      <c r="O101" s="217">
        <f t="shared" si="38"/>
        <v>10</v>
      </c>
      <c r="P101" s="173">
        <f t="shared" si="39"/>
        <v>7.7922077922077913</v>
      </c>
      <c r="Q101" s="173">
        <f t="shared" si="40"/>
        <v>4.2070030895983521</v>
      </c>
      <c r="R101" s="173">
        <f t="shared" si="41"/>
        <v>7.7922077922077913</v>
      </c>
    </row>
    <row r="102" spans="3:18">
      <c r="C102" s="170">
        <v>96</v>
      </c>
      <c r="D102" s="5">
        <f t="shared" si="42"/>
        <v>82.36</v>
      </c>
      <c r="E102" s="443">
        <f t="shared" si="29"/>
        <v>15.4</v>
      </c>
      <c r="F102" s="217">
        <f t="shared" si="30"/>
        <v>0.15752864157119476</v>
      </c>
      <c r="G102" s="172">
        <f>F102*D102*Isw_max*0.5*Efficiency</f>
        <v>324.35147299508998</v>
      </c>
      <c r="H102" s="217">
        <f>G102/Vout</f>
        <v>21.623431533005999</v>
      </c>
      <c r="I102" s="443">
        <f t="shared" si="33"/>
        <v>97.76</v>
      </c>
      <c r="J102" s="172">
        <f t="shared" si="34"/>
        <v>1.35</v>
      </c>
      <c r="K102" s="172">
        <f>L*J102/D102*1000000</f>
        <v>0.19669742593491987</v>
      </c>
      <c r="L102" s="172">
        <f t="shared" si="36"/>
        <v>1.051948051948052</v>
      </c>
      <c r="M102" s="443">
        <f t="shared" si="43"/>
        <v>350</v>
      </c>
      <c r="N102" s="197">
        <f t="shared" si="37"/>
        <v>108.11715766503002</v>
      </c>
      <c r="O102" s="217">
        <f>1/((N102*1000*L)*(1/D102+1/E102))</f>
        <v>9.9999999999999982</v>
      </c>
      <c r="P102" s="173">
        <f>L*O102/E102*1000000</f>
        <v>7.7922077922077895</v>
      </c>
      <c r="Q102" s="173">
        <f>0.5*P102*O102*Nps*N102/1000</f>
        <v>4.2123567921440248</v>
      </c>
      <c r="R102" s="173">
        <f t="shared" si="41"/>
        <v>7.7922077922077913</v>
      </c>
    </row>
    <row r="103" spans="3:18">
      <c r="C103" s="170">
        <v>97</v>
      </c>
      <c r="D103" s="5">
        <f>C103/100*(VIN_max-VIN_min)+VIN_min</f>
        <v>83.02</v>
      </c>
      <c r="E103" s="443">
        <f t="shared" si="29"/>
        <v>15.4</v>
      </c>
      <c r="F103" s="217">
        <f t="shared" si="30"/>
        <v>0.15647226173541964</v>
      </c>
      <c r="G103" s="172">
        <f>F103*D103*Isw_max*0.5*Efficiency</f>
        <v>324.75817923186344</v>
      </c>
      <c r="H103" s="217">
        <f>G103/Vout</f>
        <v>21.650545282124231</v>
      </c>
      <c r="I103" s="443">
        <f t="shared" si="33"/>
        <v>98.42</v>
      </c>
      <c r="J103" s="172">
        <f t="shared" si="34"/>
        <v>1.35</v>
      </c>
      <c r="K103" s="172">
        <f>L*J103/D103*1000000</f>
        <v>0.19513370272223562</v>
      </c>
      <c r="L103" s="172">
        <f t="shared" si="36"/>
        <v>1.051948051948052</v>
      </c>
      <c r="M103" s="443">
        <f t="shared" si="43"/>
        <v>350</v>
      </c>
      <c r="N103" s="197">
        <f t="shared" si="37"/>
        <v>108.25272641062116</v>
      </c>
      <c r="O103" s="217">
        <f>1/((N103*1000*L)*(1/D103+1/E103))</f>
        <v>10</v>
      </c>
      <c r="P103" s="173">
        <f>L*O103/E103*1000000</f>
        <v>7.7922077922077913</v>
      </c>
      <c r="Q103" s="173">
        <f>0.5*P103*O103*Nps*N103/1000</f>
        <v>4.2176386913229029</v>
      </c>
      <c r="R103" s="173">
        <f t="shared" si="41"/>
        <v>7.7922077922077913</v>
      </c>
    </row>
    <row r="104" spans="3:18">
      <c r="C104" s="170">
        <v>98</v>
      </c>
      <c r="D104" s="5">
        <f>C104/100*(VIN_max-VIN_min)+VIN_min</f>
        <v>83.679999999999993</v>
      </c>
      <c r="E104" s="443">
        <f t="shared" si="29"/>
        <v>15.4</v>
      </c>
      <c r="F104" s="217">
        <f t="shared" si="30"/>
        <v>0.15542995559144127</v>
      </c>
      <c r="G104" s="172">
        <f>F104*D104*Isw_max*0.5*Efficiency</f>
        <v>325.15946709729508</v>
      </c>
      <c r="H104" s="217">
        <f>G104/Vout</f>
        <v>21.67729780648634</v>
      </c>
      <c r="I104" s="443">
        <f t="shared" si="33"/>
        <v>99.08</v>
      </c>
      <c r="J104" s="172">
        <f t="shared" si="34"/>
        <v>1.35</v>
      </c>
      <c r="K104" s="172">
        <f>L*J104/D104*1000000</f>
        <v>0.19359464627151055</v>
      </c>
      <c r="L104" s="172">
        <f t="shared" si="36"/>
        <v>1.051948051948052</v>
      </c>
      <c r="M104" s="443">
        <f t="shared" si="43"/>
        <v>350</v>
      </c>
      <c r="N104" s="197">
        <f t="shared" si="37"/>
        <v>108.38648903243171</v>
      </c>
      <c r="O104" s="217">
        <f>1/((N104*1000*L)*(1/D104+1/E104))</f>
        <v>10</v>
      </c>
      <c r="P104" s="173">
        <f>L*O104/E104*1000000</f>
        <v>7.7922077922077913</v>
      </c>
      <c r="Q104" s="173">
        <f>0.5*P104*O104*Nps*N104/1000</f>
        <v>4.2228502220427933</v>
      </c>
      <c r="R104" s="173">
        <f t="shared" si="41"/>
        <v>7.7922077922077913</v>
      </c>
    </row>
    <row r="105" spans="3:18">
      <c r="C105" s="170">
        <v>99</v>
      </c>
      <c r="D105" s="5">
        <f>C105/100*(VIN_max-VIN_min)+VIN_min</f>
        <v>84.34</v>
      </c>
      <c r="E105" s="443">
        <f t="shared" si="29"/>
        <v>15.4</v>
      </c>
      <c r="F105" s="217">
        <f t="shared" si="30"/>
        <v>0.15440144375375978</v>
      </c>
      <c r="G105" s="172">
        <f>F105*D105*Isw_max*0.5*Efficiency</f>
        <v>325.5554441548025</v>
      </c>
      <c r="H105" s="217">
        <f>G105/Vout</f>
        <v>21.703696276986832</v>
      </c>
      <c r="I105" s="443">
        <f t="shared" si="33"/>
        <v>99.740000000000009</v>
      </c>
      <c r="J105" s="172">
        <f t="shared" si="34"/>
        <v>1.35</v>
      </c>
      <c r="K105" s="172">
        <f>L*J105/D105*1000000</f>
        <v>0.19207967749585012</v>
      </c>
      <c r="L105" s="172">
        <f t="shared" si="36"/>
        <v>1.051948051948052</v>
      </c>
      <c r="M105" s="443">
        <f t="shared" si="43"/>
        <v>350</v>
      </c>
      <c r="N105" s="197">
        <f t="shared" si="37"/>
        <v>108.51848138493416</v>
      </c>
      <c r="O105" s="217">
        <f>1/((N105*1000*L)*(1/D105+1/E105))</f>
        <v>10</v>
      </c>
      <c r="P105" s="173">
        <f>L*O105/E105*1000000</f>
        <v>7.7922077922077913</v>
      </c>
      <c r="Q105" s="173">
        <f>0.5*P105*O105*Nps*N105/1000</f>
        <v>4.227992781231201</v>
      </c>
      <c r="R105" s="173">
        <f t="shared" si="41"/>
        <v>7.7922077922077913</v>
      </c>
    </row>
    <row r="106" spans="3:18">
      <c r="C106" s="170">
        <v>100</v>
      </c>
      <c r="D106" s="5">
        <f>C106/100*(VIN_max-VIN_min)+VIN_min</f>
        <v>85</v>
      </c>
      <c r="E106" s="443">
        <f t="shared" si="29"/>
        <v>15.4</v>
      </c>
      <c r="F106" s="217">
        <f t="shared" si="30"/>
        <v>0.15338645418326693</v>
      </c>
      <c r="G106" s="172">
        <f>F106*D106*Isw_max*0.5*Efficiency</f>
        <v>325.94621513944224</v>
      </c>
      <c r="H106" s="217">
        <f>G106/Vout</f>
        <v>21.729747675962816</v>
      </c>
      <c r="I106" s="443">
        <f t="shared" si="33"/>
        <v>100.4</v>
      </c>
      <c r="J106" s="172">
        <f t="shared" si="34"/>
        <v>1.35</v>
      </c>
      <c r="K106" s="172">
        <f>L*J106/D106*1000000</f>
        <v>0.19058823529411764</v>
      </c>
      <c r="L106" s="172">
        <f t="shared" si="36"/>
        <v>1.051948051948052</v>
      </c>
      <c r="M106" s="443">
        <f t="shared" si="43"/>
        <v>350</v>
      </c>
      <c r="N106" s="197">
        <f t="shared" si="37"/>
        <v>108.64873837981409</v>
      </c>
      <c r="O106" s="217">
        <f>1/((N106*1000*L)*(1/D106+1/E106))</f>
        <v>10</v>
      </c>
      <c r="P106" s="173">
        <f>L*O106/E106*1000000</f>
        <v>7.7922077922077913</v>
      </c>
      <c r="Q106" s="173">
        <f>0.5*P106*O106*Nps*N106/1000</f>
        <v>4.2330677290836656</v>
      </c>
      <c r="R106" s="173">
        <f t="shared" si="41"/>
        <v>7.7922077922077913</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72 V, VOUT = 15 V, IOUT = 10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3</v>
      </c>
      <c r="B31" s="127" t="s">
        <v>120</v>
      </c>
      <c r="C31" s="130">
        <f>Cin</f>
        <v>22</v>
      </c>
      <c r="D31" s="965" t="str">
        <f>IF(VIN_max&gt;35, "Capacitor, Ceramic, "&amp;'Variable Mgmt'!B250&amp;", 100V, X7R, 10%", "Capacitor, Ceramic, "&amp;'Variable Mgmt'!B250&amp;", 50V, X7R, 10%")</f>
        <v>Capacitor, Ceramic, 22µF, 100V, X7R, 10%</v>
      </c>
      <c r="E31" s="966"/>
      <c r="F31" s="966"/>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110</v>
      </c>
      <c r="D32" s="960"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25V, X7R, 10%</v>
      </c>
      <c r="E32" s="961"/>
      <c r="F32" s="961"/>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2" t="str">
        <f>CHOOSE(MODE_SS, "Capacitor, Ceramic, "&amp;'Standard Value Calculator'!B4*1000000000&amp;"nF"&amp;", 16V, X7R, 10%", "-")</f>
        <v>-</v>
      </c>
      <c r="E34" s="963"/>
      <c r="F34" s="963"/>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47pF</v>
      </c>
      <c r="D36" s="900" t="str">
        <f>"Capacitor, Ceramic, "&amp;C36&amp;", 50V, X7R, 10%"</f>
        <v>Capacitor, Ceramic, 47pF,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0" t="s">
        <v>935</v>
      </c>
      <c r="E38" s="961"/>
      <c r="F38" s="961"/>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6" t="str">
        <f>CHOOSE(MODE, "-", "Rectifying Diode, Schottky")</f>
        <v>-</v>
      </c>
      <c r="E40" s="957"/>
      <c r="F40" s="957"/>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16.5V</v>
      </c>
      <c r="D43" s="618" t="str">
        <f>"Output Clamp Diode, Zener, "&amp;ROUND(Vout*1.125,0)&amp;"V"</f>
        <v>Output Clamp Diode, Zener, 17V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8.8V</v>
      </c>
      <c r="D44" s="956" t="str">
        <f>CHOOSE(MODE, "-", "Output Clamp Diode, Zener, "&amp;ROUND(Vout2*1.125,0)&amp;"V")</f>
        <v>-</v>
      </c>
      <c r="E44" s="957"/>
      <c r="F44" s="957"/>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120V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168</v>
      </c>
      <c r="D47" s="954">
        <f>C47</f>
        <v>168</v>
      </c>
      <c r="E47" s="955"/>
      <c r="F47" s="955"/>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196k</v>
      </c>
      <c r="D48" s="956" t="str">
        <f>CHOOSE(MODE_UVLO, "Resistor, Chip, "&amp;'Variable Mgmt'!C269&amp;", 1/16W, 1%", "-")</f>
        <v>Resistor, Chip, 196kΩ, 1/16W, 1%</v>
      </c>
      <c r="E48" s="957"/>
      <c r="F48" s="957"/>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16.9k</v>
      </c>
      <c r="D49" s="956" t="str">
        <f>CHOOSE(MODE_UVLO, "Resistor, Chip, "&amp;'Variable Mgmt'!C270&amp;", 1/16W, 1%", "-")</f>
        <v>Resistor, Chip, 16.9kΩ, 1/16W, 1%</v>
      </c>
      <c r="E49" s="957"/>
      <c r="F49" s="957"/>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4" t="str">
        <f>CHOOSE(MODE_TC, "Resistor, Chip, "&amp;'Variable Mgmt'!B265&amp;", 1/16W, 1%", "-")</f>
        <v>-</v>
      </c>
      <c r="E50" s="955"/>
      <c r="F50" s="955"/>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2mΩ</v>
      </c>
      <c r="D51" s="970" t="s">
        <v>933</v>
      </c>
      <c r="E51" s="955"/>
      <c r="F51" s="955"/>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12.1</v>
      </c>
      <c r="D52" s="904" t="str">
        <f>"Resistor, Chip, "&amp;C52&amp;"kΩ, 1/16W, 1%"</f>
        <v>Resistor, Chip, 12.1kΩ,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4" t="str">
        <f>"Resistor, Chip, "&amp;C53&amp;", 1/16W, 1%"</f>
        <v>Resistor, Chip, 100Ω, 1/16W, 1%</v>
      </c>
      <c r="E53" s="955"/>
      <c r="F53" s="955"/>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67" t="str">
        <f>"Transformer, "&amp;L*1000000&amp;"µH, "&amp;'Variable Mgmt'!W66&amp;", "&amp;Rdcr_pri*1000&amp;"mΩ Pri DCR"</f>
        <v>Transformer, 12µH, 1 : 1, 30mΩ Pri DCR</v>
      </c>
      <c r="E54" s="968"/>
      <c r="F54" s="969"/>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RAJKUMAR R</cp:lastModifiedBy>
  <cp:lastPrinted>2016-03-02T21:18:53Z</cp:lastPrinted>
  <dcterms:created xsi:type="dcterms:W3CDTF">1996-10-14T23:33:28Z</dcterms:created>
  <dcterms:modified xsi:type="dcterms:W3CDTF">2025-05-09T11:16:29Z</dcterms:modified>
</cp:coreProperties>
</file>